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26238\AppData\Local\Temp\notesC9812B\"/>
    </mc:Choice>
  </mc:AlternateContent>
  <bookViews>
    <workbookView xWindow="0" yWindow="60" windowWidth="6150" windowHeight="6030" tabRatio="602" activeTab="1"/>
  </bookViews>
  <sheets>
    <sheet name="Title" sheetId="17" r:id="rId1"/>
    <sheet name="Total Co" sheetId="45" r:id="rId2"/>
    <sheet name="Classification" sheetId="52" r:id="rId3"/>
    <sheet name="Customer" sheetId="53" r:id="rId4"/>
    <sheet name="Commodity" sheetId="54" r:id="rId5"/>
    <sheet name="Demand" sheetId="55" r:id="rId6"/>
    <sheet name="Input" sheetId="1" r:id="rId7"/>
    <sheet name="Customers" sheetId="8" r:id="rId8"/>
    <sheet name="Sales &amp; Rev" sheetId="2" r:id="rId9"/>
    <sheet name="Acct 487" sheetId="10" r:id="rId10"/>
    <sheet name="Prop Rev." sheetId="9" r:id="rId11"/>
    <sheet name="Design Day" sheetId="7" r:id="rId12"/>
    <sheet name="Meters" sheetId="3" r:id="rId13"/>
    <sheet name="Reg. Station" sheetId="11" r:id="rId14"/>
    <sheet name="Services-Size Index" sheetId="12" r:id="rId15"/>
    <sheet name="Services-Plant Records" sheetId="13" r:id="rId16"/>
    <sheet name="Services-AUC" sheetId="14" r:id="rId17"/>
    <sheet name="Services&amp;MT" sheetId="15" r:id="rId18"/>
    <sheet name="Min Syst - Mains" sheetId="6" r:id="rId19"/>
    <sheet name="Uncollectibles" sheetId="56" r:id="rId20"/>
    <sheet name="Classification Table" sheetId="57" r:id="rId21"/>
    <sheet name="Alloc Table Cust" sheetId="59" r:id="rId22"/>
    <sheet name="Alloc Table Dem" sheetId="61" r:id="rId23"/>
    <sheet name="Alloc Table Comm" sheetId="60" r:id="rId24"/>
    <sheet name="Revenue Req" sheetId="65" r:id="rId25"/>
    <sheet name="Alloc Table" sheetId="50" state="hidden" r:id="rId26"/>
    <sheet name="Return" sheetId="62" r:id="rId27"/>
    <sheet name="Capital Structure" sheetId="63" r:id="rId28"/>
    <sheet name="Gross Revenue Conversion Factor" sheetId="64" r:id="rId29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\A" localSheetId="21">'[1]TRANSPORTS-revised'!#REF!</definedName>
    <definedName name="\A" localSheetId="2">'[1]TRANSPORTS-revised'!#REF!</definedName>
    <definedName name="\A" localSheetId="4">'[1]TRANSPORTS-revised'!#REF!</definedName>
    <definedName name="\A" localSheetId="3">'[1]TRANSPORTS-revised'!#REF!</definedName>
    <definedName name="\A" localSheetId="5">'[1]TRANSPORTS-revised'!#REF!</definedName>
    <definedName name="\A">'[1]TRANSPORTS-revised'!#REF!</definedName>
    <definedName name="\C" localSheetId="21">#REF!</definedName>
    <definedName name="\C" localSheetId="2">#REF!</definedName>
    <definedName name="\C" localSheetId="4">#REF!</definedName>
    <definedName name="\C" localSheetId="3">#REF!</definedName>
    <definedName name="\C" localSheetId="5">#REF!</definedName>
    <definedName name="\C">#REF!</definedName>
    <definedName name="\f" localSheetId="21">'[2]E-2'!#REF!</definedName>
    <definedName name="\f" localSheetId="2">'[2]E-2'!#REF!</definedName>
    <definedName name="\f" localSheetId="4">'[2]E-2'!#REF!</definedName>
    <definedName name="\f" localSheetId="3">'[2]E-2'!#REF!</definedName>
    <definedName name="\f" localSheetId="5">'[2]E-2'!#REF!</definedName>
    <definedName name="\f">'[2]E-2'!#REF!</definedName>
    <definedName name="\P" localSheetId="21">Input!#REF!</definedName>
    <definedName name="\P" localSheetId="2">Input!#REF!</definedName>
    <definedName name="\P" localSheetId="4">Input!#REF!</definedName>
    <definedName name="\P" localSheetId="3">Input!#REF!</definedName>
    <definedName name="\P" localSheetId="5">Input!#REF!</definedName>
    <definedName name="\P">Input!#REF!</definedName>
    <definedName name="\s" localSheetId="21">#REF!</definedName>
    <definedName name="\s" localSheetId="2">#REF!</definedName>
    <definedName name="\s" localSheetId="4">#REF!</definedName>
    <definedName name="\s" localSheetId="3">#REF!</definedName>
    <definedName name="\s" localSheetId="5">#REF!</definedName>
    <definedName name="\s">#REF!</definedName>
    <definedName name="\t" localSheetId="21">#REF!</definedName>
    <definedName name="\t" localSheetId="2">#REF!</definedName>
    <definedName name="\t" localSheetId="4">#REF!</definedName>
    <definedName name="\t" localSheetId="3">#REF!</definedName>
    <definedName name="\t" localSheetId="5">#REF!</definedName>
    <definedName name="\t">#REF!</definedName>
    <definedName name="__123Graph_A" hidden="1">Input!$C$516:$C$595</definedName>
    <definedName name="__123Graph_B" hidden="1">Input!$D$516:$D$595</definedName>
    <definedName name="__123Graph_C" hidden="1">Input!$E$516:$E$595</definedName>
    <definedName name="__123Graph_D" hidden="1">Input!$F$516:$F$595</definedName>
    <definedName name="__123Graph_E" hidden="1">Input!$G$516:$G$595</definedName>
    <definedName name="__123Graph_F" hidden="1">Input!$H$516:$H$595</definedName>
    <definedName name="__123Graph_X" hidden="1">Input!$B$516:$B$595</definedName>
    <definedName name="__SCH33">'[3]SCHEDULE 33 A REV.'!$A$1:$H$67</definedName>
    <definedName name="_1QTR" localSheetId="21">#REF!</definedName>
    <definedName name="_1QTR" localSheetId="2">#REF!</definedName>
    <definedName name="_1QTR" localSheetId="4">#REF!</definedName>
    <definedName name="_1QTR" localSheetId="3">#REF!</definedName>
    <definedName name="_1QTR" localSheetId="5">#REF!</definedName>
    <definedName name="_1QTR">#REF!</definedName>
    <definedName name="_1QTR_PROPANE" localSheetId="21">#REF!</definedName>
    <definedName name="_1QTR_PROPANE" localSheetId="2">#REF!</definedName>
    <definedName name="_1QTR_PROPANE" localSheetId="4">#REF!</definedName>
    <definedName name="_1QTR_PROPANE" localSheetId="3">#REF!</definedName>
    <definedName name="_1QTR_PROPANE" localSheetId="5">#REF!</definedName>
    <definedName name="_1QTR_PROPANE">#REF!</definedName>
    <definedName name="_235" localSheetId="21">#REF!</definedName>
    <definedName name="_235" localSheetId="2">#REF!</definedName>
    <definedName name="_235" localSheetId="4">#REF!</definedName>
    <definedName name="_235" localSheetId="3">#REF!</definedName>
    <definedName name="_235" localSheetId="5">#REF!</definedName>
    <definedName name="_235">#REF!</definedName>
    <definedName name="_2QTR" localSheetId="21">#REF!</definedName>
    <definedName name="_2QTR" localSheetId="2">#REF!</definedName>
    <definedName name="_2QTR" localSheetId="4">#REF!</definedName>
    <definedName name="_2QTR" localSheetId="3">#REF!</definedName>
    <definedName name="_2QTR" localSheetId="5">#REF!</definedName>
    <definedName name="_2QTR">#REF!</definedName>
    <definedName name="_2QTR_PROPANE" localSheetId="21">#REF!</definedName>
    <definedName name="_2QTR_PROPANE" localSheetId="2">#REF!</definedName>
    <definedName name="_2QTR_PROPANE" localSheetId="4">#REF!</definedName>
    <definedName name="_2QTR_PROPANE" localSheetId="3">#REF!</definedName>
    <definedName name="_2QTR_PROPANE" localSheetId="5">#REF!</definedName>
    <definedName name="_2QTR_PROPANE">#REF!</definedName>
    <definedName name="_3QTR" localSheetId="21">#REF!</definedName>
    <definedName name="_3QTR" localSheetId="2">#REF!</definedName>
    <definedName name="_3QTR" localSheetId="4">#REF!</definedName>
    <definedName name="_3QTR" localSheetId="3">#REF!</definedName>
    <definedName name="_3QTR" localSheetId="5">#REF!</definedName>
    <definedName name="_3QTR">#REF!</definedName>
    <definedName name="_3QTR_PROPANE" localSheetId="21">#REF!</definedName>
    <definedName name="_3QTR_PROPANE" localSheetId="2">#REF!</definedName>
    <definedName name="_3QTR_PROPANE" localSheetId="4">#REF!</definedName>
    <definedName name="_3QTR_PROPANE" localSheetId="3">#REF!</definedName>
    <definedName name="_3QTR_PROPANE" localSheetId="5">#REF!</definedName>
    <definedName name="_3QTR_PROPANE">#REF!</definedName>
    <definedName name="_4QTR" localSheetId="21">#REF!</definedName>
    <definedName name="_4QTR" localSheetId="2">#REF!</definedName>
    <definedName name="_4QTR" localSheetId="4">#REF!</definedName>
    <definedName name="_4QTR" localSheetId="3">#REF!</definedName>
    <definedName name="_4QTR" localSheetId="5">#REF!</definedName>
    <definedName name="_4QTR">#REF!</definedName>
    <definedName name="_4QTR_PROPANE" localSheetId="21">#REF!</definedName>
    <definedName name="_4QTR_PROPANE" localSheetId="2">#REF!</definedName>
    <definedName name="_4QTR_PROPANE" localSheetId="4">#REF!</definedName>
    <definedName name="_4QTR_PROPANE" localSheetId="3">#REF!</definedName>
    <definedName name="_4QTR_PROPANE" localSheetId="5">#REF!</definedName>
    <definedName name="_4QTR_PROPANE">#REF!</definedName>
    <definedName name="_ADJ25" localSheetId="21">'[4]Exh 102 Pg 4'!#REF!</definedName>
    <definedName name="_ADJ25" localSheetId="2">'[4]Exh 102 Pg 4'!#REF!</definedName>
    <definedName name="_ADJ25" localSheetId="4">'[4]Exh 102 Pg 4'!#REF!</definedName>
    <definedName name="_ADJ25" localSheetId="3">'[4]Exh 102 Pg 4'!#REF!</definedName>
    <definedName name="_ADJ25" localSheetId="5">'[4]Exh 102 Pg 4'!#REF!</definedName>
    <definedName name="_ADJ25">'[4]Exh 102 Pg 4'!#REF!</definedName>
    <definedName name="_adj4" localSheetId="21">'[5]Ex 3, Pg 10'!#REF!</definedName>
    <definedName name="_adj4" localSheetId="2">'[5]Ex 3, Pg 10'!#REF!</definedName>
    <definedName name="_adj4" localSheetId="4">'[5]Ex 3, Pg 10'!#REF!</definedName>
    <definedName name="_adj4" localSheetId="3">'[5]Ex 3, Pg 10'!#REF!</definedName>
    <definedName name="_adj4" localSheetId="5">'[5]Ex 3, Pg 10'!#REF!</definedName>
    <definedName name="_adj4">'[5]Ex 3, Pg 10'!#REF!</definedName>
    <definedName name="_ADJ44" localSheetId="21">'[4]Exh 102 Pg 4'!#REF!</definedName>
    <definedName name="_ADJ44" localSheetId="2">'[4]Exh 102 Pg 4'!#REF!</definedName>
    <definedName name="_ADJ44" localSheetId="4">'[4]Exh 102 Pg 4'!#REF!</definedName>
    <definedName name="_ADJ44" localSheetId="3">'[4]Exh 102 Pg 4'!#REF!</definedName>
    <definedName name="_ADJ44" localSheetId="5">'[4]Exh 102 Pg 4'!#REF!</definedName>
    <definedName name="_ADJ44">'[4]Exh 102 Pg 4'!#REF!</definedName>
    <definedName name="_ADJ48" localSheetId="21">#REF!</definedName>
    <definedName name="_ADJ48" localSheetId="2">#REF!</definedName>
    <definedName name="_ADJ48" localSheetId="4">#REF!</definedName>
    <definedName name="_ADJ48" localSheetId="3">#REF!</definedName>
    <definedName name="_ADJ48" localSheetId="5">#REF!</definedName>
    <definedName name="_ADJ48">#REF!</definedName>
    <definedName name="_ADJ49" localSheetId="21">#REF!</definedName>
    <definedName name="_ADJ49" localSheetId="2">#REF!</definedName>
    <definedName name="_ADJ49" localSheetId="4">#REF!</definedName>
    <definedName name="_ADJ49" localSheetId="3">#REF!</definedName>
    <definedName name="_ADJ49" localSheetId="5">#REF!</definedName>
    <definedName name="_ADJ49">#REF!</definedName>
    <definedName name="_ADJ51" localSheetId="21">#REF!</definedName>
    <definedName name="_ADJ51" localSheetId="2">#REF!</definedName>
    <definedName name="_ADJ51" localSheetId="4">#REF!</definedName>
    <definedName name="_ADJ51" localSheetId="3">#REF!</definedName>
    <definedName name="_ADJ51" localSheetId="5">#REF!</definedName>
    <definedName name="_ADJ51">#REF!</definedName>
    <definedName name="_Dist_Values" localSheetId="21" hidden="1">#REF!</definedName>
    <definedName name="_Dist_Values" localSheetId="2" hidden="1">#REF!</definedName>
    <definedName name="_Dist_Values" localSheetId="4" hidden="1">#REF!</definedName>
    <definedName name="_Dist_Values" localSheetId="3" hidden="1">#REF!</definedName>
    <definedName name="_Dist_Values" localSheetId="5" hidden="1">#REF!</definedName>
    <definedName name="_Dist_Values" hidden="1">#REF!</definedName>
    <definedName name="_EMP11" localSheetId="21">#REF!</definedName>
    <definedName name="_EMP11" localSheetId="2">#REF!</definedName>
    <definedName name="_EMP11" localSheetId="4">#REF!</definedName>
    <definedName name="_EMP11" localSheetId="3">#REF!</definedName>
    <definedName name="_EMP11" localSheetId="5">#REF!</definedName>
    <definedName name="_EMP11">#REF!</definedName>
    <definedName name="_EMP12" localSheetId="21">#REF!</definedName>
    <definedName name="_EMP12" localSheetId="2">#REF!</definedName>
    <definedName name="_EMP12" localSheetId="4">#REF!</definedName>
    <definedName name="_EMP12" localSheetId="3">#REF!</definedName>
    <definedName name="_EMP12" localSheetId="5">#REF!</definedName>
    <definedName name="_EMP12">#REF!</definedName>
    <definedName name="_EMP14" localSheetId="21">#REF!</definedName>
    <definedName name="_EMP14" localSheetId="2">#REF!</definedName>
    <definedName name="_EMP14" localSheetId="4">#REF!</definedName>
    <definedName name="_EMP14" localSheetId="3">#REF!</definedName>
    <definedName name="_EMP14" localSheetId="5">#REF!</definedName>
    <definedName name="_EMP14">#REF!</definedName>
    <definedName name="_EMP15" localSheetId="21">#REF!</definedName>
    <definedName name="_EMP15" localSheetId="2">#REF!</definedName>
    <definedName name="_EMP15" localSheetId="4">#REF!</definedName>
    <definedName name="_EMP15" localSheetId="3">#REF!</definedName>
    <definedName name="_EMP15" localSheetId="5">#REF!</definedName>
    <definedName name="_EMP15">#REF!</definedName>
    <definedName name="_EMP16" localSheetId="21">#REF!</definedName>
    <definedName name="_EMP16" localSheetId="2">#REF!</definedName>
    <definedName name="_EMP16" localSheetId="4">#REF!</definedName>
    <definedName name="_EMP16" localSheetId="3">#REF!</definedName>
    <definedName name="_EMP16" localSheetId="5">#REF!</definedName>
    <definedName name="_EMP16">#REF!</definedName>
    <definedName name="_EMP17" localSheetId="21">#REF!</definedName>
    <definedName name="_EMP17" localSheetId="2">#REF!</definedName>
    <definedName name="_EMP17" localSheetId="4">#REF!</definedName>
    <definedName name="_EMP17" localSheetId="3">#REF!</definedName>
    <definedName name="_EMP17" localSheetId="5">#REF!</definedName>
    <definedName name="_EMP17">#REF!</definedName>
    <definedName name="_EMP18" localSheetId="21">#REF!</definedName>
    <definedName name="_EMP18" localSheetId="2">#REF!</definedName>
    <definedName name="_EMP18" localSheetId="4">#REF!</definedName>
    <definedName name="_EMP18" localSheetId="3">#REF!</definedName>
    <definedName name="_EMP18" localSheetId="5">#REF!</definedName>
    <definedName name="_EMP18">#REF!</definedName>
    <definedName name="_EMP20" localSheetId="21">#REF!</definedName>
    <definedName name="_EMP20" localSheetId="2">#REF!</definedName>
    <definedName name="_EMP20" localSheetId="4">#REF!</definedName>
    <definedName name="_EMP20" localSheetId="3">#REF!</definedName>
    <definedName name="_EMP20" localSheetId="5">#REF!</definedName>
    <definedName name="_EMP20">#REF!</definedName>
    <definedName name="_EMP22" localSheetId="21">#REF!</definedName>
    <definedName name="_EMP22" localSheetId="2">#REF!</definedName>
    <definedName name="_EMP22" localSheetId="4">#REF!</definedName>
    <definedName name="_EMP22" localSheetId="3">#REF!</definedName>
    <definedName name="_EMP22" localSheetId="5">#REF!</definedName>
    <definedName name="_EMP22">#REF!</definedName>
    <definedName name="_EMP32" localSheetId="21">#REF!</definedName>
    <definedName name="_EMP32" localSheetId="2">#REF!</definedName>
    <definedName name="_EMP32" localSheetId="4">#REF!</definedName>
    <definedName name="_EMP32" localSheetId="3">#REF!</definedName>
    <definedName name="_EMP32" localSheetId="5">#REF!</definedName>
    <definedName name="_EMP32">#REF!</definedName>
    <definedName name="_EMP34" localSheetId="21">#REF!</definedName>
    <definedName name="_EMP34" localSheetId="2">#REF!</definedName>
    <definedName name="_EMP34" localSheetId="4">#REF!</definedName>
    <definedName name="_EMP34" localSheetId="3">#REF!</definedName>
    <definedName name="_EMP34" localSheetId="5">#REF!</definedName>
    <definedName name="_EMP34">#REF!</definedName>
    <definedName name="_EMP35" localSheetId="21">#REF!</definedName>
    <definedName name="_EMP35" localSheetId="2">#REF!</definedName>
    <definedName name="_EMP35" localSheetId="4">#REF!</definedName>
    <definedName name="_EMP35" localSheetId="3">#REF!</definedName>
    <definedName name="_EMP35" localSheetId="5">#REF!</definedName>
    <definedName name="_EMP35">#REF!</definedName>
    <definedName name="_EMP37" localSheetId="21">#REF!</definedName>
    <definedName name="_EMP37" localSheetId="2">#REF!</definedName>
    <definedName name="_EMP37" localSheetId="4">#REF!</definedName>
    <definedName name="_EMP37" localSheetId="3">#REF!</definedName>
    <definedName name="_EMP37" localSheetId="5">#REF!</definedName>
    <definedName name="_EMP37">#REF!</definedName>
    <definedName name="_EMP38" localSheetId="21">#REF!</definedName>
    <definedName name="_EMP38" localSheetId="2">#REF!</definedName>
    <definedName name="_EMP38" localSheetId="4">#REF!</definedName>
    <definedName name="_EMP38" localSheetId="3">#REF!</definedName>
    <definedName name="_EMP38" localSheetId="5">#REF!</definedName>
    <definedName name="_EMP38">#REF!</definedName>
    <definedName name="_EMP43" localSheetId="21">#REF!</definedName>
    <definedName name="_EMP43" localSheetId="2">#REF!</definedName>
    <definedName name="_EMP43" localSheetId="4">#REF!</definedName>
    <definedName name="_EMP43" localSheetId="3">#REF!</definedName>
    <definedName name="_EMP43" localSheetId="5">#REF!</definedName>
    <definedName name="_EMP43">#REF!</definedName>
    <definedName name="_EMP48" localSheetId="21">#REF!</definedName>
    <definedName name="_EMP48" localSheetId="2">#REF!</definedName>
    <definedName name="_EMP48" localSheetId="4">#REF!</definedName>
    <definedName name="_EMP48" localSheetId="3">#REF!</definedName>
    <definedName name="_EMP48" localSheetId="5">#REF!</definedName>
    <definedName name="_EMP48">#REF!</definedName>
    <definedName name="_EMP51" localSheetId="21">#REF!</definedName>
    <definedName name="_EMP51" localSheetId="2">#REF!</definedName>
    <definedName name="_EMP51" localSheetId="4">#REF!</definedName>
    <definedName name="_EMP51" localSheetId="3">#REF!</definedName>
    <definedName name="_EMP51" localSheetId="5">#REF!</definedName>
    <definedName name="_EMP51">#REF!</definedName>
    <definedName name="_EMP52" localSheetId="21">#REF!</definedName>
    <definedName name="_EMP52" localSheetId="2">#REF!</definedName>
    <definedName name="_EMP52" localSheetId="4">#REF!</definedName>
    <definedName name="_EMP52" localSheetId="3">#REF!</definedName>
    <definedName name="_EMP52" localSheetId="5">#REF!</definedName>
    <definedName name="_EMP52">#REF!</definedName>
    <definedName name="_EMP53" localSheetId="21">#REF!</definedName>
    <definedName name="_EMP53" localSheetId="2">#REF!</definedName>
    <definedName name="_EMP53" localSheetId="4">#REF!</definedName>
    <definedName name="_EMP53" localSheetId="3">#REF!</definedName>
    <definedName name="_EMP53" localSheetId="5">#REF!</definedName>
    <definedName name="_EMP53">#REF!</definedName>
    <definedName name="_Fill" localSheetId="21" hidden="1">#REF!</definedName>
    <definedName name="_Fill" localSheetId="2" hidden="1">#REF!</definedName>
    <definedName name="_Fill" localSheetId="4" hidden="1">#REF!</definedName>
    <definedName name="_Fill" localSheetId="3" hidden="1">#REF!</definedName>
    <definedName name="_Fill" localSheetId="5" hidden="1">#REF!</definedName>
    <definedName name="_Fill" hidden="1">#REF!</definedName>
    <definedName name="_FS_ESC_3_X_\TA" localSheetId="21">'[2]E-2'!#REF!</definedName>
    <definedName name="_FS_ESC_3_X_\TA" localSheetId="2">'[2]E-2'!#REF!</definedName>
    <definedName name="_FS_ESC_3_X_\TA" localSheetId="4">'[2]E-2'!#REF!</definedName>
    <definedName name="_FS_ESC_3_X_\TA" localSheetId="3">'[2]E-2'!#REF!</definedName>
    <definedName name="_FS_ESC_3_X_\TA" localSheetId="5">'[2]E-2'!#REF!</definedName>
    <definedName name="_FS_ESC_3_X_\TA">'[2]E-2'!#REF!</definedName>
    <definedName name="_FXD0111" localSheetId="21">#REF!</definedName>
    <definedName name="_FXD0111" localSheetId="2">#REF!</definedName>
    <definedName name="_FXD0111" localSheetId="4">#REF!</definedName>
    <definedName name="_FXD0111" localSheetId="3">#REF!</definedName>
    <definedName name="_FXD0111" localSheetId="5">#REF!</definedName>
    <definedName name="_FXD0111">#REF!</definedName>
    <definedName name="_FXD0151" localSheetId="21">#REF!</definedName>
    <definedName name="_FXD0151" localSheetId="2">#REF!</definedName>
    <definedName name="_FXD0151" localSheetId="4">#REF!</definedName>
    <definedName name="_FXD0151" localSheetId="3">#REF!</definedName>
    <definedName name="_FXD0151" localSheetId="5">#REF!</definedName>
    <definedName name="_FXD0151">#REF!</definedName>
    <definedName name="_FXD0212" localSheetId="21">#REF!</definedName>
    <definedName name="_FXD0212" localSheetId="2">#REF!</definedName>
    <definedName name="_FXD0212" localSheetId="4">#REF!</definedName>
    <definedName name="_FXD0212" localSheetId="3">#REF!</definedName>
    <definedName name="_FXD0212" localSheetId="5">#REF!</definedName>
    <definedName name="_FXD0212">#REF!</definedName>
    <definedName name="_FXD0214" localSheetId="21">#REF!</definedName>
    <definedName name="_FXD0214" localSheetId="2">#REF!</definedName>
    <definedName name="_FXD0214" localSheetId="4">#REF!</definedName>
    <definedName name="_FXD0214" localSheetId="3">#REF!</definedName>
    <definedName name="_FXD0214" localSheetId="5">#REF!</definedName>
    <definedName name="_FXD0214">#REF!</definedName>
    <definedName name="_FXD0234" localSheetId="21">#REF!</definedName>
    <definedName name="_FXD0234" localSheetId="2">#REF!</definedName>
    <definedName name="_FXD0234" localSheetId="4">#REF!</definedName>
    <definedName name="_FXD0234" localSheetId="3">#REF!</definedName>
    <definedName name="_FXD0234" localSheetId="5">#REF!</definedName>
    <definedName name="_FXD0234">#REF!</definedName>
    <definedName name="_FXD0235" localSheetId="21">#REF!</definedName>
    <definedName name="_FXD0235" localSheetId="2">#REF!</definedName>
    <definedName name="_FXD0235" localSheetId="4">#REF!</definedName>
    <definedName name="_FXD0235" localSheetId="3">#REF!</definedName>
    <definedName name="_FXD0235" localSheetId="5">#REF!</definedName>
    <definedName name="_FXD0235">#REF!</definedName>
    <definedName name="_FXD0237" localSheetId="21">#REF!</definedName>
    <definedName name="_FXD0237" localSheetId="2">#REF!</definedName>
    <definedName name="_FXD0237" localSheetId="4">#REF!</definedName>
    <definedName name="_FXD0237" localSheetId="3">#REF!</definedName>
    <definedName name="_FXD0237" localSheetId="5">#REF!</definedName>
    <definedName name="_FXD0237">#REF!</definedName>
    <definedName name="_FXD0238" localSheetId="21">#REF!</definedName>
    <definedName name="_FXD0238" localSheetId="2">#REF!</definedName>
    <definedName name="_FXD0238" localSheetId="4">#REF!</definedName>
    <definedName name="_FXD0238" localSheetId="3">#REF!</definedName>
    <definedName name="_FXD0238" localSheetId="5">#REF!</definedName>
    <definedName name="_FXD0238">#REF!</definedName>
    <definedName name="_FXD0251" localSheetId="21">#REF!</definedName>
    <definedName name="_FXD0251" localSheetId="2">#REF!</definedName>
    <definedName name="_FXD0251" localSheetId="4">#REF!</definedName>
    <definedName name="_FXD0251" localSheetId="3">#REF!</definedName>
    <definedName name="_FXD0251" localSheetId="5">#REF!</definedName>
    <definedName name="_FXD0251">#REF!</definedName>
    <definedName name="_FXD0612" localSheetId="21">#REF!</definedName>
    <definedName name="_FXD0612" localSheetId="2">#REF!</definedName>
    <definedName name="_FXD0612" localSheetId="4">#REF!</definedName>
    <definedName name="_FXD0612" localSheetId="3">#REF!</definedName>
    <definedName name="_FXD0612" localSheetId="5">#REF!</definedName>
    <definedName name="_FXD0612">#REF!</definedName>
    <definedName name="_FXD0614" localSheetId="21">#REF!</definedName>
    <definedName name="_FXD0614" localSheetId="2">#REF!</definedName>
    <definedName name="_FXD0614" localSheetId="4">#REF!</definedName>
    <definedName name="_FXD0614" localSheetId="3">#REF!</definedName>
    <definedName name="_FXD0614" localSheetId="5">#REF!</definedName>
    <definedName name="_FXD0614">#REF!</definedName>
    <definedName name="_FXD0615" localSheetId="21">#REF!</definedName>
    <definedName name="_FXD0615" localSheetId="2">#REF!</definedName>
    <definedName name="_FXD0615" localSheetId="4">#REF!</definedName>
    <definedName name="_FXD0615" localSheetId="3">#REF!</definedName>
    <definedName name="_FXD0615" localSheetId="5">#REF!</definedName>
    <definedName name="_FXD0615">#REF!</definedName>
    <definedName name="_FXD0616" localSheetId="21">#REF!</definedName>
    <definedName name="_FXD0616" localSheetId="2">#REF!</definedName>
    <definedName name="_FXD0616" localSheetId="4">#REF!</definedName>
    <definedName name="_FXD0616" localSheetId="3">#REF!</definedName>
    <definedName name="_FXD0616" localSheetId="5">#REF!</definedName>
    <definedName name="_FXD0616">#REF!</definedName>
    <definedName name="_FXD0617" localSheetId="21">#REF!</definedName>
    <definedName name="_FXD0617" localSheetId="2">#REF!</definedName>
    <definedName name="_FXD0617" localSheetId="4">#REF!</definedName>
    <definedName name="_FXD0617" localSheetId="3">#REF!</definedName>
    <definedName name="_FXD0617" localSheetId="5">#REF!</definedName>
    <definedName name="_FXD0617">#REF!</definedName>
    <definedName name="_FXD0618" localSheetId="21">#REF!</definedName>
    <definedName name="_FXD0618" localSheetId="2">#REF!</definedName>
    <definedName name="_FXD0618" localSheetId="4">#REF!</definedName>
    <definedName name="_FXD0618" localSheetId="3">#REF!</definedName>
    <definedName name="_FXD0618" localSheetId="5">#REF!</definedName>
    <definedName name="_FXD0618">#REF!</definedName>
    <definedName name="_FXD0632" localSheetId="21">#REF!</definedName>
    <definedName name="_FXD0632" localSheetId="2">#REF!</definedName>
    <definedName name="_FXD0632" localSheetId="4">#REF!</definedName>
    <definedName name="_FXD0632" localSheetId="3">#REF!</definedName>
    <definedName name="_FXD0632" localSheetId="5">#REF!</definedName>
    <definedName name="_FXD0632">#REF!</definedName>
    <definedName name="_FXD0634" localSheetId="21">#REF!</definedName>
    <definedName name="_FXD0634" localSheetId="2">#REF!</definedName>
    <definedName name="_FXD0634" localSheetId="4">#REF!</definedName>
    <definedName name="_FXD0634" localSheetId="3">#REF!</definedName>
    <definedName name="_FXD0634" localSheetId="5">#REF!</definedName>
    <definedName name="_FXD0634">#REF!</definedName>
    <definedName name="_FXD0635" localSheetId="21">#REF!</definedName>
    <definedName name="_FXD0635" localSheetId="2">#REF!</definedName>
    <definedName name="_FXD0635" localSheetId="4">#REF!</definedName>
    <definedName name="_FXD0635" localSheetId="3">#REF!</definedName>
    <definedName name="_FXD0635" localSheetId="5">#REF!</definedName>
    <definedName name="_FXD0635">#REF!</definedName>
    <definedName name="_FXD0637" localSheetId="21">#REF!</definedName>
    <definedName name="_FXD0637" localSheetId="2">#REF!</definedName>
    <definedName name="_FXD0637" localSheetId="4">#REF!</definedName>
    <definedName name="_FXD0637" localSheetId="3">#REF!</definedName>
    <definedName name="_FXD0637" localSheetId="5">#REF!</definedName>
    <definedName name="_FXD0637">#REF!</definedName>
    <definedName name="_FXD0638" localSheetId="21">#REF!</definedName>
    <definedName name="_FXD0638" localSheetId="2">#REF!</definedName>
    <definedName name="_FXD0638" localSheetId="4">#REF!</definedName>
    <definedName name="_FXD0638" localSheetId="3">#REF!</definedName>
    <definedName name="_FXD0638" localSheetId="5">#REF!</definedName>
    <definedName name="_FXD0638">#REF!</definedName>
    <definedName name="_FXD0643" localSheetId="21">#REF!</definedName>
    <definedName name="_FXD0643" localSheetId="2">#REF!</definedName>
    <definedName name="_FXD0643" localSheetId="4">#REF!</definedName>
    <definedName name="_FXD0643" localSheetId="3">#REF!</definedName>
    <definedName name="_FXD0643" localSheetId="5">#REF!</definedName>
    <definedName name="_FXD0643">#REF!</definedName>
    <definedName name="_FXD0651" localSheetId="21">#REF!</definedName>
    <definedName name="_FXD0651" localSheetId="2">#REF!</definedName>
    <definedName name="_FXD0651" localSheetId="4">#REF!</definedName>
    <definedName name="_FXD0651" localSheetId="3">#REF!</definedName>
    <definedName name="_FXD0651" localSheetId="5">#REF!</definedName>
    <definedName name="_FXD0651">#REF!</definedName>
    <definedName name="_FXD0653" localSheetId="21">#REF!</definedName>
    <definedName name="_FXD0653" localSheetId="2">#REF!</definedName>
    <definedName name="_FXD0653" localSheetId="4">#REF!</definedName>
    <definedName name="_FXD0653" localSheetId="3">#REF!</definedName>
    <definedName name="_FXD0653" localSheetId="5">#REF!</definedName>
    <definedName name="_FXD0653">#REF!</definedName>
    <definedName name="_FXD0814" localSheetId="21">#REF!</definedName>
    <definedName name="_FXD0814" localSheetId="2">#REF!</definedName>
    <definedName name="_FXD0814" localSheetId="4">#REF!</definedName>
    <definedName name="_FXD0814" localSheetId="3">#REF!</definedName>
    <definedName name="_FXD0814" localSheetId="5">#REF!</definedName>
    <definedName name="_FXD0814">#REF!</definedName>
    <definedName name="_FXD0832" localSheetId="21">#REF!</definedName>
    <definedName name="_FXD0832" localSheetId="2">#REF!</definedName>
    <definedName name="_FXD0832" localSheetId="4">#REF!</definedName>
    <definedName name="_FXD0832" localSheetId="3">#REF!</definedName>
    <definedName name="_FXD0832" localSheetId="5">#REF!</definedName>
    <definedName name="_FXD0832">#REF!</definedName>
    <definedName name="_FXD0834" localSheetId="21">#REF!</definedName>
    <definedName name="_FXD0834" localSheetId="2">#REF!</definedName>
    <definedName name="_FXD0834" localSheetId="4">#REF!</definedName>
    <definedName name="_FXD0834" localSheetId="3">#REF!</definedName>
    <definedName name="_FXD0834" localSheetId="5">#REF!</definedName>
    <definedName name="_FXD0834">#REF!</definedName>
    <definedName name="_FXD0835" localSheetId="21">#REF!</definedName>
    <definedName name="_FXD0835" localSheetId="2">#REF!</definedName>
    <definedName name="_FXD0835" localSheetId="4">#REF!</definedName>
    <definedName name="_FXD0835" localSheetId="3">#REF!</definedName>
    <definedName name="_FXD0835" localSheetId="5">#REF!</definedName>
    <definedName name="_FXD0835">#REF!</definedName>
    <definedName name="_FXD0837" localSheetId="21">#REF!</definedName>
    <definedName name="_FXD0837" localSheetId="2">#REF!</definedName>
    <definedName name="_FXD0837" localSheetId="4">#REF!</definedName>
    <definedName name="_FXD0837" localSheetId="3">#REF!</definedName>
    <definedName name="_FXD0837" localSheetId="5">#REF!</definedName>
    <definedName name="_FXD0837">#REF!</definedName>
    <definedName name="_FXD0838" localSheetId="21">#REF!</definedName>
    <definedName name="_FXD0838" localSheetId="2">#REF!</definedName>
    <definedName name="_FXD0838" localSheetId="4">#REF!</definedName>
    <definedName name="_FXD0838" localSheetId="3">#REF!</definedName>
    <definedName name="_FXD0838" localSheetId="5">#REF!</definedName>
    <definedName name="_FXD0838">#REF!</definedName>
    <definedName name="_FXD0851" localSheetId="21">#REF!</definedName>
    <definedName name="_FXD0851" localSheetId="2">#REF!</definedName>
    <definedName name="_FXD0851" localSheetId="4">#REF!</definedName>
    <definedName name="_FXD0851" localSheetId="3">#REF!</definedName>
    <definedName name="_FXD0851" localSheetId="5">#REF!</definedName>
    <definedName name="_FXD0851">#REF!</definedName>
    <definedName name="_FXD0932" localSheetId="21">#REF!</definedName>
    <definedName name="_FXD0932" localSheetId="2">#REF!</definedName>
    <definedName name="_FXD0932" localSheetId="4">#REF!</definedName>
    <definedName name="_FXD0932" localSheetId="3">#REF!</definedName>
    <definedName name="_FXD0932" localSheetId="5">#REF!</definedName>
    <definedName name="_FXD0932">#REF!</definedName>
    <definedName name="_FXD0934" localSheetId="21">#REF!</definedName>
    <definedName name="_FXD0934" localSheetId="2">#REF!</definedName>
    <definedName name="_FXD0934" localSheetId="4">#REF!</definedName>
    <definedName name="_FXD0934" localSheetId="3">#REF!</definedName>
    <definedName name="_FXD0934" localSheetId="5">#REF!</definedName>
    <definedName name="_FXD0934">#REF!</definedName>
    <definedName name="_FXD0935" localSheetId="21">#REF!</definedName>
    <definedName name="_FXD0935" localSheetId="2">#REF!</definedName>
    <definedName name="_FXD0935" localSheetId="4">#REF!</definedName>
    <definedName name="_FXD0935" localSheetId="3">#REF!</definedName>
    <definedName name="_FXD0935" localSheetId="5">#REF!</definedName>
    <definedName name="_FXD0935">#REF!</definedName>
    <definedName name="_FXD0937" localSheetId="21">#REF!</definedName>
    <definedName name="_FXD0937" localSheetId="2">#REF!</definedName>
    <definedName name="_FXD0937" localSheetId="4">#REF!</definedName>
    <definedName name="_FXD0937" localSheetId="3">#REF!</definedName>
    <definedName name="_FXD0937" localSheetId="5">#REF!</definedName>
    <definedName name="_FXD0937">#REF!</definedName>
    <definedName name="_FXD0938" localSheetId="21">#REF!</definedName>
    <definedName name="_FXD0938" localSheetId="2">#REF!</definedName>
    <definedName name="_FXD0938" localSheetId="4">#REF!</definedName>
    <definedName name="_FXD0938" localSheetId="3">#REF!</definedName>
    <definedName name="_FXD0938" localSheetId="5">#REF!</definedName>
    <definedName name="_FXD0938">#REF!</definedName>
    <definedName name="_FXD0951" localSheetId="21">#REF!</definedName>
    <definedName name="_FXD0951" localSheetId="2">#REF!</definedName>
    <definedName name="_FXD0951" localSheetId="4">#REF!</definedName>
    <definedName name="_FXD0951" localSheetId="3">#REF!</definedName>
    <definedName name="_FXD0951" localSheetId="5">#REF!</definedName>
    <definedName name="_FXD0951">#REF!</definedName>
    <definedName name="_FXD7032" localSheetId="21">#REF!</definedName>
    <definedName name="_FXD7032" localSheetId="2">#REF!</definedName>
    <definedName name="_FXD7032" localSheetId="4">#REF!</definedName>
    <definedName name="_FXD7032" localSheetId="3">#REF!</definedName>
    <definedName name="_FXD7032" localSheetId="5">#REF!</definedName>
    <definedName name="_FXD7032">#REF!</definedName>
    <definedName name="_FXD7034" localSheetId="21">#REF!</definedName>
    <definedName name="_FXD7034" localSheetId="2">#REF!</definedName>
    <definedName name="_FXD7034" localSheetId="4">#REF!</definedName>
    <definedName name="_FXD7034" localSheetId="3">#REF!</definedName>
    <definedName name="_FXD7034" localSheetId="5">#REF!</definedName>
    <definedName name="_FXD7034">#REF!</definedName>
    <definedName name="_FXD7035" localSheetId="21">#REF!</definedName>
    <definedName name="_FXD7035" localSheetId="2">#REF!</definedName>
    <definedName name="_FXD7035" localSheetId="4">#REF!</definedName>
    <definedName name="_FXD7035" localSheetId="3">#REF!</definedName>
    <definedName name="_FXD7035" localSheetId="5">#REF!</definedName>
    <definedName name="_FXD7035">#REF!</definedName>
    <definedName name="_FXD7037" localSheetId="21">#REF!</definedName>
    <definedName name="_FXD7037" localSheetId="2">#REF!</definedName>
    <definedName name="_FXD7037" localSheetId="4">#REF!</definedName>
    <definedName name="_FXD7037" localSheetId="3">#REF!</definedName>
    <definedName name="_FXD7037" localSheetId="5">#REF!</definedName>
    <definedName name="_FXD7037">#REF!</definedName>
    <definedName name="_FXD7038" localSheetId="21">#REF!</definedName>
    <definedName name="_FXD7038" localSheetId="2">#REF!</definedName>
    <definedName name="_FXD7038" localSheetId="4">#REF!</definedName>
    <definedName name="_FXD7038" localSheetId="3">#REF!</definedName>
    <definedName name="_FXD7038" localSheetId="5">#REF!</definedName>
    <definedName name="_FXD7038">#REF!</definedName>
    <definedName name="_FXD8614" localSheetId="21">#REF!</definedName>
    <definedName name="_FXD8614" localSheetId="2">#REF!</definedName>
    <definedName name="_FXD8614" localSheetId="4">#REF!</definedName>
    <definedName name="_FXD8614" localSheetId="3">#REF!</definedName>
    <definedName name="_FXD8614" localSheetId="5">#REF!</definedName>
    <definedName name="_FXD8614">#REF!</definedName>
    <definedName name="_FXD8615" localSheetId="21">#REF!</definedName>
    <definedName name="_FXD8615" localSheetId="2">#REF!</definedName>
    <definedName name="_FXD8615" localSheetId="4">#REF!</definedName>
    <definedName name="_FXD8615" localSheetId="3">#REF!</definedName>
    <definedName name="_FXD8615" localSheetId="5">#REF!</definedName>
    <definedName name="_FXD8615">#REF!</definedName>
    <definedName name="_FXD8616" localSheetId="21">#REF!</definedName>
    <definedName name="_FXD8616" localSheetId="2">#REF!</definedName>
    <definedName name="_FXD8616" localSheetId="4">#REF!</definedName>
    <definedName name="_FXD8616" localSheetId="3">#REF!</definedName>
    <definedName name="_FXD8616" localSheetId="5">#REF!</definedName>
    <definedName name="_FXD8616">#REF!</definedName>
    <definedName name="_FXD8617" localSheetId="21">#REF!</definedName>
    <definedName name="_FXD8617" localSheetId="2">#REF!</definedName>
    <definedName name="_FXD8617" localSheetId="4">#REF!</definedName>
    <definedName name="_FXD8617" localSheetId="3">#REF!</definedName>
    <definedName name="_FXD8617" localSheetId="5">#REF!</definedName>
    <definedName name="_FXD8617">#REF!</definedName>
    <definedName name="_FXD8618" localSheetId="21">#REF!</definedName>
    <definedName name="_FXD8618" localSheetId="2">#REF!</definedName>
    <definedName name="_FXD8618" localSheetId="4">#REF!</definedName>
    <definedName name="_FXD8618" localSheetId="3">#REF!</definedName>
    <definedName name="_FXD8618" localSheetId="5">#REF!</definedName>
    <definedName name="_FXD8618">#REF!</definedName>
    <definedName name="_FXD8632" localSheetId="21">#REF!</definedName>
    <definedName name="_FXD8632" localSheetId="2">#REF!</definedName>
    <definedName name="_FXD8632" localSheetId="4">#REF!</definedName>
    <definedName name="_FXD8632" localSheetId="3">#REF!</definedName>
    <definedName name="_FXD8632" localSheetId="5">#REF!</definedName>
    <definedName name="_FXD8632">#REF!</definedName>
    <definedName name="_FXD8634" localSheetId="21">#REF!</definedName>
    <definedName name="_FXD8634" localSheetId="2">#REF!</definedName>
    <definedName name="_FXD8634" localSheetId="4">#REF!</definedName>
    <definedName name="_FXD8634" localSheetId="3">#REF!</definedName>
    <definedName name="_FXD8634" localSheetId="5">#REF!</definedName>
    <definedName name="_FXD8634">#REF!</definedName>
    <definedName name="_FXD8635" localSheetId="21">#REF!</definedName>
    <definedName name="_FXD8635" localSheetId="2">#REF!</definedName>
    <definedName name="_FXD8635" localSheetId="4">#REF!</definedName>
    <definedName name="_FXD8635" localSheetId="3">#REF!</definedName>
    <definedName name="_FXD8635" localSheetId="5">#REF!</definedName>
    <definedName name="_FXD8635">#REF!</definedName>
    <definedName name="_FXD8637" localSheetId="21">#REF!</definedName>
    <definedName name="_FXD8637" localSheetId="2">#REF!</definedName>
    <definedName name="_FXD8637" localSheetId="4">#REF!</definedName>
    <definedName name="_FXD8637" localSheetId="3">#REF!</definedName>
    <definedName name="_FXD8637" localSheetId="5">#REF!</definedName>
    <definedName name="_FXD8637">#REF!</definedName>
    <definedName name="_FXD8638" localSheetId="21">#REF!</definedName>
    <definedName name="_FXD8638" localSheetId="2">#REF!</definedName>
    <definedName name="_FXD8638" localSheetId="4">#REF!</definedName>
    <definedName name="_FXD8638" localSheetId="3">#REF!</definedName>
    <definedName name="_FXD8638" localSheetId="5">#REF!</definedName>
    <definedName name="_FXD8638">#REF!</definedName>
    <definedName name="_FXD8651" localSheetId="21">#REF!</definedName>
    <definedName name="_FXD8651" localSheetId="2">#REF!</definedName>
    <definedName name="_FXD8651" localSheetId="4">#REF!</definedName>
    <definedName name="_FXD8651" localSheetId="3">#REF!</definedName>
    <definedName name="_FXD8651" localSheetId="5">#REF!</definedName>
    <definedName name="_FXD8651">#REF!</definedName>
    <definedName name="_HOME__APP1__LP" localSheetId="21">#REF!</definedName>
    <definedName name="_HOME__APP1__LP" localSheetId="2">#REF!</definedName>
    <definedName name="_HOME__APP1__LP" localSheetId="4">#REF!</definedName>
    <definedName name="_HOME__APP1__LP" localSheetId="3">#REF!</definedName>
    <definedName name="_HOME__APP1__LP" localSheetId="5">#REF!</definedName>
    <definedName name="_HOME__APP1__LP">#REF!</definedName>
    <definedName name="_HOME__APP1__PC" localSheetId="21">'[2]E-2'!#REF!</definedName>
    <definedName name="_HOME__APP1__PC" localSheetId="2">'[2]E-2'!#REF!</definedName>
    <definedName name="_HOME__APP1__PC" localSheetId="4">'[2]E-2'!#REF!</definedName>
    <definedName name="_HOME__APP1__PC" localSheetId="3">'[2]E-2'!#REF!</definedName>
    <definedName name="_HOME__APP1__PC" localSheetId="5">'[2]E-2'!#REF!</definedName>
    <definedName name="_HOME__APP1__PC">'[2]E-2'!#REF!</definedName>
    <definedName name="_HOME__FS_ESC_3" localSheetId="21">'[2]E-2'!#REF!</definedName>
    <definedName name="_HOME__FS_ESC_3" localSheetId="2">'[2]E-2'!#REF!</definedName>
    <definedName name="_HOME__FS_ESC_3" localSheetId="4">'[2]E-2'!#REF!</definedName>
    <definedName name="_HOME__FS_ESC_3" localSheetId="3">'[2]E-2'!#REF!</definedName>
    <definedName name="_HOME__FS_ESC_3" localSheetId="5">'[2]E-2'!#REF!</definedName>
    <definedName name="_HOME__FS_ESC_3">'[2]E-2'!#REF!</definedName>
    <definedName name="_Order1" hidden="1">255</definedName>
    <definedName name="_Order2" hidden="1">255</definedName>
    <definedName name="_PRCRSA148..O17" localSheetId="21">'[2]E-2'!#REF!</definedName>
    <definedName name="_PRCRSA148..O17" localSheetId="2">'[2]E-2'!#REF!</definedName>
    <definedName name="_PRCRSA148..O17" localSheetId="4">'[2]E-2'!#REF!</definedName>
    <definedName name="_PRCRSA148..O17" localSheetId="3">'[2]E-2'!#REF!</definedName>
    <definedName name="_PRCRSA148..O17" localSheetId="5">'[2]E-2'!#REF!</definedName>
    <definedName name="_PRCRSA148..O17">'[2]E-2'!#REF!</definedName>
    <definedName name="_PRCRSAC1..AK46" localSheetId="21">#REF!</definedName>
    <definedName name="_PRCRSAC1..AK46" localSheetId="2">#REF!</definedName>
    <definedName name="_PRCRSAC1..AK46" localSheetId="4">#REF!</definedName>
    <definedName name="_PRCRSAC1..AK46" localSheetId="3">#REF!</definedName>
    <definedName name="_PRCRSAC1..AK46" localSheetId="5">#REF!</definedName>
    <definedName name="_PRCRSAC1..AK46">#REF!</definedName>
    <definedName name="_PRCRSO1..Y60_G" localSheetId="21">#REF!</definedName>
    <definedName name="_PRCRSO1..Y60_G" localSheetId="2">#REF!</definedName>
    <definedName name="_PRCRSO1..Y60_G" localSheetId="4">#REF!</definedName>
    <definedName name="_PRCRSO1..Y60_G" localSheetId="3">#REF!</definedName>
    <definedName name="_PRCRSO1..Y60_G" localSheetId="5">#REF!</definedName>
    <definedName name="_PRCRSO1..Y60_G">#REF!</definedName>
    <definedName name="_PRCRSQ148..AE1" localSheetId="21">'[2]E-2'!#REF!</definedName>
    <definedName name="_PRCRSQ148..AE1" localSheetId="2">'[2]E-2'!#REF!</definedName>
    <definedName name="_PRCRSQ148..AE1" localSheetId="4">'[2]E-2'!#REF!</definedName>
    <definedName name="_PRCRSQ148..AE1" localSheetId="3">'[2]E-2'!#REF!</definedName>
    <definedName name="_PRCRSQ148..AE1" localSheetId="5">'[2]E-2'!#REF!</definedName>
    <definedName name="_PRCRSQ148..AE1">'[2]E-2'!#REF!</definedName>
    <definedName name="_Regression_Int" hidden="1">1</definedName>
    <definedName name="_SCH33">'[3]SCHEDULE 33 A REV.'!$A$1:$H$67</definedName>
    <definedName name="_SUM0111" localSheetId="21">#REF!</definedName>
    <definedName name="_SUM0111" localSheetId="2">#REF!</definedName>
    <definedName name="_SUM0111" localSheetId="4">#REF!</definedName>
    <definedName name="_SUM0111" localSheetId="3">#REF!</definedName>
    <definedName name="_SUM0111" localSheetId="5">#REF!</definedName>
    <definedName name="_SUM0111">#REF!</definedName>
    <definedName name="_SUM0113" localSheetId="21">#REF!</definedName>
    <definedName name="_SUM0113" localSheetId="2">#REF!</definedName>
    <definedName name="_SUM0113" localSheetId="4">#REF!</definedName>
    <definedName name="_SUM0113" localSheetId="3">#REF!</definedName>
    <definedName name="_SUM0113" localSheetId="5">#REF!</definedName>
    <definedName name="_SUM0113">#REF!</definedName>
    <definedName name="_SUM0210" localSheetId="21">#REF!</definedName>
    <definedName name="_SUM0210" localSheetId="2">#REF!</definedName>
    <definedName name="_SUM0210" localSheetId="4">#REF!</definedName>
    <definedName name="_SUM0210" localSheetId="3">#REF!</definedName>
    <definedName name="_SUM0210" localSheetId="5">#REF!</definedName>
    <definedName name="_SUM0210">#REF!</definedName>
    <definedName name="_SUM0213" localSheetId="21">#REF!</definedName>
    <definedName name="_SUM0213" localSheetId="2">#REF!</definedName>
    <definedName name="_SUM0213" localSheetId="4">#REF!</definedName>
    <definedName name="_SUM0213" localSheetId="3">#REF!</definedName>
    <definedName name="_SUM0213" localSheetId="5">#REF!</definedName>
    <definedName name="_SUM0213">#REF!</definedName>
    <definedName name="_SUM0401" localSheetId="21">#REF!</definedName>
    <definedName name="_SUM0401" localSheetId="2">#REF!</definedName>
    <definedName name="_SUM0401" localSheetId="4">#REF!</definedName>
    <definedName name="_SUM0401" localSheetId="3">#REF!</definedName>
    <definedName name="_SUM0401" localSheetId="5">#REF!</definedName>
    <definedName name="_SUM0401">#REF!</definedName>
    <definedName name="_SUM0402" localSheetId="21">#REF!</definedName>
    <definedName name="_SUM0402" localSheetId="2">#REF!</definedName>
    <definedName name="_SUM0402" localSheetId="4">#REF!</definedName>
    <definedName name="_SUM0402" localSheetId="3">#REF!</definedName>
    <definedName name="_SUM0402" localSheetId="5">#REF!</definedName>
    <definedName name="_SUM0402">#REF!</definedName>
    <definedName name="_SUM0408" localSheetId="21">#REF!</definedName>
    <definedName name="_SUM0408" localSheetId="2">#REF!</definedName>
    <definedName name="_SUM0408" localSheetId="4">#REF!</definedName>
    <definedName name="_SUM0408" localSheetId="3">#REF!</definedName>
    <definedName name="_SUM0408" localSheetId="5">#REF!</definedName>
    <definedName name="_SUM0408">#REF!</definedName>
    <definedName name="_SUM0409" localSheetId="21">#REF!</definedName>
    <definedName name="_SUM0409" localSheetId="2">#REF!</definedName>
    <definedName name="_SUM0409" localSheetId="4">#REF!</definedName>
    <definedName name="_SUM0409" localSheetId="3">#REF!</definedName>
    <definedName name="_SUM0409" localSheetId="5">#REF!</definedName>
    <definedName name="_SUM0409">#REF!</definedName>
    <definedName name="_SUM0411" localSheetId="21">#REF!</definedName>
    <definedName name="_SUM0411" localSheetId="2">#REF!</definedName>
    <definedName name="_SUM0411" localSheetId="4">#REF!</definedName>
    <definedName name="_SUM0411" localSheetId="3">#REF!</definedName>
    <definedName name="_SUM0411" localSheetId="5">#REF!</definedName>
    <definedName name="_SUM0411">#REF!</definedName>
    <definedName name="_SUM0501" localSheetId="21">#REF!</definedName>
    <definedName name="_SUM0501" localSheetId="2">#REF!</definedName>
    <definedName name="_SUM0501" localSheetId="4">#REF!</definedName>
    <definedName name="_SUM0501" localSheetId="3">#REF!</definedName>
    <definedName name="_SUM0501" localSheetId="5">#REF!</definedName>
    <definedName name="_SUM0501">#REF!</definedName>
    <definedName name="_SUM0502" localSheetId="21">#REF!</definedName>
    <definedName name="_SUM0502" localSheetId="2">#REF!</definedName>
    <definedName name="_SUM0502" localSheetId="4">#REF!</definedName>
    <definedName name="_SUM0502" localSheetId="3">#REF!</definedName>
    <definedName name="_SUM0502" localSheetId="5">#REF!</definedName>
    <definedName name="_SUM0502">#REF!</definedName>
    <definedName name="_SUM0508" localSheetId="21">#REF!</definedName>
    <definedName name="_SUM0508" localSheetId="2">#REF!</definedName>
    <definedName name="_SUM0508" localSheetId="4">#REF!</definedName>
    <definedName name="_SUM0508" localSheetId="3">#REF!</definedName>
    <definedName name="_SUM0508" localSheetId="5">#REF!</definedName>
    <definedName name="_SUM0508">#REF!</definedName>
    <definedName name="_SUM0509" localSheetId="21">#REF!</definedName>
    <definedName name="_SUM0509" localSheetId="2">#REF!</definedName>
    <definedName name="_SUM0509" localSheetId="4">#REF!</definedName>
    <definedName name="_SUM0509" localSheetId="3">#REF!</definedName>
    <definedName name="_SUM0509" localSheetId="5">#REF!</definedName>
    <definedName name="_SUM0509">#REF!</definedName>
    <definedName name="_SUM0510" localSheetId="21">#REF!</definedName>
    <definedName name="_SUM0510" localSheetId="2">#REF!</definedName>
    <definedName name="_SUM0510" localSheetId="4">#REF!</definedName>
    <definedName name="_SUM0510" localSheetId="3">#REF!</definedName>
    <definedName name="_SUM0510" localSheetId="5">#REF!</definedName>
    <definedName name="_SUM0510">#REF!</definedName>
    <definedName name="_SUM0511" localSheetId="21">#REF!</definedName>
    <definedName name="_SUM0511" localSheetId="2">#REF!</definedName>
    <definedName name="_SUM0511" localSheetId="4">#REF!</definedName>
    <definedName name="_SUM0511" localSheetId="3">#REF!</definedName>
    <definedName name="_SUM0511" localSheetId="5">#REF!</definedName>
    <definedName name="_SUM0511">#REF!</definedName>
    <definedName name="_SUM0613" localSheetId="21">#REF!</definedName>
    <definedName name="_SUM0613" localSheetId="2">#REF!</definedName>
    <definedName name="_SUM0613" localSheetId="4">#REF!</definedName>
    <definedName name="_SUM0613" localSheetId="3">#REF!</definedName>
    <definedName name="_SUM0613" localSheetId="5">#REF!</definedName>
    <definedName name="_SUM0613">#REF!</definedName>
    <definedName name="_SUM0701" localSheetId="21">#REF!</definedName>
    <definedName name="_SUM0701" localSheetId="2">#REF!</definedName>
    <definedName name="_SUM0701" localSheetId="4">#REF!</definedName>
    <definedName name="_SUM0701" localSheetId="3">#REF!</definedName>
    <definedName name="_SUM0701" localSheetId="5">#REF!</definedName>
    <definedName name="_SUM0701">#REF!</definedName>
    <definedName name="_SUM0702" localSheetId="21">#REF!</definedName>
    <definedName name="_SUM0702" localSheetId="2">#REF!</definedName>
    <definedName name="_SUM0702" localSheetId="4">#REF!</definedName>
    <definedName name="_SUM0702" localSheetId="3">#REF!</definedName>
    <definedName name="_SUM0702" localSheetId="5">#REF!</definedName>
    <definedName name="_SUM0702">#REF!</definedName>
    <definedName name="_SUM0708" localSheetId="21">#REF!</definedName>
    <definedName name="_SUM0708" localSheetId="2">#REF!</definedName>
    <definedName name="_SUM0708" localSheetId="4">#REF!</definedName>
    <definedName name="_SUM0708" localSheetId="3">#REF!</definedName>
    <definedName name="_SUM0708" localSheetId="5">#REF!</definedName>
    <definedName name="_SUM0708">#REF!</definedName>
    <definedName name="_SUM0709" localSheetId="21">#REF!</definedName>
    <definedName name="_SUM0709" localSheetId="2">#REF!</definedName>
    <definedName name="_SUM0709" localSheetId="4">#REF!</definedName>
    <definedName name="_SUM0709" localSheetId="3">#REF!</definedName>
    <definedName name="_SUM0709" localSheetId="5">#REF!</definedName>
    <definedName name="_SUM0709">#REF!</definedName>
    <definedName name="_SUM0813" localSheetId="21">#REF!</definedName>
    <definedName name="_SUM0813" localSheetId="2">#REF!</definedName>
    <definedName name="_SUM0813" localSheetId="4">#REF!</definedName>
    <definedName name="_SUM0813" localSheetId="3">#REF!</definedName>
    <definedName name="_SUM0813" localSheetId="5">#REF!</definedName>
    <definedName name="_SUM0813">#REF!</definedName>
    <definedName name="_SUM0901" localSheetId="21">#REF!</definedName>
    <definedName name="_SUM0901" localSheetId="2">#REF!</definedName>
    <definedName name="_SUM0901" localSheetId="4">#REF!</definedName>
    <definedName name="_SUM0901" localSheetId="3">#REF!</definedName>
    <definedName name="_SUM0901" localSheetId="5">#REF!</definedName>
    <definedName name="_SUM0901">#REF!</definedName>
    <definedName name="_SUM0902" localSheetId="21">#REF!</definedName>
    <definedName name="_SUM0902" localSheetId="2">#REF!</definedName>
    <definedName name="_SUM0902" localSheetId="4">#REF!</definedName>
    <definedName name="_SUM0902" localSheetId="3">#REF!</definedName>
    <definedName name="_SUM0902" localSheetId="5">#REF!</definedName>
    <definedName name="_SUM0902">#REF!</definedName>
    <definedName name="_SUM0908" localSheetId="21">#REF!</definedName>
    <definedName name="_SUM0908" localSheetId="2">#REF!</definedName>
    <definedName name="_SUM0908" localSheetId="4">#REF!</definedName>
    <definedName name="_SUM0908" localSheetId="3">#REF!</definedName>
    <definedName name="_SUM0908" localSheetId="5">#REF!</definedName>
    <definedName name="_SUM0908">#REF!</definedName>
    <definedName name="_SUM0911" localSheetId="21">#REF!</definedName>
    <definedName name="_SUM0911" localSheetId="2">#REF!</definedName>
    <definedName name="_SUM0911" localSheetId="4">#REF!</definedName>
    <definedName name="_SUM0911" localSheetId="3">#REF!</definedName>
    <definedName name="_SUM0911" localSheetId="5">#REF!</definedName>
    <definedName name="_SUM0911">#REF!</definedName>
    <definedName name="_SUM0913" localSheetId="21">#REF!</definedName>
    <definedName name="_SUM0913" localSheetId="2">#REF!</definedName>
    <definedName name="_SUM0913" localSheetId="4">#REF!</definedName>
    <definedName name="_SUM0913" localSheetId="3">#REF!</definedName>
    <definedName name="_SUM0913" localSheetId="5">#REF!</definedName>
    <definedName name="_SUM0913">#REF!</definedName>
    <definedName name="_SUM5701" localSheetId="21">#REF!</definedName>
    <definedName name="_SUM5701" localSheetId="2">#REF!</definedName>
    <definedName name="_SUM5701" localSheetId="4">#REF!</definedName>
    <definedName name="_SUM5701" localSheetId="3">#REF!</definedName>
    <definedName name="_SUM5701" localSheetId="5">#REF!</definedName>
    <definedName name="_SUM5701">#REF!</definedName>
    <definedName name="_SUM5702" localSheetId="21">#REF!</definedName>
    <definedName name="_SUM5702" localSheetId="2">#REF!</definedName>
    <definedName name="_SUM5702" localSheetId="4">#REF!</definedName>
    <definedName name="_SUM5702" localSheetId="3">#REF!</definedName>
    <definedName name="_SUM5702" localSheetId="5">#REF!</definedName>
    <definedName name="_SUM5702">#REF!</definedName>
    <definedName name="_SUM5708" localSheetId="21">#REF!</definedName>
    <definedName name="_SUM5708" localSheetId="2">#REF!</definedName>
    <definedName name="_SUM5708" localSheetId="4">#REF!</definedName>
    <definedName name="_SUM5708" localSheetId="3">#REF!</definedName>
    <definedName name="_SUM5708" localSheetId="5">#REF!</definedName>
    <definedName name="_SUM5708">#REF!</definedName>
    <definedName name="_SUM5709" localSheetId="21">#REF!</definedName>
    <definedName name="_SUM5709" localSheetId="2">#REF!</definedName>
    <definedName name="_SUM5709" localSheetId="4">#REF!</definedName>
    <definedName name="_SUM5709" localSheetId="3">#REF!</definedName>
    <definedName name="_SUM5709" localSheetId="5">#REF!</definedName>
    <definedName name="_SUM5709">#REF!</definedName>
    <definedName name="_SUM5711" localSheetId="21">#REF!</definedName>
    <definedName name="_SUM5711" localSheetId="2">#REF!</definedName>
    <definedName name="_SUM5711" localSheetId="4">#REF!</definedName>
    <definedName name="_SUM5711" localSheetId="3">#REF!</definedName>
    <definedName name="_SUM5711" localSheetId="5">#REF!</definedName>
    <definedName name="_SUM5711">#REF!</definedName>
    <definedName name="_SUM5801" localSheetId="21">#REF!</definedName>
    <definedName name="_SUM5801" localSheetId="2">#REF!</definedName>
    <definedName name="_SUM5801" localSheetId="4">#REF!</definedName>
    <definedName name="_SUM5801" localSheetId="3">#REF!</definedName>
    <definedName name="_SUM5801" localSheetId="5">#REF!</definedName>
    <definedName name="_SUM5801">#REF!</definedName>
    <definedName name="_SUM5802" localSheetId="21">#REF!</definedName>
    <definedName name="_SUM5802" localSheetId="2">#REF!</definedName>
    <definedName name="_SUM5802" localSheetId="4">#REF!</definedName>
    <definedName name="_SUM5802" localSheetId="3">#REF!</definedName>
    <definedName name="_SUM5802" localSheetId="5">#REF!</definedName>
    <definedName name="_SUM5802">#REF!</definedName>
    <definedName name="_SUM5811" localSheetId="21">#REF!</definedName>
    <definedName name="_SUM5811" localSheetId="2">#REF!</definedName>
    <definedName name="_SUM5811" localSheetId="4">#REF!</definedName>
    <definedName name="_SUM5811" localSheetId="3">#REF!</definedName>
    <definedName name="_SUM5811" localSheetId="5">#REF!</definedName>
    <definedName name="_SUM5811">#REF!</definedName>
    <definedName name="_SUM6001" localSheetId="21">#REF!</definedName>
    <definedName name="_SUM6001" localSheetId="2">#REF!</definedName>
    <definedName name="_SUM6001" localSheetId="4">#REF!</definedName>
    <definedName name="_SUM6001" localSheetId="3">#REF!</definedName>
    <definedName name="_SUM6001" localSheetId="5">#REF!</definedName>
    <definedName name="_SUM6001">#REF!</definedName>
    <definedName name="_SUM6002" localSheetId="21">#REF!</definedName>
    <definedName name="_SUM6002" localSheetId="2">#REF!</definedName>
    <definedName name="_SUM6002" localSheetId="4">#REF!</definedName>
    <definedName name="_SUM6002" localSheetId="3">#REF!</definedName>
    <definedName name="_SUM6002" localSheetId="5">#REF!</definedName>
    <definedName name="_SUM6002">#REF!</definedName>
    <definedName name="_SUM6008" localSheetId="21">#REF!</definedName>
    <definedName name="_SUM6008" localSheetId="2">#REF!</definedName>
    <definedName name="_SUM6008" localSheetId="4">#REF!</definedName>
    <definedName name="_SUM6008" localSheetId="3">#REF!</definedName>
    <definedName name="_SUM6008" localSheetId="5">#REF!</definedName>
    <definedName name="_SUM6008">#REF!</definedName>
    <definedName name="_sum6009" localSheetId="21">#REF!</definedName>
    <definedName name="_sum6009" localSheetId="2">#REF!</definedName>
    <definedName name="_sum6009" localSheetId="4">#REF!</definedName>
    <definedName name="_sum6009" localSheetId="3">#REF!</definedName>
    <definedName name="_sum6009" localSheetId="5">#REF!</definedName>
    <definedName name="_sum6009">#REF!</definedName>
    <definedName name="_SUM6011" localSheetId="21">#REF!</definedName>
    <definedName name="_SUM6011" localSheetId="2">#REF!</definedName>
    <definedName name="_SUM6011" localSheetId="4">#REF!</definedName>
    <definedName name="_SUM6011" localSheetId="3">#REF!</definedName>
    <definedName name="_SUM6011" localSheetId="5">#REF!</definedName>
    <definedName name="_SUM6011">#REF!</definedName>
    <definedName name="_SUM6101" localSheetId="21">#REF!</definedName>
    <definedName name="_SUM6101" localSheetId="2">#REF!</definedName>
    <definedName name="_SUM6101" localSheetId="4">#REF!</definedName>
    <definedName name="_SUM6101" localSheetId="3">#REF!</definedName>
    <definedName name="_SUM6101" localSheetId="5">#REF!</definedName>
    <definedName name="_SUM6101">#REF!</definedName>
    <definedName name="_SUM6102" localSheetId="21">#REF!</definedName>
    <definedName name="_SUM6102" localSheetId="2">#REF!</definedName>
    <definedName name="_SUM6102" localSheetId="4">#REF!</definedName>
    <definedName name="_SUM6102" localSheetId="3">#REF!</definedName>
    <definedName name="_SUM6102" localSheetId="5">#REF!</definedName>
    <definedName name="_SUM6102">#REF!</definedName>
    <definedName name="_SUM6108" localSheetId="21">#REF!</definedName>
    <definedName name="_SUM6108" localSheetId="2">#REF!</definedName>
    <definedName name="_SUM6108" localSheetId="4">#REF!</definedName>
    <definedName name="_SUM6108" localSheetId="3">#REF!</definedName>
    <definedName name="_SUM6108" localSheetId="5">#REF!</definedName>
    <definedName name="_SUM6108">#REF!</definedName>
    <definedName name="_SUM6109" localSheetId="21">#REF!</definedName>
    <definedName name="_SUM6109" localSheetId="2">#REF!</definedName>
    <definedName name="_SUM6109" localSheetId="4">#REF!</definedName>
    <definedName name="_SUM6109" localSheetId="3">#REF!</definedName>
    <definedName name="_SUM6109" localSheetId="5">#REF!</definedName>
    <definedName name="_SUM6109">#REF!</definedName>
    <definedName name="_SUM6111" localSheetId="21">#REF!</definedName>
    <definedName name="_SUM6111" localSheetId="2">#REF!</definedName>
    <definedName name="_SUM6111" localSheetId="4">#REF!</definedName>
    <definedName name="_SUM6111" localSheetId="3">#REF!</definedName>
    <definedName name="_SUM6111" localSheetId="5">#REF!</definedName>
    <definedName name="_SUM6111">#REF!</definedName>
    <definedName name="_SUM6201" localSheetId="21">#REF!</definedName>
    <definedName name="_SUM6201" localSheetId="2">#REF!</definedName>
    <definedName name="_SUM6201" localSheetId="4">#REF!</definedName>
    <definedName name="_SUM6201" localSheetId="3">#REF!</definedName>
    <definedName name="_SUM6201" localSheetId="5">#REF!</definedName>
    <definedName name="_SUM6201">#REF!</definedName>
    <definedName name="_SUM6202" localSheetId="21">#REF!</definedName>
    <definedName name="_SUM6202" localSheetId="2">#REF!</definedName>
    <definedName name="_SUM6202" localSheetId="4">#REF!</definedName>
    <definedName name="_SUM6202" localSheetId="3">#REF!</definedName>
    <definedName name="_SUM6202" localSheetId="5">#REF!</definedName>
    <definedName name="_SUM6202">#REF!</definedName>
    <definedName name="_SUM6301" localSheetId="21">#REF!</definedName>
    <definedName name="_SUM6301" localSheetId="2">#REF!</definedName>
    <definedName name="_SUM6301" localSheetId="4">#REF!</definedName>
    <definedName name="_SUM6301" localSheetId="3">#REF!</definedName>
    <definedName name="_SUM6301" localSheetId="5">#REF!</definedName>
    <definedName name="_SUM6301">#REF!</definedName>
    <definedName name="_SUM6302" localSheetId="21">#REF!</definedName>
    <definedName name="_SUM6302" localSheetId="2">#REF!</definedName>
    <definedName name="_SUM6302" localSheetId="4">#REF!</definedName>
    <definedName name="_SUM6302" localSheetId="3">#REF!</definedName>
    <definedName name="_SUM6302" localSheetId="5">#REF!</definedName>
    <definedName name="_SUM6302">#REF!</definedName>
    <definedName name="_SUM6308" localSheetId="21">#REF!</definedName>
    <definedName name="_SUM6308" localSheetId="2">#REF!</definedName>
    <definedName name="_SUM6308" localSheetId="4">#REF!</definedName>
    <definedName name="_SUM6308" localSheetId="3">#REF!</definedName>
    <definedName name="_SUM6308" localSheetId="5">#REF!</definedName>
    <definedName name="_SUM6308">#REF!</definedName>
    <definedName name="_SUM6309" localSheetId="21">#REF!</definedName>
    <definedName name="_SUM6309" localSheetId="2">#REF!</definedName>
    <definedName name="_SUM6309" localSheetId="4">#REF!</definedName>
    <definedName name="_SUM6309" localSheetId="3">#REF!</definedName>
    <definedName name="_SUM6309" localSheetId="5">#REF!</definedName>
    <definedName name="_SUM6309">#REF!</definedName>
    <definedName name="_SUM6311" localSheetId="21">#REF!</definedName>
    <definedName name="_SUM6311" localSheetId="2">#REF!</definedName>
    <definedName name="_SUM6311" localSheetId="4">#REF!</definedName>
    <definedName name="_SUM6311" localSheetId="3">#REF!</definedName>
    <definedName name="_SUM6311" localSheetId="5">#REF!</definedName>
    <definedName name="_SUM6311">#REF!</definedName>
    <definedName name="_SUM6401" localSheetId="21">#REF!</definedName>
    <definedName name="_SUM6401" localSheetId="2">#REF!</definedName>
    <definedName name="_SUM6401" localSheetId="4">#REF!</definedName>
    <definedName name="_SUM6401" localSheetId="3">#REF!</definedName>
    <definedName name="_SUM6401" localSheetId="5">#REF!</definedName>
    <definedName name="_SUM6401">#REF!</definedName>
    <definedName name="_SUM6402" localSheetId="21">#REF!</definedName>
    <definedName name="_SUM6402" localSheetId="2">#REF!</definedName>
    <definedName name="_SUM6402" localSheetId="4">#REF!</definedName>
    <definedName name="_SUM6402" localSheetId="3">#REF!</definedName>
    <definedName name="_SUM6402" localSheetId="5">#REF!</definedName>
    <definedName name="_SUM6402">#REF!</definedName>
    <definedName name="_SUM6408" localSheetId="21">#REF!</definedName>
    <definedName name="_SUM6408" localSheetId="2">#REF!</definedName>
    <definedName name="_SUM6408" localSheetId="4">#REF!</definedName>
    <definedName name="_SUM6408" localSheetId="3">#REF!</definedName>
    <definedName name="_SUM6408" localSheetId="5">#REF!</definedName>
    <definedName name="_SUM6408">#REF!</definedName>
    <definedName name="_SUM6409" localSheetId="21">#REF!</definedName>
    <definedName name="_SUM6409" localSheetId="2">#REF!</definedName>
    <definedName name="_SUM6409" localSheetId="4">#REF!</definedName>
    <definedName name="_SUM6409" localSheetId="3">#REF!</definedName>
    <definedName name="_SUM6409" localSheetId="5">#REF!</definedName>
    <definedName name="_SUM6409">#REF!</definedName>
    <definedName name="_SUM6411" localSheetId="21">#REF!</definedName>
    <definedName name="_SUM6411" localSheetId="2">#REF!</definedName>
    <definedName name="_SUM6411" localSheetId="4">#REF!</definedName>
    <definedName name="_SUM6411" localSheetId="3">#REF!</definedName>
    <definedName name="_SUM6411" localSheetId="5">#REF!</definedName>
    <definedName name="_SUM6411">#REF!</definedName>
    <definedName name="_SUM6413" localSheetId="21">#REF!</definedName>
    <definedName name="_SUM6413" localSheetId="2">#REF!</definedName>
    <definedName name="_SUM6413" localSheetId="4">#REF!</definedName>
    <definedName name="_SUM6413" localSheetId="3">#REF!</definedName>
    <definedName name="_SUM6413" localSheetId="5">#REF!</definedName>
    <definedName name="_SUM6413">#REF!</definedName>
    <definedName name="_SUM6501" localSheetId="21">#REF!</definedName>
    <definedName name="_SUM6501" localSheetId="2">#REF!</definedName>
    <definedName name="_SUM6501" localSheetId="4">#REF!</definedName>
    <definedName name="_SUM6501" localSheetId="3">#REF!</definedName>
    <definedName name="_SUM6501" localSheetId="5">#REF!</definedName>
    <definedName name="_SUM6501">#REF!</definedName>
    <definedName name="_SUM6502" localSheetId="21">#REF!</definedName>
    <definedName name="_SUM6502" localSheetId="2">#REF!</definedName>
    <definedName name="_SUM6502" localSheetId="4">#REF!</definedName>
    <definedName name="_SUM6502" localSheetId="3">#REF!</definedName>
    <definedName name="_SUM6502" localSheetId="5">#REF!</definedName>
    <definedName name="_SUM6502">#REF!</definedName>
    <definedName name="_SUM6508" localSheetId="21">#REF!</definedName>
    <definedName name="_SUM6508" localSheetId="2">#REF!</definedName>
    <definedName name="_SUM6508" localSheetId="4">#REF!</definedName>
    <definedName name="_SUM6508" localSheetId="3">#REF!</definedName>
    <definedName name="_SUM6508" localSheetId="5">#REF!</definedName>
    <definedName name="_SUM6508">#REF!</definedName>
    <definedName name="_SUM6509" localSheetId="21">#REF!</definedName>
    <definedName name="_SUM6509" localSheetId="2">#REF!</definedName>
    <definedName name="_SUM6509" localSheetId="4">#REF!</definedName>
    <definedName name="_SUM6509" localSheetId="3">#REF!</definedName>
    <definedName name="_SUM6509" localSheetId="5">#REF!</definedName>
    <definedName name="_SUM6509">#REF!</definedName>
    <definedName name="_SUM6510" localSheetId="21">#REF!</definedName>
    <definedName name="_SUM6510" localSheetId="2">#REF!</definedName>
    <definedName name="_SUM6510" localSheetId="4">#REF!</definedName>
    <definedName name="_SUM6510" localSheetId="3">#REF!</definedName>
    <definedName name="_SUM6510" localSheetId="5">#REF!</definedName>
    <definedName name="_SUM6510">#REF!</definedName>
    <definedName name="_SUM6511" localSheetId="21">#REF!</definedName>
    <definedName name="_SUM6511" localSheetId="2">#REF!</definedName>
    <definedName name="_SUM6511" localSheetId="4">#REF!</definedName>
    <definedName name="_SUM6511" localSheetId="3">#REF!</definedName>
    <definedName name="_SUM6511" localSheetId="5">#REF!</definedName>
    <definedName name="_SUM6511">#REF!</definedName>
    <definedName name="_SUM6601" localSheetId="21">#REF!</definedName>
    <definedName name="_SUM6601" localSheetId="2">#REF!</definedName>
    <definedName name="_SUM6601" localSheetId="4">#REF!</definedName>
    <definedName name="_SUM6601" localSheetId="3">#REF!</definedName>
    <definedName name="_SUM6601" localSheetId="5">#REF!</definedName>
    <definedName name="_SUM6601">#REF!</definedName>
    <definedName name="_SUM6602" localSheetId="21">#REF!</definedName>
    <definedName name="_SUM6602" localSheetId="2">#REF!</definedName>
    <definedName name="_SUM6602" localSheetId="4">#REF!</definedName>
    <definedName name="_SUM6602" localSheetId="3">#REF!</definedName>
    <definedName name="_SUM6602" localSheetId="5">#REF!</definedName>
    <definedName name="_SUM6602">#REF!</definedName>
    <definedName name="_SUM6608" localSheetId="21">#REF!</definedName>
    <definedName name="_SUM6608" localSheetId="2">#REF!</definedName>
    <definedName name="_SUM6608" localSheetId="4">#REF!</definedName>
    <definedName name="_SUM6608" localSheetId="3">#REF!</definedName>
    <definedName name="_SUM6608" localSheetId="5">#REF!</definedName>
    <definedName name="_SUM6608">#REF!</definedName>
    <definedName name="_SUM6609" localSheetId="21">#REF!</definedName>
    <definedName name="_SUM6609" localSheetId="2">#REF!</definedName>
    <definedName name="_SUM6609" localSheetId="4">#REF!</definedName>
    <definedName name="_SUM6609" localSheetId="3">#REF!</definedName>
    <definedName name="_SUM6609" localSheetId="5">#REF!</definedName>
    <definedName name="_SUM6609">#REF!</definedName>
    <definedName name="_SUM6611" localSheetId="21">#REF!</definedName>
    <definedName name="_SUM6611" localSheetId="2">#REF!</definedName>
    <definedName name="_SUM6611" localSheetId="4">#REF!</definedName>
    <definedName name="_SUM6611" localSheetId="3">#REF!</definedName>
    <definedName name="_SUM6611" localSheetId="5">#REF!</definedName>
    <definedName name="_SUM6611">#REF!</definedName>
    <definedName name="_SUM6701" localSheetId="21">#REF!</definedName>
    <definedName name="_SUM6701" localSheetId="2">#REF!</definedName>
    <definedName name="_SUM6701" localSheetId="4">#REF!</definedName>
    <definedName name="_SUM6701" localSheetId="3">#REF!</definedName>
    <definedName name="_SUM6701" localSheetId="5">#REF!</definedName>
    <definedName name="_SUM6701">#REF!</definedName>
    <definedName name="_SUM6702" localSheetId="21">#REF!</definedName>
    <definedName name="_SUM6702" localSheetId="2">#REF!</definedName>
    <definedName name="_SUM6702" localSheetId="4">#REF!</definedName>
    <definedName name="_SUM6702" localSheetId="3">#REF!</definedName>
    <definedName name="_SUM6702" localSheetId="5">#REF!</definedName>
    <definedName name="_SUM6702">#REF!</definedName>
    <definedName name="_SUM6708" localSheetId="21">#REF!</definedName>
    <definedName name="_SUM6708" localSheetId="2">#REF!</definedName>
    <definedName name="_SUM6708" localSheetId="4">#REF!</definedName>
    <definedName name="_SUM6708" localSheetId="3">#REF!</definedName>
    <definedName name="_SUM6708" localSheetId="5">#REF!</definedName>
    <definedName name="_SUM6708">#REF!</definedName>
    <definedName name="_SUM6709" localSheetId="21">#REF!</definedName>
    <definedName name="_SUM6709" localSheetId="2">#REF!</definedName>
    <definedName name="_SUM6709" localSheetId="4">#REF!</definedName>
    <definedName name="_SUM6709" localSheetId="3">#REF!</definedName>
    <definedName name="_SUM6709" localSheetId="5">#REF!</definedName>
    <definedName name="_SUM6709">#REF!</definedName>
    <definedName name="_SUM6710" localSheetId="21">#REF!</definedName>
    <definedName name="_SUM6710" localSheetId="2">#REF!</definedName>
    <definedName name="_SUM6710" localSheetId="4">#REF!</definedName>
    <definedName name="_SUM6710" localSheetId="3">#REF!</definedName>
    <definedName name="_SUM6710" localSheetId="5">#REF!</definedName>
    <definedName name="_SUM6710">#REF!</definedName>
    <definedName name="_SUM6711" localSheetId="21">#REF!</definedName>
    <definedName name="_SUM6711" localSheetId="2">#REF!</definedName>
    <definedName name="_SUM6711" localSheetId="4">#REF!</definedName>
    <definedName name="_SUM6711" localSheetId="3">#REF!</definedName>
    <definedName name="_SUM6711" localSheetId="5">#REF!</definedName>
    <definedName name="_SUM6711">#REF!</definedName>
    <definedName name="_SUM6718" localSheetId="21">#REF!</definedName>
    <definedName name="_SUM6718" localSheetId="2">#REF!</definedName>
    <definedName name="_SUM6718" localSheetId="4">#REF!</definedName>
    <definedName name="_SUM6718" localSheetId="3">#REF!</definedName>
    <definedName name="_SUM6718" localSheetId="5">#REF!</definedName>
    <definedName name="_SUM6718">#REF!</definedName>
    <definedName name="_SUM6801" localSheetId="21">#REF!</definedName>
    <definedName name="_SUM6801" localSheetId="2">#REF!</definedName>
    <definedName name="_SUM6801" localSheetId="4">#REF!</definedName>
    <definedName name="_SUM6801" localSheetId="3">#REF!</definedName>
    <definedName name="_SUM6801" localSheetId="5">#REF!</definedName>
    <definedName name="_SUM6801">#REF!</definedName>
    <definedName name="_SUM6802" localSheetId="21">#REF!</definedName>
    <definedName name="_SUM6802" localSheetId="2">#REF!</definedName>
    <definedName name="_SUM6802" localSheetId="4">#REF!</definedName>
    <definedName name="_SUM6802" localSheetId="3">#REF!</definedName>
    <definedName name="_SUM6802" localSheetId="5">#REF!</definedName>
    <definedName name="_SUM6802">#REF!</definedName>
    <definedName name="_SUM7013" localSheetId="21">#REF!</definedName>
    <definedName name="_SUM7013" localSheetId="2">#REF!</definedName>
    <definedName name="_SUM7013" localSheetId="4">#REF!</definedName>
    <definedName name="_SUM7013" localSheetId="3">#REF!</definedName>
    <definedName name="_SUM7013" localSheetId="5">#REF!</definedName>
    <definedName name="_SUM7013">#REF!</definedName>
    <definedName name="_SUM7201" localSheetId="21">#REF!</definedName>
    <definedName name="_SUM7201" localSheetId="2">#REF!</definedName>
    <definedName name="_SUM7201" localSheetId="4">#REF!</definedName>
    <definedName name="_SUM7201" localSheetId="3">#REF!</definedName>
    <definedName name="_SUM7201" localSheetId="5">#REF!</definedName>
    <definedName name="_SUM7201">#REF!</definedName>
    <definedName name="_SUM7202" localSheetId="21">#REF!</definedName>
    <definedName name="_SUM7202" localSheetId="2">#REF!</definedName>
    <definedName name="_SUM7202" localSheetId="4">#REF!</definedName>
    <definedName name="_SUM7202" localSheetId="3">#REF!</definedName>
    <definedName name="_SUM7202" localSheetId="5">#REF!</definedName>
    <definedName name="_SUM7202">#REF!</definedName>
    <definedName name="_SUM7208" localSheetId="21">#REF!</definedName>
    <definedName name="_SUM7208" localSheetId="2">#REF!</definedName>
    <definedName name="_SUM7208" localSheetId="4">#REF!</definedName>
    <definedName name="_SUM7208" localSheetId="3">#REF!</definedName>
    <definedName name="_SUM7208" localSheetId="5">#REF!</definedName>
    <definedName name="_SUM7208">#REF!</definedName>
    <definedName name="_SUM7209" localSheetId="21">#REF!</definedName>
    <definedName name="_SUM7209" localSheetId="2">#REF!</definedName>
    <definedName name="_SUM7209" localSheetId="4">#REF!</definedName>
    <definedName name="_SUM7209" localSheetId="3">#REF!</definedName>
    <definedName name="_SUM7209" localSheetId="5">#REF!</definedName>
    <definedName name="_SUM7209">#REF!</definedName>
    <definedName name="_SUM7210" localSheetId="21">#REF!</definedName>
    <definedName name="_SUM7210" localSheetId="2">#REF!</definedName>
    <definedName name="_SUM7210" localSheetId="4">#REF!</definedName>
    <definedName name="_SUM7210" localSheetId="3">#REF!</definedName>
    <definedName name="_SUM7210" localSheetId="5">#REF!</definedName>
    <definedName name="_SUM7210">#REF!</definedName>
    <definedName name="_SUM7211" localSheetId="21">#REF!</definedName>
    <definedName name="_SUM7211" localSheetId="2">#REF!</definedName>
    <definedName name="_SUM7211" localSheetId="4">#REF!</definedName>
    <definedName name="_SUM7211" localSheetId="3">#REF!</definedName>
    <definedName name="_SUM7211" localSheetId="5">#REF!</definedName>
    <definedName name="_SUM7211">#REF!</definedName>
    <definedName name="_SUM7301" localSheetId="21">#REF!</definedName>
    <definedName name="_SUM7301" localSheetId="2">#REF!</definedName>
    <definedName name="_SUM7301" localSheetId="4">#REF!</definedName>
    <definedName name="_SUM7301" localSheetId="3">#REF!</definedName>
    <definedName name="_SUM7301" localSheetId="5">#REF!</definedName>
    <definedName name="_SUM7301">#REF!</definedName>
    <definedName name="_SUM7302" localSheetId="21">#REF!</definedName>
    <definedName name="_SUM7302" localSheetId="2">#REF!</definedName>
    <definedName name="_SUM7302" localSheetId="4">#REF!</definedName>
    <definedName name="_SUM7302" localSheetId="3">#REF!</definedName>
    <definedName name="_SUM7302" localSheetId="5">#REF!</definedName>
    <definedName name="_SUM7302">#REF!</definedName>
    <definedName name="_SUM7308" localSheetId="21">#REF!</definedName>
    <definedName name="_SUM7308" localSheetId="2">#REF!</definedName>
    <definedName name="_SUM7308" localSheetId="4">#REF!</definedName>
    <definedName name="_SUM7308" localSheetId="3">#REF!</definedName>
    <definedName name="_SUM7308" localSheetId="5">#REF!</definedName>
    <definedName name="_SUM7308">#REF!</definedName>
    <definedName name="_SUM7309" localSheetId="21">#REF!</definedName>
    <definedName name="_SUM7309" localSheetId="2">#REF!</definedName>
    <definedName name="_SUM7309" localSheetId="4">#REF!</definedName>
    <definedName name="_SUM7309" localSheetId="3">#REF!</definedName>
    <definedName name="_SUM7309" localSheetId="5">#REF!</definedName>
    <definedName name="_SUM7309">#REF!</definedName>
    <definedName name="_SUM7311" localSheetId="21">#REF!</definedName>
    <definedName name="_SUM7311" localSheetId="2">#REF!</definedName>
    <definedName name="_SUM7311" localSheetId="4">#REF!</definedName>
    <definedName name="_SUM7311" localSheetId="3">#REF!</definedName>
    <definedName name="_SUM7311" localSheetId="5">#REF!</definedName>
    <definedName name="_SUM7311">#REF!</definedName>
    <definedName name="_SUM7401" localSheetId="21">#REF!</definedName>
    <definedName name="_SUM7401" localSheetId="2">#REF!</definedName>
    <definedName name="_SUM7401" localSheetId="4">#REF!</definedName>
    <definedName name="_SUM7401" localSheetId="3">#REF!</definedName>
    <definedName name="_SUM7401" localSheetId="5">#REF!</definedName>
    <definedName name="_SUM7401">#REF!</definedName>
    <definedName name="_SUM7402" localSheetId="21">#REF!</definedName>
    <definedName name="_SUM7402" localSheetId="2">#REF!</definedName>
    <definedName name="_SUM7402" localSheetId="4">#REF!</definedName>
    <definedName name="_SUM7402" localSheetId="3">#REF!</definedName>
    <definedName name="_SUM7402" localSheetId="5">#REF!</definedName>
    <definedName name="_SUM7402">#REF!</definedName>
    <definedName name="_SUM7408" localSheetId="21">#REF!</definedName>
    <definedName name="_SUM7408" localSheetId="2">#REF!</definedName>
    <definedName name="_SUM7408" localSheetId="4">#REF!</definedName>
    <definedName name="_SUM7408" localSheetId="3">#REF!</definedName>
    <definedName name="_SUM7408" localSheetId="5">#REF!</definedName>
    <definedName name="_SUM7408">#REF!</definedName>
    <definedName name="_SUM7409" localSheetId="21">#REF!</definedName>
    <definedName name="_SUM7409" localSheetId="2">#REF!</definedName>
    <definedName name="_SUM7409" localSheetId="4">#REF!</definedName>
    <definedName name="_SUM7409" localSheetId="3">#REF!</definedName>
    <definedName name="_SUM7409" localSheetId="5">#REF!</definedName>
    <definedName name="_SUM7409">#REF!</definedName>
    <definedName name="_SUM7411" localSheetId="21">#REF!</definedName>
    <definedName name="_SUM7411" localSheetId="2">#REF!</definedName>
    <definedName name="_SUM7411" localSheetId="4">#REF!</definedName>
    <definedName name="_SUM7411" localSheetId="3">#REF!</definedName>
    <definedName name="_SUM7411" localSheetId="5">#REF!</definedName>
    <definedName name="_SUM7411">#REF!</definedName>
    <definedName name="_SUM7501" localSheetId="21">#REF!</definedName>
    <definedName name="_SUM7501" localSheetId="2">#REF!</definedName>
    <definedName name="_SUM7501" localSheetId="4">#REF!</definedName>
    <definedName name="_SUM7501" localSheetId="3">#REF!</definedName>
    <definedName name="_SUM7501" localSheetId="5">#REF!</definedName>
    <definedName name="_SUM7501">#REF!</definedName>
    <definedName name="_SUM7502" localSheetId="21">#REF!</definedName>
    <definedName name="_SUM7502" localSheetId="2">#REF!</definedName>
    <definedName name="_SUM7502" localSheetId="4">#REF!</definedName>
    <definedName name="_SUM7502" localSheetId="3">#REF!</definedName>
    <definedName name="_SUM7502" localSheetId="5">#REF!</definedName>
    <definedName name="_SUM7502">#REF!</definedName>
    <definedName name="_SUM7508" localSheetId="21">#REF!</definedName>
    <definedName name="_SUM7508" localSheetId="2">#REF!</definedName>
    <definedName name="_SUM7508" localSheetId="4">#REF!</definedName>
    <definedName name="_SUM7508" localSheetId="3">#REF!</definedName>
    <definedName name="_SUM7508" localSheetId="5">#REF!</definedName>
    <definedName name="_SUM7508">#REF!</definedName>
    <definedName name="_SUM7509" localSheetId="21">#REF!</definedName>
    <definedName name="_SUM7509" localSheetId="2">#REF!</definedName>
    <definedName name="_SUM7509" localSheetId="4">#REF!</definedName>
    <definedName name="_SUM7509" localSheetId="3">#REF!</definedName>
    <definedName name="_SUM7509" localSheetId="5">#REF!</definedName>
    <definedName name="_SUM7509">#REF!</definedName>
    <definedName name="_SUM7511" localSheetId="21">#REF!</definedName>
    <definedName name="_SUM7511" localSheetId="2">#REF!</definedName>
    <definedName name="_SUM7511" localSheetId="4">#REF!</definedName>
    <definedName name="_SUM7511" localSheetId="3">#REF!</definedName>
    <definedName name="_SUM7511" localSheetId="5">#REF!</definedName>
    <definedName name="_SUM7511">#REF!</definedName>
    <definedName name="_SUM7811" localSheetId="21">#REF!</definedName>
    <definedName name="_SUM7811" localSheetId="2">#REF!</definedName>
    <definedName name="_SUM7811" localSheetId="4">#REF!</definedName>
    <definedName name="_SUM7811" localSheetId="3">#REF!</definedName>
    <definedName name="_SUM7811" localSheetId="5">#REF!</definedName>
    <definedName name="_SUM7811">#REF!</definedName>
    <definedName name="_SUM7920" localSheetId="21">#REF!</definedName>
    <definedName name="_SUM7920" localSheetId="2">#REF!</definedName>
    <definedName name="_SUM7920" localSheetId="4">#REF!</definedName>
    <definedName name="_SUM7920" localSheetId="3">#REF!</definedName>
    <definedName name="_SUM7920" localSheetId="5">#REF!</definedName>
    <definedName name="_SUM7920">#REF!</definedName>
    <definedName name="_SUM8001" localSheetId="21">#REF!</definedName>
    <definedName name="_SUM8001" localSheetId="2">#REF!</definedName>
    <definedName name="_SUM8001" localSheetId="4">#REF!</definedName>
    <definedName name="_SUM8001" localSheetId="3">#REF!</definedName>
    <definedName name="_SUM8001" localSheetId="5">#REF!</definedName>
    <definedName name="_SUM8001">#REF!</definedName>
    <definedName name="_SUM8002" localSheetId="21">#REF!</definedName>
    <definedName name="_SUM8002" localSheetId="2">#REF!</definedName>
    <definedName name="_SUM8002" localSheetId="4">#REF!</definedName>
    <definedName name="_SUM8002" localSheetId="3">#REF!</definedName>
    <definedName name="_SUM8002" localSheetId="5">#REF!</definedName>
    <definedName name="_SUM8002">#REF!</definedName>
    <definedName name="_SUM8008" localSheetId="21">#REF!</definedName>
    <definedName name="_SUM8008" localSheetId="2">#REF!</definedName>
    <definedName name="_SUM8008" localSheetId="4">#REF!</definedName>
    <definedName name="_SUM8008" localSheetId="3">#REF!</definedName>
    <definedName name="_SUM8008" localSheetId="5">#REF!</definedName>
    <definedName name="_SUM8008">#REF!</definedName>
    <definedName name="_SUM8009" localSheetId="21">#REF!</definedName>
    <definedName name="_SUM8009" localSheetId="2">#REF!</definedName>
    <definedName name="_SUM8009" localSheetId="4">#REF!</definedName>
    <definedName name="_SUM8009" localSheetId="3">#REF!</definedName>
    <definedName name="_SUM8009" localSheetId="5">#REF!</definedName>
    <definedName name="_SUM8009">#REF!</definedName>
    <definedName name="_SUM8011" localSheetId="21">#REF!</definedName>
    <definedName name="_SUM8011" localSheetId="2">#REF!</definedName>
    <definedName name="_SUM8011" localSheetId="4">#REF!</definedName>
    <definedName name="_SUM8011" localSheetId="3">#REF!</definedName>
    <definedName name="_SUM8011" localSheetId="5">#REF!</definedName>
    <definedName name="_SUM8011">#REF!</definedName>
    <definedName name="_SUM8301" localSheetId="21">#REF!</definedName>
    <definedName name="_SUM8301" localSheetId="2">#REF!</definedName>
    <definedName name="_SUM8301" localSheetId="4">#REF!</definedName>
    <definedName name="_SUM8301" localSheetId="3">#REF!</definedName>
    <definedName name="_SUM8301" localSheetId="5">#REF!</definedName>
    <definedName name="_SUM8301">#REF!</definedName>
    <definedName name="_SUM8302" localSheetId="21">#REF!</definedName>
    <definedName name="_SUM8302" localSheetId="2">#REF!</definedName>
    <definedName name="_SUM8302" localSheetId="4">#REF!</definedName>
    <definedName name="_SUM8302" localSheetId="3">#REF!</definedName>
    <definedName name="_SUM8302" localSheetId="5">#REF!</definedName>
    <definedName name="_SUM8302">#REF!</definedName>
    <definedName name="_SUM8308" localSheetId="21">#REF!</definedName>
    <definedName name="_SUM8308" localSheetId="2">#REF!</definedName>
    <definedName name="_SUM8308" localSheetId="4">#REF!</definedName>
    <definedName name="_SUM8308" localSheetId="3">#REF!</definedName>
    <definedName name="_SUM8308" localSheetId="5">#REF!</definedName>
    <definedName name="_SUM8308">#REF!</definedName>
    <definedName name="_SUM8309" localSheetId="21">#REF!</definedName>
    <definedName name="_SUM8309" localSheetId="2">#REF!</definedName>
    <definedName name="_SUM8309" localSheetId="4">#REF!</definedName>
    <definedName name="_SUM8309" localSheetId="3">#REF!</definedName>
    <definedName name="_SUM8309" localSheetId="5">#REF!</definedName>
    <definedName name="_SUM8309">#REF!</definedName>
    <definedName name="_SUM8311" localSheetId="21">#REF!</definedName>
    <definedName name="_SUM8311" localSheetId="2">#REF!</definedName>
    <definedName name="_SUM8311" localSheetId="4">#REF!</definedName>
    <definedName name="_SUM8311" localSheetId="3">#REF!</definedName>
    <definedName name="_SUM8311" localSheetId="5">#REF!</definedName>
    <definedName name="_SUM8311">#REF!</definedName>
    <definedName name="_SUM8401" localSheetId="21">#REF!</definedName>
    <definedName name="_SUM8401" localSheetId="2">#REF!</definedName>
    <definedName name="_SUM8401" localSheetId="4">#REF!</definedName>
    <definedName name="_SUM8401" localSheetId="3">#REF!</definedName>
    <definedName name="_SUM8401" localSheetId="5">#REF!</definedName>
    <definedName name="_SUM8401">#REF!</definedName>
    <definedName name="_SUM8402" localSheetId="21">#REF!</definedName>
    <definedName name="_SUM8402" localSheetId="2">#REF!</definedName>
    <definedName name="_SUM8402" localSheetId="4">#REF!</definedName>
    <definedName name="_SUM8402" localSheetId="3">#REF!</definedName>
    <definedName name="_SUM8402" localSheetId="5">#REF!</definedName>
    <definedName name="_SUM8402">#REF!</definedName>
    <definedName name="_SUM8408" localSheetId="21">#REF!</definedName>
    <definedName name="_SUM8408" localSheetId="2">#REF!</definedName>
    <definedName name="_SUM8408" localSheetId="4">#REF!</definedName>
    <definedName name="_SUM8408" localSheetId="3">#REF!</definedName>
    <definedName name="_SUM8408" localSheetId="5">#REF!</definedName>
    <definedName name="_SUM8408">#REF!</definedName>
    <definedName name="_SUM8409" localSheetId="21">#REF!</definedName>
    <definedName name="_SUM8409" localSheetId="2">#REF!</definedName>
    <definedName name="_SUM8409" localSheetId="4">#REF!</definedName>
    <definedName name="_SUM8409" localSheetId="3">#REF!</definedName>
    <definedName name="_SUM8409" localSheetId="5">#REF!</definedName>
    <definedName name="_SUM8409">#REF!</definedName>
    <definedName name="_SUM8411" localSheetId="21">#REF!</definedName>
    <definedName name="_SUM8411" localSheetId="2">#REF!</definedName>
    <definedName name="_SUM8411" localSheetId="4">#REF!</definedName>
    <definedName name="_SUM8411" localSheetId="3">#REF!</definedName>
    <definedName name="_SUM8411" localSheetId="5">#REF!</definedName>
    <definedName name="_SUM8411">#REF!</definedName>
    <definedName name="_SUM8511" localSheetId="21">#REF!</definedName>
    <definedName name="_SUM8511" localSheetId="2">#REF!</definedName>
    <definedName name="_SUM8511" localSheetId="4">#REF!</definedName>
    <definedName name="_SUM8511" localSheetId="3">#REF!</definedName>
    <definedName name="_SUM8511" localSheetId="5">#REF!</definedName>
    <definedName name="_SUM8511">#REF!</definedName>
    <definedName name="_SUM8613" localSheetId="21">#REF!</definedName>
    <definedName name="_SUM8613" localSheetId="2">#REF!</definedName>
    <definedName name="_SUM8613" localSheetId="4">#REF!</definedName>
    <definedName name="_SUM8613" localSheetId="3">#REF!</definedName>
    <definedName name="_SUM8613" localSheetId="5">#REF!</definedName>
    <definedName name="_SUM8613">#REF!</definedName>
    <definedName name="_SUM8701" localSheetId="21">#REF!</definedName>
    <definedName name="_SUM8701" localSheetId="2">#REF!</definedName>
    <definedName name="_SUM8701" localSheetId="4">#REF!</definedName>
    <definedName name="_SUM8701" localSheetId="3">#REF!</definedName>
    <definedName name="_SUM8701" localSheetId="5">#REF!</definedName>
    <definedName name="_SUM8701">#REF!</definedName>
    <definedName name="_SUM8702" localSheetId="21">#REF!</definedName>
    <definedName name="_SUM8702" localSheetId="2">#REF!</definedName>
    <definedName name="_SUM8702" localSheetId="4">#REF!</definedName>
    <definedName name="_SUM8702" localSheetId="3">#REF!</definedName>
    <definedName name="_SUM8702" localSheetId="5">#REF!</definedName>
    <definedName name="_SUM8702">#REF!</definedName>
    <definedName name="_SUM8708" localSheetId="21">#REF!</definedName>
    <definedName name="_SUM8708" localSheetId="2">#REF!</definedName>
    <definedName name="_SUM8708" localSheetId="4">#REF!</definedName>
    <definedName name="_SUM8708" localSheetId="3">#REF!</definedName>
    <definedName name="_SUM8708" localSheetId="5">#REF!</definedName>
    <definedName name="_SUM8708">#REF!</definedName>
    <definedName name="_SUM8709" localSheetId="21">#REF!</definedName>
    <definedName name="_SUM8709" localSheetId="2">#REF!</definedName>
    <definedName name="_SUM8709" localSheetId="4">#REF!</definedName>
    <definedName name="_SUM8709" localSheetId="3">#REF!</definedName>
    <definedName name="_SUM8709" localSheetId="5">#REF!</definedName>
    <definedName name="_SUM8709">#REF!</definedName>
    <definedName name="_SUM8710" localSheetId="21">#REF!</definedName>
    <definedName name="_SUM8710" localSheetId="2">#REF!</definedName>
    <definedName name="_SUM8710" localSheetId="4">#REF!</definedName>
    <definedName name="_SUM8710" localSheetId="3">#REF!</definedName>
    <definedName name="_SUM8710" localSheetId="5">#REF!</definedName>
    <definedName name="_SUM8710">#REF!</definedName>
    <definedName name="_SUM8711" localSheetId="21">#REF!</definedName>
    <definedName name="_SUM8711" localSheetId="2">#REF!</definedName>
    <definedName name="_SUM8711" localSheetId="4">#REF!</definedName>
    <definedName name="_SUM8711" localSheetId="3">#REF!</definedName>
    <definedName name="_SUM8711" localSheetId="5">#REF!</definedName>
    <definedName name="_SUM8711">#REF!</definedName>
    <definedName name="_SUM8713" localSheetId="21">#REF!</definedName>
    <definedName name="_SUM8713" localSheetId="2">#REF!</definedName>
    <definedName name="_SUM8713" localSheetId="4">#REF!</definedName>
    <definedName name="_SUM8713" localSheetId="3">#REF!</definedName>
    <definedName name="_SUM8713" localSheetId="5">#REF!</definedName>
    <definedName name="_SUM8713">#REF!</definedName>
    <definedName name="_SUM8714" localSheetId="21">#REF!</definedName>
    <definedName name="_SUM8714" localSheetId="2">#REF!</definedName>
    <definedName name="_SUM8714" localSheetId="4">#REF!</definedName>
    <definedName name="_SUM8714" localSheetId="3">#REF!</definedName>
    <definedName name="_SUM8714" localSheetId="5">#REF!</definedName>
    <definedName name="_SUM8714">#REF!</definedName>
    <definedName name="_SUM8715" localSheetId="21">#REF!</definedName>
    <definedName name="_SUM8715" localSheetId="2">#REF!</definedName>
    <definedName name="_SUM8715" localSheetId="4">#REF!</definedName>
    <definedName name="_SUM8715" localSheetId="3">#REF!</definedName>
    <definedName name="_SUM8715" localSheetId="5">#REF!</definedName>
    <definedName name="_SUM8715">#REF!</definedName>
    <definedName name="_SUM8716" localSheetId="21">#REF!</definedName>
    <definedName name="_SUM8716" localSheetId="2">#REF!</definedName>
    <definedName name="_SUM8716" localSheetId="4">#REF!</definedName>
    <definedName name="_SUM8716" localSheetId="3">#REF!</definedName>
    <definedName name="_SUM8716" localSheetId="5">#REF!</definedName>
    <definedName name="_SUM8716">#REF!</definedName>
    <definedName name="_SUM8717" localSheetId="21">#REF!</definedName>
    <definedName name="_SUM8717" localSheetId="2">#REF!</definedName>
    <definedName name="_SUM8717" localSheetId="4">#REF!</definedName>
    <definedName name="_SUM8717" localSheetId="3">#REF!</definedName>
    <definedName name="_SUM8717" localSheetId="5">#REF!</definedName>
    <definedName name="_SUM8717">#REF!</definedName>
    <definedName name="_SUM8719" localSheetId="21">#REF!</definedName>
    <definedName name="_SUM8719" localSheetId="2">#REF!</definedName>
    <definedName name="_SUM8719" localSheetId="4">#REF!</definedName>
    <definedName name="_SUM8719" localSheetId="3">#REF!</definedName>
    <definedName name="_SUM8719" localSheetId="5">#REF!</definedName>
    <definedName name="_SUM8719">#REF!</definedName>
    <definedName name="a" hidden="1">{"'Server Configuration'!$A$1:$DB$281"}</definedName>
    <definedName name="ACCT904" localSheetId="21">#REF!</definedName>
    <definedName name="ACCT904" localSheetId="2">#REF!</definedName>
    <definedName name="ACCT904" localSheetId="4">#REF!</definedName>
    <definedName name="ACCT904" localSheetId="3">#REF!</definedName>
    <definedName name="ACCT904" localSheetId="5">#REF!</definedName>
    <definedName name="ACCT904">#REF!</definedName>
    <definedName name="acctXref" localSheetId="21">#REF!</definedName>
    <definedName name="acctXref" localSheetId="2">#REF!</definedName>
    <definedName name="acctXref" localSheetId="4">#REF!</definedName>
    <definedName name="acctXref" localSheetId="3">#REF!</definedName>
    <definedName name="acctXref" localSheetId="5">#REF!</definedName>
    <definedName name="acctXref">#REF!</definedName>
    <definedName name="Active">[6]Inputs!$B$4</definedName>
    <definedName name="AddPMA" localSheetId="21">#REF!</definedName>
    <definedName name="AddPMA" localSheetId="2">#REF!</definedName>
    <definedName name="AddPMA" localSheetId="4">#REF!</definedName>
    <definedName name="AddPMA" localSheetId="3">#REF!</definedName>
    <definedName name="AddPMA" localSheetId="5">#REF!</definedName>
    <definedName name="AddPMA">#REF!</definedName>
    <definedName name="AddUSF" localSheetId="21">#REF!</definedName>
    <definedName name="AddUSF" localSheetId="2">#REF!</definedName>
    <definedName name="AddUSF" localSheetId="4">#REF!</definedName>
    <definedName name="AddUSF" localSheetId="3">#REF!</definedName>
    <definedName name="AddUSF" localSheetId="5">#REF!</definedName>
    <definedName name="AddUSF">#REF!</definedName>
    <definedName name="adj1to3" localSheetId="21">#REF!</definedName>
    <definedName name="adj1to3" localSheetId="2">#REF!</definedName>
    <definedName name="adj1to3" localSheetId="4">#REF!</definedName>
    <definedName name="adj1to3" localSheetId="3">#REF!</definedName>
    <definedName name="adj1to3" localSheetId="5">#REF!</definedName>
    <definedName name="adj1to3">#REF!</definedName>
    <definedName name="adj4a" localSheetId="21">#REF!</definedName>
    <definedName name="adj4a" localSheetId="2">#REF!</definedName>
    <definedName name="adj4a" localSheetId="4">#REF!</definedName>
    <definedName name="adj4a" localSheetId="3">#REF!</definedName>
    <definedName name="adj4a" localSheetId="5">#REF!</definedName>
    <definedName name="adj4a">#REF!</definedName>
    <definedName name="adj4d" localSheetId="21">#REF!</definedName>
    <definedName name="adj4d" localSheetId="2">#REF!</definedName>
    <definedName name="adj4d" localSheetId="4">#REF!</definedName>
    <definedName name="adj4d" localSheetId="3">#REF!</definedName>
    <definedName name="adj4d" localSheetId="5">#REF!</definedName>
    <definedName name="adj4d">#REF!</definedName>
    <definedName name="adj4e1" localSheetId="21">#REF!</definedName>
    <definedName name="adj4e1" localSheetId="2">#REF!</definedName>
    <definedName name="adj4e1" localSheetId="4">#REF!</definedName>
    <definedName name="adj4e1" localSheetId="3">#REF!</definedName>
    <definedName name="adj4e1" localSheetId="5">#REF!</definedName>
    <definedName name="adj4e1">#REF!</definedName>
    <definedName name="adj4e3" localSheetId="21">#REF!</definedName>
    <definedName name="adj4e3" localSheetId="2">#REF!</definedName>
    <definedName name="adj4e3" localSheetId="4">#REF!</definedName>
    <definedName name="adj4e3" localSheetId="3">#REF!</definedName>
    <definedName name="adj4e3" localSheetId="5">#REF!</definedName>
    <definedName name="adj4e3">#REF!</definedName>
    <definedName name="adj4f1" localSheetId="21">#REF!</definedName>
    <definedName name="adj4f1" localSheetId="2">#REF!</definedName>
    <definedName name="adj4f1" localSheetId="4">#REF!</definedName>
    <definedName name="adj4f1" localSheetId="3">#REF!</definedName>
    <definedName name="adj4f1" localSheetId="5">#REF!</definedName>
    <definedName name="adj4f1">#REF!</definedName>
    <definedName name="adj4f2" localSheetId="21">#REF!</definedName>
    <definedName name="adj4f2" localSheetId="2">#REF!</definedName>
    <definedName name="adj4f2" localSheetId="4">#REF!</definedName>
    <definedName name="adj4f2" localSheetId="3">#REF!</definedName>
    <definedName name="adj4f2" localSheetId="5">#REF!</definedName>
    <definedName name="adj4f2">#REF!</definedName>
    <definedName name="adj4f3" localSheetId="21">#REF!</definedName>
    <definedName name="adj4f3" localSheetId="2">#REF!</definedName>
    <definedName name="adj4f3" localSheetId="4">#REF!</definedName>
    <definedName name="adj4f3" localSheetId="3">#REF!</definedName>
    <definedName name="adj4f3" localSheetId="5">#REF!</definedName>
    <definedName name="adj4f3">#REF!</definedName>
    <definedName name="adj4g" localSheetId="21">#REF!</definedName>
    <definedName name="adj4g" localSheetId="2">#REF!</definedName>
    <definedName name="adj4g" localSheetId="4">#REF!</definedName>
    <definedName name="adj4g" localSheetId="3">#REF!</definedName>
    <definedName name="adj4g" localSheetId="5">#REF!</definedName>
    <definedName name="adj4g">#REF!</definedName>
    <definedName name="adj4h" localSheetId="21">#REF!</definedName>
    <definedName name="adj4h" localSheetId="2">#REF!</definedName>
    <definedName name="adj4h" localSheetId="4">#REF!</definedName>
    <definedName name="adj4h" localSheetId="3">#REF!</definedName>
    <definedName name="adj4h" localSheetId="5">#REF!</definedName>
    <definedName name="adj4h">#REF!</definedName>
    <definedName name="ADJ52_1of2" localSheetId="21">#REF!</definedName>
    <definedName name="ADJ52_1of2" localSheetId="2">#REF!</definedName>
    <definedName name="ADJ52_1of2" localSheetId="4">#REF!</definedName>
    <definedName name="ADJ52_1of2" localSheetId="3">#REF!</definedName>
    <definedName name="ADJ52_1of2" localSheetId="5">#REF!</definedName>
    <definedName name="ADJ52_1of2">#REF!</definedName>
    <definedName name="ADJ52_2of2" localSheetId="21">#REF!</definedName>
    <definedName name="ADJ52_2of2" localSheetId="2">#REF!</definedName>
    <definedName name="ADJ52_2of2" localSheetId="4">#REF!</definedName>
    <definedName name="ADJ52_2of2" localSheetId="3">#REF!</definedName>
    <definedName name="ADJ52_2of2" localSheetId="5">#REF!</definedName>
    <definedName name="ADJ52_2of2">#REF!</definedName>
    <definedName name="adjno" localSheetId="21">#REF!</definedName>
    <definedName name="adjno" localSheetId="2">#REF!</definedName>
    <definedName name="adjno" localSheetId="4">#REF!</definedName>
    <definedName name="adjno" localSheetId="3">#REF!</definedName>
    <definedName name="adjno" localSheetId="5">#REF!</definedName>
    <definedName name="adjno">#REF!</definedName>
    <definedName name="ADM">Input!$A$600:$M$613</definedName>
    <definedName name="ahahahahaha" hidden="1">{"'Server Configuration'!$A$1:$DB$281"}</definedName>
    <definedName name="Ainput2">'[7]L Graph (Data)'!$A$6:$DS$21</definedName>
    <definedName name="Ainputvol">'[8]L Graph (Data)'!$A$6:$DS$17</definedName>
    <definedName name="AllData">OFFSET('[9]SLCs Due &amp; Recd'!$A$11,0,0,COUNTA('[9]SLCs Due &amp; Recd'!$B$1:$B$65536),COUNTA('[9]SLCs Due &amp; Recd'!$A$11:$IV$11))</definedName>
    <definedName name="ALLGARY" localSheetId="21">Input!#REF!</definedName>
    <definedName name="ALLGARY" localSheetId="2">Input!#REF!</definedName>
    <definedName name="ALLGARY" localSheetId="4">Input!#REF!</definedName>
    <definedName name="ALLGARY" localSheetId="3">Input!#REF!</definedName>
    <definedName name="ALLGARY" localSheetId="5">Input!#REF!</definedName>
    <definedName name="ALLGARY">Input!#REF!</definedName>
    <definedName name="ALLOC" localSheetId="21">'Alloc Table Cust'!$B$7:$T$58</definedName>
    <definedName name="ALLOC">'Alloc Table'!$A$7:$S$55</definedName>
    <definedName name="ALLOCREFTABLE">[10]ALLOCATIONS!$A$37:$B$58</definedName>
    <definedName name="alloctable">[11]ALLOCATIONS!$A$10:$I$31</definedName>
    <definedName name="ALLPAGES" localSheetId="21">Input!#REF!</definedName>
    <definedName name="ALLPAGES" localSheetId="2">Input!#REF!</definedName>
    <definedName name="ALLPAGES" localSheetId="4">Input!#REF!</definedName>
    <definedName name="ALLPAGES" localSheetId="3">Input!#REF!</definedName>
    <definedName name="ALLPAGES" localSheetId="5">Input!#REF!</definedName>
    <definedName name="ALLPAGES">Input!#REF!</definedName>
    <definedName name="ANGINC" localSheetId="21">#REF!</definedName>
    <definedName name="ANGINC" localSheetId="2">#REF!</definedName>
    <definedName name="ANGINC" localSheetId="4">#REF!</definedName>
    <definedName name="ANGINC" localSheetId="3">#REF!</definedName>
    <definedName name="ANGINC" localSheetId="5">#REF!</definedName>
    <definedName name="ANGINC">#REF!</definedName>
    <definedName name="ANNPCT" localSheetId="21">#REF!</definedName>
    <definedName name="ANNPCT" localSheetId="2">#REF!</definedName>
    <definedName name="ANNPCT" localSheetId="4">#REF!</definedName>
    <definedName name="ANNPCT" localSheetId="3">#REF!</definedName>
    <definedName name="ANNPCT" localSheetId="5">#REF!</definedName>
    <definedName name="ANNPCT">#REF!</definedName>
    <definedName name="ANNPCTANG" localSheetId="21">#REF!</definedName>
    <definedName name="ANNPCTANG" localSheetId="2">#REF!</definedName>
    <definedName name="ANNPCTANG" localSheetId="4">#REF!</definedName>
    <definedName name="ANNPCTANG" localSheetId="3">#REF!</definedName>
    <definedName name="ANNPCTANG" localSheetId="5">#REF!</definedName>
    <definedName name="ANNPCTANG">#REF!</definedName>
    <definedName name="Application_Fees">[6]Inputs!$B$50</definedName>
    <definedName name="AR" localSheetId="21">#REF!</definedName>
    <definedName name="AR" localSheetId="2">#REF!</definedName>
    <definedName name="AR" localSheetId="4">#REF!</definedName>
    <definedName name="AR" localSheetId="3">#REF!</definedName>
    <definedName name="AR" localSheetId="5">#REF!</definedName>
    <definedName name="AR">#REF!</definedName>
    <definedName name="AUTO11" localSheetId="21">#REF!</definedName>
    <definedName name="AUTO11" localSheetId="2">#REF!</definedName>
    <definedName name="AUTO11" localSheetId="4">#REF!</definedName>
    <definedName name="AUTO11" localSheetId="3">#REF!</definedName>
    <definedName name="AUTO11" localSheetId="5">#REF!</definedName>
    <definedName name="AUTO11">#REF!</definedName>
    <definedName name="AUTO12" localSheetId="21">#REF!</definedName>
    <definedName name="AUTO12" localSheetId="2">#REF!</definedName>
    <definedName name="AUTO12" localSheetId="4">#REF!</definedName>
    <definedName name="AUTO12" localSheetId="3">#REF!</definedName>
    <definedName name="AUTO12" localSheetId="5">#REF!</definedName>
    <definedName name="AUTO12">#REF!</definedName>
    <definedName name="AUTO14" localSheetId="21">#REF!</definedName>
    <definedName name="AUTO14" localSheetId="2">#REF!</definedName>
    <definedName name="AUTO14" localSheetId="4">#REF!</definedName>
    <definedName name="AUTO14" localSheetId="3">#REF!</definedName>
    <definedName name="AUTO14" localSheetId="5">#REF!</definedName>
    <definedName name="AUTO14">#REF!</definedName>
    <definedName name="AUTO15" localSheetId="21">#REF!</definedName>
    <definedName name="AUTO15" localSheetId="2">#REF!</definedName>
    <definedName name="AUTO15" localSheetId="4">#REF!</definedName>
    <definedName name="AUTO15" localSheetId="3">#REF!</definedName>
    <definedName name="AUTO15" localSheetId="5">#REF!</definedName>
    <definedName name="AUTO15">#REF!</definedName>
    <definedName name="AUTO16" localSheetId="21">#REF!</definedName>
    <definedName name="AUTO16" localSheetId="2">#REF!</definedName>
    <definedName name="AUTO16" localSheetId="4">#REF!</definedName>
    <definedName name="AUTO16" localSheetId="3">#REF!</definedName>
    <definedName name="AUTO16" localSheetId="5">#REF!</definedName>
    <definedName name="AUTO16">#REF!</definedName>
    <definedName name="AUTO17" localSheetId="21">#REF!</definedName>
    <definedName name="AUTO17" localSheetId="2">#REF!</definedName>
    <definedName name="AUTO17" localSheetId="4">#REF!</definedName>
    <definedName name="AUTO17" localSheetId="3">#REF!</definedName>
    <definedName name="AUTO17" localSheetId="5">#REF!</definedName>
    <definedName name="AUTO17">#REF!</definedName>
    <definedName name="AUTO18" localSheetId="21">#REF!</definedName>
    <definedName name="AUTO18" localSheetId="2">#REF!</definedName>
    <definedName name="AUTO18" localSheetId="4">#REF!</definedName>
    <definedName name="AUTO18" localSheetId="3">#REF!</definedName>
    <definedName name="AUTO18" localSheetId="5">#REF!</definedName>
    <definedName name="AUTO18">#REF!</definedName>
    <definedName name="AUTO20" localSheetId="21">#REF!</definedName>
    <definedName name="AUTO20" localSheetId="2">#REF!</definedName>
    <definedName name="AUTO20" localSheetId="4">#REF!</definedName>
    <definedName name="AUTO20" localSheetId="3">#REF!</definedName>
    <definedName name="AUTO20" localSheetId="5">#REF!</definedName>
    <definedName name="AUTO20">#REF!</definedName>
    <definedName name="AUTO22" localSheetId="21">#REF!</definedName>
    <definedName name="AUTO22" localSheetId="2">#REF!</definedName>
    <definedName name="AUTO22" localSheetId="4">#REF!</definedName>
    <definedName name="AUTO22" localSheetId="3">#REF!</definedName>
    <definedName name="AUTO22" localSheetId="5">#REF!</definedName>
    <definedName name="AUTO22">#REF!</definedName>
    <definedName name="AUTO32" localSheetId="21">#REF!</definedName>
    <definedName name="AUTO32" localSheetId="2">#REF!</definedName>
    <definedName name="AUTO32" localSheetId="4">#REF!</definedName>
    <definedName name="AUTO32" localSheetId="3">#REF!</definedName>
    <definedName name="AUTO32" localSheetId="5">#REF!</definedName>
    <definedName name="AUTO32">#REF!</definedName>
    <definedName name="AUTO34" localSheetId="21">#REF!</definedName>
    <definedName name="AUTO34" localSheetId="2">#REF!</definedName>
    <definedName name="AUTO34" localSheetId="4">#REF!</definedName>
    <definedName name="AUTO34" localSheetId="3">#REF!</definedName>
    <definedName name="AUTO34" localSheetId="5">#REF!</definedName>
    <definedName name="AUTO34">#REF!</definedName>
    <definedName name="AUTO35" localSheetId="21">#REF!</definedName>
    <definedName name="AUTO35" localSheetId="2">#REF!</definedName>
    <definedName name="AUTO35" localSheetId="4">#REF!</definedName>
    <definedName name="AUTO35" localSheetId="3">#REF!</definedName>
    <definedName name="AUTO35" localSheetId="5">#REF!</definedName>
    <definedName name="AUTO35">#REF!</definedName>
    <definedName name="AUTO37" localSheetId="21">#REF!</definedName>
    <definedName name="AUTO37" localSheetId="2">#REF!</definedName>
    <definedName name="AUTO37" localSheetId="4">#REF!</definedName>
    <definedName name="AUTO37" localSheetId="3">#REF!</definedName>
    <definedName name="AUTO37" localSheetId="5">#REF!</definedName>
    <definedName name="AUTO37">#REF!</definedName>
    <definedName name="AUTO38" localSheetId="21">#REF!</definedName>
    <definedName name="AUTO38" localSheetId="2">#REF!</definedName>
    <definedName name="AUTO38" localSheetId="4">#REF!</definedName>
    <definedName name="AUTO38" localSheetId="3">#REF!</definedName>
    <definedName name="AUTO38" localSheetId="5">#REF!</definedName>
    <definedName name="AUTO38">#REF!</definedName>
    <definedName name="AUTO48" localSheetId="21">#REF!</definedName>
    <definedName name="AUTO48" localSheetId="2">#REF!</definedName>
    <definedName name="AUTO48" localSheetId="4">#REF!</definedName>
    <definedName name="AUTO48" localSheetId="3">#REF!</definedName>
    <definedName name="AUTO48" localSheetId="5">#REF!</definedName>
    <definedName name="AUTO48">#REF!</definedName>
    <definedName name="AUTO51" localSheetId="21">#REF!</definedName>
    <definedName name="AUTO51" localSheetId="2">#REF!</definedName>
    <definedName name="AUTO51" localSheetId="4">#REF!</definedName>
    <definedName name="AUTO51" localSheetId="3">#REF!</definedName>
    <definedName name="AUTO51" localSheetId="5">#REF!</definedName>
    <definedName name="AUTO51">#REF!</definedName>
    <definedName name="AUTO52" localSheetId="21">#REF!</definedName>
    <definedName name="AUTO52" localSheetId="2">#REF!</definedName>
    <definedName name="AUTO52" localSheetId="4">#REF!</definedName>
    <definedName name="AUTO52" localSheetId="3">#REF!</definedName>
    <definedName name="AUTO52" localSheetId="5">#REF!</definedName>
    <definedName name="AUTO52">#REF!</definedName>
    <definedName name="AUTO53" localSheetId="21">#REF!</definedName>
    <definedName name="AUTO53" localSheetId="2">#REF!</definedName>
    <definedName name="AUTO53" localSheetId="4">#REF!</definedName>
    <definedName name="AUTO53" localSheetId="3">#REF!</definedName>
    <definedName name="AUTO53" localSheetId="5">#REF!</definedName>
    <definedName name="AUTO53">#REF!</definedName>
    <definedName name="Avg_Mo_pmt">[6]Inputs!$B$7</definedName>
    <definedName name="AVGrate">'[12]AVG FXrates'!$B$4:$F$47</definedName>
    <definedName name="b" hidden="1">{"'Server Configuration'!$A$1:$DB$281"}</definedName>
    <definedName name="Baseline" localSheetId="21">#REF!</definedName>
    <definedName name="Baseline" localSheetId="2">#REF!</definedName>
    <definedName name="Baseline" localSheetId="4">#REF!</definedName>
    <definedName name="Baseline" localSheetId="3">#REF!</definedName>
    <definedName name="Baseline" localSheetId="5">#REF!</definedName>
    <definedName name="Baseline">#REF!</definedName>
    <definedName name="BENEFITS" localSheetId="21">#REF!</definedName>
    <definedName name="BENEFITS" localSheetId="2">#REF!</definedName>
    <definedName name="BENEFITS" localSheetId="4">#REF!</definedName>
    <definedName name="BENEFITS" localSheetId="3">#REF!</definedName>
    <definedName name="BENEFITS" localSheetId="5">#REF!</definedName>
    <definedName name="BENEFITS">#REF!</definedName>
    <definedName name="Binputrusum">'[7]L Graph (Data)'!$A$97:$DS$109</definedName>
    <definedName name="binputsum">'[8]L Graph (Data)'!$A$19:$DS$29</definedName>
    <definedName name="binputsumru">'[13]L Graph (Data)'!$A$91:$DS$105</definedName>
    <definedName name="binputvol">'[13]L Graph (Data)'!$A$21:$DS$34</definedName>
    <definedName name="blip" hidden="1">{"'Server Configuration'!$A$1:$DB$281"}</definedName>
    <definedName name="blort" localSheetId="21">#REF!</definedName>
    <definedName name="blort" localSheetId="2">#REF!</definedName>
    <definedName name="blort" localSheetId="4">#REF!</definedName>
    <definedName name="blort" localSheetId="3">#REF!</definedName>
    <definedName name="blort" localSheetId="5">#REF!</definedName>
    <definedName name="blort">#REF!</definedName>
    <definedName name="BMSGRADE">[14]Assumptions!$J$8:$J$21</definedName>
    <definedName name="BOB" localSheetId="21">#REF!</definedName>
    <definedName name="BOB" localSheetId="2">#REF!</definedName>
    <definedName name="BOB" localSheetId="4">#REF!</definedName>
    <definedName name="BOB" localSheetId="3">#REF!</definedName>
    <definedName name="BOB" localSheetId="5">#REF!</definedName>
    <definedName name="BOB">#REF!</definedName>
    <definedName name="BTU">[15]Input!$B$11</definedName>
    <definedName name="ByTower" localSheetId="21">#REF!</definedName>
    <definedName name="ByTower" localSheetId="2">#REF!</definedName>
    <definedName name="ByTower" localSheetId="4">#REF!</definedName>
    <definedName name="ByTower" localSheetId="3">#REF!</definedName>
    <definedName name="ByTower" localSheetId="5">#REF!</definedName>
    <definedName name="ByTower">#REF!</definedName>
    <definedName name="CALDEN" localSheetId="21">#REF!</definedName>
    <definedName name="CALDEN" localSheetId="2">#REF!</definedName>
    <definedName name="CALDEN" localSheetId="4">#REF!</definedName>
    <definedName name="CALDEN" localSheetId="3">#REF!</definedName>
    <definedName name="CALDEN" localSheetId="5">#REF!</definedName>
    <definedName name="CALDEN">#REF!</definedName>
    <definedName name="Cap_Structure" localSheetId="21">#REF!</definedName>
    <definedName name="Cap_Structure" localSheetId="2">#REF!</definedName>
    <definedName name="Cap_Structure" localSheetId="4">#REF!</definedName>
    <definedName name="Cap_Structure" localSheetId="3">#REF!</definedName>
    <definedName name="Cap_Structure" localSheetId="5">#REF!</definedName>
    <definedName name="Cap_Structure">#REF!</definedName>
    <definedName name="CCCfeeadj">'[8]L Graph (Data)'!$A$410:$DS$457</definedName>
    <definedName name="CCCvoladj">'[8]L Graph (Data)'!$A$359:$DS$406</definedName>
    <definedName name="Central_Call_Handling_Charge">'[16]Router Configuration'!$S$1</definedName>
    <definedName name="CHART32" localSheetId="21">#REF!</definedName>
    <definedName name="CHART32" localSheetId="2">#REF!</definedName>
    <definedName name="CHART32" localSheetId="4">#REF!</definedName>
    <definedName name="CHART32" localSheetId="3">#REF!</definedName>
    <definedName name="CHART32" localSheetId="5">#REF!</definedName>
    <definedName name="CHART32">#REF!</definedName>
    <definedName name="CHART34" localSheetId="21">#REF!</definedName>
    <definedName name="CHART34" localSheetId="2">#REF!</definedName>
    <definedName name="CHART34" localSheetId="4">#REF!</definedName>
    <definedName name="CHART34" localSheetId="3">#REF!</definedName>
    <definedName name="CHART34" localSheetId="5">#REF!</definedName>
    <definedName name="CHART34">#REF!</definedName>
    <definedName name="CHART35" localSheetId="21">#REF!</definedName>
    <definedName name="CHART35" localSheetId="2">#REF!</definedName>
    <definedName name="CHART35" localSheetId="4">#REF!</definedName>
    <definedName name="CHART35" localSheetId="3">#REF!</definedName>
    <definedName name="CHART35" localSheetId="5">#REF!</definedName>
    <definedName name="CHART35">#REF!</definedName>
    <definedName name="CHART37" localSheetId="21">#REF!</definedName>
    <definedName name="CHART37" localSheetId="2">#REF!</definedName>
    <definedName name="CHART37" localSheetId="4">#REF!</definedName>
    <definedName name="CHART37" localSheetId="3">#REF!</definedName>
    <definedName name="CHART37" localSheetId="5">#REF!</definedName>
    <definedName name="CHART37">#REF!</definedName>
    <definedName name="CHART38" localSheetId="21">#REF!</definedName>
    <definedName name="CHART38" localSheetId="2">#REF!</definedName>
    <definedName name="CHART38" localSheetId="4">#REF!</definedName>
    <definedName name="CHART38" localSheetId="3">#REF!</definedName>
    <definedName name="CHART38" localSheetId="5">#REF!</definedName>
    <definedName name="CHART38">#REF!</definedName>
    <definedName name="CInputChg">'[7]L Graph (Data)'!$A$41:$IV$56</definedName>
    <definedName name="Cinputvol">'[13]L Graph (Data)'!$A$38:$DS$51</definedName>
    <definedName name="Clarification" localSheetId="21">#REF!</definedName>
    <definedName name="Clarification" localSheetId="2">#REF!</definedName>
    <definedName name="Clarification" localSheetId="4">#REF!</definedName>
    <definedName name="Clarification" localSheetId="3">#REF!</definedName>
    <definedName name="Clarification" localSheetId="5">#REF!</definedName>
    <definedName name="Clarification">#REF!</definedName>
    <definedName name="COLUMN1">Input!$R$3:$U$3</definedName>
    <definedName name="COLUMN2">Input!$V$19:$AI$1151</definedName>
    <definedName name="Companies" localSheetId="21">#REF!</definedName>
    <definedName name="Companies" localSheetId="2">#REF!</definedName>
    <definedName name="Companies" localSheetId="4">#REF!</definedName>
    <definedName name="Companies" localSheetId="3">#REF!</definedName>
    <definedName name="Companies" localSheetId="5">#REF!</definedName>
    <definedName name="Companies">#REF!</definedName>
    <definedName name="coname" localSheetId="21">#REF!</definedName>
    <definedName name="coname" localSheetId="2">#REF!</definedName>
    <definedName name="coname" localSheetId="4">#REF!</definedName>
    <definedName name="coname" localSheetId="3">#REF!</definedName>
    <definedName name="coname" localSheetId="5">#REF!</definedName>
    <definedName name="coname">#REF!</definedName>
    <definedName name="_xlnm.Criteria" localSheetId="21">Title!#REF!</definedName>
    <definedName name="_xlnm.Criteria" localSheetId="2">Title!#REF!</definedName>
    <definedName name="_xlnm.Criteria" localSheetId="4">Title!#REF!</definedName>
    <definedName name="_xlnm.Criteria" localSheetId="3">Title!#REF!</definedName>
    <definedName name="_xlnm.Criteria" localSheetId="5">Title!#REF!</definedName>
    <definedName name="_xlnm.Criteria">Title!#REF!</definedName>
    <definedName name="Criticality" localSheetId="21">#REF!</definedName>
    <definedName name="Criticality" localSheetId="2">#REF!</definedName>
    <definedName name="Criticality" localSheetId="4">#REF!</definedName>
    <definedName name="Criticality" localSheetId="3">#REF!</definedName>
    <definedName name="Criticality" localSheetId="5">#REF!</definedName>
    <definedName name="Criticality">#REF!</definedName>
    <definedName name="curr_cust_pmts">'[6]Payment Calculation'!$C$24</definedName>
    <definedName name="CUSTCHG" localSheetId="21">Input!#REF!</definedName>
    <definedName name="CUSTCHG" localSheetId="2">Input!#REF!</definedName>
    <definedName name="CUSTCHG" localSheetId="4">Input!#REF!</definedName>
    <definedName name="CUSTCHG" localSheetId="3">Input!#REF!</definedName>
    <definedName name="CUSTCHG" localSheetId="5">Input!#REF!</definedName>
    <definedName name="CUSTCHG">Input!#REF!</definedName>
    <definedName name="CUSTCOM32" localSheetId="21">#REF!</definedName>
    <definedName name="CUSTCOM32" localSheetId="2">#REF!</definedName>
    <definedName name="CUSTCOM32" localSheetId="4">#REF!</definedName>
    <definedName name="CUSTCOM32" localSheetId="3">#REF!</definedName>
    <definedName name="CUSTCOM32" localSheetId="5">#REF!</definedName>
    <definedName name="CUSTCOM32">#REF!</definedName>
    <definedName name="CUSTCOM34" localSheetId="21">#REF!</definedName>
    <definedName name="CUSTCOM34" localSheetId="2">#REF!</definedName>
    <definedName name="CUSTCOM34" localSheetId="4">#REF!</definedName>
    <definedName name="CUSTCOM34" localSheetId="3">#REF!</definedName>
    <definedName name="CUSTCOM34" localSheetId="5">#REF!</definedName>
    <definedName name="CUSTCOM34">#REF!</definedName>
    <definedName name="CUSTCOM35" localSheetId="21">#REF!</definedName>
    <definedName name="CUSTCOM35" localSheetId="2">#REF!</definedName>
    <definedName name="CUSTCOM35" localSheetId="4">#REF!</definedName>
    <definedName name="CUSTCOM35" localSheetId="3">#REF!</definedName>
    <definedName name="CUSTCOM35" localSheetId="5">#REF!</definedName>
    <definedName name="CUSTCOM35">#REF!</definedName>
    <definedName name="CUSTCOM37" localSheetId="21">#REF!</definedName>
    <definedName name="CUSTCOM37" localSheetId="2">#REF!</definedName>
    <definedName name="CUSTCOM37" localSheetId="4">#REF!</definedName>
    <definedName name="CUSTCOM37" localSheetId="3">#REF!</definedName>
    <definedName name="CUSTCOM37" localSheetId="5">#REF!</definedName>
    <definedName name="CUSTCOM37">#REF!</definedName>
    <definedName name="CUSTCOM38" localSheetId="21">#REF!</definedName>
    <definedName name="CUSTCOM38" localSheetId="2">#REF!</definedName>
    <definedName name="CUSTCOM38" localSheetId="4">#REF!</definedName>
    <definedName name="CUSTCOM38" localSheetId="3">#REF!</definedName>
    <definedName name="CUSTCOM38" localSheetId="5">#REF!</definedName>
    <definedName name="CUSTCOM38">#REF!</definedName>
    <definedName name="CUSTGAS32" localSheetId="21">#REF!</definedName>
    <definedName name="CUSTGAS32" localSheetId="2">#REF!</definedName>
    <definedName name="CUSTGAS32" localSheetId="4">#REF!</definedName>
    <definedName name="CUSTGAS32" localSheetId="3">#REF!</definedName>
    <definedName name="CUSTGAS32" localSheetId="5">#REF!</definedName>
    <definedName name="CUSTGAS32">#REF!</definedName>
    <definedName name="CUSTGAS34" localSheetId="21">#REF!</definedName>
    <definedName name="CUSTGAS34" localSheetId="2">#REF!</definedName>
    <definedName name="CUSTGAS34" localSheetId="4">#REF!</definedName>
    <definedName name="CUSTGAS34" localSheetId="3">#REF!</definedName>
    <definedName name="CUSTGAS34" localSheetId="5">#REF!</definedName>
    <definedName name="CUSTGAS34">#REF!</definedName>
    <definedName name="CUSTGAS37" localSheetId="21">#REF!</definedName>
    <definedName name="CUSTGAS37" localSheetId="2">#REF!</definedName>
    <definedName name="CUSTGAS37" localSheetId="4">#REF!</definedName>
    <definedName name="CUSTGAS37" localSheetId="3">#REF!</definedName>
    <definedName name="CUSTGAS37" localSheetId="5">#REF!</definedName>
    <definedName name="CUSTGAS37">#REF!</definedName>
    <definedName name="CUSTHP32" localSheetId="21">#REF!</definedName>
    <definedName name="CUSTHP32" localSheetId="2">#REF!</definedName>
    <definedName name="CUSTHP32" localSheetId="4">#REF!</definedName>
    <definedName name="CUSTHP32" localSheetId="3">#REF!</definedName>
    <definedName name="CUSTHP32" localSheetId="5">#REF!</definedName>
    <definedName name="CUSTHP32">#REF!</definedName>
    <definedName name="CUSTHP34" localSheetId="21">#REF!</definedName>
    <definedName name="CUSTHP34" localSheetId="2">#REF!</definedName>
    <definedName name="CUSTHP34" localSheetId="4">#REF!</definedName>
    <definedName name="CUSTHP34" localSheetId="3">#REF!</definedName>
    <definedName name="CUSTHP34" localSheetId="5">#REF!</definedName>
    <definedName name="CUSTHP34">#REF!</definedName>
    <definedName name="CUSTHP35" localSheetId="21">#REF!</definedName>
    <definedName name="CUSTHP35" localSheetId="2">#REF!</definedName>
    <definedName name="CUSTHP35" localSheetId="4">#REF!</definedName>
    <definedName name="CUSTHP35" localSheetId="3">#REF!</definedName>
    <definedName name="CUSTHP35" localSheetId="5">#REF!</definedName>
    <definedName name="CUSTHP35">#REF!</definedName>
    <definedName name="CUSTHP37" localSheetId="21">#REF!</definedName>
    <definedName name="CUSTHP37" localSheetId="2">#REF!</definedName>
    <definedName name="CUSTHP37" localSheetId="4">#REF!</definedName>
    <definedName name="CUSTHP37" localSheetId="3">#REF!</definedName>
    <definedName name="CUSTHP37" localSheetId="5">#REF!</definedName>
    <definedName name="CUSTHP37">#REF!</definedName>
    <definedName name="CUSTHP38" localSheetId="21">#REF!</definedName>
    <definedName name="CUSTHP38" localSheetId="2">#REF!</definedName>
    <definedName name="CUSTHP38" localSheetId="4">#REF!</definedName>
    <definedName name="CUSTHP38" localSheetId="3">#REF!</definedName>
    <definedName name="CUSTHP38" localSheetId="5">#REF!</definedName>
    <definedName name="CUSTHP38">#REF!</definedName>
    <definedName name="CUSTRES32" localSheetId="21">#REF!</definedName>
    <definedName name="CUSTRES32" localSheetId="2">#REF!</definedName>
    <definedName name="CUSTRES32" localSheetId="4">#REF!</definedName>
    <definedName name="CUSTRES32" localSheetId="3">#REF!</definedName>
    <definedName name="CUSTRES32" localSheetId="5">#REF!</definedName>
    <definedName name="CUSTRES32">#REF!</definedName>
    <definedName name="CUSTRES34" localSheetId="21">#REF!</definedName>
    <definedName name="CUSTRES34" localSheetId="2">#REF!</definedName>
    <definedName name="CUSTRES34" localSheetId="4">#REF!</definedName>
    <definedName name="CUSTRES34" localSheetId="3">#REF!</definedName>
    <definedName name="CUSTRES34" localSheetId="5">#REF!</definedName>
    <definedName name="CUSTRES34">#REF!</definedName>
    <definedName name="CUSTRES35" localSheetId="21">#REF!</definedName>
    <definedName name="CUSTRES35" localSheetId="2">#REF!</definedName>
    <definedName name="CUSTRES35" localSheetId="4">#REF!</definedName>
    <definedName name="CUSTRES35" localSheetId="3">#REF!</definedName>
    <definedName name="CUSTRES35" localSheetId="5">#REF!</definedName>
    <definedName name="CUSTRES35">#REF!</definedName>
    <definedName name="CUSTRES37" localSheetId="21">#REF!</definedName>
    <definedName name="CUSTRES37" localSheetId="2">#REF!</definedName>
    <definedName name="CUSTRES37" localSheetId="4">#REF!</definedName>
    <definedName name="CUSTRES37" localSheetId="3">#REF!</definedName>
    <definedName name="CUSTRES37" localSheetId="5">#REF!</definedName>
    <definedName name="CUSTRES37">#REF!</definedName>
    <definedName name="CUSTRES38" localSheetId="21">#REF!</definedName>
    <definedName name="CUSTRES38" localSheetId="2">#REF!</definedName>
    <definedName name="CUSTRES38" localSheetId="4">#REF!</definedName>
    <definedName name="CUSTRES38" localSheetId="3">#REF!</definedName>
    <definedName name="CUSTRES38" localSheetId="5">#REF!</definedName>
    <definedName name="CUSTRES38">#REF!</definedName>
    <definedName name="CUSTRET16" localSheetId="21">#REF!</definedName>
    <definedName name="CUSTRET16" localSheetId="2">#REF!</definedName>
    <definedName name="CUSTRET16" localSheetId="4">#REF!</definedName>
    <definedName name="CUSTRET16" localSheetId="3">#REF!</definedName>
    <definedName name="CUSTRET16" localSheetId="5">#REF!</definedName>
    <definedName name="CUSTRET16">#REF!</definedName>
    <definedName name="CUSTRET32" localSheetId="21">#REF!</definedName>
    <definedName name="CUSTRET32" localSheetId="2">#REF!</definedName>
    <definedName name="CUSTRET32" localSheetId="4">#REF!</definedName>
    <definedName name="CUSTRET32" localSheetId="3">#REF!</definedName>
    <definedName name="CUSTRET32" localSheetId="5">#REF!</definedName>
    <definedName name="CUSTRET32">#REF!</definedName>
    <definedName name="CUSTRET34" localSheetId="21">#REF!</definedName>
    <definedName name="CUSTRET34" localSheetId="2">#REF!</definedName>
    <definedName name="CUSTRET34" localSheetId="4">#REF!</definedName>
    <definedName name="CUSTRET34" localSheetId="3">#REF!</definedName>
    <definedName name="CUSTRET34" localSheetId="5">#REF!</definedName>
    <definedName name="CUSTRET34">#REF!</definedName>
    <definedName name="CUSTRET35" localSheetId="21">#REF!</definedName>
    <definedName name="CUSTRET35" localSheetId="2">#REF!</definedName>
    <definedName name="CUSTRET35" localSheetId="4">#REF!</definedName>
    <definedName name="CUSTRET35" localSheetId="3">#REF!</definedName>
    <definedName name="CUSTRET35" localSheetId="5">#REF!</definedName>
    <definedName name="CUSTRET35">#REF!</definedName>
    <definedName name="CUSTRET37" localSheetId="21">#REF!</definedName>
    <definedName name="CUSTRET37" localSheetId="2">#REF!</definedName>
    <definedName name="CUSTRET37" localSheetId="4">#REF!</definedName>
    <definedName name="CUSTRET37" localSheetId="3">#REF!</definedName>
    <definedName name="CUSTRET37" localSheetId="5">#REF!</definedName>
    <definedName name="CUSTRET37">#REF!</definedName>
    <definedName name="CUSTRET38" localSheetId="21">#REF!</definedName>
    <definedName name="CUSTRET38" localSheetId="2">#REF!</definedName>
    <definedName name="CUSTRET38" localSheetId="4">#REF!</definedName>
    <definedName name="CUSTRET38" localSheetId="3">#REF!</definedName>
    <definedName name="CUSTRET38" localSheetId="5">#REF!</definedName>
    <definedName name="CUSTRET38">#REF!</definedName>
    <definedName name="CUSTRET43" localSheetId="21">#REF!</definedName>
    <definedName name="CUSTRET43" localSheetId="2">#REF!</definedName>
    <definedName name="CUSTRET43" localSheetId="4">#REF!</definedName>
    <definedName name="CUSTRET43" localSheetId="3">#REF!</definedName>
    <definedName name="CUSTRET43" localSheetId="5">#REF!</definedName>
    <definedName name="CUSTRET43">#REF!</definedName>
    <definedName name="CUSTTRAN32" localSheetId="21">#REF!</definedName>
    <definedName name="CUSTTRAN32" localSheetId="2">#REF!</definedName>
    <definedName name="CUSTTRAN32" localSheetId="4">#REF!</definedName>
    <definedName name="CUSTTRAN32" localSheetId="3">#REF!</definedName>
    <definedName name="CUSTTRAN32" localSheetId="5">#REF!</definedName>
    <definedName name="CUSTTRAN32">#REF!</definedName>
    <definedName name="CUSTTRAN34" localSheetId="21">#REF!</definedName>
    <definedName name="CUSTTRAN34" localSheetId="2">#REF!</definedName>
    <definedName name="CUSTTRAN34" localSheetId="4">#REF!</definedName>
    <definedName name="CUSTTRAN34" localSheetId="3">#REF!</definedName>
    <definedName name="CUSTTRAN34" localSheetId="5">#REF!</definedName>
    <definedName name="CUSTTRAN34">#REF!</definedName>
    <definedName name="CUSTTRAN35" localSheetId="21">#REF!</definedName>
    <definedName name="CUSTTRAN35" localSheetId="2">#REF!</definedName>
    <definedName name="CUSTTRAN35" localSheetId="4">#REF!</definedName>
    <definedName name="CUSTTRAN35" localSheetId="3">#REF!</definedName>
    <definedName name="CUSTTRAN35" localSheetId="5">#REF!</definedName>
    <definedName name="CUSTTRAN35">#REF!</definedName>
    <definedName name="CUSTTRAN37" localSheetId="21">#REF!</definedName>
    <definedName name="CUSTTRAN37" localSheetId="2">#REF!</definedName>
    <definedName name="CUSTTRAN37" localSheetId="4">#REF!</definedName>
    <definedName name="CUSTTRAN37" localSheetId="3">#REF!</definedName>
    <definedName name="CUSTTRAN37" localSheetId="5">#REF!</definedName>
    <definedName name="CUSTTRAN37">#REF!</definedName>
    <definedName name="CUSTTRAN38" localSheetId="21">#REF!</definedName>
    <definedName name="CUSTTRAN38" localSheetId="2">#REF!</definedName>
    <definedName name="CUSTTRAN38" localSheetId="4">#REF!</definedName>
    <definedName name="CUSTTRAN38" localSheetId="3">#REF!</definedName>
    <definedName name="CUSTTRAN38" localSheetId="5">#REF!</definedName>
    <definedName name="CUSTTRAN38">#REF!</definedName>
    <definedName name="CWC_12_96" localSheetId="21">#REF!</definedName>
    <definedName name="CWC_12_96" localSheetId="2">#REF!</definedName>
    <definedName name="CWC_12_96" localSheetId="4">#REF!</definedName>
    <definedName name="CWC_12_96" localSheetId="3">#REF!</definedName>
    <definedName name="CWC_12_96" localSheetId="5">#REF!</definedName>
    <definedName name="CWC_12_96">#REF!</definedName>
    <definedName name="CWC_12_97" localSheetId="21">#REF!</definedName>
    <definedName name="CWC_12_97" localSheetId="2">#REF!</definedName>
    <definedName name="CWC_12_97" localSheetId="4">#REF!</definedName>
    <definedName name="CWC_12_97" localSheetId="3">#REF!</definedName>
    <definedName name="CWC_12_97" localSheetId="5">#REF!</definedName>
    <definedName name="CWC_12_97">#REF!</definedName>
    <definedName name="CWC_9_97" localSheetId="21">#REF!</definedName>
    <definedName name="CWC_9_97" localSheetId="2">#REF!</definedName>
    <definedName name="CWC_9_97" localSheetId="4">#REF!</definedName>
    <definedName name="CWC_9_97" localSheetId="3">#REF!</definedName>
    <definedName name="CWC_9_97" localSheetId="5">#REF!</definedName>
    <definedName name="CWC_9_97">#REF!</definedName>
    <definedName name="D">{"'Server Configuration'!$A$1:$DB$281"}</definedName>
    <definedName name="da">{"'Server Configuration'!$A$1:$DB$281"}</definedName>
    <definedName name="_xlnm.Database" localSheetId="21">Input!#REF!</definedName>
    <definedName name="_xlnm.Database" localSheetId="2">Input!#REF!</definedName>
    <definedName name="_xlnm.Database" localSheetId="4">Input!#REF!</definedName>
    <definedName name="_xlnm.Database" localSheetId="3">Input!#REF!</definedName>
    <definedName name="_xlnm.Database" localSheetId="5">Input!#REF!</definedName>
    <definedName name="_xlnm.Database">Input!#REF!</definedName>
    <definedName name="DAVE" localSheetId="21">'[2]E-2'!#REF!</definedName>
    <definedName name="DAVE" localSheetId="2">'[2]E-2'!#REF!</definedName>
    <definedName name="DAVE" localSheetId="4">'[2]E-2'!#REF!</definedName>
    <definedName name="DAVE" localSheetId="3">'[2]E-2'!#REF!</definedName>
    <definedName name="DAVE" localSheetId="5">'[2]E-2'!#REF!</definedName>
    <definedName name="DAVE">'[2]E-2'!#REF!</definedName>
    <definedName name="DC" localSheetId="21">[17]Sch2!#REF!</definedName>
    <definedName name="DC" localSheetId="2">[17]Sch2!#REF!</definedName>
    <definedName name="DC" localSheetId="4">[17]Sch2!#REF!</definedName>
    <definedName name="DC" localSheetId="3">[17]Sch2!#REF!</definedName>
    <definedName name="DC" localSheetId="5">[17]Sch2!#REF!</definedName>
    <definedName name="DC">[17]Sch2!#REF!</definedName>
    <definedName name="DEBT">[18]RORB!$B$2:$F$24</definedName>
    <definedName name="DEPPROD51" localSheetId="21">#REF!</definedName>
    <definedName name="DEPPROD51" localSheetId="2">#REF!</definedName>
    <definedName name="DEPPROD51" localSheetId="4">#REF!</definedName>
    <definedName name="DEPPROD51" localSheetId="3">#REF!</definedName>
    <definedName name="DEPPROD51" localSheetId="5">#REF!</definedName>
    <definedName name="DEPPROD51">#REF!</definedName>
    <definedName name="DEPR" localSheetId="21">#REF!</definedName>
    <definedName name="DEPR" localSheetId="2">#REF!</definedName>
    <definedName name="DEPR" localSheetId="4">#REF!</definedName>
    <definedName name="DEPR" localSheetId="3">#REF!</definedName>
    <definedName name="DEPR" localSheetId="5">#REF!</definedName>
    <definedName name="DEPR">#REF!</definedName>
    <definedName name="DEPTOT11" localSheetId="21">#REF!</definedName>
    <definedName name="DEPTOT11" localSheetId="2">#REF!</definedName>
    <definedName name="DEPTOT11" localSheetId="4">#REF!</definedName>
    <definedName name="DEPTOT11" localSheetId="3">#REF!</definedName>
    <definedName name="DEPTOT11" localSheetId="5">#REF!</definedName>
    <definedName name="DEPTOT11">#REF!</definedName>
    <definedName name="DEPTOT12" localSheetId="21">#REF!</definedName>
    <definedName name="DEPTOT12" localSheetId="2">#REF!</definedName>
    <definedName name="DEPTOT12" localSheetId="4">#REF!</definedName>
    <definedName name="DEPTOT12" localSheetId="3">#REF!</definedName>
    <definedName name="DEPTOT12" localSheetId="5">#REF!</definedName>
    <definedName name="DEPTOT12">#REF!</definedName>
    <definedName name="DEPTOT14" localSheetId="21">#REF!</definedName>
    <definedName name="DEPTOT14" localSheetId="2">#REF!</definedName>
    <definedName name="DEPTOT14" localSheetId="4">#REF!</definedName>
    <definedName name="DEPTOT14" localSheetId="3">#REF!</definedName>
    <definedName name="DEPTOT14" localSheetId="5">#REF!</definedName>
    <definedName name="DEPTOT14">#REF!</definedName>
    <definedName name="DEPTOT15" localSheetId="21">#REF!</definedName>
    <definedName name="DEPTOT15" localSheetId="2">#REF!</definedName>
    <definedName name="DEPTOT15" localSheetId="4">#REF!</definedName>
    <definedName name="DEPTOT15" localSheetId="3">#REF!</definedName>
    <definedName name="DEPTOT15" localSheetId="5">#REF!</definedName>
    <definedName name="DEPTOT15">#REF!</definedName>
    <definedName name="DEPTOT16" localSheetId="21">#REF!</definedName>
    <definedName name="DEPTOT16" localSheetId="2">#REF!</definedName>
    <definedName name="DEPTOT16" localSheetId="4">#REF!</definedName>
    <definedName name="DEPTOT16" localSheetId="3">#REF!</definedName>
    <definedName name="DEPTOT16" localSheetId="5">#REF!</definedName>
    <definedName name="DEPTOT16">#REF!</definedName>
    <definedName name="DEPTOT17" localSheetId="21">#REF!</definedName>
    <definedName name="DEPTOT17" localSheetId="2">#REF!</definedName>
    <definedName name="DEPTOT17" localSheetId="4">#REF!</definedName>
    <definedName name="DEPTOT17" localSheetId="3">#REF!</definedName>
    <definedName name="DEPTOT17" localSheetId="5">#REF!</definedName>
    <definedName name="DEPTOT17">#REF!</definedName>
    <definedName name="DEPTOT18" localSheetId="21">#REF!</definedName>
    <definedName name="DEPTOT18" localSheetId="2">#REF!</definedName>
    <definedName name="DEPTOT18" localSheetId="4">#REF!</definedName>
    <definedName name="DEPTOT18" localSheetId="3">#REF!</definedName>
    <definedName name="DEPTOT18" localSheetId="5">#REF!</definedName>
    <definedName name="DEPTOT18">#REF!</definedName>
    <definedName name="DEPTOT20" localSheetId="21">#REF!</definedName>
    <definedName name="DEPTOT20" localSheetId="2">#REF!</definedName>
    <definedName name="DEPTOT20" localSheetId="4">#REF!</definedName>
    <definedName name="DEPTOT20" localSheetId="3">#REF!</definedName>
    <definedName name="DEPTOT20" localSheetId="5">#REF!</definedName>
    <definedName name="DEPTOT20">#REF!</definedName>
    <definedName name="DEPTOT22" localSheetId="21">#REF!</definedName>
    <definedName name="DEPTOT22" localSheetId="2">#REF!</definedName>
    <definedName name="DEPTOT22" localSheetId="4">#REF!</definedName>
    <definedName name="DEPTOT22" localSheetId="3">#REF!</definedName>
    <definedName name="DEPTOT22" localSheetId="5">#REF!</definedName>
    <definedName name="DEPTOT22">#REF!</definedName>
    <definedName name="DEPTOT32" localSheetId="21">#REF!</definedName>
    <definedName name="DEPTOT32" localSheetId="2">#REF!</definedName>
    <definedName name="DEPTOT32" localSheetId="4">#REF!</definedName>
    <definedName name="DEPTOT32" localSheetId="3">#REF!</definedName>
    <definedName name="DEPTOT32" localSheetId="5">#REF!</definedName>
    <definedName name="DEPTOT32">#REF!</definedName>
    <definedName name="DEPTOT34" localSheetId="21">#REF!</definedName>
    <definedName name="DEPTOT34" localSheetId="2">#REF!</definedName>
    <definedName name="DEPTOT34" localSheetId="4">#REF!</definedName>
    <definedName name="DEPTOT34" localSheetId="3">#REF!</definedName>
    <definedName name="DEPTOT34" localSheetId="5">#REF!</definedName>
    <definedName name="DEPTOT34">#REF!</definedName>
    <definedName name="DEPTOT35" localSheetId="21">#REF!</definedName>
    <definedName name="DEPTOT35" localSheetId="2">#REF!</definedName>
    <definedName name="DEPTOT35" localSheetId="4">#REF!</definedName>
    <definedName name="DEPTOT35" localSheetId="3">#REF!</definedName>
    <definedName name="DEPTOT35" localSheetId="5">#REF!</definedName>
    <definedName name="DEPTOT35">#REF!</definedName>
    <definedName name="DEPTOT37" localSheetId="21">#REF!</definedName>
    <definedName name="DEPTOT37" localSheetId="2">#REF!</definedName>
    <definedName name="DEPTOT37" localSheetId="4">#REF!</definedName>
    <definedName name="DEPTOT37" localSheetId="3">#REF!</definedName>
    <definedName name="DEPTOT37" localSheetId="5">#REF!</definedName>
    <definedName name="DEPTOT37">#REF!</definedName>
    <definedName name="DEPTOT38" localSheetId="21">#REF!</definedName>
    <definedName name="DEPTOT38" localSheetId="2">#REF!</definedName>
    <definedName name="DEPTOT38" localSheetId="4">#REF!</definedName>
    <definedName name="DEPTOT38" localSheetId="3">#REF!</definedName>
    <definedName name="DEPTOT38" localSheetId="5">#REF!</definedName>
    <definedName name="DEPTOT38">#REF!</definedName>
    <definedName name="DEPTOT45" localSheetId="21">#REF!</definedName>
    <definedName name="DEPTOT45" localSheetId="2">#REF!</definedName>
    <definedName name="DEPTOT45" localSheetId="4">#REF!</definedName>
    <definedName name="DEPTOT45" localSheetId="3">#REF!</definedName>
    <definedName name="DEPTOT45" localSheetId="5">#REF!</definedName>
    <definedName name="DEPTOT45">#REF!</definedName>
    <definedName name="DEPTOT48" localSheetId="21">#REF!</definedName>
    <definedName name="DEPTOT48" localSheetId="2">#REF!</definedName>
    <definedName name="DEPTOT48" localSheetId="4">#REF!</definedName>
    <definedName name="DEPTOT48" localSheetId="3">#REF!</definedName>
    <definedName name="DEPTOT48" localSheetId="5">#REF!</definedName>
    <definedName name="DEPTOT48">#REF!</definedName>
    <definedName name="DEPTOT51" localSheetId="21">#REF!</definedName>
    <definedName name="DEPTOT51" localSheetId="2">#REF!</definedName>
    <definedName name="DEPTOT51" localSheetId="4">#REF!</definedName>
    <definedName name="DEPTOT51" localSheetId="3">#REF!</definedName>
    <definedName name="DEPTOT51" localSheetId="5">#REF!</definedName>
    <definedName name="DEPTOT51">#REF!</definedName>
    <definedName name="DEPTOT52" localSheetId="21">#REF!</definedName>
    <definedName name="DEPTOT52" localSheetId="2">#REF!</definedName>
    <definedName name="DEPTOT52" localSheetId="4">#REF!</definedName>
    <definedName name="DEPTOT52" localSheetId="3">#REF!</definedName>
    <definedName name="DEPTOT52" localSheetId="5">#REF!</definedName>
    <definedName name="DEPTOT52">#REF!</definedName>
    <definedName name="DEPTOT53" localSheetId="21">#REF!</definedName>
    <definedName name="DEPTOT53" localSheetId="2">#REF!</definedName>
    <definedName name="DEPTOT53" localSheetId="4">#REF!</definedName>
    <definedName name="DEPTOT53" localSheetId="3">#REF!</definedName>
    <definedName name="DEPTOT53" localSheetId="5">#REF!</definedName>
    <definedName name="DEPTOT53">#REF!</definedName>
    <definedName name="DIRBIL11" localSheetId="21">#REF!</definedName>
    <definedName name="DIRBIL11" localSheetId="2">#REF!</definedName>
    <definedName name="DIRBIL11" localSheetId="4">#REF!</definedName>
    <definedName name="DIRBIL11" localSheetId="3">#REF!</definedName>
    <definedName name="DIRBIL11" localSheetId="5">#REF!</definedName>
    <definedName name="DIRBIL11">#REF!</definedName>
    <definedName name="DIRBIL14" localSheetId="21">#REF!</definedName>
    <definedName name="DIRBIL14" localSheetId="2">#REF!</definedName>
    <definedName name="DIRBIL14" localSheetId="4">#REF!</definedName>
    <definedName name="DIRBIL14" localSheetId="3">#REF!</definedName>
    <definedName name="DIRBIL14" localSheetId="5">#REF!</definedName>
    <definedName name="DIRBIL14">#REF!</definedName>
    <definedName name="DIRBIL15" localSheetId="21">#REF!</definedName>
    <definedName name="DIRBIL15" localSheetId="2">#REF!</definedName>
    <definedName name="DIRBIL15" localSheetId="4">#REF!</definedName>
    <definedName name="DIRBIL15" localSheetId="3">#REF!</definedName>
    <definedName name="DIRBIL15" localSheetId="5">#REF!</definedName>
    <definedName name="DIRBIL15">#REF!</definedName>
    <definedName name="DIRBIL16" localSheetId="21">#REF!</definedName>
    <definedName name="DIRBIL16" localSheetId="2">#REF!</definedName>
    <definedName name="DIRBIL16" localSheetId="4">#REF!</definedName>
    <definedName name="DIRBIL16" localSheetId="3">#REF!</definedName>
    <definedName name="DIRBIL16" localSheetId="5">#REF!</definedName>
    <definedName name="DIRBIL16">#REF!</definedName>
    <definedName name="DIRBIL17" localSheetId="21">#REF!</definedName>
    <definedName name="DIRBIL17" localSheetId="2">#REF!</definedName>
    <definedName name="DIRBIL17" localSheetId="4">#REF!</definedName>
    <definedName name="DIRBIL17" localSheetId="3">#REF!</definedName>
    <definedName name="DIRBIL17" localSheetId="5">#REF!</definedName>
    <definedName name="DIRBIL17">#REF!</definedName>
    <definedName name="DIRBIL18" localSheetId="21">#REF!</definedName>
    <definedName name="DIRBIL18" localSheetId="2">#REF!</definedName>
    <definedName name="DIRBIL18" localSheetId="4">#REF!</definedName>
    <definedName name="DIRBIL18" localSheetId="3">#REF!</definedName>
    <definedName name="DIRBIL18" localSheetId="5">#REF!</definedName>
    <definedName name="DIRBIL18">#REF!</definedName>
    <definedName name="DIRBIL20" localSheetId="21">#REF!</definedName>
    <definedName name="DIRBIL20" localSheetId="2">#REF!</definedName>
    <definedName name="DIRBIL20" localSheetId="4">#REF!</definedName>
    <definedName name="DIRBIL20" localSheetId="3">#REF!</definedName>
    <definedName name="DIRBIL20" localSheetId="5">#REF!</definedName>
    <definedName name="DIRBIL20">#REF!</definedName>
    <definedName name="DIRBIL22" localSheetId="21">#REF!</definedName>
    <definedName name="DIRBIL22" localSheetId="2">#REF!</definedName>
    <definedName name="DIRBIL22" localSheetId="4">#REF!</definedName>
    <definedName name="DIRBIL22" localSheetId="3">#REF!</definedName>
    <definedName name="DIRBIL22" localSheetId="5">#REF!</definedName>
    <definedName name="DIRBIL22">#REF!</definedName>
    <definedName name="DIRBIL32" localSheetId="21">#REF!</definedName>
    <definedName name="DIRBIL32" localSheetId="2">#REF!</definedName>
    <definedName name="DIRBIL32" localSheetId="4">#REF!</definedName>
    <definedName name="DIRBIL32" localSheetId="3">#REF!</definedName>
    <definedName name="DIRBIL32" localSheetId="5">#REF!</definedName>
    <definedName name="DIRBIL32">#REF!</definedName>
    <definedName name="DIRBIL34" localSheetId="21">#REF!</definedName>
    <definedName name="DIRBIL34" localSheetId="2">#REF!</definedName>
    <definedName name="DIRBIL34" localSheetId="4">#REF!</definedName>
    <definedName name="DIRBIL34" localSheetId="3">#REF!</definedName>
    <definedName name="DIRBIL34" localSheetId="5">#REF!</definedName>
    <definedName name="DIRBIL34">#REF!</definedName>
    <definedName name="DIRBIL35" localSheetId="21">#REF!</definedName>
    <definedName name="DIRBIL35" localSheetId="2">#REF!</definedName>
    <definedName name="DIRBIL35" localSheetId="4">#REF!</definedName>
    <definedName name="DIRBIL35" localSheetId="3">#REF!</definedName>
    <definedName name="DIRBIL35" localSheetId="5">#REF!</definedName>
    <definedName name="DIRBIL35">#REF!</definedName>
    <definedName name="DIRBIL37" localSheetId="21">#REF!</definedName>
    <definedName name="DIRBIL37" localSheetId="2">#REF!</definedName>
    <definedName name="DIRBIL37" localSheetId="4">#REF!</definedName>
    <definedName name="DIRBIL37" localSheetId="3">#REF!</definedName>
    <definedName name="DIRBIL37" localSheetId="5">#REF!</definedName>
    <definedName name="DIRBIL37">#REF!</definedName>
    <definedName name="DIRBIL38" localSheetId="21">#REF!</definedName>
    <definedName name="DIRBIL38" localSheetId="2">#REF!</definedName>
    <definedName name="DIRBIL38" localSheetId="4">#REF!</definedName>
    <definedName name="DIRBIL38" localSheetId="3">#REF!</definedName>
    <definedName name="DIRBIL38" localSheetId="5">#REF!</definedName>
    <definedName name="DIRBIL38">#REF!</definedName>
    <definedName name="DIRBIL43" localSheetId="21">#REF!</definedName>
    <definedName name="DIRBIL43" localSheetId="2">#REF!</definedName>
    <definedName name="DIRBIL43" localSheetId="4">#REF!</definedName>
    <definedName name="DIRBIL43" localSheetId="3">#REF!</definedName>
    <definedName name="DIRBIL43" localSheetId="5">#REF!</definedName>
    <definedName name="DIRBIL43">#REF!</definedName>
    <definedName name="DIRBIL45" localSheetId="21">#REF!</definedName>
    <definedName name="DIRBIL45" localSheetId="2">#REF!</definedName>
    <definedName name="DIRBIL45" localSheetId="4">#REF!</definedName>
    <definedName name="DIRBIL45" localSheetId="3">#REF!</definedName>
    <definedName name="DIRBIL45" localSheetId="5">#REF!</definedName>
    <definedName name="DIRBIL45">#REF!</definedName>
    <definedName name="DIRBIL48" localSheetId="21">#REF!</definedName>
    <definedName name="DIRBIL48" localSheetId="2">#REF!</definedName>
    <definedName name="DIRBIL48" localSheetId="4">#REF!</definedName>
    <definedName name="DIRBIL48" localSheetId="3">#REF!</definedName>
    <definedName name="DIRBIL48" localSheetId="5">#REF!</definedName>
    <definedName name="DIRBIL48">#REF!</definedName>
    <definedName name="DIRBIL51" localSheetId="21">#REF!</definedName>
    <definedName name="DIRBIL51" localSheetId="2">#REF!</definedName>
    <definedName name="DIRBIL51" localSheetId="4">#REF!</definedName>
    <definedName name="DIRBIL51" localSheetId="3">#REF!</definedName>
    <definedName name="DIRBIL51" localSheetId="5">#REF!</definedName>
    <definedName name="DIRBIL51">#REF!</definedName>
    <definedName name="DIRBIL52" localSheetId="21">#REF!</definedName>
    <definedName name="DIRBIL52" localSheetId="2">#REF!</definedName>
    <definedName name="DIRBIL52" localSheetId="4">#REF!</definedName>
    <definedName name="DIRBIL52" localSheetId="3">#REF!</definedName>
    <definedName name="DIRBIL52" localSheetId="5">#REF!</definedName>
    <definedName name="DIRBIL52">#REF!</definedName>
    <definedName name="DIRBIL53" localSheetId="21">#REF!</definedName>
    <definedName name="DIRBIL53" localSheetId="2">#REF!</definedName>
    <definedName name="DIRBIL53" localSheetId="4">#REF!</definedName>
    <definedName name="DIRBIL53" localSheetId="3">#REF!</definedName>
    <definedName name="DIRBIL53" localSheetId="5">#REF!</definedName>
    <definedName name="DIRBIL53">#REF!</definedName>
    <definedName name="DISTINC" localSheetId="21">#REF!</definedName>
    <definedName name="DISTINC" localSheetId="2">#REF!</definedName>
    <definedName name="DISTINC" localSheetId="4">#REF!</definedName>
    <definedName name="DISTINC" localSheetId="3">#REF!</definedName>
    <definedName name="DISTINC" localSheetId="5">#REF!</definedName>
    <definedName name="DISTINC">#REF!</definedName>
    <definedName name="E_factor_amt">[6]Inputs!$B$32</definedName>
    <definedName name="EA">[6]Inputs!$B$8</definedName>
    <definedName name="ENDrate">'[12]END FXrates'!$B$4:$F$46</definedName>
    <definedName name="Enrolled">[6]Inputs!$B$5</definedName>
    <definedName name="EQUITY">[18]RORB!$A$25:$G$49</definedName>
    <definedName name="Est_Enrollment">[6]Inputs!$B$17</definedName>
    <definedName name="EXPDIST32" localSheetId="21">#REF!</definedName>
    <definedName name="EXPDIST32" localSheetId="2">#REF!</definedName>
    <definedName name="EXPDIST32" localSheetId="4">#REF!</definedName>
    <definedName name="EXPDIST32" localSheetId="3">#REF!</definedName>
    <definedName name="EXPDIST32" localSheetId="5">#REF!</definedName>
    <definedName name="EXPDIST32">#REF!</definedName>
    <definedName name="EXPDIST34" localSheetId="21">#REF!</definedName>
    <definedName name="EXPDIST34" localSheetId="2">#REF!</definedName>
    <definedName name="EXPDIST34" localSheetId="4">#REF!</definedName>
    <definedName name="EXPDIST34" localSheetId="3">#REF!</definedName>
    <definedName name="EXPDIST34" localSheetId="5">#REF!</definedName>
    <definedName name="EXPDIST34">#REF!</definedName>
    <definedName name="EXPDIST35" localSheetId="21">#REF!</definedName>
    <definedName name="EXPDIST35" localSheetId="2">#REF!</definedName>
    <definedName name="EXPDIST35" localSheetId="4">#REF!</definedName>
    <definedName name="EXPDIST35" localSheetId="3">#REF!</definedName>
    <definedName name="EXPDIST35" localSheetId="5">#REF!</definedName>
    <definedName name="EXPDIST35">#REF!</definedName>
    <definedName name="EXPDIST37" localSheetId="21">#REF!</definedName>
    <definedName name="EXPDIST37" localSheetId="2">#REF!</definedName>
    <definedName name="EXPDIST37" localSheetId="4">#REF!</definedName>
    <definedName name="EXPDIST37" localSheetId="3">#REF!</definedName>
    <definedName name="EXPDIST37" localSheetId="5">#REF!</definedName>
    <definedName name="EXPDIST37">#REF!</definedName>
    <definedName name="EXPDIST38" localSheetId="21">#REF!</definedName>
    <definedName name="EXPDIST38" localSheetId="2">#REF!</definedName>
    <definedName name="EXPDIST38" localSheetId="4">#REF!</definedName>
    <definedName name="EXPDIST38" localSheetId="3">#REF!</definedName>
    <definedName name="EXPDIST38" localSheetId="5">#REF!</definedName>
    <definedName name="EXPDIST38">#REF!</definedName>
    <definedName name="EXPENSES" localSheetId="21">#REF!</definedName>
    <definedName name="EXPENSES" localSheetId="2">#REF!</definedName>
    <definedName name="EXPENSES" localSheetId="4">#REF!</definedName>
    <definedName name="EXPENSES" localSheetId="3">#REF!</definedName>
    <definedName name="EXPENSES" localSheetId="5">#REF!</definedName>
    <definedName name="EXPENSES">#REF!</definedName>
    <definedName name="EXPFACTOR" localSheetId="21">#REF!</definedName>
    <definedName name="EXPFACTOR" localSheetId="2">#REF!</definedName>
    <definedName name="EXPFACTOR" localSheetId="4">#REF!</definedName>
    <definedName name="EXPFACTOR" localSheetId="3">#REF!</definedName>
    <definedName name="EXPFACTOR" localSheetId="5">#REF!</definedName>
    <definedName name="EXPFACTOR">#REF!</definedName>
    <definedName name="EXPPROD51" localSheetId="21">#REF!</definedName>
    <definedName name="EXPPROD51" localSheetId="2">#REF!</definedName>
    <definedName name="EXPPROD51" localSheetId="4">#REF!</definedName>
    <definedName name="EXPPROD51" localSheetId="3">#REF!</definedName>
    <definedName name="EXPPROD51" localSheetId="5">#REF!</definedName>
    <definedName name="EXPPROD51">#REF!</definedName>
    <definedName name="EXPTOT11" localSheetId="21">#REF!</definedName>
    <definedName name="EXPTOT11" localSheetId="2">#REF!</definedName>
    <definedName name="EXPTOT11" localSheetId="4">#REF!</definedName>
    <definedName name="EXPTOT11" localSheetId="3">#REF!</definedName>
    <definedName name="EXPTOT11" localSheetId="5">#REF!</definedName>
    <definedName name="EXPTOT11">#REF!</definedName>
    <definedName name="EXPTOT12" localSheetId="21">#REF!</definedName>
    <definedName name="EXPTOT12" localSheetId="2">#REF!</definedName>
    <definedName name="EXPTOT12" localSheetId="4">#REF!</definedName>
    <definedName name="EXPTOT12" localSheetId="3">#REF!</definedName>
    <definedName name="EXPTOT12" localSheetId="5">#REF!</definedName>
    <definedName name="EXPTOT12">#REF!</definedName>
    <definedName name="EXPTOT14" localSheetId="21">#REF!</definedName>
    <definedName name="EXPTOT14" localSheetId="2">#REF!</definedName>
    <definedName name="EXPTOT14" localSheetId="4">#REF!</definedName>
    <definedName name="EXPTOT14" localSheetId="3">#REF!</definedName>
    <definedName name="EXPTOT14" localSheetId="5">#REF!</definedName>
    <definedName name="EXPTOT14">#REF!</definedName>
    <definedName name="EXPTOT15" localSheetId="21">#REF!</definedName>
    <definedName name="EXPTOT15" localSheetId="2">#REF!</definedName>
    <definedName name="EXPTOT15" localSheetId="4">#REF!</definedName>
    <definedName name="EXPTOT15" localSheetId="3">#REF!</definedName>
    <definedName name="EXPTOT15" localSheetId="5">#REF!</definedName>
    <definedName name="EXPTOT15">#REF!</definedName>
    <definedName name="EXPTOT16" localSheetId="21">#REF!</definedName>
    <definedName name="EXPTOT16" localSheetId="2">#REF!</definedName>
    <definedName name="EXPTOT16" localSheetId="4">#REF!</definedName>
    <definedName name="EXPTOT16" localSheetId="3">#REF!</definedName>
    <definedName name="EXPTOT16" localSheetId="5">#REF!</definedName>
    <definedName name="EXPTOT16">#REF!</definedName>
    <definedName name="EXPTOT17" localSheetId="21">#REF!</definedName>
    <definedName name="EXPTOT17" localSheetId="2">#REF!</definedName>
    <definedName name="EXPTOT17" localSheetId="4">#REF!</definedName>
    <definedName name="EXPTOT17" localSheetId="3">#REF!</definedName>
    <definedName name="EXPTOT17" localSheetId="5">#REF!</definedName>
    <definedName name="EXPTOT17">#REF!</definedName>
    <definedName name="EXPTOT18" localSheetId="21">#REF!</definedName>
    <definedName name="EXPTOT18" localSheetId="2">#REF!</definedName>
    <definedName name="EXPTOT18" localSheetId="4">#REF!</definedName>
    <definedName name="EXPTOT18" localSheetId="3">#REF!</definedName>
    <definedName name="EXPTOT18" localSheetId="5">#REF!</definedName>
    <definedName name="EXPTOT18">#REF!</definedName>
    <definedName name="EXPTOT20" localSheetId="21">#REF!</definedName>
    <definedName name="EXPTOT20" localSheetId="2">#REF!</definedName>
    <definedName name="EXPTOT20" localSheetId="4">#REF!</definedName>
    <definedName name="EXPTOT20" localSheetId="3">#REF!</definedName>
    <definedName name="EXPTOT20" localSheetId="5">#REF!</definedName>
    <definedName name="EXPTOT20">#REF!</definedName>
    <definedName name="EXPTOT22" localSheetId="21">#REF!</definedName>
    <definedName name="EXPTOT22" localSheetId="2">#REF!</definedName>
    <definedName name="EXPTOT22" localSheetId="4">#REF!</definedName>
    <definedName name="EXPTOT22" localSheetId="3">#REF!</definedName>
    <definedName name="EXPTOT22" localSheetId="5">#REF!</definedName>
    <definedName name="EXPTOT22">#REF!</definedName>
    <definedName name="EXPTOT32" localSheetId="21">#REF!</definedName>
    <definedName name="EXPTOT32" localSheetId="2">#REF!</definedName>
    <definedName name="EXPTOT32" localSheetId="4">#REF!</definedName>
    <definedName name="EXPTOT32" localSheetId="3">#REF!</definedName>
    <definedName name="EXPTOT32" localSheetId="5">#REF!</definedName>
    <definedName name="EXPTOT32">#REF!</definedName>
    <definedName name="EXPTOT34" localSheetId="21">#REF!</definedName>
    <definedName name="EXPTOT34" localSheetId="2">#REF!</definedName>
    <definedName name="EXPTOT34" localSheetId="4">#REF!</definedName>
    <definedName name="EXPTOT34" localSheetId="3">#REF!</definedName>
    <definedName name="EXPTOT34" localSheetId="5">#REF!</definedName>
    <definedName name="EXPTOT34">#REF!</definedName>
    <definedName name="EXPTOT35" localSheetId="21">#REF!</definedName>
    <definedName name="EXPTOT35" localSheetId="2">#REF!</definedName>
    <definedName name="EXPTOT35" localSheetId="4">#REF!</definedName>
    <definedName name="EXPTOT35" localSheetId="3">#REF!</definedName>
    <definedName name="EXPTOT35" localSheetId="5">#REF!</definedName>
    <definedName name="EXPTOT35">#REF!</definedName>
    <definedName name="EXPTOT37" localSheetId="21">#REF!</definedName>
    <definedName name="EXPTOT37" localSheetId="2">#REF!</definedName>
    <definedName name="EXPTOT37" localSheetId="4">#REF!</definedName>
    <definedName name="EXPTOT37" localSheetId="3">#REF!</definedName>
    <definedName name="EXPTOT37" localSheetId="5">#REF!</definedName>
    <definedName name="EXPTOT37">#REF!</definedName>
    <definedName name="EXPTOT38" localSheetId="21">#REF!</definedName>
    <definedName name="EXPTOT38" localSheetId="2">#REF!</definedName>
    <definedName name="EXPTOT38" localSheetId="4">#REF!</definedName>
    <definedName name="EXPTOT38" localSheetId="3">#REF!</definedName>
    <definedName name="EXPTOT38" localSheetId="5">#REF!</definedName>
    <definedName name="EXPTOT38">#REF!</definedName>
    <definedName name="EXPTOT45" localSheetId="21">#REF!</definedName>
    <definedName name="EXPTOT45" localSheetId="2">#REF!</definedName>
    <definedName name="EXPTOT45" localSheetId="4">#REF!</definedName>
    <definedName name="EXPTOT45" localSheetId="3">#REF!</definedName>
    <definedName name="EXPTOT45" localSheetId="5">#REF!</definedName>
    <definedName name="EXPTOT45">#REF!</definedName>
    <definedName name="EXPTOT48" localSheetId="21">#REF!</definedName>
    <definedName name="EXPTOT48" localSheetId="2">#REF!</definedName>
    <definedName name="EXPTOT48" localSheetId="4">#REF!</definedName>
    <definedName name="EXPTOT48" localSheetId="3">#REF!</definedName>
    <definedName name="EXPTOT48" localSheetId="5">#REF!</definedName>
    <definedName name="EXPTOT48">#REF!</definedName>
    <definedName name="EXPTOT51" localSheetId="21">#REF!</definedName>
    <definedName name="EXPTOT51" localSheetId="2">#REF!</definedName>
    <definedName name="EXPTOT51" localSheetId="4">#REF!</definedName>
    <definedName name="EXPTOT51" localSheetId="3">#REF!</definedName>
    <definedName name="EXPTOT51" localSheetId="5">#REF!</definedName>
    <definedName name="EXPTOT51">#REF!</definedName>
    <definedName name="EXPTOT52" localSheetId="21">#REF!</definedName>
    <definedName name="EXPTOT52" localSheetId="2">#REF!</definedName>
    <definedName name="EXPTOT52" localSheetId="4">#REF!</definedName>
    <definedName name="EXPTOT52" localSheetId="3">#REF!</definedName>
    <definedName name="EXPTOT52" localSheetId="5">#REF!</definedName>
    <definedName name="EXPTOT52">#REF!</definedName>
    <definedName name="EXPTOT53" localSheetId="21">#REF!</definedName>
    <definedName name="EXPTOT53" localSheetId="2">#REF!</definedName>
    <definedName name="EXPTOT53" localSheetId="4">#REF!</definedName>
    <definedName name="EXPTOT53" localSheetId="3">#REF!</definedName>
    <definedName name="EXPTOT53" localSheetId="5">#REF!</definedName>
    <definedName name="EXPTOT53">#REF!</definedName>
    <definedName name="EXPTRAN14" localSheetId="21">#REF!</definedName>
    <definedName name="EXPTRAN14" localSheetId="2">#REF!</definedName>
    <definedName name="EXPTRAN14" localSheetId="4">#REF!</definedName>
    <definedName name="EXPTRAN14" localSheetId="3">#REF!</definedName>
    <definedName name="EXPTRAN14" localSheetId="5">#REF!</definedName>
    <definedName name="EXPTRAN14">#REF!</definedName>
    <definedName name="EXPTRAN51" localSheetId="21">#REF!</definedName>
    <definedName name="EXPTRAN51" localSheetId="2">#REF!</definedName>
    <definedName name="EXPTRAN51" localSheetId="4">#REF!</definedName>
    <definedName name="EXPTRAN51" localSheetId="3">#REF!</definedName>
    <definedName name="EXPTRAN51" localSheetId="5">#REF!</definedName>
    <definedName name="EXPTRAN51">#REF!</definedName>
    <definedName name="FADIST32" localSheetId="21">#REF!</definedName>
    <definedName name="FADIST32" localSheetId="2">#REF!</definedName>
    <definedName name="FADIST32" localSheetId="4">#REF!</definedName>
    <definedName name="FADIST32" localSheetId="3">#REF!</definedName>
    <definedName name="FADIST32" localSheetId="5">#REF!</definedName>
    <definedName name="FADIST32">#REF!</definedName>
    <definedName name="FADIST34" localSheetId="21">#REF!</definedName>
    <definedName name="FADIST34" localSheetId="2">#REF!</definedName>
    <definedName name="FADIST34" localSheetId="4">#REF!</definedName>
    <definedName name="FADIST34" localSheetId="3">#REF!</definedName>
    <definedName name="FADIST34" localSheetId="5">#REF!</definedName>
    <definedName name="FADIST34">#REF!</definedName>
    <definedName name="FADIST35" localSheetId="21">#REF!</definedName>
    <definedName name="FADIST35" localSheetId="2">#REF!</definedName>
    <definedName name="FADIST35" localSheetId="4">#REF!</definedName>
    <definedName name="FADIST35" localSheetId="3">#REF!</definedName>
    <definedName name="FADIST35" localSheetId="5">#REF!</definedName>
    <definedName name="FADIST35">#REF!</definedName>
    <definedName name="FADIST37" localSheetId="21">#REF!</definedName>
    <definedName name="FADIST37" localSheetId="2">#REF!</definedName>
    <definedName name="FADIST37" localSheetId="4">#REF!</definedName>
    <definedName name="FADIST37" localSheetId="3">#REF!</definedName>
    <definedName name="FADIST37" localSheetId="5">#REF!</definedName>
    <definedName name="FADIST37">#REF!</definedName>
    <definedName name="FADIST38" localSheetId="21">#REF!</definedName>
    <definedName name="FADIST38" localSheetId="2">#REF!</definedName>
    <definedName name="FADIST38" localSheetId="4">#REF!</definedName>
    <definedName name="FADIST38" localSheetId="3">#REF!</definedName>
    <definedName name="FADIST38" localSheetId="5">#REF!</definedName>
    <definedName name="FADIST38">#REF!</definedName>
    <definedName name="FADSIT37" localSheetId="21">#REF!</definedName>
    <definedName name="FADSIT37" localSheetId="2">#REF!</definedName>
    <definedName name="FADSIT37" localSheetId="4">#REF!</definedName>
    <definedName name="FADSIT37" localSheetId="3">#REF!</definedName>
    <definedName name="FADSIT37" localSheetId="5">#REF!</definedName>
    <definedName name="FADSIT37">#REF!</definedName>
    <definedName name="FAPROD51" localSheetId="21">#REF!</definedName>
    <definedName name="FAPROD51" localSheetId="2">#REF!</definedName>
    <definedName name="FAPROD51" localSheetId="4">#REF!</definedName>
    <definedName name="FAPROD51" localSheetId="3">#REF!</definedName>
    <definedName name="FAPROD51" localSheetId="5">#REF!</definedName>
    <definedName name="FAPROD51">#REF!</definedName>
    <definedName name="FATOT11" localSheetId="21">#REF!</definedName>
    <definedName name="FATOT11" localSheetId="2">#REF!</definedName>
    <definedName name="FATOT11" localSheetId="4">#REF!</definedName>
    <definedName name="FATOT11" localSheetId="3">#REF!</definedName>
    <definedName name="FATOT11" localSheetId="5">#REF!</definedName>
    <definedName name="FATOT11">#REF!</definedName>
    <definedName name="FATOT12" localSheetId="21">#REF!</definedName>
    <definedName name="FATOT12" localSheetId="2">#REF!</definedName>
    <definedName name="FATOT12" localSheetId="4">#REF!</definedName>
    <definedName name="FATOT12" localSheetId="3">#REF!</definedName>
    <definedName name="FATOT12" localSheetId="5">#REF!</definedName>
    <definedName name="FATOT12">#REF!</definedName>
    <definedName name="FATOT14" localSheetId="21">#REF!</definedName>
    <definedName name="FATOT14" localSheetId="2">#REF!</definedName>
    <definedName name="FATOT14" localSheetId="4">#REF!</definedName>
    <definedName name="FATOT14" localSheetId="3">#REF!</definedName>
    <definedName name="FATOT14" localSheetId="5">#REF!</definedName>
    <definedName name="FATOT14">#REF!</definedName>
    <definedName name="FATOT15" localSheetId="21">#REF!</definedName>
    <definedName name="FATOT15" localSheetId="2">#REF!</definedName>
    <definedName name="FATOT15" localSheetId="4">#REF!</definedName>
    <definedName name="FATOT15" localSheetId="3">#REF!</definedName>
    <definedName name="FATOT15" localSheetId="5">#REF!</definedName>
    <definedName name="FATOT15">#REF!</definedName>
    <definedName name="FATOT16" localSheetId="21">#REF!</definedName>
    <definedName name="FATOT16" localSheetId="2">#REF!</definedName>
    <definedName name="FATOT16" localSheetId="4">#REF!</definedName>
    <definedName name="FATOT16" localSheetId="3">#REF!</definedName>
    <definedName name="FATOT16" localSheetId="5">#REF!</definedName>
    <definedName name="FATOT16">#REF!</definedName>
    <definedName name="FATOT17" localSheetId="21">#REF!</definedName>
    <definedName name="FATOT17" localSheetId="2">#REF!</definedName>
    <definedName name="FATOT17" localSheetId="4">#REF!</definedName>
    <definedName name="FATOT17" localSheetId="3">#REF!</definedName>
    <definedName name="FATOT17" localSheetId="5">#REF!</definedName>
    <definedName name="FATOT17">#REF!</definedName>
    <definedName name="FATOT18" localSheetId="21">#REF!</definedName>
    <definedName name="FATOT18" localSheetId="2">#REF!</definedName>
    <definedName name="FATOT18" localSheetId="4">#REF!</definedName>
    <definedName name="FATOT18" localSheetId="3">#REF!</definedName>
    <definedName name="FATOT18" localSheetId="5">#REF!</definedName>
    <definedName name="FATOT18">#REF!</definedName>
    <definedName name="FATOT20" localSheetId="21">#REF!</definedName>
    <definedName name="FATOT20" localSheetId="2">#REF!</definedName>
    <definedName name="FATOT20" localSheetId="4">#REF!</definedName>
    <definedName name="FATOT20" localSheetId="3">#REF!</definedName>
    <definedName name="FATOT20" localSheetId="5">#REF!</definedName>
    <definedName name="FATOT20">#REF!</definedName>
    <definedName name="FATOT22" localSheetId="21">#REF!</definedName>
    <definedName name="FATOT22" localSheetId="2">#REF!</definedName>
    <definedName name="FATOT22" localSheetId="4">#REF!</definedName>
    <definedName name="FATOT22" localSheetId="3">#REF!</definedName>
    <definedName name="FATOT22" localSheetId="5">#REF!</definedName>
    <definedName name="FATOT22">#REF!</definedName>
    <definedName name="FATOT32" localSheetId="21">#REF!</definedName>
    <definedName name="FATOT32" localSheetId="2">#REF!</definedName>
    <definedName name="FATOT32" localSheetId="4">#REF!</definedName>
    <definedName name="FATOT32" localSheetId="3">#REF!</definedName>
    <definedName name="FATOT32" localSheetId="5">#REF!</definedName>
    <definedName name="FATOT32">#REF!</definedName>
    <definedName name="FATOT34" localSheetId="21">#REF!</definedName>
    <definedName name="FATOT34" localSheetId="2">#REF!</definedName>
    <definedName name="FATOT34" localSheetId="4">#REF!</definedName>
    <definedName name="FATOT34" localSheetId="3">#REF!</definedName>
    <definedName name="FATOT34" localSheetId="5">#REF!</definedName>
    <definedName name="FATOT34">#REF!</definedName>
    <definedName name="FATOT35" localSheetId="21">#REF!</definedName>
    <definedName name="FATOT35" localSheetId="2">#REF!</definedName>
    <definedName name="FATOT35" localSheetId="4">#REF!</definedName>
    <definedName name="FATOT35" localSheetId="3">#REF!</definedName>
    <definedName name="FATOT35" localSheetId="5">#REF!</definedName>
    <definedName name="FATOT35">#REF!</definedName>
    <definedName name="FATOT37" localSheetId="21">#REF!</definedName>
    <definedName name="FATOT37" localSheetId="2">#REF!</definedName>
    <definedName name="FATOT37" localSheetId="4">#REF!</definedName>
    <definedName name="FATOT37" localSheetId="3">#REF!</definedName>
    <definedName name="FATOT37" localSheetId="5">#REF!</definedName>
    <definedName name="FATOT37">#REF!</definedName>
    <definedName name="FATOT38" localSheetId="21">#REF!</definedName>
    <definedName name="FATOT38" localSheetId="2">#REF!</definedName>
    <definedName name="FATOT38" localSheetId="4">#REF!</definedName>
    <definedName name="FATOT38" localSheetId="3">#REF!</definedName>
    <definedName name="FATOT38" localSheetId="5">#REF!</definedName>
    <definedName name="FATOT38">#REF!</definedName>
    <definedName name="fatot45" localSheetId="21">#REF!</definedName>
    <definedName name="fatot45" localSheetId="2">#REF!</definedName>
    <definedName name="fatot45" localSheetId="4">#REF!</definedName>
    <definedName name="fatot45" localSheetId="3">#REF!</definedName>
    <definedName name="fatot45" localSheetId="5">#REF!</definedName>
    <definedName name="fatot45">#REF!</definedName>
    <definedName name="FATOT48" localSheetId="21">#REF!</definedName>
    <definedName name="FATOT48" localSheetId="2">#REF!</definedName>
    <definedName name="FATOT48" localSheetId="4">#REF!</definedName>
    <definedName name="FATOT48" localSheetId="3">#REF!</definedName>
    <definedName name="FATOT48" localSheetId="5">#REF!</definedName>
    <definedName name="FATOT48">#REF!</definedName>
    <definedName name="FATOT51" localSheetId="21">#REF!</definedName>
    <definedName name="FATOT51" localSheetId="2">#REF!</definedName>
    <definedName name="FATOT51" localSheetId="4">#REF!</definedName>
    <definedName name="FATOT51" localSheetId="3">#REF!</definedName>
    <definedName name="FATOT51" localSheetId="5">#REF!</definedName>
    <definedName name="FATOT51">#REF!</definedName>
    <definedName name="FATOT52" localSheetId="21">#REF!</definedName>
    <definedName name="FATOT52" localSheetId="2">#REF!</definedName>
    <definedName name="FATOT52" localSheetId="4">#REF!</definedName>
    <definedName name="FATOT52" localSheetId="3">#REF!</definedName>
    <definedName name="FATOT52" localSheetId="5">#REF!</definedName>
    <definedName name="FATOT52">#REF!</definedName>
    <definedName name="FATOT53" localSheetId="21">#REF!</definedName>
    <definedName name="FATOT53" localSheetId="2">#REF!</definedName>
    <definedName name="FATOT53" localSheetId="4">#REF!</definedName>
    <definedName name="FATOT53" localSheetId="3">#REF!</definedName>
    <definedName name="FATOT53" localSheetId="5">#REF!</definedName>
    <definedName name="FATOT53">#REF!</definedName>
    <definedName name="FATRAN14" localSheetId="21">#REF!</definedName>
    <definedName name="FATRAN14" localSheetId="2">#REF!</definedName>
    <definedName name="FATRAN14" localSheetId="4">#REF!</definedName>
    <definedName name="FATRAN14" localSheetId="3">#REF!</definedName>
    <definedName name="FATRAN14" localSheetId="5">#REF!</definedName>
    <definedName name="FATRAN14">#REF!</definedName>
    <definedName name="FATRAN51" localSheetId="21">#REF!</definedName>
    <definedName name="FATRAN51" localSheetId="2">#REF!</definedName>
    <definedName name="FATRAN51" localSheetId="4">#REF!</definedName>
    <definedName name="FATRAN51" localSheetId="3">#REF!</definedName>
    <definedName name="FATRAN51" localSheetId="5">#REF!</definedName>
    <definedName name="FATRAN51">#REF!</definedName>
    <definedName name="FICA">[19]Sheet1!$A$2:$R$48</definedName>
    <definedName name="FindRef">OFFSET('[9]% Invoice'!$A$1,0,0,COUNTA('[9]% Invoice'!$A$1:$A$65536),1)</definedName>
    <definedName name="For_the_12_Months_Ended_May_31__2012" localSheetId="21">#REF!</definedName>
    <definedName name="For_the_12_Months_Ended_May_31__2012" localSheetId="2">#REF!</definedName>
    <definedName name="For_the_12_Months_Ended_May_31__2012" localSheetId="4">#REF!</definedName>
    <definedName name="For_the_12_Months_Ended_May_31__2012" localSheetId="3">#REF!</definedName>
    <definedName name="For_the_12_Months_Ended_May_31__2012" localSheetId="5">#REF!</definedName>
    <definedName name="For_the_12_Months_Ended_May_31__2012">#REF!</definedName>
    <definedName name="FUELCOST" localSheetId="21">#REF!</definedName>
    <definedName name="FUELCOST" localSheetId="2">#REF!</definedName>
    <definedName name="FUELCOST" localSheetId="4">#REF!</definedName>
    <definedName name="FUELCOST" localSheetId="3">#REF!</definedName>
    <definedName name="FUELCOST" localSheetId="5">#REF!</definedName>
    <definedName name="FUELCOST">#REF!</definedName>
    <definedName name="FY" localSheetId="21">[17]Sch2!#REF!</definedName>
    <definedName name="FY" localSheetId="2">[17]Sch2!#REF!</definedName>
    <definedName name="FY" localSheetId="4">[17]Sch2!#REF!</definedName>
    <definedName name="FY" localSheetId="3">[17]Sch2!#REF!</definedName>
    <definedName name="FY" localSheetId="5">[17]Sch2!#REF!</definedName>
    <definedName name="FY">[17]Sch2!#REF!</definedName>
    <definedName name="FYDESC" localSheetId="21">#REF!</definedName>
    <definedName name="FYDESC" localSheetId="2">#REF!</definedName>
    <definedName name="FYDESC" localSheetId="4">#REF!</definedName>
    <definedName name="FYDESC" localSheetId="3">#REF!</definedName>
    <definedName name="FYDESC" localSheetId="5">#REF!</definedName>
    <definedName name="FYDESC">#REF!</definedName>
    <definedName name="GARY" localSheetId="21">#REF!</definedName>
    <definedName name="GARY" localSheetId="2">#REF!</definedName>
    <definedName name="GARY" localSheetId="4">#REF!</definedName>
    <definedName name="GARY" localSheetId="3">#REF!</definedName>
    <definedName name="GARY" localSheetId="5">#REF!</definedName>
    <definedName name="GARY">#REF!</definedName>
    <definedName name="GASNOTE" localSheetId="21">#REF!</definedName>
    <definedName name="GASNOTE" localSheetId="2">#REF!</definedName>
    <definedName name="GASNOTE" localSheetId="4">#REF!</definedName>
    <definedName name="GASNOTE" localSheetId="3">#REF!</definedName>
    <definedName name="GASNOTE" localSheetId="5">#REF!</definedName>
    <definedName name="GASNOTE">#REF!</definedName>
    <definedName name="Grade">[14]Assumptions!$J$8:$J$21</definedName>
    <definedName name="HEAD" localSheetId="21">#REF!</definedName>
    <definedName name="HEAD" localSheetId="2">#REF!</definedName>
    <definedName name="HEAD" localSheetId="4">#REF!</definedName>
    <definedName name="HEAD" localSheetId="3">#REF!</definedName>
    <definedName name="HEAD" localSheetId="5">#REF!</definedName>
    <definedName name="HEAD">#REF!</definedName>
    <definedName name="header" localSheetId="21">#REF!</definedName>
    <definedName name="header" localSheetId="2">#REF!</definedName>
    <definedName name="header" localSheetId="4">#REF!</definedName>
    <definedName name="header" localSheetId="3">#REF!</definedName>
    <definedName name="header" localSheetId="5">#REF!</definedName>
    <definedName name="header">#REF!</definedName>
    <definedName name="HoursPerDay">7.5</definedName>
    <definedName name="ht" hidden="1">{"'Server Configuration'!$A$1:$DB$281"}</definedName>
    <definedName name="HTML_CodePage" hidden="1">1252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Ibaselineunits">'[13]L Graph (Data)'!$A$71:$DS$84</definedName>
    <definedName name="IMFILE" localSheetId="21">#REF!</definedName>
    <definedName name="IMFILE" localSheetId="2">#REF!</definedName>
    <definedName name="IMFILE" localSheetId="4">#REF!</definedName>
    <definedName name="IMFILE" localSheetId="3">#REF!</definedName>
    <definedName name="IMFILE" localSheetId="5">#REF!</definedName>
    <definedName name="IMFILE">#REF!</definedName>
    <definedName name="INPUT">Input!$A$1:$O$694</definedName>
    <definedName name="Inputbase" localSheetId="21">'[7]A (Input) Inv MO Service Charge'!#REF!</definedName>
    <definedName name="Inputbase" localSheetId="2">'[7]A (Input) Inv MO Service Charge'!#REF!</definedName>
    <definedName name="Inputbase" localSheetId="4">'[7]A (Input) Inv MO Service Charge'!#REF!</definedName>
    <definedName name="Inputbase" localSheetId="3">'[7]A (Input) Inv MO Service Charge'!#REF!</definedName>
    <definedName name="Inputbase" localSheetId="5">'[7]A (Input) Inv MO Service Charge'!#REF!</definedName>
    <definedName name="Inputbase">'[7]A (Input) Inv MO Service Charge'!#REF!</definedName>
    <definedName name="INTCO" localSheetId="21">#REF!</definedName>
    <definedName name="INTCO" localSheetId="2">#REF!</definedName>
    <definedName name="INTCO" localSheetId="4">#REF!</definedName>
    <definedName name="INTCO" localSheetId="3">#REF!</definedName>
    <definedName name="INTCO" localSheetId="5">#REF!</definedName>
    <definedName name="INTCO">#REF!</definedName>
    <definedName name="IRefbase">'[7]L Graph (Data)'!$A$113:$DS$126</definedName>
    <definedName name="Irefbaseunits">'[13]L Graph (Data)'!$A$109:$DS$125</definedName>
    <definedName name="ITARCRRCCHARGE">'[8]L Graph (Data)'!$A$187:$DS$233</definedName>
    <definedName name="ITbasefee">'[8]L Graph (Data)'!$A$49:$DS$60</definedName>
    <definedName name="ITbaseRUFee">'[8]L Graph (Data)'!$A$239:$DS$286</definedName>
    <definedName name="ITbinputsumru">'[8]L Graph (Data)'!$A$81:$DS$128</definedName>
    <definedName name="ITbinputvol">'[8]L Graph (Data)'!$A$19:$DS$30</definedName>
    <definedName name="ITCinputvol">'[8]L Graph (Data)'!$A$34:$DS$45</definedName>
    <definedName name="ITIbaselineunits">'[8]L Graph (Data)'!$A$63:$DS$74</definedName>
    <definedName name="ITNetArcCharge">'[8]L Graph (Data)'!$A$293:$DS$339</definedName>
    <definedName name="ITnetservfee">'[8]L Graph (Data)'!$A$344:$DS$355</definedName>
    <definedName name="ITrefbaselineunits">'[8]L Graph (Data)'!$A$132:$DS$181</definedName>
    <definedName name="LABOR" localSheetId="21">#REF!</definedName>
    <definedName name="LABOR" localSheetId="2">#REF!</definedName>
    <definedName name="LABOR" localSheetId="4">#REF!</definedName>
    <definedName name="LABOR" localSheetId="3">#REF!</definedName>
    <definedName name="LABOR" localSheetId="5">#REF!</definedName>
    <definedName name="LABOR">#REF!</definedName>
    <definedName name="licenseduration" localSheetId="21">#REF!</definedName>
    <definedName name="licenseduration" localSheetId="2">#REF!</definedName>
    <definedName name="licenseduration" localSheetId="4">#REF!</definedName>
    <definedName name="licenseduration" localSheetId="3">#REF!</definedName>
    <definedName name="licenseduration" localSheetId="5">#REF!</definedName>
    <definedName name="licenseduration">#REF!</definedName>
    <definedName name="licensescope" localSheetId="21">#REF!</definedName>
    <definedName name="licensescope" localSheetId="2">#REF!</definedName>
    <definedName name="licensescope" localSheetId="4">#REF!</definedName>
    <definedName name="licensescope" localSheetId="3">#REF!</definedName>
    <definedName name="licensescope" localSheetId="5">#REF!</definedName>
    <definedName name="licensescope">#REF!</definedName>
    <definedName name="LOBBYING" localSheetId="21">#REF!</definedName>
    <definedName name="LOBBYING" localSheetId="2">#REF!</definedName>
    <definedName name="LOBBYING" localSheetId="4">#REF!</definedName>
    <definedName name="LOBBYING" localSheetId="3">#REF!</definedName>
    <definedName name="LOBBYING" localSheetId="5">#REF!</definedName>
    <definedName name="LOBBYING">#REF!</definedName>
    <definedName name="lookup">'[20]Input Sheet'!$A$9:$BM$140</definedName>
    <definedName name="mktcomp" localSheetId="21">#REF!</definedName>
    <definedName name="mktcomp" localSheetId="2">#REF!</definedName>
    <definedName name="mktcomp" localSheetId="4">#REF!</definedName>
    <definedName name="mktcomp" localSheetId="3">#REF!</definedName>
    <definedName name="mktcomp" localSheetId="5">#REF!</definedName>
    <definedName name="mktcomp">#REF!</definedName>
    <definedName name="mktfin2" localSheetId="21">#REF!</definedName>
    <definedName name="mktfin2" localSheetId="2">#REF!</definedName>
    <definedName name="mktfin2" localSheetId="4">#REF!</definedName>
    <definedName name="mktfin2" localSheetId="3">#REF!</definedName>
    <definedName name="mktfin2" localSheetId="5">#REF!</definedName>
    <definedName name="mktfin2">#REF!</definedName>
    <definedName name="mktfin3" localSheetId="21">#REF!</definedName>
    <definedName name="mktfin3" localSheetId="2">#REF!</definedName>
    <definedName name="mktfin3" localSheetId="4">#REF!</definedName>
    <definedName name="mktfin3" localSheetId="3">#REF!</definedName>
    <definedName name="mktfin3" localSheetId="5">#REF!</definedName>
    <definedName name="mktfin3">#REF!</definedName>
    <definedName name="mktfin6" localSheetId="21">#REF!</definedName>
    <definedName name="mktfin6" localSheetId="2">#REF!</definedName>
    <definedName name="mktfin6" localSheetId="4">#REF!</definedName>
    <definedName name="mktfin6" localSheetId="3">#REF!</definedName>
    <definedName name="mktfin6" localSheetId="5">#REF!</definedName>
    <definedName name="mktfin6">#REF!</definedName>
    <definedName name="mktpage4" localSheetId="21">#REF!</definedName>
    <definedName name="mktpage4" localSheetId="2">#REF!</definedName>
    <definedName name="mktpage4" localSheetId="4">#REF!</definedName>
    <definedName name="mktpage4" localSheetId="3">#REF!</definedName>
    <definedName name="mktpage4" localSheetId="5">#REF!</definedName>
    <definedName name="mktpage4">#REF!</definedName>
    <definedName name="MKTPRODUCT" localSheetId="21">#REF!</definedName>
    <definedName name="MKTPRODUCT" localSheetId="2">#REF!</definedName>
    <definedName name="MKTPRODUCT" localSheetId="4">#REF!</definedName>
    <definedName name="MKTPRODUCT" localSheetId="3">#REF!</definedName>
    <definedName name="MKTPRODUCT" localSheetId="5">#REF!</definedName>
    <definedName name="MKTPRODUCT">#REF!</definedName>
    <definedName name="NEBT" localSheetId="21">#REF!</definedName>
    <definedName name="NEBT" localSheetId="2">#REF!</definedName>
    <definedName name="NEBT" localSheetId="4">#REF!</definedName>
    <definedName name="NEBT" localSheetId="3">#REF!</definedName>
    <definedName name="NEBT" localSheetId="5">#REF!</definedName>
    <definedName name="NEBT">#REF!</definedName>
    <definedName name="NEWFILE" localSheetId="21">#REF!</definedName>
    <definedName name="NEWFILE" localSheetId="2">#REF!</definedName>
    <definedName name="NEWFILE" localSheetId="4">#REF!</definedName>
    <definedName name="NEWFILE" localSheetId="3">#REF!</definedName>
    <definedName name="NEWFILE" localSheetId="5">#REF!</definedName>
    <definedName name="NEWFILE">#REF!</definedName>
    <definedName name="NJANG" localSheetId="21">#REF!</definedName>
    <definedName name="NJANG" localSheetId="2">#REF!</definedName>
    <definedName name="NJANG" localSheetId="4">#REF!</definedName>
    <definedName name="NJANG" localSheetId="3">#REF!</definedName>
    <definedName name="NJANG" localSheetId="5">#REF!</definedName>
    <definedName name="NJANG">#REF!</definedName>
    <definedName name="NJDIST" localSheetId="21">#REF!</definedName>
    <definedName name="NJDIST" localSheetId="2">#REF!</definedName>
    <definedName name="NJDIST" localSheetId="4">#REF!</definedName>
    <definedName name="NJDIST" localSheetId="3">#REF!</definedName>
    <definedName name="NJDIST" localSheetId="5">#REF!</definedName>
    <definedName name="NJDIST">#REF!</definedName>
    <definedName name="No." localSheetId="21">#REF!</definedName>
    <definedName name="No." localSheetId="2">#REF!</definedName>
    <definedName name="No." localSheetId="4">#REF!</definedName>
    <definedName name="No." localSheetId="3">#REF!</definedName>
    <definedName name="No." localSheetId="5">#REF!</definedName>
    <definedName name="No.">#REF!</definedName>
    <definedName name="nousf" localSheetId="21">#REF!</definedName>
    <definedName name="nousf" localSheetId="2">#REF!</definedName>
    <definedName name="nousf" localSheetId="4">#REF!</definedName>
    <definedName name="nousf" localSheetId="3">#REF!</definedName>
    <definedName name="nousf" localSheetId="5">#REF!</definedName>
    <definedName name="nousf">#REF!</definedName>
    <definedName name="NPM" localSheetId="21">#REF!</definedName>
    <definedName name="NPM" localSheetId="2">#REF!</definedName>
    <definedName name="NPM" localSheetId="4">#REF!</definedName>
    <definedName name="NPM" localSheetId="3">#REF!</definedName>
    <definedName name="NPM" localSheetId="5">#REF!</definedName>
    <definedName name="NPM">#REF!</definedName>
    <definedName name="NvsAnswerCol">"'[PYR_SVC_BLUERI_AP IMAGES.xls]AVG FXrates'!$A$4:$A$21"</definedName>
    <definedName name="NvsASD">"V2007-09-30"</definedName>
    <definedName name="NvsAutoDrillOk">"VN"</definedName>
    <definedName name="NvsElapsedTime">0.000219907407881692</definedName>
    <definedName name="NvsEndTime">39363.4914467593</definedName>
    <definedName name="NvsInstanceHook" localSheetId="21">#REF!='[21]September Travel Detail'!#REF!</definedName>
    <definedName name="NvsInstanceHook" localSheetId="2">#REF!='[21]September Travel Detail'!#REF!</definedName>
    <definedName name="NvsInstanceHook" localSheetId="4">#REF!='[21]September Travel Detail'!#REF!</definedName>
    <definedName name="NvsInstanceHook" localSheetId="3">#REF!='[21]September Travel Detail'!#REF!</definedName>
    <definedName name="NvsInstanceHook" localSheetId="5">#REF!='[21]September Travel Detail'!#REF!</definedName>
    <definedName name="NvsInstanceHook">#REF!='[21]September Travel Detail'!#REF!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"V2099-01-01"</definedName>
    <definedName name="NvsPanelSetid">"VSHARE"</definedName>
    <definedName name="NvsParentRef">"'[PYR_SVC_BLUERI_BS-1003.xls]Balance Sheet'!$I$13"</definedName>
    <definedName name="NvsReqBU">"V00012"</definedName>
    <definedName name="NvsReqBUOnly">"VY"</definedName>
    <definedName name="NvsStyleNme">"NiSource Corporate.xls"</definedName>
    <definedName name="NvsTransLed">"VN"</definedName>
    <definedName name="NvsTreeASD">"V2007-09-30"</definedName>
    <definedName name="NvsValTbl.ACCOUNT">"GL_ACCOUNT_TBL"</definedName>
    <definedName name="NvsValTbl.BUSINESS_UNIT">"BUS_UNIT_TBL_GL"</definedName>
    <definedName name="NvsValTbl.CURRENCY_CD">"CURRENCY_CD_TBL"</definedName>
    <definedName name="NvsValTbl.DEPTID">"DEPARTMENT_TBL"</definedName>
    <definedName name="NvsValTbl.LEDGER">"LED_DEFN_TBL"</definedName>
    <definedName name="NvsValTbl.PRODUCT">"PRODUCT_TBL"</definedName>
    <definedName name="NvsValTbl.PROGRAM_CODE">"PROGRAM_TBL"</definedName>
    <definedName name="NvsValTbl.SCENARIO">"BD_SCENARIO_TBL"</definedName>
    <definedName name="OPEB_Credit">[6]Inputs!$B$34</definedName>
    <definedName name="OTHERTAX" localSheetId="21">#REF!</definedName>
    <definedName name="OTHERTAX" localSheetId="2">#REF!</definedName>
    <definedName name="OTHERTAX" localSheetId="4">#REF!</definedName>
    <definedName name="OTHERTAX" localSheetId="3">#REF!</definedName>
    <definedName name="OTHERTAX" localSheetId="5">#REF!</definedName>
    <definedName name="OTHERTAX">#REF!</definedName>
    <definedName name="OTPAY" localSheetId="21">#REF!</definedName>
    <definedName name="OTPAY" localSheetId="2">#REF!</definedName>
    <definedName name="OTPAY" localSheetId="4">#REF!</definedName>
    <definedName name="OTPAY" localSheetId="3">#REF!</definedName>
    <definedName name="OTPAY" localSheetId="5">#REF!</definedName>
    <definedName name="OTPAY">#REF!</definedName>
    <definedName name="PAGE_" localSheetId="21">#REF!</definedName>
    <definedName name="PAGE_" localSheetId="2">#REF!</definedName>
    <definedName name="PAGE_" localSheetId="4">#REF!</definedName>
    <definedName name="PAGE_" localSheetId="3">#REF!</definedName>
    <definedName name="PAGE_" localSheetId="5">#REF!</definedName>
    <definedName name="PAGE_">#REF!</definedName>
    <definedName name="PAGE_1">Input!$V$925:$AI$928</definedName>
    <definedName name="PAGE_10" localSheetId="2">Classification!$A$292:$K$335</definedName>
    <definedName name="PAGE_10" localSheetId="4">Commodity!$A$292:$L$335</definedName>
    <definedName name="PAGE_10" localSheetId="3">Customer!$A$292:$L$335</definedName>
    <definedName name="PAGE_10" localSheetId="5">Demand!$A$292:$L$335</definedName>
    <definedName name="PAGE_10">'Total Co'!$A$292:$L$335</definedName>
    <definedName name="PAGE_11" localSheetId="2">Classification!$A$337:$K$375</definedName>
    <definedName name="PAGE_11" localSheetId="4">Commodity!$A$337:$L$375</definedName>
    <definedName name="PAGE_11" localSheetId="3">Customer!$A$337:$L$375</definedName>
    <definedName name="PAGE_11" localSheetId="5">Demand!$A$337:$L$375</definedName>
    <definedName name="PAGE_11">'Total Co'!$A$337:$L$375</definedName>
    <definedName name="PAGE_12" localSheetId="2">Classification!$A$376:$K$396</definedName>
    <definedName name="PAGE_12" localSheetId="4">Commodity!$A$376:$L$396</definedName>
    <definedName name="PAGE_12" localSheetId="3">Customer!$A$376:$L$396</definedName>
    <definedName name="PAGE_12" localSheetId="5">Demand!$A$376:$L$396</definedName>
    <definedName name="PAGE_12">'Total Co'!$A$376:$L$396</definedName>
    <definedName name="PAGE_13" localSheetId="2">Classification!$A$397:$K$433</definedName>
    <definedName name="PAGE_13" localSheetId="4">Commodity!$A$397:$L$433</definedName>
    <definedName name="PAGE_13" localSheetId="3">Customer!$A$397:$L$433</definedName>
    <definedName name="PAGE_13" localSheetId="5">Demand!$A$397:$L$433</definedName>
    <definedName name="PAGE_13">'Total Co'!$A$397:$L$433</definedName>
    <definedName name="PAGE_14">Input!$V$444:$AI$445</definedName>
    <definedName name="PAGE_15">Input!$V$477:$AI$481</definedName>
    <definedName name="PAGE_16">Input!$V$519:$AI$520</definedName>
    <definedName name="PAGE_17">Input!$V$552:$AI$553</definedName>
    <definedName name="PAGE_18">Input!$V$617:$AI$620</definedName>
    <definedName name="PAGE_19">Input!$V$660:$AI$660</definedName>
    <definedName name="PAGE_1F" localSheetId="21">#REF!</definedName>
    <definedName name="PAGE_1F" localSheetId="4">#REF!</definedName>
    <definedName name="PAGE_1F" localSheetId="5">#REF!</definedName>
    <definedName name="PAGE_1F">#REF!</definedName>
    <definedName name="PAGE_2">Input!$R$3:$U$3</definedName>
    <definedName name="PAGE_20">Input!$V$691:$AI$694</definedName>
    <definedName name="PAGE_21">Input!$V$712:$AI$721</definedName>
    <definedName name="PAGE_22" localSheetId="2">Classification!$A$680:$K$705</definedName>
    <definedName name="PAGE_22" localSheetId="4">Commodity!$A$680:$L$705</definedName>
    <definedName name="PAGE_22" localSheetId="3">Customer!$A$680:$L$705</definedName>
    <definedName name="PAGE_22" localSheetId="5">Demand!$A$680:$L$705</definedName>
    <definedName name="PAGE_22">'Total Co'!$A$680:$L$705</definedName>
    <definedName name="PAGE_23">Input!$V$769:$AI$782</definedName>
    <definedName name="PAGE_24" localSheetId="2">Classification!$A$722:$K$751</definedName>
    <definedName name="PAGE_24" localSheetId="4">Commodity!$A$722:$L$751</definedName>
    <definedName name="PAGE_24" localSheetId="3">Customer!$A$722:$L$751</definedName>
    <definedName name="PAGE_24" localSheetId="5">Demand!$A$722:$L$751</definedName>
    <definedName name="PAGE_24">'Total Co'!$A$722:$L$751</definedName>
    <definedName name="PAGE_25" localSheetId="2">Classification!$A$752:$K$771</definedName>
    <definedName name="PAGE_25" localSheetId="4">Commodity!$A$752:$L$771</definedName>
    <definedName name="PAGE_25" localSheetId="3">Customer!$A$752:$L$771</definedName>
    <definedName name="PAGE_25" localSheetId="5">Demand!$A$752:$L$771</definedName>
    <definedName name="PAGE_25">'Total Co'!$A$752:$L$771</definedName>
    <definedName name="PAGE_26" localSheetId="2">Classification!$A$772:$K$806</definedName>
    <definedName name="PAGE_26" localSheetId="4">Commodity!$A$772:$L$806</definedName>
    <definedName name="PAGE_26" localSheetId="3">Customer!$A$772:$L$806</definedName>
    <definedName name="PAGE_26" localSheetId="5">Demand!$A$772:$L$806</definedName>
    <definedName name="PAGE_26">'Total Co'!$A$772:$L$806</definedName>
    <definedName name="PAGE_27">Input!$V$997:$AI$997</definedName>
    <definedName name="PAGE_28">Input!$V$1034:$AI$1034</definedName>
    <definedName name="PAGE_2F">Input!$V$1079:$AI$1079</definedName>
    <definedName name="PAGE_3" localSheetId="2">Classification!$A$90:$K$123</definedName>
    <definedName name="PAGE_3" localSheetId="4">Commodity!$A$90:$L$123</definedName>
    <definedName name="PAGE_3" localSheetId="3">Customer!$A$90:$L$123</definedName>
    <definedName name="PAGE_3" localSheetId="5">Demand!$A$90:$L$123</definedName>
    <definedName name="PAGE_3">'Total Co'!$A$90:$L$123</definedName>
    <definedName name="PAGE_30A">Input!$V$749:$AI$782</definedName>
    <definedName name="PAGE_35">Input!$V$997:$AI$997</definedName>
    <definedName name="PAGE_3F">Input!$V$1114:$AI$1114</definedName>
    <definedName name="PAGE_4">Input!$V$19:$AI$19</definedName>
    <definedName name="PAGE_4F" localSheetId="21">#REF!</definedName>
    <definedName name="PAGE_4F" localSheetId="4">#REF!</definedName>
    <definedName name="PAGE_4F" localSheetId="5">#REF!</definedName>
    <definedName name="PAGE_4F">#REF!</definedName>
    <definedName name="PAGE_5">Input!$V$20:$AI$20</definedName>
    <definedName name="PAGE_6">Input!$V$70:$AI$70</definedName>
    <definedName name="PAGE_7" localSheetId="21">#REF!</definedName>
    <definedName name="PAGE_7" localSheetId="2">#REF!</definedName>
    <definedName name="PAGE_7" localSheetId="4">#REF!</definedName>
    <definedName name="PAGE_7" localSheetId="3">#REF!</definedName>
    <definedName name="PAGE_7" localSheetId="5">#REF!</definedName>
    <definedName name="PAGE_7">#REF!</definedName>
    <definedName name="PAGE_8" localSheetId="2">Classification!$A$206:$K$250</definedName>
    <definedName name="PAGE_8" localSheetId="4">Commodity!$A$206:$L$250</definedName>
    <definedName name="PAGE_8" localSheetId="3">Customer!$A$206:$L$250</definedName>
    <definedName name="PAGE_8" localSheetId="5">Demand!$A$206:$L$250</definedName>
    <definedName name="PAGE_8">'Total Co'!$A$206:$L$250</definedName>
    <definedName name="PAGE_9" localSheetId="2">Classification!$A$251:$K$291</definedName>
    <definedName name="PAGE_9" localSheetId="4">Commodity!$A$251:$L$291</definedName>
    <definedName name="PAGE_9" localSheetId="3">Customer!$A$251:$L$291</definedName>
    <definedName name="PAGE_9" localSheetId="5">Demand!$A$251:$L$291</definedName>
    <definedName name="PAGE_9">'Total Co'!$A$251:$L$291</definedName>
    <definedName name="PAGE2" localSheetId="21">'[22]Rate Base Summary Sch B-1'!#REF!</definedName>
    <definedName name="PAGE2" localSheetId="2">'[22]Rate Base Summary Sch B-1'!#REF!</definedName>
    <definedName name="PAGE2" localSheetId="4">'[22]Rate Base Summary Sch B-1'!#REF!</definedName>
    <definedName name="PAGE2" localSheetId="3">'[22]Rate Base Summary Sch B-1'!#REF!</definedName>
    <definedName name="PAGE2" localSheetId="5">'[22]Rate Base Summary Sch B-1'!#REF!</definedName>
    <definedName name="PAGE2">'[22]Rate Base Summary Sch B-1'!#REF!</definedName>
    <definedName name="PAGE3" localSheetId="21">#REF!</definedName>
    <definedName name="PAGE3" localSheetId="2">#REF!</definedName>
    <definedName name="PAGE3" localSheetId="4">#REF!</definedName>
    <definedName name="PAGE3" localSheetId="3">#REF!</definedName>
    <definedName name="PAGE3" localSheetId="5">#REF!</definedName>
    <definedName name="PAGE3">#REF!</definedName>
    <definedName name="PAGE4" localSheetId="21">#REF!</definedName>
    <definedName name="PAGE4" localSheetId="2">#REF!</definedName>
    <definedName name="PAGE4" localSheetId="4">#REF!</definedName>
    <definedName name="PAGE4" localSheetId="3">#REF!</definedName>
    <definedName name="PAGE4" localSheetId="5">#REF!</definedName>
    <definedName name="PAGE4">#REF!</definedName>
    <definedName name="PAGE5" localSheetId="21">'[23]B-2.3'!#REF!</definedName>
    <definedName name="PAGE5" localSheetId="2">'[23]B-2.3'!#REF!</definedName>
    <definedName name="PAGE5" localSheetId="4">'[23]B-2.3'!#REF!</definedName>
    <definedName name="PAGE5" localSheetId="3">'[23]B-2.3'!#REF!</definedName>
    <definedName name="PAGE5" localSheetId="5">'[23]B-2.3'!#REF!</definedName>
    <definedName name="PAGE5">'[23]B-2.3'!#REF!</definedName>
    <definedName name="PAGE6" localSheetId="21">'[23]B-2.3'!#REF!</definedName>
    <definedName name="PAGE6" localSheetId="2">'[23]B-2.3'!#REF!</definedName>
    <definedName name="PAGE6" localSheetId="4">'[23]B-2.3'!#REF!</definedName>
    <definedName name="PAGE6" localSheetId="3">'[23]B-2.3'!#REF!</definedName>
    <definedName name="PAGE6" localSheetId="5">'[23]B-2.3'!#REF!</definedName>
    <definedName name="PAGE6">'[23]B-2.3'!#REF!</definedName>
    <definedName name="penalty" localSheetId="21">#REF!</definedName>
    <definedName name="penalty" localSheetId="2">#REF!</definedName>
    <definedName name="penalty" localSheetId="4">#REF!</definedName>
    <definedName name="penalty" localSheetId="3">#REF!</definedName>
    <definedName name="penalty" localSheetId="5">#REF!</definedName>
    <definedName name="penalty">#REF!</definedName>
    <definedName name="PerInvoiceLookup">OFFSET('[9]% Invoice'!$A$1,0,0,COUNTA('[9]% Invoice'!$A$1:$A$65536),COUNTA('[9]% Invoice'!$A$1:$IV$1))</definedName>
    <definedName name="plug" localSheetId="21">#REF!</definedName>
    <definedName name="plug" localSheetId="2">#REF!</definedName>
    <definedName name="plug" localSheetId="4">#REF!</definedName>
    <definedName name="plug" localSheetId="3">#REF!</definedName>
    <definedName name="plug" localSheetId="5">#REF!</definedName>
    <definedName name="plug">#REF!</definedName>
    <definedName name="plug1" localSheetId="21">#REF!</definedName>
    <definedName name="plug1" localSheetId="2">#REF!</definedName>
    <definedName name="plug1" localSheetId="4">#REF!</definedName>
    <definedName name="plug1" localSheetId="3">#REF!</definedName>
    <definedName name="plug1" localSheetId="5">#REF!</definedName>
    <definedName name="plug1">#REF!</definedName>
    <definedName name="pook" localSheetId="21">#REF!</definedName>
    <definedName name="pook" localSheetId="2">#REF!</definedName>
    <definedName name="pook" localSheetId="4">#REF!</definedName>
    <definedName name="pook" localSheetId="3">#REF!</definedName>
    <definedName name="pook" localSheetId="5">#REF!</definedName>
    <definedName name="pook">#REF!</definedName>
    <definedName name="PREMPAY" localSheetId="21">#REF!</definedName>
    <definedName name="PREMPAY" localSheetId="2">#REF!</definedName>
    <definedName name="PREMPAY" localSheetId="4">#REF!</definedName>
    <definedName name="PREMPAY" localSheetId="3">#REF!</definedName>
    <definedName name="PREMPAY" localSheetId="5">#REF!</definedName>
    <definedName name="PREMPAY">#REF!</definedName>
    <definedName name="PRINT" localSheetId="21">#REF!</definedName>
    <definedName name="PRINT" localSheetId="2">#REF!</definedName>
    <definedName name="PRINT" localSheetId="4">#REF!</definedName>
    <definedName name="PRINT" localSheetId="3">#REF!</definedName>
    <definedName name="PRINT" localSheetId="5">#REF!</definedName>
    <definedName name="PRINT">#REF!</definedName>
    <definedName name="_xlnm.Print_Area" localSheetId="9">'Acct 487'!$A$1:$F$72</definedName>
    <definedName name="_xlnm.Print_Area" localSheetId="25">'Alloc Table'!$A$1:$S$30</definedName>
    <definedName name="_xlnm.Print_Area" localSheetId="21">'Alloc Table Cust'!$B$1:$T$33</definedName>
    <definedName name="_xlnm.Print_Area" localSheetId="27">'Capital Structure'!$A$1:$M$25</definedName>
    <definedName name="_xlnm.Print_Area" localSheetId="2">Classification!$A$1:$K$851</definedName>
    <definedName name="_xlnm.Print_Area" localSheetId="20">'Classification Table'!$A$1:$F$42</definedName>
    <definedName name="_xlnm.Print_Area" localSheetId="4">Commodity!$A$1:$L$835</definedName>
    <definedName name="_xlnm.Print_Area" localSheetId="3">Customer!$A$1:$L$834</definedName>
    <definedName name="_xlnm.Print_Area" localSheetId="7">Customers!$A$1:$H$42</definedName>
    <definedName name="_xlnm.Print_Area" localSheetId="5">Demand!$A$1:$L$835</definedName>
    <definedName name="_xlnm.Print_Area" localSheetId="11">'Design Day'!$A$1:$G$48</definedName>
    <definedName name="_xlnm.Print_Area" localSheetId="28">'Gross Revenue Conversion Factor'!$A$1:$F$29</definedName>
    <definedName name="_xlnm.Print_Area" localSheetId="6">Input!$A$546:$H$585</definedName>
    <definedName name="_xlnm.Print_Area" localSheetId="12">Meters!$A$1:$I$34</definedName>
    <definedName name="_xlnm.Print_Area" localSheetId="18">'Min Syst - Mains'!$A$1:$M$48</definedName>
    <definedName name="_xlnm.Print_Area" localSheetId="10">'Prop Rev.'!$A$1:$H$54</definedName>
    <definedName name="_xlnm.Print_Area" localSheetId="13">'Reg. Station'!$A$1:$K$146</definedName>
    <definedName name="_xlnm.Print_Area" localSheetId="26">Return!$A$1:$D$38</definedName>
    <definedName name="_xlnm.Print_Area" localSheetId="24">'Revenue Req'!$A$1:$J$120</definedName>
    <definedName name="_xlnm.Print_Area" localSheetId="8">'Sales &amp; Rev'!$A$1:$J$156</definedName>
    <definedName name="_xlnm.Print_Area" localSheetId="17">'Services&amp;MT'!$A$1:$L$10</definedName>
    <definedName name="_xlnm.Print_Area" localSheetId="16">'Services-AUC'!$A$1:$F$62</definedName>
    <definedName name="_xlnm.Print_Area" localSheetId="0">Title!$A$1:$F$43</definedName>
    <definedName name="_xlnm.Print_Area" localSheetId="1">'Total Co'!$A$1:$L$806</definedName>
    <definedName name="Print_Area_MI" localSheetId="21">#REF!</definedName>
    <definedName name="Print_Area_MI" localSheetId="2">#REF!</definedName>
    <definedName name="Print_Area_MI" localSheetId="4">#REF!</definedName>
    <definedName name="Print_Area_MI" localSheetId="3">#REF!</definedName>
    <definedName name="Print_Area_MI" localSheetId="5">#REF!</definedName>
    <definedName name="Print_Area_MI">#REF!</definedName>
    <definedName name="_xlnm.Print_Titles" localSheetId="17">'Services&amp;MT'!$1:$8</definedName>
    <definedName name="_xlnm.Print_Titles" localSheetId="15">'Services-Plant Records'!$4:$5</definedName>
    <definedName name="PRINTBENEFITS" localSheetId="21">#REF!</definedName>
    <definedName name="PRINTBENEFITS" localSheetId="2">#REF!</definedName>
    <definedName name="PRINTBENEFITS" localSheetId="4">#REF!</definedName>
    <definedName name="PRINTBENEFITS" localSheetId="3">#REF!</definedName>
    <definedName name="PRINTBENEFITS" localSheetId="5">#REF!</definedName>
    <definedName name="PRINTBENEFITS">#REF!</definedName>
    <definedName name="PRINTFICA" localSheetId="21">#REF!</definedName>
    <definedName name="PRINTFICA" localSheetId="2">#REF!</definedName>
    <definedName name="PRINTFICA" localSheetId="4">#REF!</definedName>
    <definedName name="PRINTFICA" localSheetId="3">#REF!</definedName>
    <definedName name="PRINTFICA" localSheetId="5">#REF!</definedName>
    <definedName name="PRINTFICA">#REF!</definedName>
    <definedName name="PRINTINPUT" localSheetId="21">#REF!</definedName>
    <definedName name="PRINTINPUT" localSheetId="2">#REF!</definedName>
    <definedName name="PRINTINPUT" localSheetId="4">#REF!</definedName>
    <definedName name="PRINTINPUT" localSheetId="3">#REF!</definedName>
    <definedName name="PRINTINPUT" localSheetId="5">#REF!</definedName>
    <definedName name="PRINTINPUT">#REF!</definedName>
    <definedName name="PRINTLABOR" localSheetId="21">#REF!</definedName>
    <definedName name="PRINTLABOR" localSheetId="2">#REF!</definedName>
    <definedName name="PRINTLABOR" localSheetId="4">#REF!</definedName>
    <definedName name="PRINTLABOR" localSheetId="3">#REF!</definedName>
    <definedName name="PRINTLABOR" localSheetId="5">#REF!</definedName>
    <definedName name="PRINTLABOR">#REF!</definedName>
    <definedName name="PRINTMAIN" localSheetId="21">Input!#REF!</definedName>
    <definedName name="PRINTMAIN" localSheetId="2">Input!#REF!</definedName>
    <definedName name="PRINTMAIN" localSheetId="4">Input!#REF!</definedName>
    <definedName name="PRINTMAIN" localSheetId="3">Input!#REF!</definedName>
    <definedName name="PRINTMAIN" localSheetId="5">Input!#REF!</definedName>
    <definedName name="PRINTMAIN">Input!#REF!</definedName>
    <definedName name="productlist">'[24]Product List'!$A$1:$E$23153</definedName>
    <definedName name="proj_cust_pmts">'[6]Payment Calculation'!$C$25</definedName>
    <definedName name="PROPTAX" localSheetId="21">#REF!</definedName>
    <definedName name="PROPTAX" localSheetId="2">#REF!</definedName>
    <definedName name="PROPTAX" localSheetId="4">#REF!</definedName>
    <definedName name="PROPTAX" localSheetId="3">#REF!</definedName>
    <definedName name="PROPTAX" localSheetId="5">#REF!</definedName>
    <definedName name="PROPTAX">#REF!</definedName>
    <definedName name="qryFTECategbyCountry" localSheetId="21">#REF!</definedName>
    <definedName name="qryFTECategbyCountry" localSheetId="2">#REF!</definedName>
    <definedName name="qryFTECategbyCountry" localSheetId="4">#REF!</definedName>
    <definedName name="qryFTECategbyCountry" localSheetId="3">#REF!</definedName>
    <definedName name="qryFTECategbyCountry" localSheetId="5">#REF!</definedName>
    <definedName name="qryFTECategbyCountry">#REF!</definedName>
    <definedName name="Quest" localSheetId="21">#REF!</definedName>
    <definedName name="Quest" localSheetId="2">#REF!</definedName>
    <definedName name="Quest" localSheetId="4">#REF!</definedName>
    <definedName name="Quest" localSheetId="3">#REF!</definedName>
    <definedName name="Quest" localSheetId="5">#REF!</definedName>
    <definedName name="Quest">#REF!</definedName>
    <definedName name="rates" localSheetId="21">#REF!</definedName>
    <definedName name="rates" localSheetId="2">#REF!</definedName>
    <definedName name="rates" localSheetId="4">#REF!</definedName>
    <definedName name="rates" localSheetId="3">#REF!</definedName>
    <definedName name="rates" localSheetId="5">#REF!</definedName>
    <definedName name="rates">#REF!</definedName>
    <definedName name="_xlnm.Recorder" localSheetId="21">#REF!</definedName>
    <definedName name="_xlnm.Recorder" localSheetId="2">#REF!</definedName>
    <definedName name="_xlnm.Recorder" localSheetId="4">#REF!</definedName>
    <definedName name="_xlnm.Recorder" localSheetId="3">#REF!</definedName>
    <definedName name="_xlnm.Recorder" localSheetId="5">#REF!</definedName>
    <definedName name="_xlnm.Recorder">#REF!</definedName>
    <definedName name="RefFunction">[14]Assumptions!$F$34:$F$39</definedName>
    <definedName name="RefGrade">[14]Assumptions!$F$7:$F$16</definedName>
    <definedName name="RefJobTitle">[14]Assumptions!$F$18:$F$31</definedName>
    <definedName name="REVALLOC">'[3]ATTACH REH-5A REV'!$A$1:$J$39</definedName>
    <definedName name="RISK" localSheetId="21">#REF!</definedName>
    <definedName name="RISK" localSheetId="2">#REF!</definedName>
    <definedName name="RISK" localSheetId="4">#REF!</definedName>
    <definedName name="RISK" localSheetId="3">#REF!</definedName>
    <definedName name="RISK" localSheetId="5">#REF!</definedName>
    <definedName name="RISK">#REF!</definedName>
    <definedName name="Rollups" localSheetId="21">#REF!</definedName>
    <definedName name="Rollups" localSheetId="2">#REF!</definedName>
    <definedName name="Rollups" localSheetId="4">#REF!</definedName>
    <definedName name="Rollups" localSheetId="3">#REF!</definedName>
    <definedName name="Rollups" localSheetId="5">#REF!</definedName>
    <definedName name="Rollups">#REF!</definedName>
    <definedName name="SCH_17_1of2" localSheetId="21">#REF!</definedName>
    <definedName name="SCH_17_1of2" localSheetId="2">#REF!</definedName>
    <definedName name="SCH_17_1of2" localSheetId="4">#REF!</definedName>
    <definedName name="SCH_17_1of2" localSheetId="3">#REF!</definedName>
    <definedName name="SCH_17_1of2" localSheetId="5">#REF!</definedName>
    <definedName name="SCH_17_1of2">#REF!</definedName>
    <definedName name="SCH_17_2of2" localSheetId="21">#REF!</definedName>
    <definedName name="SCH_17_2of2" localSheetId="2">#REF!</definedName>
    <definedName name="SCH_17_2of2" localSheetId="4">#REF!</definedName>
    <definedName name="SCH_17_2of2" localSheetId="3">#REF!</definedName>
    <definedName name="SCH_17_2of2" localSheetId="5">#REF!</definedName>
    <definedName name="SCH_17_2of2">#REF!</definedName>
    <definedName name="sch35a" localSheetId="21">#REF!</definedName>
    <definedName name="sch35a" localSheetId="2">#REF!</definedName>
    <definedName name="sch35a" localSheetId="4">#REF!</definedName>
    <definedName name="sch35a" localSheetId="3">#REF!</definedName>
    <definedName name="sch35a" localSheetId="5">#REF!</definedName>
    <definedName name="sch35a">#REF!</definedName>
    <definedName name="sch35b" localSheetId="21">#REF!</definedName>
    <definedName name="sch35b" localSheetId="2">#REF!</definedName>
    <definedName name="sch35b" localSheetId="4">#REF!</definedName>
    <definedName name="sch35b" localSheetId="3">#REF!</definedName>
    <definedName name="sch35b" localSheetId="5">#REF!</definedName>
    <definedName name="sch35b">#REF!</definedName>
    <definedName name="SCHEDULE_12" localSheetId="21">#REF!</definedName>
    <definedName name="SCHEDULE_12" localSheetId="2">#REF!</definedName>
    <definedName name="SCHEDULE_12" localSheetId="4">#REF!</definedName>
    <definedName name="SCHEDULE_12" localSheetId="3">#REF!</definedName>
    <definedName name="SCHEDULE_12" localSheetId="5">#REF!</definedName>
    <definedName name="SCHEDULE_12">#REF!</definedName>
    <definedName name="Sep_08_Man_Fee" localSheetId="21">#REF!</definedName>
    <definedName name="Sep_08_Man_Fee" localSheetId="2">#REF!</definedName>
    <definedName name="Sep_08_Man_Fee" localSheetId="4">#REF!</definedName>
    <definedName name="Sep_08_Man_Fee" localSheetId="3">#REF!</definedName>
    <definedName name="Sep_08_Man_Fee" localSheetId="5">#REF!</definedName>
    <definedName name="Sep_08_Man_Fee">#REF!</definedName>
    <definedName name="SGA" localSheetId="21">#REF!</definedName>
    <definedName name="SGA" localSheetId="2">#REF!</definedName>
    <definedName name="SGA" localSheetId="4">#REF!</definedName>
    <definedName name="SGA" localSheetId="3">#REF!</definedName>
    <definedName name="SGA" localSheetId="5">#REF!</definedName>
    <definedName name="SGA">#REF!</definedName>
    <definedName name="SPECGARY" localSheetId="21">Input!#REF!</definedName>
    <definedName name="SPECGARY" localSheetId="2">Input!#REF!</definedName>
    <definedName name="SPECGARY" localSheetId="4">Input!#REF!</definedName>
    <definedName name="SPECGARY" localSheetId="3">Input!#REF!</definedName>
    <definedName name="SPECGARY" localSheetId="5">Input!#REF!</definedName>
    <definedName name="SPECGARY">Input!#REF!</definedName>
    <definedName name="SPECIFIC" localSheetId="21">Input!#REF!</definedName>
    <definedName name="SPECIFIC" localSheetId="2">Input!#REF!</definedName>
    <definedName name="SPECIFIC" localSheetId="4">Input!#REF!</definedName>
    <definedName name="SPECIFIC" localSheetId="3">Input!#REF!</definedName>
    <definedName name="SPECIFIC" localSheetId="5">Input!#REF!</definedName>
    <definedName name="SPECIFIC">Input!#REF!</definedName>
    <definedName name="STUDY">'[25]VLOOKUP ALLOC TABLE'!$A$2:$D$25</definedName>
    <definedName name="SUM6406E" localSheetId="21">#REF!</definedName>
    <definedName name="SUM6406E" localSheetId="2">#REF!</definedName>
    <definedName name="SUM6406E" localSheetId="4">#REF!</definedName>
    <definedName name="SUM6406E" localSheetId="3">#REF!</definedName>
    <definedName name="SUM6406E" localSheetId="5">#REF!</definedName>
    <definedName name="SUM6406E">#REF!</definedName>
    <definedName name="SUM6406P" localSheetId="21">#REF!</definedName>
    <definedName name="SUM6406P" localSheetId="2">#REF!</definedName>
    <definedName name="SUM6406P" localSheetId="4">#REF!</definedName>
    <definedName name="SUM6406P" localSheetId="3">#REF!</definedName>
    <definedName name="SUM6406P" localSheetId="5">#REF!</definedName>
    <definedName name="SUM6406P">#REF!</definedName>
    <definedName name="SUM6503E" localSheetId="21">#REF!</definedName>
    <definedName name="SUM6503E" localSheetId="2">#REF!</definedName>
    <definedName name="SUM6503E" localSheetId="4">#REF!</definedName>
    <definedName name="SUM6503E" localSheetId="3">#REF!</definedName>
    <definedName name="SUM6503E" localSheetId="5">#REF!</definedName>
    <definedName name="SUM6503E">#REF!</definedName>
    <definedName name="SUM6503P" localSheetId="21">#REF!</definedName>
    <definedName name="SUM6503P" localSheetId="2">#REF!</definedName>
    <definedName name="SUM6503P" localSheetId="4">#REF!</definedName>
    <definedName name="SUM6503P" localSheetId="3">#REF!</definedName>
    <definedName name="SUM6503P" localSheetId="5">#REF!</definedName>
    <definedName name="SUM6503P">#REF!</definedName>
    <definedName name="SUM6703E" localSheetId="21">#REF!</definedName>
    <definedName name="SUM6703E" localSheetId="2">#REF!</definedName>
    <definedName name="SUM6703E" localSheetId="4">#REF!</definedName>
    <definedName name="SUM6703E" localSheetId="3">#REF!</definedName>
    <definedName name="SUM6703E" localSheetId="5">#REF!</definedName>
    <definedName name="SUM6703E">#REF!</definedName>
    <definedName name="SUM6703P" localSheetId="21">#REF!</definedName>
    <definedName name="SUM6703P" localSheetId="2">#REF!</definedName>
    <definedName name="SUM6703P" localSheetId="4">#REF!</definedName>
    <definedName name="SUM6703P" localSheetId="3">#REF!</definedName>
    <definedName name="SUM6703P" localSheetId="5">#REF!</definedName>
    <definedName name="SUM6703P">#REF!</definedName>
    <definedName name="SUM7203E" localSheetId="21">#REF!</definedName>
    <definedName name="SUM7203E" localSheetId="2">#REF!</definedName>
    <definedName name="SUM7203E" localSheetId="4">#REF!</definedName>
    <definedName name="SUM7203E" localSheetId="3">#REF!</definedName>
    <definedName name="SUM7203E" localSheetId="5">#REF!</definedName>
    <definedName name="SUM7203E">#REF!</definedName>
    <definedName name="SUM7203P" localSheetId="21">#REF!</definedName>
    <definedName name="SUM7203P" localSheetId="2">#REF!</definedName>
    <definedName name="SUM7203P" localSheetId="4">#REF!</definedName>
    <definedName name="SUM7203P" localSheetId="3">#REF!</definedName>
    <definedName name="SUM7203P" localSheetId="5">#REF!</definedName>
    <definedName name="SUM7203P">#REF!</definedName>
    <definedName name="SUM8703E" localSheetId="21">#REF!</definedName>
    <definedName name="SUM8703E" localSheetId="2">#REF!</definedName>
    <definedName name="SUM8703E" localSheetId="4">#REF!</definedName>
    <definedName name="SUM8703E" localSheetId="3">#REF!</definedName>
    <definedName name="SUM8703E" localSheetId="5">#REF!</definedName>
    <definedName name="SUM8703E">#REF!</definedName>
    <definedName name="SUM8703P" localSheetId="21">#REF!</definedName>
    <definedName name="SUM8703P" localSheetId="2">#REF!</definedName>
    <definedName name="SUM8703P" localSheetId="4">#REF!</definedName>
    <definedName name="SUM8703P" localSheetId="3">#REF!</definedName>
    <definedName name="SUM8703P" localSheetId="5">#REF!</definedName>
    <definedName name="SUM8703P">#REF!</definedName>
    <definedName name="SummaryTable" localSheetId="21">#REF!</definedName>
    <definedName name="SummaryTable" localSheetId="2">#REF!</definedName>
    <definedName name="SummaryTable" localSheetId="4">#REF!</definedName>
    <definedName name="SummaryTable" localSheetId="3">#REF!</definedName>
    <definedName name="SummaryTable" localSheetId="5">#REF!</definedName>
    <definedName name="SummaryTable">#REF!</definedName>
    <definedName name="TABLE" localSheetId="21">Input!#REF!</definedName>
    <definedName name="TABLE" localSheetId="2">Input!#REF!</definedName>
    <definedName name="TABLE" localSheetId="4">Input!#REF!</definedName>
    <definedName name="TABLE" localSheetId="3">Input!#REF!</definedName>
    <definedName name="TABLE" localSheetId="5">Input!#REF!</definedName>
    <definedName name="TABLE">Input!#REF!</definedName>
    <definedName name="Teldata" localSheetId="21">#REF!</definedName>
    <definedName name="Teldata" localSheetId="2">#REF!</definedName>
    <definedName name="Teldata" localSheetId="4">#REF!</definedName>
    <definedName name="Teldata" localSheetId="3">#REF!</definedName>
    <definedName name="Teldata" localSheetId="5">#REF!</definedName>
    <definedName name="Teldata">#REF!</definedName>
    <definedName name="TEMP" localSheetId="21">#REF!</definedName>
    <definedName name="TEMP" localSheetId="2">#REF!</definedName>
    <definedName name="TEMP" localSheetId="4">#REF!</definedName>
    <definedName name="TEMP" localSheetId="3">#REF!</definedName>
    <definedName name="TEMP" localSheetId="5">#REF!</definedName>
    <definedName name="TEMP">#REF!</definedName>
    <definedName name="test" localSheetId="21">'[20]Input Sheet'!#REF!</definedName>
    <definedName name="test" localSheetId="2">'[20]Input Sheet'!#REF!</definedName>
    <definedName name="test" localSheetId="4">'[20]Input Sheet'!#REF!</definedName>
    <definedName name="test" localSheetId="3">'[20]Input Sheet'!#REF!</definedName>
    <definedName name="test" localSheetId="5">'[20]Input Sheet'!#REF!</definedName>
    <definedName name="test">'[20]Input Sheet'!#REF!</definedName>
    <definedName name="test1" localSheetId="21">'[20]Input Sheet'!#REF!</definedName>
    <definedName name="test1" localSheetId="2">'[20]Input Sheet'!#REF!</definedName>
    <definedName name="test1" localSheetId="4">'[20]Input Sheet'!#REF!</definedName>
    <definedName name="test1" localSheetId="3">'[20]Input Sheet'!#REF!</definedName>
    <definedName name="test1" localSheetId="5">'[20]Input Sheet'!#REF!</definedName>
    <definedName name="test1">'[20]Input Sheet'!#REF!</definedName>
    <definedName name="tol">0.001</definedName>
    <definedName name="TOTALONM" localSheetId="21">#REF!</definedName>
    <definedName name="TOTALONM" localSheetId="2">#REF!</definedName>
    <definedName name="TOTALONM" localSheetId="4">#REF!</definedName>
    <definedName name="TOTALONM" localSheetId="3">#REF!</definedName>
    <definedName name="TOTALONM" localSheetId="5">#REF!</definedName>
    <definedName name="TOTALONM">#REF!</definedName>
    <definedName name="Totals" localSheetId="21">'[26]Complete Listing incl LCN'!#REF!</definedName>
    <definedName name="Totals" localSheetId="2">'[26]Complete Listing incl LCN'!#REF!</definedName>
    <definedName name="Totals" localSheetId="4">'[26]Complete Listing incl LCN'!#REF!</definedName>
    <definedName name="Totals" localSheetId="3">'[26]Complete Listing incl LCN'!#REF!</definedName>
    <definedName name="Totals" localSheetId="5">'[26]Complete Listing incl LCN'!#REF!</definedName>
    <definedName name="Totals">'[26]Complete Listing incl LCN'!#REF!</definedName>
    <definedName name="TY" localSheetId="21">'[17]Ex 103, Pg 16-17'!#REF!</definedName>
    <definedName name="TY" localSheetId="2">'[17]Ex 103, Pg 16-17'!#REF!</definedName>
    <definedName name="TY" localSheetId="4">'[17]Ex 103, Pg 16-17'!#REF!</definedName>
    <definedName name="TY" localSheetId="3">'[17]Ex 103, Pg 16-17'!#REF!</definedName>
    <definedName name="TY" localSheetId="5">'[17]Ex 103, Pg 16-17'!#REF!</definedName>
    <definedName name="TY">'[17]Ex 103, Pg 16-17'!#REF!</definedName>
    <definedName name="TYDESC" localSheetId="21">#REF!</definedName>
    <definedName name="TYDESC" localSheetId="2">#REF!</definedName>
    <definedName name="TYDESC" localSheetId="4">#REF!</definedName>
    <definedName name="TYDESC" localSheetId="3">#REF!</definedName>
    <definedName name="TYDESC" localSheetId="5">#REF!</definedName>
    <definedName name="TYDESC">#REF!</definedName>
    <definedName name="Usage_per_Cust">[6]Inputs!$B$12</definedName>
    <definedName name="usd">[27]Assumptions!$C$13</definedName>
    <definedName name="USF" localSheetId="21">#REF!</definedName>
    <definedName name="USF" localSheetId="2">#REF!</definedName>
    <definedName name="USF" localSheetId="4">#REF!</definedName>
    <definedName name="USF" localSheetId="3">#REF!</definedName>
    <definedName name="USF" localSheetId="5">#REF!</definedName>
    <definedName name="USF">#REF!</definedName>
    <definedName name="Witness" localSheetId="21">#REF!</definedName>
    <definedName name="Witness" localSheetId="2">#REF!</definedName>
    <definedName name="Witness" localSheetId="4">#REF!</definedName>
    <definedName name="Witness" localSheetId="3">#REF!</definedName>
    <definedName name="Witness" localSheetId="5">#REF!</definedName>
    <definedName name="Witness">#REF!</definedName>
    <definedName name="WORKAREA">'[3]ATTACH REH-5A REV'!$B$52:$K$169</definedName>
    <definedName name="WorkingDaysPerYear">210</definedName>
    <definedName name="Xref">'[28]xref acct'!$A$3:$C$167</definedName>
    <definedName name="xxxx" localSheetId="21">#REF!</definedName>
    <definedName name="xxxx" localSheetId="2">#REF!</definedName>
    <definedName name="xxxx" localSheetId="4">#REF!</definedName>
    <definedName name="xxxx" localSheetId="3">#REF!</definedName>
    <definedName name="xxxx" localSheetId="5">#REF!</definedName>
    <definedName name="xxxx">#REF!</definedName>
  </definedNames>
  <calcPr calcId="152511"/>
</workbook>
</file>

<file path=xl/calcChain.xml><?xml version="1.0" encoding="utf-8"?>
<calcChain xmlns="http://schemas.openxmlformats.org/spreadsheetml/2006/main">
  <c r="E815" i="52" l="1"/>
  <c r="E816" i="52"/>
  <c r="E817" i="52"/>
  <c r="E818" i="52"/>
  <c r="E819" i="52"/>
  <c r="E820" i="52"/>
  <c r="E821" i="52"/>
  <c r="E822" i="52"/>
  <c r="E823" i="52"/>
  <c r="E824" i="52"/>
  <c r="E825" i="52"/>
  <c r="E826" i="52"/>
  <c r="E827" i="52"/>
  <c r="E828" i="52"/>
  <c r="E829" i="52"/>
  <c r="E830" i="52"/>
  <c r="E831" i="52"/>
  <c r="E832" i="52"/>
  <c r="E833" i="52"/>
  <c r="E834" i="52"/>
  <c r="E835" i="52"/>
  <c r="E836" i="52"/>
  <c r="E837" i="52"/>
  <c r="E838" i="52"/>
  <c r="E839" i="52"/>
  <c r="E840" i="52"/>
  <c r="E841" i="52"/>
  <c r="E842" i="52"/>
  <c r="E843" i="52"/>
  <c r="E844" i="52"/>
  <c r="E845" i="52"/>
  <c r="E846" i="52"/>
  <c r="E847" i="52"/>
  <c r="E848" i="52"/>
  <c r="E849" i="52"/>
  <c r="E850" i="52"/>
  <c r="E814" i="52"/>
  <c r="F580" i="1" l="1"/>
  <c r="G580" i="1"/>
  <c r="H580" i="1"/>
  <c r="I580" i="1"/>
  <c r="G581" i="1"/>
  <c r="H581" i="1"/>
  <c r="I581" i="1"/>
  <c r="H582" i="1"/>
  <c r="I582" i="1"/>
  <c r="E581" i="1"/>
  <c r="E582" i="1"/>
  <c r="F559" i="1"/>
  <c r="F558" i="1"/>
  <c r="D557" i="1"/>
  <c r="F35" i="10" l="1"/>
  <c r="F36" i="10"/>
  <c r="A60" i="10"/>
  <c r="A61" i="10"/>
  <c r="A62" i="10" s="1"/>
  <c r="E60" i="10"/>
  <c r="E59" i="10"/>
  <c r="E56" i="10"/>
  <c r="E55" i="10"/>
  <c r="E54" i="10"/>
  <c r="I387" i="45" l="1"/>
  <c r="J387" i="45"/>
  <c r="K387" i="45"/>
  <c r="L387" i="45"/>
  <c r="F387" i="45"/>
  <c r="H392" i="45"/>
  <c r="K392" i="45"/>
  <c r="L392" i="45"/>
  <c r="F392" i="45"/>
  <c r="I282" i="1"/>
  <c r="J392" i="45" s="1"/>
  <c r="H281" i="1"/>
  <c r="I392" i="45" s="1"/>
  <c r="E279" i="1"/>
  <c r="F280" i="1"/>
  <c r="G392" i="45" s="1"/>
  <c r="G276" i="1"/>
  <c r="H387" i="45" s="1"/>
  <c r="F275" i="1"/>
  <c r="G387" i="45" s="1"/>
  <c r="F274" i="1"/>
  <c r="D280" i="1" l="1"/>
  <c r="D282" i="1"/>
  <c r="D281" i="1"/>
  <c r="D276" i="1"/>
  <c r="D535" i="1"/>
  <c r="D476" i="1" l="1"/>
  <c r="D35" i="1"/>
  <c r="D392" i="52"/>
  <c r="D390" i="52"/>
  <c r="D386" i="52"/>
  <c r="D387" i="52"/>
  <c r="D385" i="52"/>
  <c r="D328" i="1" l="1"/>
  <c r="D231" i="1" l="1"/>
  <c r="D237" i="1"/>
  <c r="D233" i="1"/>
  <c r="D167" i="1"/>
  <c r="D173" i="1"/>
  <c r="D169" i="1"/>
  <c r="D107" i="1"/>
  <c r="D109" i="1"/>
  <c r="D113" i="1"/>
  <c r="D30" i="1"/>
  <c r="L808" i="55" l="1"/>
  <c r="L773" i="55"/>
  <c r="L753" i="55"/>
  <c r="L723" i="55"/>
  <c r="L707" i="55"/>
  <c r="L681" i="55"/>
  <c r="L665" i="55"/>
  <c r="L635" i="55"/>
  <c r="L596" i="55"/>
  <c r="L565" i="55"/>
  <c r="L534" i="55"/>
  <c r="L497" i="55"/>
  <c r="L466" i="55"/>
  <c r="L435" i="55"/>
  <c r="L398" i="55"/>
  <c r="L377" i="55"/>
  <c r="L338" i="55"/>
  <c r="L293" i="55"/>
  <c r="L252" i="55"/>
  <c r="L207" i="55"/>
  <c r="L169" i="55"/>
  <c r="L125" i="55"/>
  <c r="L91" i="55"/>
  <c r="L68" i="55"/>
  <c r="L36" i="55"/>
  <c r="L2" i="55"/>
  <c r="L808" i="54"/>
  <c r="L773" i="54"/>
  <c r="L753" i="54"/>
  <c r="L723" i="54"/>
  <c r="L707" i="54"/>
  <c r="L681" i="54"/>
  <c r="L665" i="54"/>
  <c r="L635" i="54"/>
  <c r="L596" i="54"/>
  <c r="L565" i="54"/>
  <c r="L534" i="54"/>
  <c r="L497" i="54"/>
  <c r="L466" i="54"/>
  <c r="L435" i="54"/>
  <c r="L398" i="54"/>
  <c r="L377" i="54"/>
  <c r="L338" i="54"/>
  <c r="L293" i="54"/>
  <c r="L252" i="54"/>
  <c r="L207" i="54"/>
  <c r="L169" i="54"/>
  <c r="L125" i="54"/>
  <c r="L91" i="54"/>
  <c r="L68" i="54"/>
  <c r="L36" i="54"/>
  <c r="L2" i="54"/>
  <c r="L808" i="53"/>
  <c r="L773" i="53"/>
  <c r="L753" i="53"/>
  <c r="L723" i="53"/>
  <c r="L707" i="53"/>
  <c r="L681" i="53"/>
  <c r="L665" i="53"/>
  <c r="L635" i="53"/>
  <c r="L596" i="53"/>
  <c r="L565" i="53"/>
  <c r="L534" i="53"/>
  <c r="L497" i="53"/>
  <c r="L466" i="53"/>
  <c r="L435" i="53"/>
  <c r="L398" i="53"/>
  <c r="L377" i="53"/>
  <c r="L338" i="53"/>
  <c r="L293" i="53"/>
  <c r="L252" i="53"/>
  <c r="L207" i="53"/>
  <c r="L169" i="53"/>
  <c r="L125" i="53"/>
  <c r="L91" i="53"/>
  <c r="L68" i="53"/>
  <c r="L36" i="53"/>
  <c r="L2" i="53"/>
  <c r="K293" i="52"/>
  <c r="K252" i="52"/>
  <c r="K207" i="52"/>
  <c r="K169" i="52"/>
  <c r="K125" i="52"/>
  <c r="K91" i="52"/>
  <c r="K68" i="52"/>
  <c r="K36" i="52"/>
  <c r="K2" i="52"/>
  <c r="E18" i="17"/>
  <c r="D18" i="17"/>
  <c r="C18" i="17"/>
  <c r="C19" i="17" s="1"/>
  <c r="C20" i="17" s="1"/>
  <c r="C21" i="17" s="1"/>
  <c r="C22" i="17" s="1"/>
  <c r="C23" i="17" s="1"/>
  <c r="C24" i="17" s="1"/>
  <c r="C25" i="17" s="1"/>
  <c r="C26" i="17" s="1"/>
  <c r="C27" i="17" s="1"/>
  <c r="C28" i="17" s="1"/>
  <c r="C29" i="17" s="1"/>
  <c r="C30" i="17" s="1"/>
  <c r="C31" i="17" s="1"/>
  <c r="C32" i="17" s="1"/>
  <c r="C33" i="17" s="1"/>
  <c r="C34" i="17" s="1"/>
  <c r="C35" i="17" s="1"/>
  <c r="C36" i="17" s="1"/>
  <c r="C37" i="17" s="1"/>
  <c r="C38" i="17" s="1"/>
  <c r="C39" i="17" s="1"/>
  <c r="C40" i="17" s="1"/>
  <c r="C41" i="17" s="1"/>
  <c r="C42" i="17" s="1"/>
  <c r="C43" i="17" s="1"/>
  <c r="D19" i="17" s="1"/>
  <c r="D20" i="17" s="1"/>
  <c r="D21" i="17" s="1"/>
  <c r="D22" i="17" s="1"/>
  <c r="D23" i="17" s="1"/>
  <c r="D24" i="17" s="1"/>
  <c r="D25" i="17" s="1"/>
  <c r="D26" i="17" s="1"/>
  <c r="D27" i="17" s="1"/>
  <c r="D28" i="17" s="1"/>
  <c r="D29" i="17" s="1"/>
  <c r="D30" i="17" s="1"/>
  <c r="D31" i="17" s="1"/>
  <c r="D32" i="17" s="1"/>
  <c r="D33" i="17" s="1"/>
  <c r="D34" i="17" s="1"/>
  <c r="D35" i="17" s="1"/>
  <c r="D36" i="17" s="1"/>
  <c r="D37" i="17" s="1"/>
  <c r="D38" i="17" s="1"/>
  <c r="D39" i="17" s="1"/>
  <c r="D40" i="17" s="1"/>
  <c r="D41" i="17" s="1"/>
  <c r="D42" i="17" s="1"/>
  <c r="D43" i="17" s="1"/>
  <c r="B19" i="17"/>
  <c r="E19" i="17"/>
  <c r="B20" i="17"/>
  <c r="E20" i="17"/>
  <c r="E21" i="17" s="1"/>
  <c r="E22" i="17" s="1"/>
  <c r="E23" i="17" s="1"/>
  <c r="E24" i="17" s="1"/>
  <c r="E25" i="17" s="1"/>
  <c r="E26" i="17" s="1"/>
  <c r="E27" i="17" s="1"/>
  <c r="E28" i="17" s="1"/>
  <c r="E29" i="17" s="1"/>
  <c r="E30" i="17" s="1"/>
  <c r="E31" i="17" s="1"/>
  <c r="E32" i="17" s="1"/>
  <c r="E33" i="17" s="1"/>
  <c r="E34" i="17" s="1"/>
  <c r="E35" i="17" s="1"/>
  <c r="E36" i="17" s="1"/>
  <c r="E37" i="17" s="1"/>
  <c r="E38" i="17" s="1"/>
  <c r="E39" i="17" s="1"/>
  <c r="E40" i="17" s="1"/>
  <c r="E41" i="17" s="1"/>
  <c r="E42" i="17" s="1"/>
  <c r="E43" i="17" s="1"/>
  <c r="B21" i="17"/>
  <c r="B22" i="17" s="1"/>
  <c r="B23" i="17" s="1"/>
  <c r="B24" i="17" s="1"/>
  <c r="B25" i="17" s="1"/>
  <c r="B26" i="17" s="1"/>
  <c r="B27" i="17" s="1"/>
  <c r="B28" i="17" s="1"/>
  <c r="B29" i="17" s="1"/>
  <c r="B30" i="17" s="1"/>
  <c r="B31" i="17" s="1"/>
  <c r="B32" i="17" s="1"/>
  <c r="B33" i="17" s="1"/>
  <c r="B34" i="17" s="1"/>
  <c r="B35" i="17" s="1"/>
  <c r="B36" i="17" s="1"/>
  <c r="B37" i="17" s="1"/>
  <c r="B38" i="17" s="1"/>
  <c r="B39" i="17" s="1"/>
  <c r="B40" i="17" s="1"/>
  <c r="B41" i="17" s="1"/>
  <c r="B42" i="17" s="1"/>
  <c r="B43" i="17" s="1"/>
  <c r="D815" i="55"/>
  <c r="D816" i="55"/>
  <c r="D817" i="55"/>
  <c r="D818" i="55"/>
  <c r="D819" i="55"/>
  <c r="D820" i="55"/>
  <c r="D821" i="55"/>
  <c r="D822" i="55"/>
  <c r="D823" i="55"/>
  <c r="D824" i="55"/>
  <c r="D825" i="55"/>
  <c r="D826" i="55"/>
  <c r="D827" i="55"/>
  <c r="D828" i="55"/>
  <c r="D829" i="55"/>
  <c r="D830" i="55"/>
  <c r="D831" i="55"/>
  <c r="D832" i="55"/>
  <c r="D833" i="55"/>
  <c r="D834" i="55"/>
  <c r="D814" i="55"/>
  <c r="B815" i="55"/>
  <c r="B816" i="55"/>
  <c r="B817" i="55"/>
  <c r="B818" i="55"/>
  <c r="B819" i="55"/>
  <c r="B820" i="55"/>
  <c r="B821" i="55"/>
  <c r="B822" i="55"/>
  <c r="B823" i="55"/>
  <c r="B824" i="55"/>
  <c r="B825" i="55"/>
  <c r="B826" i="55"/>
  <c r="B827" i="55"/>
  <c r="B828" i="55"/>
  <c r="B829" i="55"/>
  <c r="B830" i="55"/>
  <c r="B831" i="55"/>
  <c r="B832" i="55"/>
  <c r="B833" i="55"/>
  <c r="B834" i="55"/>
  <c r="B814" i="55"/>
  <c r="A816" i="55"/>
  <c r="A817" i="55" s="1"/>
  <c r="A818" i="55" s="1"/>
  <c r="A819" i="55" s="1"/>
  <c r="A820" i="55" s="1"/>
  <c r="A821" i="55" s="1"/>
  <c r="A822" i="55" s="1"/>
  <c r="A823" i="55" s="1"/>
  <c r="A824" i="55" s="1"/>
  <c r="A825" i="55" s="1"/>
  <c r="A826" i="55" s="1"/>
  <c r="A827" i="55" s="1"/>
  <c r="A828" i="55" s="1"/>
  <c r="A829" i="55" s="1"/>
  <c r="A830" i="55" s="1"/>
  <c r="A831" i="55" s="1"/>
  <c r="A832" i="55" s="1"/>
  <c r="A833" i="55" s="1"/>
  <c r="A834" i="55" s="1"/>
  <c r="A815" i="55"/>
  <c r="L811" i="55"/>
  <c r="K811" i="55"/>
  <c r="J811" i="55"/>
  <c r="I811" i="55"/>
  <c r="H811" i="55"/>
  <c r="G811" i="55"/>
  <c r="F811" i="55"/>
  <c r="B811" i="55"/>
  <c r="L809" i="55"/>
  <c r="F809" i="55"/>
  <c r="A809" i="55"/>
  <c r="F807" i="55"/>
  <c r="D815" i="54"/>
  <c r="D816" i="54"/>
  <c r="D817" i="54"/>
  <c r="D818" i="54"/>
  <c r="D819" i="54"/>
  <c r="D820" i="54"/>
  <c r="D821" i="54"/>
  <c r="D822" i="54"/>
  <c r="D823" i="54"/>
  <c r="D824" i="54"/>
  <c r="D825" i="54"/>
  <c r="D826" i="54"/>
  <c r="D827" i="54"/>
  <c r="D828" i="54"/>
  <c r="D829" i="54"/>
  <c r="D830" i="54"/>
  <c r="D831" i="54"/>
  <c r="D832" i="54"/>
  <c r="D833" i="54"/>
  <c r="D834" i="54"/>
  <c r="D814" i="54"/>
  <c r="B815" i="54"/>
  <c r="B816" i="54"/>
  <c r="B817" i="54"/>
  <c r="B818" i="54"/>
  <c r="B819" i="54"/>
  <c r="B820" i="54"/>
  <c r="B821" i="54"/>
  <c r="B822" i="54"/>
  <c r="B823" i="54"/>
  <c r="B824" i="54"/>
  <c r="B825" i="54"/>
  <c r="B826" i="54"/>
  <c r="B827" i="54"/>
  <c r="B828" i="54"/>
  <c r="B829" i="54"/>
  <c r="B830" i="54"/>
  <c r="B831" i="54"/>
  <c r="B832" i="54"/>
  <c r="B833" i="54"/>
  <c r="B834" i="54"/>
  <c r="B814" i="54"/>
  <c r="A815" i="54"/>
  <c r="A816" i="54" s="1"/>
  <c r="A817" i="54" s="1"/>
  <c r="A818" i="54" s="1"/>
  <c r="A819" i="54" s="1"/>
  <c r="A820" i="54" s="1"/>
  <c r="A821" i="54" s="1"/>
  <c r="A822" i="54" s="1"/>
  <c r="A823" i="54" s="1"/>
  <c r="A824" i="54" s="1"/>
  <c r="A825" i="54" s="1"/>
  <c r="A826" i="54" s="1"/>
  <c r="A827" i="54" s="1"/>
  <c r="A828" i="54" s="1"/>
  <c r="A829" i="54" s="1"/>
  <c r="A830" i="54" s="1"/>
  <c r="A831" i="54" s="1"/>
  <c r="A832" i="54" s="1"/>
  <c r="A833" i="54" s="1"/>
  <c r="A834" i="54" s="1"/>
  <c r="L811" i="54"/>
  <c r="K811" i="54"/>
  <c r="J811" i="54"/>
  <c r="I811" i="54"/>
  <c r="H811" i="54"/>
  <c r="G811" i="54"/>
  <c r="F811" i="54"/>
  <c r="B811" i="54"/>
  <c r="L809" i="54"/>
  <c r="F809" i="54"/>
  <c r="A809" i="54"/>
  <c r="F807" i="54"/>
  <c r="B811" i="52"/>
  <c r="B811" i="53"/>
  <c r="D815" i="53"/>
  <c r="D816" i="53"/>
  <c r="D817" i="53"/>
  <c r="D818" i="53"/>
  <c r="D819" i="53"/>
  <c r="D820" i="53"/>
  <c r="D821" i="53"/>
  <c r="D822" i="53"/>
  <c r="D823" i="53"/>
  <c r="D824" i="53"/>
  <c r="D825" i="53"/>
  <c r="D826" i="53"/>
  <c r="D827" i="53"/>
  <c r="D828" i="53"/>
  <c r="D829" i="53"/>
  <c r="D830" i="53"/>
  <c r="D831" i="53"/>
  <c r="D832" i="53"/>
  <c r="D833" i="53"/>
  <c r="D834" i="53"/>
  <c r="D814" i="53"/>
  <c r="B815" i="53"/>
  <c r="B816" i="53"/>
  <c r="B817" i="53"/>
  <c r="B818" i="53"/>
  <c r="B819" i="53"/>
  <c r="B820" i="53"/>
  <c r="B821" i="53"/>
  <c r="B822" i="53"/>
  <c r="B823" i="53"/>
  <c r="B824" i="53"/>
  <c r="B825" i="53"/>
  <c r="B826" i="53"/>
  <c r="B827" i="53"/>
  <c r="B828" i="53"/>
  <c r="B829" i="53"/>
  <c r="B830" i="53"/>
  <c r="B831" i="53"/>
  <c r="B832" i="53"/>
  <c r="B833" i="53"/>
  <c r="B834" i="53"/>
  <c r="B814" i="53"/>
  <c r="L809" i="53"/>
  <c r="L811" i="53"/>
  <c r="K811" i="53"/>
  <c r="J811" i="53"/>
  <c r="I811" i="53"/>
  <c r="H811" i="53"/>
  <c r="G811" i="53"/>
  <c r="F811" i="53"/>
  <c r="A815" i="53"/>
  <c r="A816" i="53" s="1"/>
  <c r="A817" i="53" s="1"/>
  <c r="A818" i="53" s="1"/>
  <c r="A819" i="53" s="1"/>
  <c r="A820" i="53" s="1"/>
  <c r="A821" i="53" s="1"/>
  <c r="A822" i="53" s="1"/>
  <c r="A823" i="53" s="1"/>
  <c r="A824" i="53" s="1"/>
  <c r="A825" i="53" s="1"/>
  <c r="A826" i="53" s="1"/>
  <c r="A827" i="53" s="1"/>
  <c r="A828" i="53" s="1"/>
  <c r="A829" i="53" s="1"/>
  <c r="A830" i="53" s="1"/>
  <c r="A831" i="53" s="1"/>
  <c r="A832" i="53" s="1"/>
  <c r="A833" i="53" s="1"/>
  <c r="A834" i="53" s="1"/>
  <c r="F809" i="53"/>
  <c r="A809" i="53"/>
  <c r="F807" i="53"/>
  <c r="B851" i="52"/>
  <c r="D851" i="52"/>
  <c r="B841" i="52"/>
  <c r="D841" i="52"/>
  <c r="F841" i="52"/>
  <c r="G841" i="52"/>
  <c r="H841" i="52"/>
  <c r="B842" i="52"/>
  <c r="D842" i="52"/>
  <c r="F842" i="52"/>
  <c r="G842" i="52"/>
  <c r="H842" i="52"/>
  <c r="B843" i="52"/>
  <c r="D843" i="52"/>
  <c r="B844" i="52"/>
  <c r="D844" i="52"/>
  <c r="B845" i="52"/>
  <c r="D845" i="52"/>
  <c r="B846" i="52"/>
  <c r="D846" i="52"/>
  <c r="B847" i="52"/>
  <c r="D847" i="52"/>
  <c r="B848" i="52"/>
  <c r="D848" i="52"/>
  <c r="B849" i="52"/>
  <c r="D849" i="52"/>
  <c r="B850" i="52"/>
  <c r="D850" i="52"/>
  <c r="F850" i="52"/>
  <c r="G850" i="52"/>
  <c r="H850" i="52"/>
  <c r="B840" i="52"/>
  <c r="F840" i="52"/>
  <c r="G840" i="52"/>
  <c r="H840" i="52"/>
  <c r="F824" i="52"/>
  <c r="G824" i="52"/>
  <c r="H824" i="52"/>
  <c r="F823" i="52"/>
  <c r="G823" i="52"/>
  <c r="H823" i="52"/>
  <c r="B824" i="52"/>
  <c r="B825" i="52"/>
  <c r="B826" i="52"/>
  <c r="B827" i="52"/>
  <c r="B828" i="52"/>
  <c r="B829" i="52"/>
  <c r="B830" i="52"/>
  <c r="B831" i="52"/>
  <c r="B832" i="52"/>
  <c r="B833" i="52"/>
  <c r="B834" i="52"/>
  <c r="B835" i="52"/>
  <c r="B836" i="52"/>
  <c r="B837" i="52"/>
  <c r="B838" i="52"/>
  <c r="B839" i="52"/>
  <c r="D831" i="52"/>
  <c r="D832" i="52"/>
  <c r="D833" i="52"/>
  <c r="D834" i="52"/>
  <c r="D835" i="52"/>
  <c r="D836" i="52"/>
  <c r="D837" i="52"/>
  <c r="D838" i="52"/>
  <c r="D839" i="52"/>
  <c r="D840" i="52"/>
  <c r="D824" i="52"/>
  <c r="D825" i="52"/>
  <c r="D826" i="52"/>
  <c r="D827" i="52"/>
  <c r="D828" i="52"/>
  <c r="D829" i="52"/>
  <c r="D830" i="52"/>
  <c r="B823" i="52"/>
  <c r="D823" i="52"/>
  <c r="D822" i="52"/>
  <c r="B822" i="52"/>
  <c r="B821" i="52"/>
  <c r="D821" i="52"/>
  <c r="D820" i="52"/>
  <c r="D819" i="52"/>
  <c r="D818" i="52"/>
  <c r="D817" i="52"/>
  <c r="D816" i="52"/>
  <c r="D815" i="52"/>
  <c r="D814" i="52"/>
  <c r="B820" i="52"/>
  <c r="G819" i="52"/>
  <c r="H819" i="52"/>
  <c r="F819" i="52"/>
  <c r="B819" i="52"/>
  <c r="A815" i="52"/>
  <c r="A816" i="52" s="1"/>
  <c r="A817" i="52" s="1"/>
  <c r="A818" i="52" s="1"/>
  <c r="A819" i="52" s="1"/>
  <c r="A820" i="52" s="1"/>
  <c r="A821" i="52" s="1"/>
  <c r="G818" i="52"/>
  <c r="H818" i="52"/>
  <c r="F818" i="52"/>
  <c r="B818" i="52"/>
  <c r="G817" i="52"/>
  <c r="H817" i="52"/>
  <c r="F817" i="52"/>
  <c r="B817" i="52"/>
  <c r="G816" i="52"/>
  <c r="B816" i="52"/>
  <c r="G815" i="52"/>
  <c r="H815" i="52"/>
  <c r="F815" i="52"/>
  <c r="B815" i="52"/>
  <c r="G814" i="52"/>
  <c r="H814" i="52"/>
  <c r="F814" i="52"/>
  <c r="B814" i="52"/>
  <c r="K809" i="52"/>
  <c r="F809" i="52"/>
  <c r="A809" i="52"/>
  <c r="F807" i="52"/>
  <c r="E309" i="1"/>
  <c r="G309" i="1"/>
  <c r="H309" i="1"/>
  <c r="I309" i="1"/>
  <c r="J309" i="1"/>
  <c r="K309" i="1"/>
  <c r="E310" i="1"/>
  <c r="H310" i="1"/>
  <c r="I310" i="1"/>
  <c r="J310" i="1"/>
  <c r="K310" i="1"/>
  <c r="F308" i="1"/>
  <c r="G308" i="1"/>
  <c r="H308" i="1"/>
  <c r="I308" i="1"/>
  <c r="J308" i="1"/>
  <c r="K308" i="1"/>
  <c r="E300" i="1"/>
  <c r="G300" i="1"/>
  <c r="H300" i="1"/>
  <c r="I300" i="1"/>
  <c r="J300" i="1"/>
  <c r="K300" i="1"/>
  <c r="E301" i="1"/>
  <c r="H301" i="1"/>
  <c r="I301" i="1"/>
  <c r="J301" i="1"/>
  <c r="K301" i="1"/>
  <c r="F299" i="1"/>
  <c r="G299" i="1"/>
  <c r="H299" i="1"/>
  <c r="I299" i="1"/>
  <c r="J299" i="1"/>
  <c r="K299" i="1"/>
  <c r="H291" i="1"/>
  <c r="I291" i="1"/>
  <c r="J291" i="1"/>
  <c r="K291" i="1"/>
  <c r="E291" i="1"/>
  <c r="G290" i="1"/>
  <c r="H290" i="1"/>
  <c r="I290" i="1"/>
  <c r="J290" i="1"/>
  <c r="K290" i="1"/>
  <c r="E290" i="1"/>
  <c r="F289" i="1"/>
  <c r="G289" i="1"/>
  <c r="H289" i="1"/>
  <c r="I289" i="1"/>
  <c r="J289" i="1"/>
  <c r="K289" i="1"/>
  <c r="A822" i="52" l="1"/>
  <c r="A823" i="52" s="1"/>
  <c r="A824" i="52" s="1"/>
  <c r="A825" i="52" s="1"/>
  <c r="A826" i="52" s="1"/>
  <c r="A827" i="52" s="1"/>
  <c r="A828" i="52" s="1"/>
  <c r="A829" i="52" s="1"/>
  <c r="A830" i="52" s="1"/>
  <c r="A831" i="52" s="1"/>
  <c r="A832" i="52" s="1"/>
  <c r="A833" i="52" s="1"/>
  <c r="A834" i="52" s="1"/>
  <c r="A835" i="52" s="1"/>
  <c r="A836" i="52" s="1"/>
  <c r="A837" i="52" s="1"/>
  <c r="A838" i="52" s="1"/>
  <c r="A839" i="52" s="1"/>
  <c r="A840" i="52" s="1"/>
  <c r="A841" i="52" s="1"/>
  <c r="A842" i="52" s="1"/>
  <c r="A843" i="52" s="1"/>
  <c r="A844" i="52" s="1"/>
  <c r="A845" i="52" s="1"/>
  <c r="A846" i="52" s="1"/>
  <c r="A847" i="52" s="1"/>
  <c r="A848" i="52" s="1"/>
  <c r="A849" i="52" s="1"/>
  <c r="A850" i="52" s="1"/>
  <c r="A851" i="52" s="1"/>
  <c r="A10" i="62"/>
  <c r="D393" i="52" l="1"/>
  <c r="D391" i="52"/>
  <c r="B14" i="65" l="1"/>
  <c r="B10" i="65"/>
  <c r="B11" i="65"/>
  <c r="B12" i="65"/>
  <c r="B13" i="65"/>
  <c r="B9" i="65"/>
  <c r="B116" i="65" l="1"/>
  <c r="B115" i="65"/>
  <c r="B85" i="65"/>
  <c r="B84" i="65"/>
  <c r="B54" i="65"/>
  <c r="B53" i="65"/>
  <c r="B23" i="65"/>
  <c r="B22" i="65"/>
  <c r="A102" i="65"/>
  <c r="J98" i="65"/>
  <c r="I98" i="65"/>
  <c r="H98" i="65"/>
  <c r="G98" i="65"/>
  <c r="F98" i="65"/>
  <c r="E98" i="65"/>
  <c r="D98" i="65"/>
  <c r="A71" i="65"/>
  <c r="J67" i="65"/>
  <c r="I67" i="65"/>
  <c r="H67" i="65"/>
  <c r="G67" i="65"/>
  <c r="F67" i="65"/>
  <c r="E67" i="65"/>
  <c r="D67" i="65"/>
  <c r="J36" i="65"/>
  <c r="I36" i="65"/>
  <c r="H36" i="65"/>
  <c r="G36" i="65"/>
  <c r="F36" i="65"/>
  <c r="E36" i="65"/>
  <c r="D36" i="65"/>
  <c r="A40" i="65"/>
  <c r="A9" i="65"/>
  <c r="A72" i="65" l="1"/>
  <c r="A73" i="65" s="1"/>
  <c r="A74" i="65" s="1"/>
  <c r="A75" i="65" s="1"/>
  <c r="A76" i="65" s="1"/>
  <c r="A77" i="65" s="1"/>
  <c r="A78" i="65" s="1"/>
  <c r="A79" i="65" s="1"/>
  <c r="A80" i="65" s="1"/>
  <c r="A82" i="65" s="1"/>
  <c r="A84" i="65" s="1"/>
  <c r="A85" i="65" s="1"/>
  <c r="A87" i="65" s="1"/>
  <c r="A89" i="65" s="1"/>
  <c r="A103" i="65"/>
  <c r="A104" i="65" s="1"/>
  <c r="A105" i="65" s="1"/>
  <c r="A106" i="65" s="1"/>
  <c r="A107" i="65" s="1"/>
  <c r="A108" i="65" s="1"/>
  <c r="A109" i="65" s="1"/>
  <c r="A110" i="65" s="1"/>
  <c r="A111" i="65" s="1"/>
  <c r="A113" i="65" s="1"/>
  <c r="A115" i="65" s="1"/>
  <c r="A116" i="65" s="1"/>
  <c r="A118" i="65" s="1"/>
  <c r="A120" i="65" s="1"/>
  <c r="A41" i="65"/>
  <c r="A42" i="65" s="1"/>
  <c r="A43" i="65" s="1"/>
  <c r="A44" i="65" s="1"/>
  <c r="A45" i="65" s="1"/>
  <c r="A46" i="65" s="1"/>
  <c r="A47" i="65" s="1"/>
  <c r="A48" i="65" s="1"/>
  <c r="A49" i="65" s="1"/>
  <c r="A51" i="65" s="1"/>
  <c r="A53" i="65" s="1"/>
  <c r="A54" i="65" s="1"/>
  <c r="A56" i="65" s="1"/>
  <c r="A58" i="65" s="1"/>
  <c r="A10" i="65"/>
  <c r="A11" i="65" s="1"/>
  <c r="A12" i="65" s="1"/>
  <c r="A13" i="65" s="1"/>
  <c r="A14" i="65" s="1"/>
  <c r="A15" i="65" s="1"/>
  <c r="A16" i="65" s="1"/>
  <c r="A17" i="65" s="1"/>
  <c r="A18" i="65" s="1"/>
  <c r="A20" i="65" s="1"/>
  <c r="A22" i="65" s="1"/>
  <c r="A23" i="65" s="1"/>
  <c r="A25" i="65" s="1"/>
  <c r="A27" i="65" s="1"/>
  <c r="F14" i="64"/>
  <c r="A14" i="64"/>
  <c r="F12" i="64"/>
  <c r="G16" i="63"/>
  <c r="G22" i="63" s="1"/>
  <c r="I20" i="63" l="1"/>
  <c r="M20" i="63" s="1"/>
  <c r="D10" i="62" s="1"/>
  <c r="I12" i="63"/>
  <c r="M12" i="63" s="1"/>
  <c r="F16" i="64"/>
  <c r="F18" i="64"/>
  <c r="F20" i="64" s="1"/>
  <c r="I14" i="63"/>
  <c r="M14" i="63" s="1"/>
  <c r="I18" i="63"/>
  <c r="M18" i="63" s="1"/>
  <c r="L621" i="45"/>
  <c r="K621" i="45"/>
  <c r="J621" i="45"/>
  <c r="H621" i="45"/>
  <c r="G621" i="45"/>
  <c r="F621" i="45"/>
  <c r="K393" i="45"/>
  <c r="L393" i="45"/>
  <c r="K391" i="45"/>
  <c r="L391" i="45"/>
  <c r="G385" i="45"/>
  <c r="H385" i="45"/>
  <c r="I385" i="45"/>
  <c r="J385" i="45"/>
  <c r="K385" i="45"/>
  <c r="L385" i="45"/>
  <c r="F386" i="45"/>
  <c r="K386" i="45"/>
  <c r="L386" i="45"/>
  <c r="K390" i="45"/>
  <c r="L390" i="45"/>
  <c r="L349" i="45"/>
  <c r="K349" i="45"/>
  <c r="J349" i="45"/>
  <c r="H349" i="45"/>
  <c r="G349" i="45"/>
  <c r="F349" i="45"/>
  <c r="L336" i="45"/>
  <c r="K336" i="45"/>
  <c r="J336" i="45"/>
  <c r="H336" i="45"/>
  <c r="G336" i="45"/>
  <c r="F336" i="45"/>
  <c r="L330" i="45"/>
  <c r="K330" i="45"/>
  <c r="J330" i="45"/>
  <c r="H330" i="45"/>
  <c r="G330" i="45"/>
  <c r="F330" i="45"/>
  <c r="L324" i="45"/>
  <c r="K324" i="45"/>
  <c r="J324" i="45"/>
  <c r="H324" i="45"/>
  <c r="G324" i="45"/>
  <c r="F324" i="45"/>
  <c r="L264" i="45"/>
  <c r="K264" i="45"/>
  <c r="J264" i="45"/>
  <c r="H264" i="45"/>
  <c r="G264" i="45"/>
  <c r="F264" i="45"/>
  <c r="L250" i="45"/>
  <c r="K250" i="45"/>
  <c r="J250" i="45"/>
  <c r="H250" i="45"/>
  <c r="G250" i="45"/>
  <c r="F250" i="45"/>
  <c r="L244" i="45"/>
  <c r="K244" i="45"/>
  <c r="J244" i="45"/>
  <c r="H244" i="45"/>
  <c r="G244" i="45"/>
  <c r="F244" i="45"/>
  <c r="L238" i="45"/>
  <c r="K238" i="45"/>
  <c r="J238" i="45"/>
  <c r="H238" i="45"/>
  <c r="G238" i="45"/>
  <c r="F238" i="45"/>
  <c r="F181" i="45"/>
  <c r="G181" i="45"/>
  <c r="H181" i="45"/>
  <c r="J181" i="45"/>
  <c r="K181" i="45"/>
  <c r="L181" i="45"/>
  <c r="L175" i="45"/>
  <c r="K175" i="45"/>
  <c r="J175" i="45"/>
  <c r="H175" i="45"/>
  <c r="G175" i="45"/>
  <c r="F175" i="45"/>
  <c r="F162" i="45"/>
  <c r="G162" i="45"/>
  <c r="H162" i="45"/>
  <c r="J162" i="45"/>
  <c r="K162" i="45"/>
  <c r="L162" i="45"/>
  <c r="F156" i="45"/>
  <c r="G156" i="45"/>
  <c r="H156" i="45"/>
  <c r="J156" i="45"/>
  <c r="K156" i="45"/>
  <c r="L156" i="45"/>
  <c r="K10" i="54"/>
  <c r="L10" i="54"/>
  <c r="C52" i="9"/>
  <c r="H93" i="2"/>
  <c r="H95" i="2"/>
  <c r="F22" i="64" l="1"/>
  <c r="F24" i="64" s="1"/>
  <c r="F27" i="64" s="1"/>
  <c r="D12" i="62" s="1"/>
  <c r="D14" i="62" s="1"/>
  <c r="M16" i="63"/>
  <c r="M22" i="63" s="1"/>
  <c r="I16" i="63"/>
  <c r="I22" i="63" s="1"/>
  <c r="D8" i="62" l="1"/>
  <c r="D16" i="62" s="1"/>
  <c r="D22" i="62" l="1"/>
  <c r="D20" i="62"/>
  <c r="D24" i="62" s="1"/>
  <c r="D28" i="62" l="1"/>
  <c r="D30" i="62" s="1"/>
  <c r="D34" i="62" s="1"/>
  <c r="D36" i="62" s="1"/>
  <c r="E58" i="9"/>
  <c r="F551" i="1" s="1"/>
  <c r="E57" i="9"/>
  <c r="F550" i="1" s="1"/>
  <c r="A553" i="1"/>
  <c r="A552" i="1"/>
  <c r="J554" i="1"/>
  <c r="K554" i="1"/>
  <c r="H551" i="1"/>
  <c r="I551" i="1"/>
  <c r="J551" i="1"/>
  <c r="K551" i="1"/>
  <c r="E551" i="1"/>
  <c r="G550" i="1"/>
  <c r="H550" i="1"/>
  <c r="I550" i="1"/>
  <c r="J550" i="1"/>
  <c r="K550" i="1"/>
  <c r="E550" i="1"/>
  <c r="F549" i="1"/>
  <c r="G549" i="1"/>
  <c r="H549" i="1"/>
  <c r="I549" i="1"/>
  <c r="J549" i="1"/>
  <c r="K549" i="1"/>
  <c r="F64" i="9"/>
  <c r="G554" i="1" s="1"/>
  <c r="G59" i="9"/>
  <c r="H59" i="9"/>
  <c r="H63" i="9"/>
  <c r="H62" i="9"/>
  <c r="G63" i="9"/>
  <c r="G64" i="9" s="1"/>
  <c r="H554" i="1" s="1"/>
  <c r="E62" i="9"/>
  <c r="E64" i="9" s="1"/>
  <c r="F554" i="1" s="1"/>
  <c r="D61" i="9"/>
  <c r="D64" i="9" s="1"/>
  <c r="E554" i="1" s="1"/>
  <c r="D56" i="9"/>
  <c r="C56" i="9" s="1"/>
  <c r="A583" i="1"/>
  <c r="A574" i="1"/>
  <c r="A565" i="1"/>
  <c r="A584" i="1"/>
  <c r="A575" i="1"/>
  <c r="A566" i="1"/>
  <c r="K579" i="1"/>
  <c r="J579" i="1"/>
  <c r="I579" i="1"/>
  <c r="H579" i="1"/>
  <c r="G579" i="1"/>
  <c r="F579" i="1"/>
  <c r="E579" i="1"/>
  <c r="K570" i="1"/>
  <c r="J570" i="1"/>
  <c r="I570" i="1"/>
  <c r="H570" i="1"/>
  <c r="G570" i="1"/>
  <c r="F570" i="1"/>
  <c r="E570" i="1"/>
  <c r="K21" i="6"/>
  <c r="K19" i="6"/>
  <c r="K17" i="6"/>
  <c r="K15" i="6"/>
  <c r="H21" i="6"/>
  <c r="H19" i="6"/>
  <c r="H17" i="6"/>
  <c r="H15" i="6"/>
  <c r="H64" i="9" l="1"/>
  <c r="I554" i="1" s="1"/>
  <c r="E59" i="9"/>
  <c r="C63" i="9"/>
  <c r="D59" i="9"/>
  <c r="E549" i="1"/>
  <c r="C62" i="9"/>
  <c r="C57" i="9"/>
  <c r="C61" i="9"/>
  <c r="K10" i="55"/>
  <c r="L10" i="55"/>
  <c r="K307" i="1"/>
  <c r="J307" i="1"/>
  <c r="I307" i="1"/>
  <c r="H307" i="1"/>
  <c r="G307" i="1"/>
  <c r="F307" i="1"/>
  <c r="E307" i="1"/>
  <c r="K298" i="1"/>
  <c r="J298" i="1"/>
  <c r="I298" i="1"/>
  <c r="H298" i="1"/>
  <c r="G298" i="1"/>
  <c r="F298" i="1"/>
  <c r="E298" i="1"/>
  <c r="E621" i="52"/>
  <c r="E336" i="52"/>
  <c r="E330" i="52"/>
  <c r="E324" i="52"/>
  <c r="E238" i="52"/>
  <c r="E156" i="52"/>
  <c r="E264" i="52"/>
  <c r="E250" i="52"/>
  <c r="E244" i="52"/>
  <c r="C64" i="9" l="1"/>
  <c r="E323" i="52"/>
  <c r="E15" i="59" l="1"/>
  <c r="F15" i="59"/>
  <c r="G15" i="59"/>
  <c r="H15" i="59"/>
  <c r="I15" i="59"/>
  <c r="J15" i="59"/>
  <c r="D15" i="59"/>
  <c r="E15" i="61" l="1"/>
  <c r="F15" i="61"/>
  <c r="G15" i="61"/>
  <c r="H15" i="61"/>
  <c r="I15" i="61"/>
  <c r="J15" i="61"/>
  <c r="D15" i="61"/>
  <c r="D797" i="55"/>
  <c r="D784" i="55"/>
  <c r="D742" i="55"/>
  <c r="D697" i="55"/>
  <c r="D673" i="55"/>
  <c r="A629" i="55"/>
  <c r="A630" i="55"/>
  <c r="D629" i="55"/>
  <c r="D625" i="55"/>
  <c r="D616" i="55"/>
  <c r="D620" i="55"/>
  <c r="D557" i="55"/>
  <c r="D549" i="55"/>
  <c r="D529" i="55"/>
  <c r="D518" i="55"/>
  <c r="D522" i="55"/>
  <c r="D526" i="55"/>
  <c r="D458" i="55"/>
  <c r="D450" i="55"/>
  <c r="D191" i="55"/>
  <c r="D276" i="55" s="1"/>
  <c r="D361" i="55" s="1"/>
  <c r="D195" i="55"/>
  <c r="D280" i="55" s="1"/>
  <c r="D365" i="55" s="1"/>
  <c r="D199" i="55"/>
  <c r="D284" i="55" s="1"/>
  <c r="D369" i="55" s="1"/>
  <c r="D203" i="55"/>
  <c r="D288" i="55" s="1"/>
  <c r="D185" i="55"/>
  <c r="D268" i="55" s="1"/>
  <c r="D353" i="55" s="1"/>
  <c r="D159" i="55"/>
  <c r="D241" i="55" s="1"/>
  <c r="D327" i="55" s="1"/>
  <c r="D136" i="55"/>
  <c r="D218" i="55" s="1"/>
  <c r="D304" i="55" s="1"/>
  <c r="J22" i="61"/>
  <c r="I22" i="61"/>
  <c r="G10" i="61"/>
  <c r="J9" i="61"/>
  <c r="I9" i="61"/>
  <c r="G9" i="61"/>
  <c r="A8" i="61"/>
  <c r="A9" i="61" s="1"/>
  <c r="A10" i="61" s="1"/>
  <c r="A11" i="61" s="1"/>
  <c r="A12" i="61" s="1"/>
  <c r="A13" i="61" s="1"/>
  <c r="A14" i="61" s="1"/>
  <c r="A15" i="61" s="1"/>
  <c r="A16" i="61" s="1"/>
  <c r="A17" i="61" s="1"/>
  <c r="A18" i="61" s="1"/>
  <c r="A19" i="61" s="1"/>
  <c r="A20" i="61" s="1"/>
  <c r="A21" i="61" s="1"/>
  <c r="A22" i="61" s="1"/>
  <c r="A23" i="61" s="1"/>
  <c r="A24" i="61" s="1"/>
  <c r="A25" i="61" s="1"/>
  <c r="A26" i="61" s="1"/>
  <c r="A27" i="61" s="1"/>
  <c r="T5" i="61"/>
  <c r="S5" i="61"/>
  <c r="R5" i="61"/>
  <c r="Q5" i="61"/>
  <c r="P5" i="61"/>
  <c r="O5" i="61"/>
  <c r="N5" i="61"/>
  <c r="J5" i="61"/>
  <c r="I5" i="61"/>
  <c r="H5" i="61"/>
  <c r="G5" i="61"/>
  <c r="F5" i="61"/>
  <c r="E5" i="61"/>
  <c r="D5" i="61"/>
  <c r="C1" i="61"/>
  <c r="D1" i="61" s="1"/>
  <c r="E1" i="61" s="1"/>
  <c r="F1" i="61" s="1"/>
  <c r="G1" i="61" s="1"/>
  <c r="H1" i="61" s="1"/>
  <c r="I1" i="61" s="1"/>
  <c r="J1" i="61" s="1"/>
  <c r="K1" i="61" s="1"/>
  <c r="L1" i="61" s="1"/>
  <c r="M1" i="61" s="1"/>
  <c r="N1" i="61" s="1"/>
  <c r="O1" i="61" s="1"/>
  <c r="P1" i="61" s="1"/>
  <c r="Q1" i="61" s="1"/>
  <c r="R1" i="61" s="1"/>
  <c r="S1" i="61" s="1"/>
  <c r="T1" i="61" s="1"/>
  <c r="A629" i="54"/>
  <c r="A630" i="54"/>
  <c r="A631" i="54"/>
  <c r="D135" i="55" l="1"/>
  <c r="D217" i="55" s="1"/>
  <c r="D303" i="55" s="1"/>
  <c r="D182" i="55"/>
  <c r="D265" i="55" s="1"/>
  <c r="D350" i="55" s="1"/>
  <c r="D184" i="55"/>
  <c r="D267" i="55" s="1"/>
  <c r="D352" i="55" s="1"/>
  <c r="D202" i="55"/>
  <c r="D287" i="55" s="1"/>
  <c r="D372" i="55" s="1"/>
  <c r="D198" i="55"/>
  <c r="D283" i="55" s="1"/>
  <c r="D368" i="55" s="1"/>
  <c r="D194" i="55"/>
  <c r="D279" i="55" s="1"/>
  <c r="D364" i="55" s="1"/>
  <c r="D443" i="55"/>
  <c r="D451" i="55"/>
  <c r="D457" i="55"/>
  <c r="D525" i="55"/>
  <c r="D521" i="55"/>
  <c r="D517" i="55"/>
  <c r="D542" i="55"/>
  <c r="D550" i="55"/>
  <c r="D556" i="55"/>
  <c r="D619" i="55"/>
  <c r="D615" i="55"/>
  <c r="D624" i="55"/>
  <c r="D630" i="55"/>
  <c r="D675" i="55"/>
  <c r="D703" i="55"/>
  <c r="D750" i="55"/>
  <c r="D787" i="55"/>
  <c r="D798" i="55"/>
  <c r="D133" i="55"/>
  <c r="D215" i="55" s="1"/>
  <c r="D301" i="55" s="1"/>
  <c r="D134" i="55"/>
  <c r="D216" i="55" s="1"/>
  <c r="D302" i="55" s="1"/>
  <c r="D187" i="55"/>
  <c r="D270" i="55" s="1"/>
  <c r="D355" i="55" s="1"/>
  <c r="D183" i="55"/>
  <c r="D266" i="55" s="1"/>
  <c r="D351" i="55" s="1"/>
  <c r="D201" i="55"/>
  <c r="D286" i="55" s="1"/>
  <c r="D371" i="55" s="1"/>
  <c r="D197" i="55"/>
  <c r="D282" i="55" s="1"/>
  <c r="D367" i="55" s="1"/>
  <c r="D193" i="55"/>
  <c r="D278" i="55" s="1"/>
  <c r="D363" i="55" s="1"/>
  <c r="D445" i="55"/>
  <c r="D456" i="55"/>
  <c r="D463" i="55"/>
  <c r="D524" i="55"/>
  <c r="D520" i="55"/>
  <c r="D516" i="55"/>
  <c r="D544" i="55"/>
  <c r="D555" i="55"/>
  <c r="D562" i="55"/>
  <c r="D618" i="55"/>
  <c r="D622" i="55"/>
  <c r="D623" i="55"/>
  <c r="D677" i="55"/>
  <c r="D717" i="55"/>
  <c r="D762" i="55"/>
  <c r="D788" i="55"/>
  <c r="D137" i="55"/>
  <c r="D219" i="55" s="1"/>
  <c r="D305" i="55" s="1"/>
  <c r="D158" i="55"/>
  <c r="D240" i="55" s="1"/>
  <c r="D326" i="55" s="1"/>
  <c r="D186" i="55"/>
  <c r="D269" i="55" s="1"/>
  <c r="D354" i="55" s="1"/>
  <c r="D190" i="55"/>
  <c r="D275" i="55" s="1"/>
  <c r="D360" i="55" s="1"/>
  <c r="D200" i="55"/>
  <c r="D285" i="55" s="1"/>
  <c r="D370" i="55" s="1"/>
  <c r="D196" i="55"/>
  <c r="D281" i="55" s="1"/>
  <c r="D366" i="55" s="1"/>
  <c r="D192" i="55"/>
  <c r="D277" i="55" s="1"/>
  <c r="D362" i="55" s="1"/>
  <c r="D446" i="55"/>
  <c r="D459" i="55"/>
  <c r="D515" i="55"/>
  <c r="D523" i="55"/>
  <c r="D519" i="55"/>
  <c r="D528" i="55"/>
  <c r="D545" i="55"/>
  <c r="D558" i="55"/>
  <c r="D614" i="55"/>
  <c r="D617" i="55"/>
  <c r="D626" i="55"/>
  <c r="D627" i="55"/>
  <c r="D693" i="55"/>
  <c r="D738" i="55"/>
  <c r="D766" i="55"/>
  <c r="D789" i="55"/>
  <c r="M15" i="61"/>
  <c r="R15" i="61" l="1"/>
  <c r="J822" i="55" s="1"/>
  <c r="Q15" i="61"/>
  <c r="I822" i="55" s="1"/>
  <c r="S15" i="61"/>
  <c r="K822" i="55" s="1"/>
  <c r="O15" i="61"/>
  <c r="G822" i="55" s="1"/>
  <c r="T15" i="61"/>
  <c r="L822" i="55" s="1"/>
  <c r="P15" i="61"/>
  <c r="H822" i="55" s="1"/>
  <c r="J22" i="60"/>
  <c r="I22" i="60"/>
  <c r="G10" i="60"/>
  <c r="J9" i="60"/>
  <c r="I9" i="60"/>
  <c r="G9" i="60"/>
  <c r="A8" i="60"/>
  <c r="A9" i="60" s="1"/>
  <c r="T5" i="60"/>
  <c r="S5" i="60"/>
  <c r="R5" i="60"/>
  <c r="Q5" i="60"/>
  <c r="P5" i="60"/>
  <c r="O5" i="60"/>
  <c r="N5" i="60"/>
  <c r="J5" i="60"/>
  <c r="I5" i="60"/>
  <c r="H5" i="60"/>
  <c r="G5" i="60"/>
  <c r="F5" i="60"/>
  <c r="E5" i="60"/>
  <c r="D5" i="60"/>
  <c r="C1" i="60"/>
  <c r="D1" i="60" s="1"/>
  <c r="E1" i="60" s="1"/>
  <c r="F1" i="60" s="1"/>
  <c r="G1" i="60" s="1"/>
  <c r="H1" i="60" s="1"/>
  <c r="I1" i="60" s="1"/>
  <c r="J1" i="60" s="1"/>
  <c r="K1" i="60" s="1"/>
  <c r="L1" i="60" s="1"/>
  <c r="M1" i="60" s="1"/>
  <c r="N1" i="60" s="1"/>
  <c r="O1" i="60" s="1"/>
  <c r="P1" i="60" s="1"/>
  <c r="Q1" i="60" s="1"/>
  <c r="R1" i="60" s="1"/>
  <c r="S1" i="60" s="1"/>
  <c r="T1" i="60" s="1"/>
  <c r="J22" i="59"/>
  <c r="I22" i="59"/>
  <c r="G10" i="59"/>
  <c r="J9" i="59"/>
  <c r="I9" i="59"/>
  <c r="G9" i="59"/>
  <c r="A10" i="60" l="1"/>
  <c r="A11" i="60" s="1"/>
  <c r="A12" i="60" s="1"/>
  <c r="A13" i="60" s="1"/>
  <c r="A14" i="60" s="1"/>
  <c r="A15" i="60" s="1"/>
  <c r="A16" i="60" s="1"/>
  <c r="A17" i="60" s="1"/>
  <c r="A18" i="60" s="1"/>
  <c r="A19" i="60" s="1"/>
  <c r="A20" i="60" s="1"/>
  <c r="A21" i="60" s="1"/>
  <c r="A22" i="60" s="1"/>
  <c r="A23" i="60" s="1"/>
  <c r="A24" i="60" s="1"/>
  <c r="A25" i="60" s="1"/>
  <c r="A26" i="60" s="1"/>
  <c r="A27" i="60" s="1"/>
  <c r="D673" i="54"/>
  <c r="D619" i="54"/>
  <c r="D517" i="54"/>
  <c r="D451" i="54"/>
  <c r="D625" i="54"/>
  <c r="D562" i="54"/>
  <c r="D797" i="54"/>
  <c r="D784" i="54"/>
  <c r="D629" i="54"/>
  <c r="D627" i="54"/>
  <c r="D557" i="54"/>
  <c r="D549" i="54"/>
  <c r="D522" i="54"/>
  <c r="D526" i="54"/>
  <c r="D738" i="54"/>
  <c r="D618" i="54"/>
  <c r="D456" i="54"/>
  <c r="D788" i="54"/>
  <c r="D677" i="54"/>
  <c r="D624" i="54"/>
  <c r="D614" i="54"/>
  <c r="D558" i="54"/>
  <c r="D519" i="54"/>
  <c r="D523" i="54"/>
  <c r="D446" i="54"/>
  <c r="D789" i="54"/>
  <c r="D555" i="54"/>
  <c r="D520" i="54"/>
  <c r="D186" i="54"/>
  <c r="D200" i="54"/>
  <c r="D159" i="54"/>
  <c r="D185" i="54"/>
  <c r="D195" i="54"/>
  <c r="D191" i="54"/>
  <c r="D192" i="54"/>
  <c r="D135" i="54"/>
  <c r="D202" i="54"/>
  <c r="D198" i="54"/>
  <c r="D134" i="54"/>
  <c r="D187" i="54"/>
  <c r="D197" i="54"/>
  <c r="D193" i="54"/>
  <c r="N15" i="61"/>
  <c r="F822" i="55" s="1"/>
  <c r="A629" i="53"/>
  <c r="A630" i="53" s="1"/>
  <c r="A631" i="53" s="1"/>
  <c r="D543" i="53"/>
  <c r="D457" i="54" l="1"/>
  <c r="D542" i="54"/>
  <c r="D615" i="54"/>
  <c r="D742" i="54"/>
  <c r="D201" i="54"/>
  <c r="D133" i="54"/>
  <c r="D184" i="54"/>
  <c r="D190" i="54"/>
  <c r="D199" i="54"/>
  <c r="D136" i="54"/>
  <c r="D137" i="54"/>
  <c r="D622" i="54"/>
  <c r="D459" i="54"/>
  <c r="D528" i="54"/>
  <c r="D617" i="54"/>
  <c r="D750" i="54"/>
  <c r="D524" i="54"/>
  <c r="D450" i="54"/>
  <c r="D518" i="54"/>
  <c r="D620" i="54"/>
  <c r="D693" i="54"/>
  <c r="D463" i="54"/>
  <c r="D762" i="54"/>
  <c r="D525" i="54"/>
  <c r="D550" i="54"/>
  <c r="D626" i="54"/>
  <c r="D717" i="54"/>
  <c r="D183" i="54"/>
  <c r="D194" i="54"/>
  <c r="D182" i="54"/>
  <c r="D158" i="54"/>
  <c r="D203" i="54"/>
  <c r="D196" i="54"/>
  <c r="D445" i="54"/>
  <c r="D675" i="54"/>
  <c r="D515" i="54"/>
  <c r="D545" i="54"/>
  <c r="D623" i="54"/>
  <c r="D766" i="54"/>
  <c r="D516" i="54"/>
  <c r="D458" i="54"/>
  <c r="D529" i="54"/>
  <c r="D616" i="54"/>
  <c r="D703" i="54"/>
  <c r="D544" i="54"/>
  <c r="D443" i="54"/>
  <c r="D521" i="54"/>
  <c r="D556" i="54"/>
  <c r="D630" i="54"/>
  <c r="D787" i="54"/>
  <c r="D798" i="54"/>
  <c r="AB149" i="45"/>
  <c r="AC149" i="45"/>
  <c r="AD149" i="45"/>
  <c r="AE149" i="45"/>
  <c r="A8" i="59" l="1"/>
  <c r="A9" i="59" s="1"/>
  <c r="A10" i="59" s="1"/>
  <c r="A11" i="59" s="1"/>
  <c r="A12" i="59" s="1"/>
  <c r="A13" i="59" s="1"/>
  <c r="A14" i="59" s="1"/>
  <c r="A15" i="59" s="1"/>
  <c r="A16" i="59" s="1"/>
  <c r="A17" i="59" s="1"/>
  <c r="A18" i="59" s="1"/>
  <c r="A19" i="59" s="1"/>
  <c r="A20" i="59" s="1"/>
  <c r="A21" i="59" s="1"/>
  <c r="A22" i="59" s="1"/>
  <c r="A23" i="59" s="1"/>
  <c r="A24" i="59" s="1"/>
  <c r="A25" i="59" s="1"/>
  <c r="A26" i="59" s="1"/>
  <c r="A27" i="59" s="1"/>
  <c r="T5" i="59"/>
  <c r="S5" i="59"/>
  <c r="R5" i="59"/>
  <c r="Q5" i="59"/>
  <c r="P5" i="59"/>
  <c r="O5" i="59"/>
  <c r="N5" i="59"/>
  <c r="J5" i="59"/>
  <c r="I5" i="59"/>
  <c r="H5" i="59"/>
  <c r="G5" i="59"/>
  <c r="F5" i="59"/>
  <c r="E5" i="59"/>
  <c r="D5" i="59"/>
  <c r="C1" i="59"/>
  <c r="D1" i="59" s="1"/>
  <c r="E1" i="59" s="1"/>
  <c r="F1" i="59" s="1"/>
  <c r="G1" i="59" s="1"/>
  <c r="H1" i="59" s="1"/>
  <c r="I1" i="59" s="1"/>
  <c r="J1" i="59" s="1"/>
  <c r="K1" i="59" s="1"/>
  <c r="L1" i="59" s="1"/>
  <c r="M1" i="59" s="1"/>
  <c r="N1" i="59" s="1"/>
  <c r="O1" i="59" s="1"/>
  <c r="P1" i="59" s="1"/>
  <c r="Q1" i="59" s="1"/>
  <c r="R1" i="59" s="1"/>
  <c r="S1" i="59" s="1"/>
  <c r="T1" i="59" s="1"/>
  <c r="E237" i="52"/>
  <c r="D799" i="52"/>
  <c r="D798" i="52"/>
  <c r="D797" i="52"/>
  <c r="D796" i="52"/>
  <c r="D789" i="52"/>
  <c r="D788" i="52"/>
  <c r="D787" i="52"/>
  <c r="D784" i="52"/>
  <c r="D766" i="52"/>
  <c r="D762" i="52"/>
  <c r="D750" i="52"/>
  <c r="D742" i="52"/>
  <c r="D738" i="52"/>
  <c r="D717" i="52"/>
  <c r="D193" i="53" l="1"/>
  <c r="D278" i="53" s="1"/>
  <c r="D363" i="53" s="1"/>
  <c r="D198" i="53"/>
  <c r="D283" i="53" s="1"/>
  <c r="D368" i="53" s="1"/>
  <c r="D203" i="53"/>
  <c r="D288" i="53" s="1"/>
  <c r="D182" i="53"/>
  <c r="D265" i="53" s="1"/>
  <c r="D350" i="53" s="1"/>
  <c r="D202" i="53"/>
  <c r="D287" i="53" s="1"/>
  <c r="D372" i="53" s="1"/>
  <c r="D194" i="53"/>
  <c r="D279" i="53" s="1"/>
  <c r="D364" i="53" s="1"/>
  <c r="D133" i="53"/>
  <c r="D215" i="53" s="1"/>
  <c r="D301" i="53" s="1"/>
  <c r="D134" i="53"/>
  <c r="D216" i="53" s="1"/>
  <c r="D302" i="53" s="1"/>
  <c r="D187" i="53"/>
  <c r="D270" i="53" s="1"/>
  <c r="D355" i="53" s="1"/>
  <c r="D183" i="53"/>
  <c r="D266" i="53" s="1"/>
  <c r="D351" i="53" s="1"/>
  <c r="D201" i="53"/>
  <c r="D286" i="53" s="1"/>
  <c r="D371" i="53" s="1"/>
  <c r="D197" i="53"/>
  <c r="D282" i="53" s="1"/>
  <c r="D367" i="53" s="1"/>
  <c r="D136" i="53"/>
  <c r="D218" i="53" s="1"/>
  <c r="D304" i="53" s="1"/>
  <c r="D185" i="53"/>
  <c r="D268" i="53" s="1"/>
  <c r="D353" i="53" s="1"/>
  <c r="D195" i="53"/>
  <c r="D280" i="53" s="1"/>
  <c r="D365" i="53" s="1"/>
  <c r="D135" i="53"/>
  <c r="D217" i="53" s="1"/>
  <c r="D303" i="53" s="1"/>
  <c r="D184" i="53"/>
  <c r="D267" i="53" s="1"/>
  <c r="D352" i="53" s="1"/>
  <c r="D789" i="53"/>
  <c r="D762" i="53"/>
  <c r="D717" i="53"/>
  <c r="D677" i="53"/>
  <c r="D630" i="53"/>
  <c r="D626" i="53"/>
  <c r="D615" i="53"/>
  <c r="D619" i="53"/>
  <c r="D556" i="53"/>
  <c r="D550" i="53"/>
  <c r="D516" i="53"/>
  <c r="D520" i="53"/>
  <c r="D524" i="53"/>
  <c r="D463" i="53"/>
  <c r="D456" i="53"/>
  <c r="D445" i="53"/>
  <c r="D616" i="53"/>
  <c r="D557" i="53"/>
  <c r="D542" i="53"/>
  <c r="D521" i="53"/>
  <c r="D525" i="53"/>
  <c r="D451" i="53"/>
  <c r="D562" i="53"/>
  <c r="D529" i="53"/>
  <c r="D515" i="53"/>
  <c r="D798" i="53"/>
  <c r="D787" i="53"/>
  <c r="D750" i="53"/>
  <c r="D703" i="53"/>
  <c r="D673" i="53"/>
  <c r="D629" i="53"/>
  <c r="D627" i="53"/>
  <c r="D620" i="53"/>
  <c r="D549" i="53"/>
  <c r="D517" i="53"/>
  <c r="D459" i="53"/>
  <c r="D443" i="53"/>
  <c r="D544" i="53"/>
  <c r="D523" i="53"/>
  <c r="D446" i="53"/>
  <c r="D797" i="53"/>
  <c r="D784" i="53"/>
  <c r="D742" i="53"/>
  <c r="D697" i="53"/>
  <c r="D675" i="53"/>
  <c r="D624" i="53"/>
  <c r="D623" i="53"/>
  <c r="D617" i="53"/>
  <c r="D614" i="53"/>
  <c r="D558" i="53"/>
  <c r="D545" i="53"/>
  <c r="D528" i="53"/>
  <c r="D518" i="53"/>
  <c r="D522" i="53"/>
  <c r="D526" i="53"/>
  <c r="D457" i="53"/>
  <c r="D450" i="53"/>
  <c r="D788" i="53"/>
  <c r="D766" i="53"/>
  <c r="D738" i="53"/>
  <c r="D693" i="53"/>
  <c r="D625" i="53"/>
  <c r="D622" i="53"/>
  <c r="D618" i="53"/>
  <c r="D555" i="53"/>
  <c r="D519" i="53"/>
  <c r="D458" i="53"/>
  <c r="D137" i="53"/>
  <c r="D219" i="53" s="1"/>
  <c r="D305" i="53" s="1"/>
  <c r="D158" i="53"/>
  <c r="D240" i="53" s="1"/>
  <c r="D326" i="53" s="1"/>
  <c r="D186" i="53"/>
  <c r="D269" i="53" s="1"/>
  <c r="D354" i="53" s="1"/>
  <c r="D190" i="53"/>
  <c r="D275" i="53" s="1"/>
  <c r="D360" i="53" s="1"/>
  <c r="D200" i="53"/>
  <c r="D285" i="53" s="1"/>
  <c r="D370" i="53" s="1"/>
  <c r="D196" i="53"/>
  <c r="D281" i="53" s="1"/>
  <c r="D366" i="53" s="1"/>
  <c r="D192" i="53"/>
  <c r="D277" i="53" s="1"/>
  <c r="D362" i="53" s="1"/>
  <c r="D159" i="53"/>
  <c r="D241" i="53" s="1"/>
  <c r="D327" i="53" s="1"/>
  <c r="D199" i="53"/>
  <c r="D284" i="53" s="1"/>
  <c r="D369" i="53" s="1"/>
  <c r="D191" i="53"/>
  <c r="D276" i="53" s="1"/>
  <c r="D361" i="53" s="1"/>
  <c r="D703" i="52"/>
  <c r="D697" i="52"/>
  <c r="D693" i="52"/>
  <c r="D677" i="52"/>
  <c r="D675" i="52"/>
  <c r="D673" i="52"/>
  <c r="D615" i="52"/>
  <c r="D616" i="52"/>
  <c r="D617" i="52"/>
  <c r="D618" i="52"/>
  <c r="D619" i="52"/>
  <c r="D620" i="52"/>
  <c r="D621" i="52"/>
  <c r="D622" i="52"/>
  <c r="D623" i="52"/>
  <c r="D624" i="52"/>
  <c r="D625" i="52"/>
  <c r="D626" i="52"/>
  <c r="D627" i="52"/>
  <c r="D629" i="52"/>
  <c r="D630" i="52"/>
  <c r="D614" i="52"/>
  <c r="D605" i="52"/>
  <c r="D606" i="52"/>
  <c r="D607" i="52"/>
  <c r="D604" i="52"/>
  <c r="D591" i="52"/>
  <c r="D592" i="52"/>
  <c r="D593" i="52"/>
  <c r="D589" i="52"/>
  <c r="D590" i="52"/>
  <c r="D588" i="52"/>
  <c r="D587" i="52"/>
  <c r="D586" i="52"/>
  <c r="D578" i="52"/>
  <c r="D579" i="52"/>
  <c r="D580" i="52"/>
  <c r="D581" i="52"/>
  <c r="D577" i="52"/>
  <c r="D576" i="52"/>
  <c r="D574" i="52"/>
  <c r="D575" i="52"/>
  <c r="D573" i="52"/>
  <c r="D562" i="52"/>
  <c r="D561" i="52"/>
  <c r="D560" i="52"/>
  <c r="D559" i="52"/>
  <c r="D558" i="52"/>
  <c r="D557" i="52"/>
  <c r="D556" i="52"/>
  <c r="D555" i="52"/>
  <c r="D550" i="52"/>
  <c r="D549" i="52"/>
  <c r="D548" i="52"/>
  <c r="D547" i="52"/>
  <c r="D546" i="52"/>
  <c r="D545" i="52"/>
  <c r="D544" i="52"/>
  <c r="D543" i="52"/>
  <c r="D542" i="52"/>
  <c r="A528" i="55"/>
  <c r="A529" i="55" s="1"/>
  <c r="A528" i="54"/>
  <c r="A529" i="54" s="1"/>
  <c r="A528" i="53"/>
  <c r="A529" i="53" s="1"/>
  <c r="D528" i="52"/>
  <c r="D529" i="52"/>
  <c r="D516" i="52"/>
  <c r="D517" i="52"/>
  <c r="D518" i="52"/>
  <c r="D519" i="52"/>
  <c r="D520" i="52"/>
  <c r="D521" i="52"/>
  <c r="D522" i="52"/>
  <c r="D523" i="52"/>
  <c r="D524" i="52"/>
  <c r="D525" i="52"/>
  <c r="D526" i="52"/>
  <c r="D515" i="52"/>
  <c r="D506" i="52"/>
  <c r="D507" i="52"/>
  <c r="D508" i="52"/>
  <c r="D505" i="52"/>
  <c r="D490" i="52"/>
  <c r="D491" i="52"/>
  <c r="D492" i="52"/>
  <c r="D493" i="52"/>
  <c r="D494" i="52"/>
  <c r="D489" i="52"/>
  <c r="D488" i="52"/>
  <c r="D487" i="52"/>
  <c r="D479" i="52"/>
  <c r="D480" i="52"/>
  <c r="D481" i="52"/>
  <c r="D482" i="52"/>
  <c r="D478" i="52"/>
  <c r="D477" i="52"/>
  <c r="D475" i="52"/>
  <c r="D476" i="52"/>
  <c r="D474" i="52"/>
  <c r="D463" i="52"/>
  <c r="D462" i="52"/>
  <c r="D461" i="52"/>
  <c r="D460" i="52"/>
  <c r="D458" i="52"/>
  <c r="D459" i="52"/>
  <c r="D457" i="52"/>
  <c r="D456" i="52"/>
  <c r="D451" i="52"/>
  <c r="D450" i="52"/>
  <c r="D449" i="52"/>
  <c r="D448" i="52"/>
  <c r="D447" i="52"/>
  <c r="D446" i="52"/>
  <c r="D445" i="52"/>
  <c r="D444" i="52"/>
  <c r="D443" i="52"/>
  <c r="D428" i="52"/>
  <c r="D429" i="52"/>
  <c r="D430" i="52"/>
  <c r="D427" i="52"/>
  <c r="D417" i="52"/>
  <c r="D418" i="52"/>
  <c r="D419" i="52"/>
  <c r="D416" i="52"/>
  <c r="D409" i="52"/>
  <c r="D410" i="52"/>
  <c r="D411" i="52"/>
  <c r="D408" i="52"/>
  <c r="D305" i="52"/>
  <c r="D304" i="52"/>
  <c r="D303" i="52"/>
  <c r="D302" i="52"/>
  <c r="D301" i="52"/>
  <c r="D288" i="52"/>
  <c r="D287" i="52"/>
  <c r="D286" i="52"/>
  <c r="D285" i="52"/>
  <c r="D284" i="52"/>
  <c r="D283" i="52"/>
  <c r="D282" i="52"/>
  <c r="D281" i="52"/>
  <c r="D280" i="52"/>
  <c r="D279" i="52"/>
  <c r="D278" i="52"/>
  <c r="D277" i="52"/>
  <c r="D276" i="52"/>
  <c r="D275" i="52"/>
  <c r="D270" i="52"/>
  <c r="D269" i="52"/>
  <c r="D268" i="52"/>
  <c r="D353" i="52" s="1"/>
  <c r="D267" i="52"/>
  <c r="D352" i="52" s="1"/>
  <c r="D266" i="52"/>
  <c r="D265" i="52"/>
  <c r="D241" i="52"/>
  <c r="D240" i="52"/>
  <c r="D326" i="52" s="1"/>
  <c r="D219" i="52"/>
  <c r="D218" i="52"/>
  <c r="D217" i="52"/>
  <c r="D216" i="52"/>
  <c r="D215" i="52"/>
  <c r="D366" i="52" l="1"/>
  <c r="D365" i="52"/>
  <c r="D354" i="52"/>
  <c r="D370" i="52"/>
  <c r="D364" i="52"/>
  <c r="D355" i="52"/>
  <c r="D369" i="52"/>
  <c r="D362" i="52"/>
  <c r="D363" i="52"/>
  <c r="D367" i="52"/>
  <c r="D371" i="52"/>
  <c r="D351" i="52"/>
  <c r="D360" i="52"/>
  <c r="D368" i="52"/>
  <c r="D350" i="52"/>
  <c r="D372" i="52"/>
  <c r="D361" i="52"/>
  <c r="D327" i="52"/>
  <c r="D177" i="52"/>
  <c r="D178" i="52"/>
  <c r="D179" i="52"/>
  <c r="D180" i="52"/>
  <c r="D176" i="52"/>
  <c r="D175" i="52"/>
  <c r="D167" i="52"/>
  <c r="D143" i="52"/>
  <c r="D144" i="52"/>
  <c r="D142" i="52"/>
  <c r="F32" i="57"/>
  <c r="F33" i="57"/>
  <c r="F34" i="57"/>
  <c r="F42" i="57"/>
  <c r="F16" i="57"/>
  <c r="D157" i="52"/>
  <c r="F15" i="57"/>
  <c r="D203" i="52"/>
  <c r="D202" i="52"/>
  <c r="D201" i="52"/>
  <c r="D200" i="52"/>
  <c r="D199" i="52"/>
  <c r="D198" i="52"/>
  <c r="D197" i="52"/>
  <c r="D196" i="52"/>
  <c r="D195" i="52"/>
  <c r="D194" i="52"/>
  <c r="D193" i="52"/>
  <c r="D192" i="52"/>
  <c r="D191" i="52"/>
  <c r="D190" i="52"/>
  <c r="D187" i="52"/>
  <c r="D186" i="52"/>
  <c r="D185" i="52"/>
  <c r="D184" i="52"/>
  <c r="D183" i="52"/>
  <c r="D182" i="52"/>
  <c r="D137" i="52"/>
  <c r="D136" i="52"/>
  <c r="D135" i="52"/>
  <c r="D134" i="52"/>
  <c r="D133" i="52"/>
  <c r="D159" i="52"/>
  <c r="D158" i="52"/>
  <c r="F11" i="57"/>
  <c r="F9" i="57"/>
  <c r="F6" i="57"/>
  <c r="F7" i="57"/>
  <c r="D181" i="52" l="1"/>
  <c r="F10" i="57"/>
  <c r="E8" i="57"/>
  <c r="H816" i="52" s="1"/>
  <c r="C8" i="57"/>
  <c r="F816" i="52" s="1"/>
  <c r="C41" i="57" l="1"/>
  <c r="F849" i="52" s="1"/>
  <c r="E41" i="57"/>
  <c r="H849" i="52" s="1"/>
  <c r="F8" i="57"/>
  <c r="D41" i="57" l="1"/>
  <c r="F41" i="57" l="1"/>
  <c r="G849" i="52"/>
  <c r="D477" i="53"/>
  <c r="D477" i="54"/>
  <c r="D477" i="55"/>
  <c r="C1" i="50"/>
  <c r="D1" i="50" s="1"/>
  <c r="E1" i="50" s="1"/>
  <c r="F1" i="50" s="1"/>
  <c r="G1" i="50" s="1"/>
  <c r="H1" i="50" s="1"/>
  <c r="I1" i="50" s="1"/>
  <c r="J1" i="50" s="1"/>
  <c r="K1" i="50" s="1"/>
  <c r="L1" i="50" s="1"/>
  <c r="M1" i="50" s="1"/>
  <c r="N1" i="50" s="1"/>
  <c r="O1" i="50" s="1"/>
  <c r="P1" i="50" s="1"/>
  <c r="Q1" i="50" s="1"/>
  <c r="R1" i="50" s="1"/>
  <c r="S1" i="50" s="1"/>
  <c r="B1" i="50"/>
  <c r="A22" i="56"/>
  <c r="A20" i="56"/>
  <c r="A18" i="56"/>
  <c r="A17" i="56"/>
  <c r="A15" i="56"/>
  <c r="A14" i="56"/>
  <c r="E477" i="52"/>
  <c r="E477" i="45"/>
  <c r="A10" i="56"/>
  <c r="A11" i="56" s="1"/>
  <c r="A9" i="56"/>
  <c r="C11" i="56"/>
  <c r="H477" i="52" l="1"/>
  <c r="G477" i="52"/>
  <c r="F477" i="52"/>
  <c r="E477" i="55" l="1"/>
  <c r="E152" i="2"/>
  <c r="E150" i="2"/>
  <c r="C143" i="2" l="1"/>
  <c r="C144" i="2"/>
  <c r="C141" i="2"/>
  <c r="C138" i="2"/>
  <c r="G153" i="2"/>
  <c r="H151" i="2"/>
  <c r="H153" i="2"/>
  <c r="G95" i="2" l="1"/>
  <c r="H47" i="2" l="1"/>
  <c r="G47" i="2"/>
  <c r="E323" i="45" l="1"/>
  <c r="E155" i="45" l="1"/>
  <c r="C156" i="45"/>
  <c r="C156" i="52" s="1"/>
  <c r="C238" i="52" s="1"/>
  <c r="E155" i="52"/>
  <c r="E237" i="45"/>
  <c r="A349" i="55"/>
  <c r="A350" i="55"/>
  <c r="A351" i="55" s="1"/>
  <c r="A349" i="53"/>
  <c r="A350" i="53" s="1"/>
  <c r="E349" i="52"/>
  <c r="E348" i="52"/>
  <c r="E348" i="45"/>
  <c r="E180" i="45"/>
  <c r="E180" i="52"/>
  <c r="H180" i="52" l="1"/>
  <c r="G180" i="52"/>
  <c r="E180" i="54" s="1"/>
  <c r="F180" i="52"/>
  <c r="F140" i="11"/>
  <c r="F141" i="11"/>
  <c r="F142" i="11"/>
  <c r="F143" i="11"/>
  <c r="F139" i="11"/>
  <c r="F138" i="11"/>
  <c r="F137" i="11"/>
  <c r="E137" i="11"/>
  <c r="E138" i="11"/>
  <c r="E139" i="11"/>
  <c r="E140" i="11"/>
  <c r="E141" i="11"/>
  <c r="E142" i="11"/>
  <c r="E143" i="11"/>
  <c r="E136" i="11"/>
  <c r="I12" i="11"/>
  <c r="E180" i="55" l="1"/>
  <c r="I84" i="11"/>
  <c r="I90" i="11"/>
  <c r="A12" i="10" l="1"/>
  <c r="A11" i="10"/>
  <c r="A13" i="10" s="1"/>
  <c r="L21" i="6" l="1"/>
  <c r="L19" i="6"/>
  <c r="L17" i="6"/>
  <c r="L15" i="6"/>
  <c r="M12" i="6"/>
  <c r="L12" i="6"/>
  <c r="D598" i="1"/>
  <c r="I12" i="6"/>
  <c r="L23" i="6" l="1"/>
  <c r="C10" i="7"/>
  <c r="B14" i="7"/>
  <c r="B15" i="7"/>
  <c r="B16" i="7"/>
  <c r="B17" i="7"/>
  <c r="B18" i="7"/>
  <c r="B19" i="7"/>
  <c r="B20" i="7"/>
  <c r="B21" i="7"/>
  <c r="B22" i="7"/>
  <c r="B23" i="7"/>
  <c r="B24" i="7"/>
  <c r="D11" i="7"/>
  <c r="D12" i="7" l="1"/>
  <c r="E23" i="6" l="1"/>
  <c r="E21" i="6"/>
  <c r="E19" i="6"/>
  <c r="E17" i="6"/>
  <c r="H592" i="1" l="1"/>
  <c r="O162" i="15"/>
  <c r="O161" i="15"/>
  <c r="G21" i="61" l="1"/>
  <c r="G21" i="59"/>
  <c r="G21" i="60"/>
  <c r="O167" i="15"/>
  <c r="N150" i="15" l="1"/>
  <c r="P150" i="15" s="1"/>
  <c r="N151" i="15"/>
  <c r="P151" i="15" s="1"/>
  <c r="M150" i="15"/>
  <c r="M151" i="15"/>
  <c r="D40" i="14" l="1"/>
  <c r="A3" i="15"/>
  <c r="D32" i="3" l="1"/>
  <c r="E32" i="3"/>
  <c r="H32" i="3"/>
  <c r="F32" i="3"/>
  <c r="I32" i="3" s="1"/>
  <c r="B29" i="3" l="1"/>
  <c r="B7" i="1" l="1"/>
  <c r="B3" i="1"/>
  <c r="F1" i="17" s="1"/>
  <c r="B2" i="1"/>
  <c r="L807" i="55" l="1"/>
  <c r="L807" i="53"/>
  <c r="L807" i="54"/>
  <c r="K807" i="52"/>
  <c r="L773" i="45"/>
  <c r="L753" i="45"/>
  <c r="L723" i="45"/>
  <c r="L707" i="45"/>
  <c r="L681" i="45"/>
  <c r="L665" i="45"/>
  <c r="L635" i="45"/>
  <c r="L596" i="45"/>
  <c r="L565" i="45"/>
  <c r="L534" i="45"/>
  <c r="L497" i="45"/>
  <c r="L466" i="45"/>
  <c r="L435" i="45"/>
  <c r="L398" i="45"/>
  <c r="L377" i="45"/>
  <c r="L338" i="45"/>
  <c r="L293" i="45"/>
  <c r="L252" i="45"/>
  <c r="L207" i="45"/>
  <c r="L169" i="45"/>
  <c r="L125" i="45"/>
  <c r="L91" i="45"/>
  <c r="L68" i="45"/>
  <c r="L36" i="45"/>
  <c r="A45" i="55"/>
  <c r="A44" i="55"/>
  <c r="A13" i="55"/>
  <c r="A14" i="55" s="1"/>
  <c r="A15" i="55" s="1"/>
  <c r="A16" i="55" s="1"/>
  <c r="A17" i="55" s="1"/>
  <c r="A18" i="55" s="1"/>
  <c r="A20" i="55" s="1"/>
  <c r="A22" i="55" s="1"/>
  <c r="A23" i="55" s="1"/>
  <c r="A25" i="55" s="1"/>
  <c r="A27" i="55" s="1"/>
  <c r="A29" i="55" s="1"/>
  <c r="A45" i="54"/>
  <c r="A44" i="54"/>
  <c r="A13" i="53"/>
  <c r="A14" i="53" s="1"/>
  <c r="A15" i="53" s="1"/>
  <c r="A16" i="53" s="1"/>
  <c r="A17" i="53" s="1"/>
  <c r="A18" i="53" s="1"/>
  <c r="A20" i="53" s="1"/>
  <c r="A22" i="53" s="1"/>
  <c r="A23" i="53" s="1"/>
  <c r="A25" i="53" s="1"/>
  <c r="A27" i="53" s="1"/>
  <c r="A29" i="53" s="1"/>
  <c r="A13" i="54"/>
  <c r="A14" i="54" s="1"/>
  <c r="A15" i="54" s="1"/>
  <c r="A16" i="54" s="1"/>
  <c r="A17" i="54" s="1"/>
  <c r="A18" i="54" s="1"/>
  <c r="A20" i="54" s="1"/>
  <c r="A22" i="54" s="1"/>
  <c r="A23" i="54" s="1"/>
  <c r="A25" i="54" s="1"/>
  <c r="A27" i="54" s="1"/>
  <c r="A29" i="54" s="1"/>
  <c r="A44" i="52"/>
  <c r="A45" i="52" s="1"/>
  <c r="A44" i="45"/>
  <c r="A45" i="45" s="1"/>
  <c r="A12" i="53"/>
  <c r="A45" i="53"/>
  <c r="A44" i="53"/>
  <c r="A12" i="55"/>
  <c r="A12" i="54"/>
  <c r="A10" i="55"/>
  <c r="A9" i="55"/>
  <c r="A9" i="54"/>
  <c r="A10" i="54" s="1"/>
  <c r="A9" i="53"/>
  <c r="A10" i="53" s="1"/>
  <c r="L5" i="55"/>
  <c r="K5" i="55"/>
  <c r="J5" i="55"/>
  <c r="I5" i="55"/>
  <c r="H5" i="55"/>
  <c r="G5" i="55"/>
  <c r="F5" i="55"/>
  <c r="C5" i="55"/>
  <c r="L3" i="55"/>
  <c r="F3" i="55"/>
  <c r="A3" i="55"/>
  <c r="A2" i="55"/>
  <c r="L1" i="55"/>
  <c r="F1" i="55"/>
  <c r="L5" i="54"/>
  <c r="K5" i="54"/>
  <c r="J5" i="54"/>
  <c r="I5" i="54"/>
  <c r="H5" i="54"/>
  <c r="G5" i="54"/>
  <c r="F5" i="54"/>
  <c r="C5" i="54"/>
  <c r="L3" i="54"/>
  <c r="F3" i="54"/>
  <c r="A3" i="54"/>
  <c r="A2" i="54"/>
  <c r="L1" i="54"/>
  <c r="F1" i="54"/>
  <c r="L5" i="53"/>
  <c r="K5" i="53"/>
  <c r="J5" i="53"/>
  <c r="I5" i="53"/>
  <c r="H5" i="53"/>
  <c r="G5" i="53"/>
  <c r="F5" i="53"/>
  <c r="C5" i="53"/>
  <c r="L3" i="53"/>
  <c r="F3" i="53"/>
  <c r="A3" i="53"/>
  <c r="A2" i="53"/>
  <c r="L1" i="53"/>
  <c r="F1" i="53"/>
  <c r="A9" i="52"/>
  <c r="A10" i="52" s="1"/>
  <c r="A12" i="52" s="1"/>
  <c r="A13" i="52" s="1"/>
  <c r="A14" i="52" s="1"/>
  <c r="A15" i="52" s="1"/>
  <c r="A16" i="52" s="1"/>
  <c r="A17" i="52" s="1"/>
  <c r="A18" i="52" s="1"/>
  <c r="A20" i="52" s="1"/>
  <c r="A22" i="52" s="1"/>
  <c r="A23" i="52" s="1"/>
  <c r="A25" i="52" s="1"/>
  <c r="A27" i="52" s="1"/>
  <c r="A29" i="52" s="1"/>
  <c r="C5" i="52"/>
  <c r="K3" i="52"/>
  <c r="F3" i="52"/>
  <c r="A3" i="52"/>
  <c r="A2" i="52"/>
  <c r="K1" i="52"/>
  <c r="F1" i="52"/>
  <c r="A10" i="45"/>
  <c r="A12" i="45" s="1"/>
  <c r="A13" i="45" s="1"/>
  <c r="A9" i="45"/>
  <c r="A14" i="45" l="1"/>
  <c r="A15" i="45" s="1"/>
  <c r="A16" i="45" s="1"/>
  <c r="A17" i="45" s="1"/>
  <c r="A18" i="45" s="1"/>
  <c r="A20" i="45" s="1"/>
  <c r="A22" i="45" s="1"/>
  <c r="A23" i="45" s="1"/>
  <c r="A25" i="45" s="1"/>
  <c r="A27" i="45" s="1"/>
  <c r="A29" i="45" s="1"/>
  <c r="L5" i="45"/>
  <c r="K5" i="45"/>
  <c r="J5" i="45"/>
  <c r="H13" i="56" s="1"/>
  <c r="I5" i="45"/>
  <c r="G13" i="56" s="1"/>
  <c r="H5" i="45"/>
  <c r="F13" i="56" s="1"/>
  <c r="G5" i="45"/>
  <c r="E13" i="56" s="1"/>
  <c r="F5" i="45"/>
  <c r="D13" i="56" s="1"/>
  <c r="C5" i="45"/>
  <c r="L3" i="45"/>
  <c r="F3" i="45"/>
  <c r="A3" i="45"/>
  <c r="L2" i="45"/>
  <c r="A2" i="45"/>
  <c r="L1" i="45"/>
  <c r="F1" i="45"/>
  <c r="K561" i="1" l="1"/>
  <c r="J561" i="1"/>
  <c r="I561" i="1"/>
  <c r="H561" i="1"/>
  <c r="G561" i="1"/>
  <c r="F561" i="1"/>
  <c r="E561" i="1"/>
  <c r="C45" i="1" l="1"/>
  <c r="C43" i="1"/>
  <c r="E41" i="1"/>
  <c r="E40" i="1"/>
  <c r="E42" i="1" l="1"/>
  <c r="E43" i="1" s="1"/>
  <c r="E44" i="1" l="1"/>
  <c r="E45" i="1" s="1"/>
  <c r="E46" i="1" s="1"/>
  <c r="E49" i="1" s="1"/>
  <c r="D799" i="55" l="1"/>
  <c r="C799" i="55"/>
  <c r="B799" i="55"/>
  <c r="C798" i="55"/>
  <c r="B798" i="55"/>
  <c r="C797" i="55"/>
  <c r="B797" i="55"/>
  <c r="D796" i="55"/>
  <c r="C796" i="55"/>
  <c r="B796" i="55"/>
  <c r="A794" i="55"/>
  <c r="A795" i="55" s="1"/>
  <c r="A796" i="55" s="1"/>
  <c r="A797" i="55" s="1"/>
  <c r="A798" i="55" s="1"/>
  <c r="A799" i="55" s="1"/>
  <c r="A800" i="55" s="1"/>
  <c r="C789" i="55"/>
  <c r="B789" i="55"/>
  <c r="C788" i="55"/>
  <c r="B788" i="55"/>
  <c r="C787" i="55"/>
  <c r="B787" i="55"/>
  <c r="C786" i="55"/>
  <c r="B786" i="55"/>
  <c r="C784" i="55"/>
  <c r="B784" i="55"/>
  <c r="A784" i="55"/>
  <c r="A786" i="55" s="1"/>
  <c r="A787" i="55" s="1"/>
  <c r="A788" i="55" s="1"/>
  <c r="A789" i="55" s="1"/>
  <c r="A790" i="55" s="1"/>
  <c r="A792" i="55" s="1"/>
  <c r="A782" i="55"/>
  <c r="A781" i="55"/>
  <c r="L776" i="55"/>
  <c r="K776" i="55"/>
  <c r="J776" i="55"/>
  <c r="I776" i="55"/>
  <c r="H776" i="55"/>
  <c r="G776" i="55"/>
  <c r="F776" i="55"/>
  <c r="C776" i="55"/>
  <c r="L774" i="55"/>
  <c r="F774" i="55"/>
  <c r="A774" i="55"/>
  <c r="A773" i="55"/>
  <c r="L772" i="55"/>
  <c r="F772" i="55"/>
  <c r="B766" i="55"/>
  <c r="A764" i="55"/>
  <c r="A766" i="55" s="1"/>
  <c r="A767" i="55" s="1"/>
  <c r="A769" i="55" s="1"/>
  <c r="A771" i="55" s="1"/>
  <c r="B762" i="55"/>
  <c r="A762" i="55"/>
  <c r="L756" i="55"/>
  <c r="K756" i="55"/>
  <c r="J756" i="55"/>
  <c r="I756" i="55"/>
  <c r="H756" i="55"/>
  <c r="G756" i="55"/>
  <c r="F756" i="55"/>
  <c r="C756" i="55"/>
  <c r="L754" i="55"/>
  <c r="F754" i="55"/>
  <c r="A754" i="55"/>
  <c r="A753" i="55"/>
  <c r="L752" i="55"/>
  <c r="F752" i="55"/>
  <c r="B751" i="55"/>
  <c r="B750" i="55"/>
  <c r="B749" i="55"/>
  <c r="A749" i="55"/>
  <c r="A750" i="55" s="1"/>
  <c r="A751" i="55" s="1"/>
  <c r="B742" i="55"/>
  <c r="B697" i="55" s="1"/>
  <c r="B738" i="55"/>
  <c r="A731" i="55"/>
  <c r="A732" i="55" s="1"/>
  <c r="A734" i="55" s="1"/>
  <c r="A736" i="55" s="1"/>
  <c r="A738" i="55" s="1"/>
  <c r="A739" i="55" s="1"/>
  <c r="A740" i="55" s="1"/>
  <c r="A742" i="55" s="1"/>
  <c r="A743" i="55" s="1"/>
  <c r="A745" i="55" s="1"/>
  <c r="A747" i="55" s="1"/>
  <c r="L726" i="55"/>
  <c r="K726" i="55"/>
  <c r="J726" i="55"/>
  <c r="I726" i="55"/>
  <c r="H726" i="55"/>
  <c r="G726" i="55"/>
  <c r="F726" i="55"/>
  <c r="C726" i="55"/>
  <c r="L724" i="55"/>
  <c r="F724" i="55"/>
  <c r="A724" i="55"/>
  <c r="A723" i="55"/>
  <c r="L722" i="55"/>
  <c r="F722" i="55"/>
  <c r="A721" i="55"/>
  <c r="B717" i="55"/>
  <c r="A715" i="55"/>
  <c r="A717" i="55" s="1"/>
  <c r="A719" i="55" s="1"/>
  <c r="L710" i="55"/>
  <c r="K710" i="55"/>
  <c r="J710" i="55"/>
  <c r="I710" i="55"/>
  <c r="H710" i="55"/>
  <c r="G710" i="55"/>
  <c r="F710" i="55"/>
  <c r="C710" i="55"/>
  <c r="L708" i="55"/>
  <c r="F708" i="55"/>
  <c r="A708" i="55"/>
  <c r="A707" i="55"/>
  <c r="L706" i="55"/>
  <c r="F706" i="55"/>
  <c r="B703" i="55"/>
  <c r="B702" i="55"/>
  <c r="B695" i="55"/>
  <c r="B694" i="55"/>
  <c r="B693" i="55"/>
  <c r="A691" i="55"/>
  <c r="A693" i="55" s="1"/>
  <c r="A694" i="55" s="1"/>
  <c r="A695" i="55" s="1"/>
  <c r="A697" i="55" s="1"/>
  <c r="A699" i="55" s="1"/>
  <c r="A700" i="55" s="1"/>
  <c r="A702" i="55" s="1"/>
  <c r="A703" i="55" s="1"/>
  <c r="A705" i="55" s="1"/>
  <c r="A689" i="55"/>
  <c r="L684" i="55"/>
  <c r="K684" i="55"/>
  <c r="J684" i="55"/>
  <c r="I684" i="55"/>
  <c r="H684" i="55"/>
  <c r="G684" i="55"/>
  <c r="F684" i="55"/>
  <c r="C684" i="55"/>
  <c r="L682" i="55"/>
  <c r="F682" i="55"/>
  <c r="A682" i="55"/>
  <c r="A681" i="55"/>
  <c r="L680" i="55"/>
  <c r="F680" i="55"/>
  <c r="C677" i="55"/>
  <c r="B677" i="55"/>
  <c r="C675" i="55"/>
  <c r="B675" i="55"/>
  <c r="A675" i="55"/>
  <c r="A677" i="55" s="1"/>
  <c r="A679" i="55" s="1"/>
  <c r="C673" i="55"/>
  <c r="B673" i="55"/>
  <c r="L668" i="55"/>
  <c r="K668" i="55"/>
  <c r="J668" i="55"/>
  <c r="I668" i="55"/>
  <c r="H668" i="55"/>
  <c r="G668" i="55"/>
  <c r="F668" i="55"/>
  <c r="C668" i="55"/>
  <c r="L666" i="55"/>
  <c r="F666" i="55"/>
  <c r="A666" i="55"/>
  <c r="A665" i="55"/>
  <c r="L664" i="55"/>
  <c r="F664" i="55"/>
  <c r="A644" i="55"/>
  <c r="A645" i="55" s="1"/>
  <c r="A646" i="55" s="1"/>
  <c r="A647" i="55" s="1"/>
  <c r="A648" i="55" s="1"/>
  <c r="A649" i="55" s="1"/>
  <c r="A650" i="55" s="1"/>
  <c r="A652" i="55" s="1"/>
  <c r="A654" i="55" s="1"/>
  <c r="A655" i="55" s="1"/>
  <c r="A656" i="55" s="1"/>
  <c r="A657" i="55" s="1"/>
  <c r="A658" i="55" s="1"/>
  <c r="A659" i="55" s="1"/>
  <c r="A660" i="55" s="1"/>
  <c r="A661" i="55" s="1"/>
  <c r="A663" i="55" s="1"/>
  <c r="A643" i="55"/>
  <c r="L638" i="55"/>
  <c r="K638" i="55"/>
  <c r="J638" i="55"/>
  <c r="I638" i="55"/>
  <c r="H638" i="55"/>
  <c r="G638" i="55"/>
  <c r="F638" i="55"/>
  <c r="C638" i="55"/>
  <c r="L636" i="55"/>
  <c r="F636" i="55"/>
  <c r="A636" i="55"/>
  <c r="A635" i="55"/>
  <c r="L634" i="55"/>
  <c r="F634" i="55"/>
  <c r="B623" i="55"/>
  <c r="C621" i="55"/>
  <c r="B621" i="55"/>
  <c r="D607" i="55"/>
  <c r="D606" i="55"/>
  <c r="D605" i="55"/>
  <c r="D604" i="55"/>
  <c r="A604" i="55"/>
  <c r="A605" i="55" s="1"/>
  <c r="A606" i="55" s="1"/>
  <c r="A607" i="55" s="1"/>
  <c r="A608" i="55" s="1"/>
  <c r="A610" i="55" s="1"/>
  <c r="A612" i="55" s="1"/>
  <c r="A614" i="55" s="1"/>
  <c r="A615" i="55" s="1"/>
  <c r="A616" i="55" s="1"/>
  <c r="A617" i="55" s="1"/>
  <c r="A618" i="55" s="1"/>
  <c r="A619" i="55" s="1"/>
  <c r="A620" i="55" s="1"/>
  <c r="A621" i="55" s="1"/>
  <c r="A622" i="55" s="1"/>
  <c r="A623" i="55" s="1"/>
  <c r="A624" i="55" s="1"/>
  <c r="A625" i="55" s="1"/>
  <c r="A626" i="55" s="1"/>
  <c r="A627" i="55" s="1"/>
  <c r="A628" i="55" s="1"/>
  <c r="A631" i="55" s="1"/>
  <c r="A633" i="55" s="1"/>
  <c r="L599" i="55"/>
  <c r="K599" i="55"/>
  <c r="J599" i="55"/>
  <c r="I599" i="55"/>
  <c r="H599" i="55"/>
  <c r="G599" i="55"/>
  <c r="F599" i="55"/>
  <c r="C599" i="55"/>
  <c r="L597" i="55"/>
  <c r="F597" i="55"/>
  <c r="A597" i="55"/>
  <c r="A596" i="55"/>
  <c r="L595" i="55"/>
  <c r="F595" i="55"/>
  <c r="D593" i="55"/>
  <c r="D592" i="55"/>
  <c r="D591" i="55"/>
  <c r="D590" i="55"/>
  <c r="D589" i="55"/>
  <c r="D588" i="55"/>
  <c r="D587" i="55"/>
  <c r="D586" i="55"/>
  <c r="D581" i="55"/>
  <c r="D580" i="55"/>
  <c r="D579" i="55"/>
  <c r="A579" i="55"/>
  <c r="A580" i="55" s="1"/>
  <c r="A581" i="55" s="1"/>
  <c r="A582" i="55" s="1"/>
  <c r="A584" i="55" s="1"/>
  <c r="A586" i="55" s="1"/>
  <c r="A587" i="55" s="1"/>
  <c r="A588" i="55" s="1"/>
  <c r="A589" i="55" s="1"/>
  <c r="A590" i="55" s="1"/>
  <c r="A591" i="55" s="1"/>
  <c r="A592" i="55" s="1"/>
  <c r="A593" i="55" s="1"/>
  <c r="A594" i="55" s="1"/>
  <c r="D578" i="55"/>
  <c r="D577" i="55"/>
  <c r="D576" i="55"/>
  <c r="D575" i="55"/>
  <c r="A575" i="55"/>
  <c r="A576" i="55" s="1"/>
  <c r="A577" i="55" s="1"/>
  <c r="A578" i="55" s="1"/>
  <c r="D574" i="55"/>
  <c r="D573" i="55"/>
  <c r="A573" i="55"/>
  <c r="A574" i="55" s="1"/>
  <c r="L568" i="55"/>
  <c r="K568" i="55"/>
  <c r="J568" i="55"/>
  <c r="I568" i="55"/>
  <c r="H568" i="55"/>
  <c r="G568" i="55"/>
  <c r="F568" i="55"/>
  <c r="C568" i="55"/>
  <c r="L566" i="55"/>
  <c r="F566" i="55"/>
  <c r="A566" i="55"/>
  <c r="A565" i="55"/>
  <c r="L564" i="55"/>
  <c r="F564" i="55"/>
  <c r="D561" i="55"/>
  <c r="D560" i="55"/>
  <c r="D559" i="55"/>
  <c r="D548" i="55"/>
  <c r="D547" i="55"/>
  <c r="D546" i="55"/>
  <c r="A544" i="55"/>
  <c r="A545" i="55" s="1"/>
  <c r="A546" i="55" s="1"/>
  <c r="A547" i="55" s="1"/>
  <c r="A548" i="55" s="1"/>
  <c r="A549" i="55" s="1"/>
  <c r="A550" i="55" s="1"/>
  <c r="A551" i="55" s="1"/>
  <c r="A553" i="55" s="1"/>
  <c r="A555" i="55" s="1"/>
  <c r="A556" i="55" s="1"/>
  <c r="A557" i="55" s="1"/>
  <c r="A558" i="55" s="1"/>
  <c r="A559" i="55" s="1"/>
  <c r="A560" i="55" s="1"/>
  <c r="A561" i="55" s="1"/>
  <c r="A562" i="55" s="1"/>
  <c r="A563" i="55" s="1"/>
  <c r="D543" i="55"/>
  <c r="A542" i="55"/>
  <c r="A543" i="55" s="1"/>
  <c r="L537" i="55"/>
  <c r="K537" i="55"/>
  <c r="J537" i="55"/>
  <c r="I537" i="55"/>
  <c r="H537" i="55"/>
  <c r="G537" i="55"/>
  <c r="F537" i="55"/>
  <c r="C537" i="55"/>
  <c r="L535" i="55"/>
  <c r="F535" i="55"/>
  <c r="A535" i="55"/>
  <c r="A534" i="55"/>
  <c r="L533" i="55"/>
  <c r="F533" i="55"/>
  <c r="C529" i="55"/>
  <c r="B529" i="55"/>
  <c r="C528" i="55"/>
  <c r="C527" i="55"/>
  <c r="B527" i="55"/>
  <c r="C526" i="55"/>
  <c r="B526" i="55"/>
  <c r="C525" i="55"/>
  <c r="B525" i="55"/>
  <c r="C524" i="55"/>
  <c r="B524" i="55"/>
  <c r="C523" i="55"/>
  <c r="B523" i="55"/>
  <c r="C522" i="55"/>
  <c r="B522" i="55"/>
  <c r="C521" i="55"/>
  <c r="B521" i="55"/>
  <c r="C520" i="55"/>
  <c r="B520" i="55"/>
  <c r="C519" i="55"/>
  <c r="B519" i="55"/>
  <c r="C518" i="55"/>
  <c r="B518" i="55"/>
  <c r="C517" i="55"/>
  <c r="B517" i="55"/>
  <c r="C516" i="55"/>
  <c r="B516" i="55"/>
  <c r="C515" i="55"/>
  <c r="B515" i="55"/>
  <c r="C513" i="55"/>
  <c r="A509" i="55"/>
  <c r="A511" i="55" s="1"/>
  <c r="A513" i="55" s="1"/>
  <c r="A515" i="55" s="1"/>
  <c r="A516" i="55" s="1"/>
  <c r="A517" i="55" s="1"/>
  <c r="A518" i="55" s="1"/>
  <c r="A519" i="55" s="1"/>
  <c r="A520" i="55" s="1"/>
  <c r="A521" i="55" s="1"/>
  <c r="A522" i="55" s="1"/>
  <c r="A523" i="55" s="1"/>
  <c r="A524" i="55" s="1"/>
  <c r="A525" i="55" s="1"/>
  <c r="A526" i="55" s="1"/>
  <c r="A527" i="55" s="1"/>
  <c r="A530" i="55" s="1"/>
  <c r="A532" i="55" s="1"/>
  <c r="D508" i="55"/>
  <c r="C508" i="55"/>
  <c r="B508" i="55"/>
  <c r="D507" i="55"/>
  <c r="C507" i="55"/>
  <c r="B507" i="55"/>
  <c r="D506" i="55"/>
  <c r="C506" i="55"/>
  <c r="B506" i="55"/>
  <c r="A506" i="55"/>
  <c r="A507" i="55" s="1"/>
  <c r="A508" i="55" s="1"/>
  <c r="D505" i="55"/>
  <c r="C505" i="55"/>
  <c r="B505" i="55"/>
  <c r="A505" i="55"/>
  <c r="C503" i="55"/>
  <c r="L500" i="55"/>
  <c r="K500" i="55"/>
  <c r="J500" i="55"/>
  <c r="I500" i="55"/>
  <c r="H500" i="55"/>
  <c r="G500" i="55"/>
  <c r="F500" i="55"/>
  <c r="C500" i="55"/>
  <c r="L498" i="55"/>
  <c r="F498" i="55"/>
  <c r="A498" i="55"/>
  <c r="A497" i="55"/>
  <c r="L496" i="55"/>
  <c r="F496" i="55"/>
  <c r="D494" i="55"/>
  <c r="C494" i="55"/>
  <c r="B494" i="55"/>
  <c r="D493" i="55"/>
  <c r="C493" i="55"/>
  <c r="B493" i="55"/>
  <c r="D492" i="55"/>
  <c r="C492" i="55"/>
  <c r="B492" i="55"/>
  <c r="D491" i="55"/>
  <c r="C491" i="55"/>
  <c r="B491" i="55"/>
  <c r="D490" i="55"/>
  <c r="C490" i="55"/>
  <c r="B490" i="55"/>
  <c r="D489" i="55"/>
  <c r="C489" i="55"/>
  <c r="B489" i="55"/>
  <c r="D488" i="55"/>
  <c r="C488" i="55"/>
  <c r="B488" i="55"/>
  <c r="D487" i="55"/>
  <c r="C487" i="55"/>
  <c r="B487" i="55"/>
  <c r="C485" i="55"/>
  <c r="D482" i="55"/>
  <c r="C482" i="55"/>
  <c r="B482" i="55"/>
  <c r="D481" i="55"/>
  <c r="C481" i="55"/>
  <c r="B481" i="55"/>
  <c r="A481" i="55"/>
  <c r="A482" i="55" s="1"/>
  <c r="A483" i="55" s="1"/>
  <c r="A485" i="55" s="1"/>
  <c r="A487" i="55" s="1"/>
  <c r="A488" i="55" s="1"/>
  <c r="A489" i="55" s="1"/>
  <c r="A490" i="55" s="1"/>
  <c r="A491" i="55" s="1"/>
  <c r="A492" i="55" s="1"/>
  <c r="A493" i="55" s="1"/>
  <c r="A494" i="55" s="1"/>
  <c r="A495" i="55" s="1"/>
  <c r="D480" i="55"/>
  <c r="C480" i="55"/>
  <c r="B480" i="55"/>
  <c r="A480" i="55"/>
  <c r="D479" i="55"/>
  <c r="C479" i="55"/>
  <c r="B479" i="55"/>
  <c r="A479" i="55"/>
  <c r="D478" i="55"/>
  <c r="C478" i="55"/>
  <c r="B478" i="55"/>
  <c r="A478" i="55"/>
  <c r="C477" i="55"/>
  <c r="B477" i="55"/>
  <c r="D476" i="55"/>
  <c r="C476" i="55"/>
  <c r="B476" i="55"/>
  <c r="D475" i="55"/>
  <c r="C475" i="55"/>
  <c r="B475" i="55"/>
  <c r="D474" i="55"/>
  <c r="C474" i="55"/>
  <c r="B474" i="55"/>
  <c r="A474" i="55"/>
  <c r="A475" i="55" s="1"/>
  <c r="A476" i="55" s="1"/>
  <c r="A477" i="55" s="1"/>
  <c r="C472" i="55"/>
  <c r="L469" i="55"/>
  <c r="K469" i="55"/>
  <c r="J469" i="55"/>
  <c r="I469" i="55"/>
  <c r="H469" i="55"/>
  <c r="G469" i="55"/>
  <c r="F469" i="55"/>
  <c r="C469" i="55"/>
  <c r="L467" i="55"/>
  <c r="F467" i="55"/>
  <c r="A467" i="55"/>
  <c r="A466" i="55"/>
  <c r="L465" i="55"/>
  <c r="F465" i="55"/>
  <c r="C463" i="55"/>
  <c r="B463" i="55"/>
  <c r="D462" i="55"/>
  <c r="C462" i="55"/>
  <c r="B462" i="55"/>
  <c r="D461" i="55"/>
  <c r="C461" i="55"/>
  <c r="B461" i="55"/>
  <c r="D460" i="55"/>
  <c r="C460" i="55"/>
  <c r="B460" i="55"/>
  <c r="C459" i="55"/>
  <c r="B459" i="55"/>
  <c r="A459" i="55"/>
  <c r="A460" i="55" s="1"/>
  <c r="A461" i="55" s="1"/>
  <c r="A462" i="55" s="1"/>
  <c r="A463" i="55" s="1"/>
  <c r="A464" i="55" s="1"/>
  <c r="C458" i="55"/>
  <c r="B458" i="55"/>
  <c r="A458" i="55"/>
  <c r="C457" i="55"/>
  <c r="B457" i="55"/>
  <c r="C456" i="55"/>
  <c r="B456" i="55"/>
  <c r="C454" i="55"/>
  <c r="A454" i="55"/>
  <c r="A456" i="55" s="1"/>
  <c r="A457" i="55" s="1"/>
  <c r="C451" i="55"/>
  <c r="B451" i="55"/>
  <c r="C450" i="55"/>
  <c r="B450" i="55"/>
  <c r="D449" i="55"/>
  <c r="C449" i="55"/>
  <c r="B449" i="55"/>
  <c r="D448" i="55"/>
  <c r="C448" i="55"/>
  <c r="B448" i="55"/>
  <c r="D447" i="55"/>
  <c r="C447" i="55"/>
  <c r="B447" i="55"/>
  <c r="C446" i="55"/>
  <c r="B446" i="55"/>
  <c r="C445" i="55"/>
  <c r="B445" i="55"/>
  <c r="D444" i="55"/>
  <c r="C444" i="55"/>
  <c r="B444" i="55"/>
  <c r="C443" i="55"/>
  <c r="B443" i="55"/>
  <c r="A443" i="55"/>
  <c r="A444" i="55" s="1"/>
  <c r="A445" i="55" s="1"/>
  <c r="A446" i="55" s="1"/>
  <c r="A447" i="55" s="1"/>
  <c r="A448" i="55" s="1"/>
  <c r="A449" i="55" s="1"/>
  <c r="A450" i="55" s="1"/>
  <c r="A451" i="55" s="1"/>
  <c r="A452" i="55" s="1"/>
  <c r="C441" i="55"/>
  <c r="L438" i="55"/>
  <c r="K438" i="55"/>
  <c r="J438" i="55"/>
  <c r="I438" i="55"/>
  <c r="H438" i="55"/>
  <c r="G438" i="55"/>
  <c r="F438" i="55"/>
  <c r="C438" i="55"/>
  <c r="L436" i="55"/>
  <c r="F436" i="55"/>
  <c r="A436" i="55"/>
  <c r="A435" i="55"/>
  <c r="L434" i="55"/>
  <c r="F434" i="55"/>
  <c r="D430" i="55"/>
  <c r="C430" i="55"/>
  <c r="B430" i="55"/>
  <c r="D429" i="55"/>
  <c r="C429" i="55"/>
  <c r="B429" i="55"/>
  <c r="D428" i="55"/>
  <c r="C428" i="55"/>
  <c r="B428" i="55"/>
  <c r="C427" i="55"/>
  <c r="D419" i="55"/>
  <c r="C419" i="55"/>
  <c r="B419" i="55"/>
  <c r="D418" i="55"/>
  <c r="C418" i="55"/>
  <c r="B418" i="55"/>
  <c r="D417" i="55"/>
  <c r="C417" i="55"/>
  <c r="B417" i="55"/>
  <c r="D416" i="55"/>
  <c r="C416" i="55"/>
  <c r="B416" i="55"/>
  <c r="D411" i="55"/>
  <c r="C411" i="55"/>
  <c r="B411" i="55"/>
  <c r="D410" i="55"/>
  <c r="C410" i="55"/>
  <c r="B410" i="55"/>
  <c r="D409" i="55"/>
  <c r="C409" i="55"/>
  <c r="B409" i="55"/>
  <c r="D408" i="55"/>
  <c r="C408" i="55"/>
  <c r="B408" i="55"/>
  <c r="A406" i="55"/>
  <c r="A408" i="55" s="1"/>
  <c r="A409" i="55" s="1"/>
  <c r="A410" i="55" s="1"/>
  <c r="A411" i="55" s="1"/>
  <c r="A412" i="55" s="1"/>
  <c r="A414" i="55" s="1"/>
  <c r="A416" i="55" s="1"/>
  <c r="A417" i="55" s="1"/>
  <c r="A418" i="55" s="1"/>
  <c r="A419" i="55" s="1"/>
  <c r="A420" i="55" s="1"/>
  <c r="A422" i="55" s="1"/>
  <c r="A424" i="55" s="1"/>
  <c r="A426" i="55" s="1"/>
  <c r="A427" i="55" s="1"/>
  <c r="A428" i="55" s="1"/>
  <c r="A429" i="55" s="1"/>
  <c r="A430" i="55" s="1"/>
  <c r="A431" i="55" s="1"/>
  <c r="A433" i="55" s="1"/>
  <c r="L401" i="55"/>
  <c r="K401" i="55"/>
  <c r="J401" i="55"/>
  <c r="I401" i="55"/>
  <c r="H401" i="55"/>
  <c r="G401" i="55"/>
  <c r="F401" i="55"/>
  <c r="C401" i="55"/>
  <c r="L399" i="55"/>
  <c r="F399" i="55"/>
  <c r="A399" i="55"/>
  <c r="A398" i="55"/>
  <c r="L397" i="55"/>
  <c r="F397" i="55"/>
  <c r="D393" i="55"/>
  <c r="C393" i="55"/>
  <c r="B393" i="55"/>
  <c r="B392" i="55"/>
  <c r="D391" i="55"/>
  <c r="C391" i="55"/>
  <c r="B391" i="55"/>
  <c r="C390" i="55"/>
  <c r="B390" i="55"/>
  <c r="B387" i="55"/>
  <c r="B386" i="55"/>
  <c r="B385" i="55"/>
  <c r="A385" i="55"/>
  <c r="A386" i="55" s="1"/>
  <c r="A387" i="55" s="1"/>
  <c r="A388" i="55" s="1"/>
  <c r="A390" i="55" s="1"/>
  <c r="A391" i="55" s="1"/>
  <c r="A392" i="55" s="1"/>
  <c r="A393" i="55" s="1"/>
  <c r="A394" i="55" s="1"/>
  <c r="A396" i="55" s="1"/>
  <c r="L380" i="55"/>
  <c r="K380" i="55"/>
  <c r="J380" i="55"/>
  <c r="I380" i="55"/>
  <c r="H380" i="55"/>
  <c r="G380" i="55"/>
  <c r="F380" i="55"/>
  <c r="C380" i="55"/>
  <c r="L378" i="55"/>
  <c r="F378" i="55"/>
  <c r="A378" i="55"/>
  <c r="A377" i="55"/>
  <c r="L376" i="55"/>
  <c r="F376" i="55"/>
  <c r="A346" i="55"/>
  <c r="A347" i="55" s="1"/>
  <c r="A348" i="55" s="1"/>
  <c r="A352" i="55" s="1"/>
  <c r="A353" i="55" s="1"/>
  <c r="A354" i="55" s="1"/>
  <c r="A355" i="55" s="1"/>
  <c r="A356" i="55" s="1"/>
  <c r="A358" i="55" s="1"/>
  <c r="A360" i="55" s="1"/>
  <c r="A361" i="55" s="1"/>
  <c r="A362" i="55" s="1"/>
  <c r="A363" i="55" s="1"/>
  <c r="A364" i="55" s="1"/>
  <c r="A365" i="55" s="1"/>
  <c r="A366" i="55" s="1"/>
  <c r="A367" i="55" s="1"/>
  <c r="A368" i="55" s="1"/>
  <c r="A369" i="55" s="1"/>
  <c r="A370" i="55" s="1"/>
  <c r="A371" i="55" s="1"/>
  <c r="A372" i="55" s="1"/>
  <c r="A373" i="55" s="1"/>
  <c r="A375" i="55" s="1"/>
  <c r="A345" i="55"/>
  <c r="L341" i="55"/>
  <c r="K341" i="55"/>
  <c r="J341" i="55"/>
  <c r="I341" i="55"/>
  <c r="H341" i="55"/>
  <c r="G341" i="55"/>
  <c r="F341" i="55"/>
  <c r="C341" i="55"/>
  <c r="L339" i="55"/>
  <c r="F339" i="55"/>
  <c r="A339" i="55"/>
  <c r="A338" i="55"/>
  <c r="L337" i="55"/>
  <c r="F337" i="55"/>
  <c r="A302" i="55"/>
  <c r="A303" i="55" s="1"/>
  <c r="A304" i="55" s="1"/>
  <c r="A305" i="55" s="1"/>
  <c r="A306" i="55" s="1"/>
  <c r="A308" i="55" s="1"/>
  <c r="A310" i="55" s="1"/>
  <c r="A311" i="55" s="1"/>
  <c r="A312" i="55" s="1"/>
  <c r="A313" i="55" s="1"/>
  <c r="A315" i="55" s="1"/>
  <c r="A317" i="55" s="1"/>
  <c r="A318" i="55" s="1"/>
  <c r="A319" i="55" s="1"/>
  <c r="A320" i="55" s="1"/>
  <c r="A321" i="55" s="1"/>
  <c r="A322" i="55" s="1"/>
  <c r="A323" i="55" s="1"/>
  <c r="L296" i="55"/>
  <c r="K296" i="55"/>
  <c r="J296" i="55"/>
  <c r="I296" i="55"/>
  <c r="H296" i="55"/>
  <c r="G296" i="55"/>
  <c r="F296" i="55"/>
  <c r="C296" i="55"/>
  <c r="L294" i="55"/>
  <c r="F294" i="55"/>
  <c r="A294" i="55"/>
  <c r="A293" i="55"/>
  <c r="L292" i="55"/>
  <c r="F292" i="55"/>
  <c r="C287" i="55"/>
  <c r="A260" i="55"/>
  <c r="A261" i="55" s="1"/>
  <c r="A262" i="55" s="1"/>
  <c r="A263" i="55" s="1"/>
  <c r="A264" i="55" s="1"/>
  <c r="A265" i="55" s="1"/>
  <c r="A266" i="55" s="1"/>
  <c r="A267" i="55" s="1"/>
  <c r="A268" i="55" s="1"/>
  <c r="A269" i="55" s="1"/>
  <c r="A270" i="55" s="1"/>
  <c r="A271" i="55" s="1"/>
  <c r="A273" i="55" s="1"/>
  <c r="A275" i="55" s="1"/>
  <c r="A276" i="55" s="1"/>
  <c r="A277" i="55" s="1"/>
  <c r="A278" i="55" s="1"/>
  <c r="A279" i="55" s="1"/>
  <c r="A280" i="55" s="1"/>
  <c r="A281" i="55" s="1"/>
  <c r="A282" i="55" s="1"/>
  <c r="A283" i="55" s="1"/>
  <c r="A284" i="55" s="1"/>
  <c r="A285" i="55" s="1"/>
  <c r="A286" i="55" s="1"/>
  <c r="A287" i="55" s="1"/>
  <c r="A288" i="55" s="1"/>
  <c r="A289" i="55" s="1"/>
  <c r="A291" i="55" s="1"/>
  <c r="L255" i="55"/>
  <c r="K255" i="55"/>
  <c r="J255" i="55"/>
  <c r="I255" i="55"/>
  <c r="H255" i="55"/>
  <c r="G255" i="55"/>
  <c r="F255" i="55"/>
  <c r="C255" i="55"/>
  <c r="L253" i="55"/>
  <c r="F253" i="55"/>
  <c r="A253" i="55"/>
  <c r="A252" i="55"/>
  <c r="L251" i="55"/>
  <c r="F251" i="55"/>
  <c r="A215" i="55"/>
  <c r="A216" i="55" s="1"/>
  <c r="A217" i="55" s="1"/>
  <c r="A218" i="55" s="1"/>
  <c r="A219" i="55" s="1"/>
  <c r="A220" i="55" s="1"/>
  <c r="A222" i="55" s="1"/>
  <c r="A224" i="55" s="1"/>
  <c r="A225" i="55" s="1"/>
  <c r="A226" i="55" s="1"/>
  <c r="A227" i="55" s="1"/>
  <c r="A229" i="55" s="1"/>
  <c r="A231" i="55" s="1"/>
  <c r="A232" i="55" s="1"/>
  <c r="A233" i="55" s="1"/>
  <c r="A234" i="55" s="1"/>
  <c r="A235" i="55" s="1"/>
  <c r="A236" i="55" s="1"/>
  <c r="A237" i="55" s="1"/>
  <c r="L210" i="55"/>
  <c r="K210" i="55"/>
  <c r="J210" i="55"/>
  <c r="I210" i="55"/>
  <c r="H210" i="55"/>
  <c r="G210" i="55"/>
  <c r="F210" i="55"/>
  <c r="C210" i="55"/>
  <c r="L208" i="55"/>
  <c r="F208" i="55"/>
  <c r="A208" i="55"/>
  <c r="A207" i="55"/>
  <c r="L206" i="55"/>
  <c r="F206" i="55"/>
  <c r="C203" i="55"/>
  <c r="B203" i="55"/>
  <c r="C202" i="55"/>
  <c r="B202" i="55"/>
  <c r="C201" i="55"/>
  <c r="B201" i="55"/>
  <c r="C200" i="55"/>
  <c r="B200" i="55"/>
  <c r="C199" i="55"/>
  <c r="B199" i="55"/>
  <c r="C198" i="55"/>
  <c r="B198" i="55"/>
  <c r="C197" i="55"/>
  <c r="B197" i="55"/>
  <c r="C196" i="55"/>
  <c r="B196" i="55"/>
  <c r="C195" i="55"/>
  <c r="B195" i="55"/>
  <c r="C194" i="55"/>
  <c r="B194" i="55"/>
  <c r="C193" i="55"/>
  <c r="B193" i="55"/>
  <c r="C192" i="55"/>
  <c r="B192" i="55"/>
  <c r="C191" i="55"/>
  <c r="B191" i="55"/>
  <c r="C190" i="55"/>
  <c r="B190" i="55"/>
  <c r="C189" i="55"/>
  <c r="C187" i="55"/>
  <c r="B187" i="55"/>
  <c r="C186" i="55"/>
  <c r="B186" i="55"/>
  <c r="C185" i="55"/>
  <c r="B185" i="55"/>
  <c r="C184" i="55"/>
  <c r="B184" i="55"/>
  <c r="C183" i="55"/>
  <c r="B183" i="55"/>
  <c r="C182" i="55"/>
  <c r="B182" i="55"/>
  <c r="C181" i="55"/>
  <c r="B181" i="55"/>
  <c r="D180" i="55"/>
  <c r="C180" i="55"/>
  <c r="B180" i="55"/>
  <c r="D179" i="55"/>
  <c r="C179" i="55"/>
  <c r="B179" i="55"/>
  <c r="D178" i="55"/>
  <c r="C178" i="55"/>
  <c r="B178" i="55"/>
  <c r="D177" i="55"/>
  <c r="C177" i="55"/>
  <c r="B177" i="55"/>
  <c r="D176" i="55"/>
  <c r="C176" i="55"/>
  <c r="B176" i="55"/>
  <c r="A176" i="55"/>
  <c r="A177" i="55" s="1"/>
  <c r="A178" i="55" s="1"/>
  <c r="A179" i="55" s="1"/>
  <c r="A180" i="55" s="1"/>
  <c r="A181" i="55" s="1"/>
  <c r="A182" i="55" s="1"/>
  <c r="A183" i="55" s="1"/>
  <c r="A184" i="55" s="1"/>
  <c r="A185" i="55" s="1"/>
  <c r="A186" i="55" s="1"/>
  <c r="A187" i="55" s="1"/>
  <c r="A188" i="55" s="1"/>
  <c r="A189" i="55" s="1"/>
  <c r="A190" i="55" s="1"/>
  <c r="A191" i="55" s="1"/>
  <c r="A192" i="55" s="1"/>
  <c r="A193" i="55" s="1"/>
  <c r="A194" i="55" s="1"/>
  <c r="A195" i="55" s="1"/>
  <c r="A196" i="55" s="1"/>
  <c r="A197" i="55" s="1"/>
  <c r="A198" i="55" s="1"/>
  <c r="A199" i="55" s="1"/>
  <c r="A200" i="55" s="1"/>
  <c r="A201" i="55" s="1"/>
  <c r="A202" i="55" s="1"/>
  <c r="A203" i="55" s="1"/>
  <c r="A204" i="55" s="1"/>
  <c r="A205" i="55" s="1"/>
  <c r="C175" i="55"/>
  <c r="B175" i="55"/>
  <c r="L172" i="55"/>
  <c r="K172" i="55"/>
  <c r="J172" i="55"/>
  <c r="I172" i="55"/>
  <c r="H172" i="55"/>
  <c r="G172" i="55"/>
  <c r="F172" i="55"/>
  <c r="C172" i="55"/>
  <c r="L170" i="55"/>
  <c r="F170" i="55"/>
  <c r="A170" i="55"/>
  <c r="A169" i="55"/>
  <c r="L168" i="55"/>
  <c r="F168" i="55"/>
  <c r="D167" i="55"/>
  <c r="C167" i="55"/>
  <c r="B167" i="55"/>
  <c r="C166" i="55"/>
  <c r="B166" i="55"/>
  <c r="C165" i="55"/>
  <c r="B165" i="55"/>
  <c r="C164" i="55"/>
  <c r="B164" i="55"/>
  <c r="C163" i="55"/>
  <c r="B163" i="55"/>
  <c r="C162" i="55"/>
  <c r="B162" i="55"/>
  <c r="C161" i="55"/>
  <c r="B161" i="55"/>
  <c r="C160" i="55"/>
  <c r="B160" i="55"/>
  <c r="C159" i="55"/>
  <c r="B159" i="55"/>
  <c r="C158" i="55"/>
  <c r="B158" i="55"/>
  <c r="D157" i="55"/>
  <c r="C157" i="55"/>
  <c r="B157" i="55"/>
  <c r="C155" i="55"/>
  <c r="C156" i="55" s="1"/>
  <c r="C238" i="55" s="1"/>
  <c r="B155" i="55"/>
  <c r="B156" i="55" s="1"/>
  <c r="C154" i="55"/>
  <c r="B154" i="55"/>
  <c r="C153" i="55"/>
  <c r="B153" i="55"/>
  <c r="C152" i="55"/>
  <c r="B152" i="55"/>
  <c r="C151" i="55"/>
  <c r="B151" i="55"/>
  <c r="C150" i="55"/>
  <c r="B150" i="55"/>
  <c r="C149" i="55"/>
  <c r="B149" i="55"/>
  <c r="C147" i="55"/>
  <c r="D144" i="55"/>
  <c r="C144" i="55"/>
  <c r="B144" i="55"/>
  <c r="D143" i="55"/>
  <c r="C143" i="55"/>
  <c r="B143" i="55"/>
  <c r="D142" i="55"/>
  <c r="C142" i="55"/>
  <c r="B142" i="55"/>
  <c r="C140" i="55"/>
  <c r="C137" i="55"/>
  <c r="B137" i="55"/>
  <c r="C136" i="55"/>
  <c r="B136" i="55"/>
  <c r="C135" i="55"/>
  <c r="B135" i="55"/>
  <c r="C134" i="55"/>
  <c r="B134" i="55"/>
  <c r="C133" i="55"/>
  <c r="B133" i="55"/>
  <c r="A133" i="55"/>
  <c r="A134" i="55" s="1"/>
  <c r="A135" i="55" s="1"/>
  <c r="A136" i="55" s="1"/>
  <c r="A137" i="55" s="1"/>
  <c r="A138" i="55" s="1"/>
  <c r="A140" i="55" s="1"/>
  <c r="A142" i="55" s="1"/>
  <c r="A143" i="55" s="1"/>
  <c r="A144" i="55" s="1"/>
  <c r="A145" i="55" s="1"/>
  <c r="A147" i="55" s="1"/>
  <c r="A149" i="55" s="1"/>
  <c r="A150" i="55" s="1"/>
  <c r="A151" i="55" s="1"/>
  <c r="A152" i="55" s="1"/>
  <c r="A153" i="55" s="1"/>
  <c r="A154" i="55" s="1"/>
  <c r="A155" i="55" s="1"/>
  <c r="C131" i="55"/>
  <c r="L128" i="55"/>
  <c r="K128" i="55"/>
  <c r="J128" i="55"/>
  <c r="I128" i="55"/>
  <c r="H128" i="55"/>
  <c r="G128" i="55"/>
  <c r="F128" i="55"/>
  <c r="L126" i="55"/>
  <c r="F126" i="55"/>
  <c r="A126" i="55"/>
  <c r="A125" i="55"/>
  <c r="L124" i="55"/>
  <c r="F124" i="55"/>
  <c r="A100" i="55"/>
  <c r="A101" i="55" s="1"/>
  <c r="A102" i="55" s="1"/>
  <c r="A103" i="55" s="1"/>
  <c r="A104" i="55" s="1"/>
  <c r="A105" i="55" s="1"/>
  <c r="A107" i="55" s="1"/>
  <c r="A109" i="55" s="1"/>
  <c r="A111" i="55" s="1"/>
  <c r="A113" i="55" s="1"/>
  <c r="A115" i="55" s="1"/>
  <c r="A117" i="55" s="1"/>
  <c r="A99" i="55"/>
  <c r="L94" i="55"/>
  <c r="K94" i="55"/>
  <c r="J94" i="55"/>
  <c r="I94" i="55"/>
  <c r="H94" i="55"/>
  <c r="G94" i="55"/>
  <c r="F94" i="55"/>
  <c r="C94" i="55"/>
  <c r="L92" i="55"/>
  <c r="F92" i="55"/>
  <c r="A92" i="55"/>
  <c r="A91" i="55"/>
  <c r="L90" i="55"/>
  <c r="F90" i="55"/>
  <c r="B87" i="55"/>
  <c r="B83" i="55"/>
  <c r="B79" i="55"/>
  <c r="B77" i="55"/>
  <c r="L75" i="55"/>
  <c r="K75" i="55"/>
  <c r="J75" i="55"/>
  <c r="I75" i="55"/>
  <c r="H75" i="55"/>
  <c r="G75" i="55"/>
  <c r="F75" i="55"/>
  <c r="A75" i="55"/>
  <c r="A77" i="55" s="1"/>
  <c r="A79" i="55" s="1"/>
  <c r="A81" i="55" s="1"/>
  <c r="A83" i="55" s="1"/>
  <c r="A85" i="55" s="1"/>
  <c r="A87" i="55" s="1"/>
  <c r="A89" i="55" s="1"/>
  <c r="L71" i="55"/>
  <c r="K71" i="55"/>
  <c r="J71" i="55"/>
  <c r="I71" i="55"/>
  <c r="H71" i="55"/>
  <c r="G71" i="55"/>
  <c r="F71" i="55"/>
  <c r="L69" i="55"/>
  <c r="F69" i="55"/>
  <c r="A69" i="55"/>
  <c r="A68" i="55"/>
  <c r="L67" i="55"/>
  <c r="F67" i="55"/>
  <c r="A46" i="55"/>
  <c r="A47" i="55" s="1"/>
  <c r="A48" i="55" s="1"/>
  <c r="A49" i="55" s="1"/>
  <c r="A50" i="55" s="1"/>
  <c r="A52" i="55" s="1"/>
  <c r="A54" i="55" s="1"/>
  <c r="A55" i="55" s="1"/>
  <c r="A57" i="55" s="1"/>
  <c r="A59" i="55" s="1"/>
  <c r="A61" i="55" s="1"/>
  <c r="L39" i="55"/>
  <c r="K39" i="55"/>
  <c r="J39" i="55"/>
  <c r="I39" i="55"/>
  <c r="H39" i="55"/>
  <c r="G39" i="55"/>
  <c r="F39" i="55"/>
  <c r="C39" i="55"/>
  <c r="L37" i="55"/>
  <c r="F37" i="55"/>
  <c r="A37" i="55"/>
  <c r="A36" i="55"/>
  <c r="L35" i="55"/>
  <c r="F35" i="55"/>
  <c r="E477" i="54"/>
  <c r="K427" i="54"/>
  <c r="L427" i="54"/>
  <c r="D799" i="54"/>
  <c r="C799" i="54"/>
  <c r="B799" i="54"/>
  <c r="C798" i="54"/>
  <c r="B798" i="54"/>
  <c r="C797" i="54"/>
  <c r="B797" i="54"/>
  <c r="D796" i="54"/>
  <c r="C796" i="54"/>
  <c r="B796" i="54"/>
  <c r="A794" i="54"/>
  <c r="A795" i="54" s="1"/>
  <c r="A796" i="54" s="1"/>
  <c r="A797" i="54" s="1"/>
  <c r="A798" i="54" s="1"/>
  <c r="A799" i="54" s="1"/>
  <c r="A800" i="54" s="1"/>
  <c r="C789" i="54"/>
  <c r="B789" i="54"/>
  <c r="C788" i="54"/>
  <c r="B788" i="54"/>
  <c r="C787" i="54"/>
  <c r="B787" i="54"/>
  <c r="A787" i="54"/>
  <c r="A788" i="54" s="1"/>
  <c r="A789" i="54" s="1"/>
  <c r="A790" i="54" s="1"/>
  <c r="A792" i="54" s="1"/>
  <c r="C786" i="54"/>
  <c r="B786" i="54"/>
  <c r="C784" i="54"/>
  <c r="B784" i="54"/>
  <c r="A784" i="54"/>
  <c r="A786" i="54" s="1"/>
  <c r="A782" i="54"/>
  <c r="A781" i="54"/>
  <c r="L776" i="54"/>
  <c r="K776" i="54"/>
  <c r="J776" i="54"/>
  <c r="I776" i="54"/>
  <c r="H776" i="54"/>
  <c r="G776" i="54"/>
  <c r="F776" i="54"/>
  <c r="C776" i="54"/>
  <c r="L774" i="54"/>
  <c r="F774" i="54"/>
  <c r="A774" i="54"/>
  <c r="A773" i="54"/>
  <c r="L772" i="54"/>
  <c r="F772" i="54"/>
  <c r="A767" i="54"/>
  <c r="A769" i="54" s="1"/>
  <c r="A771" i="54" s="1"/>
  <c r="B766" i="54"/>
  <c r="A764" i="54"/>
  <c r="A766" i="54" s="1"/>
  <c r="B762" i="54"/>
  <c r="A762" i="54"/>
  <c r="L756" i="54"/>
  <c r="K756" i="54"/>
  <c r="J756" i="54"/>
  <c r="I756" i="54"/>
  <c r="H756" i="54"/>
  <c r="G756" i="54"/>
  <c r="F756" i="54"/>
  <c r="C756" i="54"/>
  <c r="L754" i="54"/>
  <c r="F754" i="54"/>
  <c r="A754" i="54"/>
  <c r="A753" i="54"/>
  <c r="L752" i="54"/>
  <c r="F752" i="54"/>
  <c r="B751" i="54"/>
  <c r="B750" i="54"/>
  <c r="B749" i="54"/>
  <c r="D697" i="54"/>
  <c r="B742" i="54"/>
  <c r="B697" i="54" s="1"/>
  <c r="B738" i="54"/>
  <c r="A731" i="54"/>
  <c r="A732" i="54" s="1"/>
  <c r="A734" i="54" s="1"/>
  <c r="A736" i="54" s="1"/>
  <c r="A738" i="54" s="1"/>
  <c r="A739" i="54" s="1"/>
  <c r="A740" i="54" s="1"/>
  <c r="A742" i="54" s="1"/>
  <c r="A743" i="54" s="1"/>
  <c r="A745" i="54" s="1"/>
  <c r="A747" i="54" s="1"/>
  <c r="A749" i="54" s="1"/>
  <c r="A750" i="54" s="1"/>
  <c r="A751" i="54" s="1"/>
  <c r="L726" i="54"/>
  <c r="K726" i="54"/>
  <c r="J726" i="54"/>
  <c r="I726" i="54"/>
  <c r="H726" i="54"/>
  <c r="G726" i="54"/>
  <c r="F726" i="54"/>
  <c r="C726" i="54"/>
  <c r="L724" i="54"/>
  <c r="F724" i="54"/>
  <c r="A724" i="54"/>
  <c r="A723" i="54"/>
  <c r="L722" i="54"/>
  <c r="F722" i="54"/>
  <c r="B717" i="54"/>
  <c r="A715" i="54"/>
  <c r="A717" i="54" s="1"/>
  <c r="A719" i="54" s="1"/>
  <c r="A721" i="54" s="1"/>
  <c r="L710" i="54"/>
  <c r="K710" i="54"/>
  <c r="J710" i="54"/>
  <c r="I710" i="54"/>
  <c r="H710" i="54"/>
  <c r="G710" i="54"/>
  <c r="F710" i="54"/>
  <c r="C710" i="54"/>
  <c r="L708" i="54"/>
  <c r="F708" i="54"/>
  <c r="A708" i="54"/>
  <c r="A707" i="54"/>
  <c r="L706" i="54"/>
  <c r="F706" i="54"/>
  <c r="B703" i="54"/>
  <c r="B702" i="54"/>
  <c r="B695" i="54"/>
  <c r="A695" i="54"/>
  <c r="A697" i="54" s="1"/>
  <c r="A699" i="54" s="1"/>
  <c r="A700" i="54" s="1"/>
  <c r="A702" i="54" s="1"/>
  <c r="A703" i="54" s="1"/>
  <c r="A705" i="54" s="1"/>
  <c r="B694" i="54"/>
  <c r="B693" i="54"/>
  <c r="A691" i="54"/>
  <c r="A693" i="54" s="1"/>
  <c r="A694" i="54" s="1"/>
  <c r="A689" i="54"/>
  <c r="L684" i="54"/>
  <c r="K684" i="54"/>
  <c r="J684" i="54"/>
  <c r="I684" i="54"/>
  <c r="H684" i="54"/>
  <c r="G684" i="54"/>
  <c r="F684" i="54"/>
  <c r="C684" i="54"/>
  <c r="L682" i="54"/>
  <c r="F682" i="54"/>
  <c r="A682" i="54"/>
  <c r="A681" i="54"/>
  <c r="L680" i="54"/>
  <c r="F680" i="54"/>
  <c r="C677" i="54"/>
  <c r="B677" i="54"/>
  <c r="C675" i="54"/>
  <c r="B675" i="54"/>
  <c r="A675" i="54"/>
  <c r="A677" i="54" s="1"/>
  <c r="A679" i="54" s="1"/>
  <c r="C673" i="54"/>
  <c r="B673" i="54"/>
  <c r="L668" i="54"/>
  <c r="K668" i="54"/>
  <c r="J668" i="54"/>
  <c r="I668" i="54"/>
  <c r="H668" i="54"/>
  <c r="G668" i="54"/>
  <c r="F668" i="54"/>
  <c r="C668" i="54"/>
  <c r="L666" i="54"/>
  <c r="F666" i="54"/>
  <c r="A666" i="54"/>
  <c r="A665" i="54"/>
  <c r="L664" i="54"/>
  <c r="F664" i="54"/>
  <c r="A654" i="54"/>
  <c r="A655" i="54" s="1"/>
  <c r="A656" i="54" s="1"/>
  <c r="A657" i="54" s="1"/>
  <c r="A658" i="54" s="1"/>
  <c r="A659" i="54" s="1"/>
  <c r="A660" i="54" s="1"/>
  <c r="A661" i="54" s="1"/>
  <c r="A663" i="54" s="1"/>
  <c r="A648" i="54"/>
  <c r="A649" i="54" s="1"/>
  <c r="A650" i="54" s="1"/>
  <c r="A652" i="54" s="1"/>
  <c r="A644" i="54"/>
  <c r="A645" i="54" s="1"/>
  <c r="A646" i="54" s="1"/>
  <c r="A647" i="54" s="1"/>
  <c r="A643" i="54"/>
  <c r="L638" i="54"/>
  <c r="K638" i="54"/>
  <c r="J638" i="54"/>
  <c r="I638" i="54"/>
  <c r="H638" i="54"/>
  <c r="G638" i="54"/>
  <c r="F638" i="54"/>
  <c r="C638" i="54"/>
  <c r="L636" i="54"/>
  <c r="F636" i="54"/>
  <c r="A636" i="54"/>
  <c r="A635" i="54"/>
  <c r="L634" i="54"/>
  <c r="F634" i="54"/>
  <c r="B623" i="54"/>
  <c r="C621" i="54"/>
  <c r="B621" i="54"/>
  <c r="D607" i="54"/>
  <c r="D606" i="54"/>
  <c r="D605" i="54"/>
  <c r="D604" i="54"/>
  <c r="A604" i="54"/>
  <c r="A605" i="54" s="1"/>
  <c r="A606" i="54" s="1"/>
  <c r="A607" i="54" s="1"/>
  <c r="A608" i="54" s="1"/>
  <c r="A610" i="54" s="1"/>
  <c r="A612" i="54" s="1"/>
  <c r="A614" i="54" s="1"/>
  <c r="A615" i="54" s="1"/>
  <c r="A616" i="54" s="1"/>
  <c r="A617" i="54" s="1"/>
  <c r="A618" i="54" s="1"/>
  <c r="A619" i="54" s="1"/>
  <c r="A620" i="54" s="1"/>
  <c r="A621" i="54" s="1"/>
  <c r="A622" i="54" s="1"/>
  <c r="A623" i="54" s="1"/>
  <c r="A624" i="54" s="1"/>
  <c r="A625" i="54" s="1"/>
  <c r="A626" i="54" s="1"/>
  <c r="A627" i="54" s="1"/>
  <c r="A628" i="54" s="1"/>
  <c r="A633" i="54" s="1"/>
  <c r="L599" i="54"/>
  <c r="K599" i="54"/>
  <c r="J599" i="54"/>
  <c r="I599" i="54"/>
  <c r="H599" i="54"/>
  <c r="G599" i="54"/>
  <c r="F599" i="54"/>
  <c r="C599" i="54"/>
  <c r="L597" i="54"/>
  <c r="F597" i="54"/>
  <c r="A597" i="54"/>
  <c r="A596" i="54"/>
  <c r="L595" i="54"/>
  <c r="F595" i="54"/>
  <c r="D593" i="54"/>
  <c r="D592" i="54"/>
  <c r="D591" i="54"/>
  <c r="D590" i="54"/>
  <c r="D589" i="54"/>
  <c r="D588" i="54"/>
  <c r="D587" i="54"/>
  <c r="D586" i="54"/>
  <c r="D581" i="54"/>
  <c r="D580" i="54"/>
  <c r="D579" i="54"/>
  <c r="A579" i="54"/>
  <c r="A580" i="54" s="1"/>
  <c r="A581" i="54" s="1"/>
  <c r="A582" i="54" s="1"/>
  <c r="A584" i="54" s="1"/>
  <c r="A586" i="54" s="1"/>
  <c r="A587" i="54" s="1"/>
  <c r="A588" i="54" s="1"/>
  <c r="A589" i="54" s="1"/>
  <c r="A590" i="54" s="1"/>
  <c r="A591" i="54" s="1"/>
  <c r="A592" i="54" s="1"/>
  <c r="A593" i="54" s="1"/>
  <c r="A594" i="54" s="1"/>
  <c r="D578" i="54"/>
  <c r="D577" i="54"/>
  <c r="D576" i="54"/>
  <c r="D575" i="54"/>
  <c r="A575" i="54"/>
  <c r="A576" i="54" s="1"/>
  <c r="A577" i="54" s="1"/>
  <c r="A578" i="54" s="1"/>
  <c r="D574" i="54"/>
  <c r="D573" i="54"/>
  <c r="A573" i="54"/>
  <c r="A574" i="54" s="1"/>
  <c r="L568" i="54"/>
  <c r="K568" i="54"/>
  <c r="J568" i="54"/>
  <c r="I568" i="54"/>
  <c r="H568" i="54"/>
  <c r="G568" i="54"/>
  <c r="F568" i="54"/>
  <c r="C568" i="54"/>
  <c r="L566" i="54"/>
  <c r="F566" i="54"/>
  <c r="A566" i="54"/>
  <c r="A565" i="54"/>
  <c r="L564" i="54"/>
  <c r="F564" i="54"/>
  <c r="D561" i="54"/>
  <c r="D560" i="54"/>
  <c r="D559" i="54"/>
  <c r="D548" i="54"/>
  <c r="D547" i="54"/>
  <c r="D546" i="54"/>
  <c r="A546" i="54"/>
  <c r="A547" i="54" s="1"/>
  <c r="A548" i="54" s="1"/>
  <c r="A549" i="54" s="1"/>
  <c r="A550" i="54" s="1"/>
  <c r="A551" i="54" s="1"/>
  <c r="A553" i="54" s="1"/>
  <c r="A555" i="54" s="1"/>
  <c r="A556" i="54" s="1"/>
  <c r="A557" i="54" s="1"/>
  <c r="A558" i="54" s="1"/>
  <c r="A559" i="54" s="1"/>
  <c r="A560" i="54" s="1"/>
  <c r="A561" i="54" s="1"/>
  <c r="A562" i="54" s="1"/>
  <c r="A563" i="54" s="1"/>
  <c r="D543" i="54"/>
  <c r="A542" i="54"/>
  <c r="A543" i="54" s="1"/>
  <c r="A544" i="54" s="1"/>
  <c r="A545" i="54" s="1"/>
  <c r="L537" i="54"/>
  <c r="K537" i="54"/>
  <c r="J537" i="54"/>
  <c r="I537" i="54"/>
  <c r="H537" i="54"/>
  <c r="G537" i="54"/>
  <c r="F537" i="54"/>
  <c r="C537" i="54"/>
  <c r="L535" i="54"/>
  <c r="F535" i="54"/>
  <c r="A535" i="54"/>
  <c r="A534" i="54"/>
  <c r="L533" i="54"/>
  <c r="F533" i="54"/>
  <c r="C529" i="54"/>
  <c r="B529" i="54"/>
  <c r="C528" i="54"/>
  <c r="C527" i="54"/>
  <c r="B527" i="54"/>
  <c r="C526" i="54"/>
  <c r="B526" i="54"/>
  <c r="C525" i="54"/>
  <c r="B525" i="54"/>
  <c r="C524" i="54"/>
  <c r="B524" i="54"/>
  <c r="C523" i="54"/>
  <c r="B523" i="54"/>
  <c r="C522" i="54"/>
  <c r="B522" i="54"/>
  <c r="C521" i="54"/>
  <c r="B521" i="54"/>
  <c r="C520" i="54"/>
  <c r="B520" i="54"/>
  <c r="C519" i="54"/>
  <c r="B519" i="54"/>
  <c r="C518" i="54"/>
  <c r="B518" i="54"/>
  <c r="C517" i="54"/>
  <c r="B517" i="54"/>
  <c r="C516" i="54"/>
  <c r="B516" i="54"/>
  <c r="C515" i="54"/>
  <c r="B515" i="54"/>
  <c r="C513" i="54"/>
  <c r="D508" i="54"/>
  <c r="C508" i="54"/>
  <c r="B508" i="54"/>
  <c r="D507" i="54"/>
  <c r="C507" i="54"/>
  <c r="B507" i="54"/>
  <c r="D506" i="54"/>
  <c r="C506" i="54"/>
  <c r="B506" i="54"/>
  <c r="D505" i="54"/>
  <c r="C505" i="54"/>
  <c r="B505" i="54"/>
  <c r="A505" i="54"/>
  <c r="A506" i="54" s="1"/>
  <c r="A507" i="54" s="1"/>
  <c r="A508" i="54" s="1"/>
  <c r="A509" i="54" s="1"/>
  <c r="A511" i="54" s="1"/>
  <c r="A513" i="54" s="1"/>
  <c r="A515" i="54" s="1"/>
  <c r="A516" i="54" s="1"/>
  <c r="A517" i="54" s="1"/>
  <c r="A518" i="54" s="1"/>
  <c r="A519" i="54" s="1"/>
  <c r="A520" i="54" s="1"/>
  <c r="A521" i="54" s="1"/>
  <c r="A522" i="54" s="1"/>
  <c r="A523" i="54" s="1"/>
  <c r="A524" i="54" s="1"/>
  <c r="A525" i="54" s="1"/>
  <c r="A526" i="54" s="1"/>
  <c r="A527" i="54" s="1"/>
  <c r="A530" i="54" s="1"/>
  <c r="A532" i="54" s="1"/>
  <c r="C503" i="54"/>
  <c r="L500" i="54"/>
  <c r="K500" i="54"/>
  <c r="J500" i="54"/>
  <c r="I500" i="54"/>
  <c r="H500" i="54"/>
  <c r="G500" i="54"/>
  <c r="F500" i="54"/>
  <c r="C500" i="54"/>
  <c r="L498" i="54"/>
  <c r="F498" i="54"/>
  <c r="A498" i="54"/>
  <c r="A497" i="54"/>
  <c r="L496" i="54"/>
  <c r="F496" i="54"/>
  <c r="D494" i="54"/>
  <c r="C494" i="54"/>
  <c r="B494" i="54"/>
  <c r="D493" i="54"/>
  <c r="C493" i="54"/>
  <c r="B493" i="54"/>
  <c r="D492" i="54"/>
  <c r="C492" i="54"/>
  <c r="B492" i="54"/>
  <c r="D491" i="54"/>
  <c r="C491" i="54"/>
  <c r="B491" i="54"/>
  <c r="D490" i="54"/>
  <c r="C490" i="54"/>
  <c r="B490" i="54"/>
  <c r="D489" i="54"/>
  <c r="C489" i="54"/>
  <c r="B489" i="54"/>
  <c r="D488" i="54"/>
  <c r="C488" i="54"/>
  <c r="B488" i="54"/>
  <c r="D487" i="54"/>
  <c r="C487" i="54"/>
  <c r="B487" i="54"/>
  <c r="C485" i="54"/>
  <c r="D482" i="54"/>
  <c r="C482" i="54"/>
  <c r="B482" i="54"/>
  <c r="D481" i="54"/>
  <c r="C481" i="54"/>
  <c r="B481" i="54"/>
  <c r="D480" i="54"/>
  <c r="C480" i="54"/>
  <c r="B480" i="54"/>
  <c r="D479" i="54"/>
  <c r="C479" i="54"/>
  <c r="B479" i="54"/>
  <c r="D478" i="54"/>
  <c r="C478" i="54"/>
  <c r="B478" i="54"/>
  <c r="C477" i="54"/>
  <c r="B477" i="54"/>
  <c r="D476" i="54"/>
  <c r="C476" i="54"/>
  <c r="B476" i="54"/>
  <c r="D475" i="54"/>
  <c r="C475" i="54"/>
  <c r="B475" i="54"/>
  <c r="D474" i="54"/>
  <c r="C474" i="54"/>
  <c r="B474" i="54"/>
  <c r="A474" i="54"/>
  <c r="A475" i="54" s="1"/>
  <c r="A476" i="54" s="1"/>
  <c r="A477" i="54" s="1"/>
  <c r="A478" i="54" s="1"/>
  <c r="A479" i="54" s="1"/>
  <c r="A480" i="54" s="1"/>
  <c r="A481" i="54" s="1"/>
  <c r="A482" i="54" s="1"/>
  <c r="A483" i="54" s="1"/>
  <c r="A485" i="54" s="1"/>
  <c r="A487" i="54" s="1"/>
  <c r="A488" i="54" s="1"/>
  <c r="A489" i="54" s="1"/>
  <c r="A490" i="54" s="1"/>
  <c r="A491" i="54" s="1"/>
  <c r="A492" i="54" s="1"/>
  <c r="A493" i="54" s="1"/>
  <c r="A494" i="54" s="1"/>
  <c r="A495" i="54" s="1"/>
  <c r="C472" i="54"/>
  <c r="L469" i="54"/>
  <c r="K469" i="54"/>
  <c r="J469" i="54"/>
  <c r="I469" i="54"/>
  <c r="H469" i="54"/>
  <c r="G469" i="54"/>
  <c r="F469" i="54"/>
  <c r="C469" i="54"/>
  <c r="L467" i="54"/>
  <c r="F467" i="54"/>
  <c r="A467" i="54"/>
  <c r="A466" i="54"/>
  <c r="L465" i="54"/>
  <c r="F465" i="54"/>
  <c r="C463" i="54"/>
  <c r="B463" i="54"/>
  <c r="D462" i="54"/>
  <c r="C462" i="54"/>
  <c r="B462" i="54"/>
  <c r="D461" i="54"/>
  <c r="C461" i="54"/>
  <c r="B461" i="54"/>
  <c r="D460" i="54"/>
  <c r="C460" i="54"/>
  <c r="B460" i="54"/>
  <c r="C459" i="54"/>
  <c r="B459" i="54"/>
  <c r="C458" i="54"/>
  <c r="B458" i="54"/>
  <c r="C457" i="54"/>
  <c r="B457" i="54"/>
  <c r="C456" i="54"/>
  <c r="B456" i="54"/>
  <c r="C454" i="54"/>
  <c r="C451" i="54"/>
  <c r="B451" i="54"/>
  <c r="C450" i="54"/>
  <c r="B450" i="54"/>
  <c r="D449" i="54"/>
  <c r="C449" i="54"/>
  <c r="B449" i="54"/>
  <c r="D448" i="54"/>
  <c r="C448" i="54"/>
  <c r="B448" i="54"/>
  <c r="A448" i="54"/>
  <c r="A449" i="54" s="1"/>
  <c r="A450" i="54" s="1"/>
  <c r="A451" i="54" s="1"/>
  <c r="A452" i="54" s="1"/>
  <c r="A454" i="54" s="1"/>
  <c r="A456" i="54" s="1"/>
  <c r="A457" i="54" s="1"/>
  <c r="A458" i="54" s="1"/>
  <c r="A459" i="54" s="1"/>
  <c r="A460" i="54" s="1"/>
  <c r="A461" i="54" s="1"/>
  <c r="A462" i="54" s="1"/>
  <c r="A463" i="54" s="1"/>
  <c r="A464" i="54" s="1"/>
  <c r="D447" i="54"/>
  <c r="C447" i="54"/>
  <c r="B447" i="54"/>
  <c r="C446" i="54"/>
  <c r="B446" i="54"/>
  <c r="C445" i="54"/>
  <c r="B445" i="54"/>
  <c r="D444" i="54"/>
  <c r="C444" i="54"/>
  <c r="B444" i="54"/>
  <c r="A444" i="54"/>
  <c r="A445" i="54" s="1"/>
  <c r="A446" i="54" s="1"/>
  <c r="A447" i="54" s="1"/>
  <c r="C443" i="54"/>
  <c r="B443" i="54"/>
  <c r="A443" i="54"/>
  <c r="C441" i="54"/>
  <c r="L438" i="54"/>
  <c r="K438" i="54"/>
  <c r="J438" i="54"/>
  <c r="I438" i="54"/>
  <c r="H438" i="54"/>
  <c r="G438" i="54"/>
  <c r="F438" i="54"/>
  <c r="C438" i="54"/>
  <c r="L436" i="54"/>
  <c r="F436" i="54"/>
  <c r="A436" i="54"/>
  <c r="A435" i="54"/>
  <c r="L434" i="54"/>
  <c r="F434" i="54"/>
  <c r="D430" i="54"/>
  <c r="C430" i="54"/>
  <c r="B430" i="54"/>
  <c r="D429" i="54"/>
  <c r="C429" i="54"/>
  <c r="B429" i="54"/>
  <c r="D428" i="54"/>
  <c r="C428" i="54"/>
  <c r="B428" i="54"/>
  <c r="C427" i="54"/>
  <c r="D419" i="54"/>
  <c r="C419" i="54"/>
  <c r="B419" i="54"/>
  <c r="D418" i="54"/>
  <c r="C418" i="54"/>
  <c r="B418" i="54"/>
  <c r="D417" i="54"/>
  <c r="C417" i="54"/>
  <c r="B417" i="54"/>
  <c r="D416" i="54"/>
  <c r="C416" i="54"/>
  <c r="B416" i="54"/>
  <c r="A416" i="54"/>
  <c r="A417" i="54" s="1"/>
  <c r="A418" i="54" s="1"/>
  <c r="A419" i="54" s="1"/>
  <c r="A420" i="54" s="1"/>
  <c r="A422" i="54" s="1"/>
  <c r="A424" i="54" s="1"/>
  <c r="A426" i="54" s="1"/>
  <c r="A427" i="54" s="1"/>
  <c r="A428" i="54" s="1"/>
  <c r="A429" i="54" s="1"/>
  <c r="A430" i="54" s="1"/>
  <c r="A431" i="54" s="1"/>
  <c r="A433" i="54" s="1"/>
  <c r="D411" i="54"/>
  <c r="C411" i="54"/>
  <c r="B411" i="54"/>
  <c r="D410" i="54"/>
  <c r="C410" i="54"/>
  <c r="B410" i="54"/>
  <c r="D409" i="54"/>
  <c r="C409" i="54"/>
  <c r="B409" i="54"/>
  <c r="D408" i="54"/>
  <c r="C408" i="54"/>
  <c r="B408" i="54"/>
  <c r="A406" i="54"/>
  <c r="A408" i="54" s="1"/>
  <c r="A409" i="54" s="1"/>
  <c r="A410" i="54" s="1"/>
  <c r="A411" i="54" s="1"/>
  <c r="A412" i="54" s="1"/>
  <c r="A414" i="54" s="1"/>
  <c r="L401" i="54"/>
  <c r="K401" i="54"/>
  <c r="J401" i="54"/>
  <c r="I401" i="54"/>
  <c r="H401" i="54"/>
  <c r="G401" i="54"/>
  <c r="F401" i="54"/>
  <c r="C401" i="54"/>
  <c r="L399" i="54"/>
  <c r="F399" i="54"/>
  <c r="A399" i="54"/>
  <c r="A398" i="54"/>
  <c r="L397" i="54"/>
  <c r="F397" i="54"/>
  <c r="D393" i="54"/>
  <c r="C393" i="54"/>
  <c r="B393" i="54"/>
  <c r="A393" i="54"/>
  <c r="A394" i="54" s="1"/>
  <c r="A396" i="54" s="1"/>
  <c r="C392" i="54"/>
  <c r="B392" i="54"/>
  <c r="D391" i="54"/>
  <c r="C391" i="54"/>
  <c r="B391" i="54"/>
  <c r="C390" i="54"/>
  <c r="B390" i="54"/>
  <c r="A388" i="54"/>
  <c r="A390" i="54" s="1"/>
  <c r="A391" i="54" s="1"/>
  <c r="A392" i="54" s="1"/>
  <c r="B387" i="54"/>
  <c r="A387" i="54"/>
  <c r="B386" i="54"/>
  <c r="A386" i="54"/>
  <c r="B385" i="54"/>
  <c r="A385" i="54"/>
  <c r="L380" i="54"/>
  <c r="K380" i="54"/>
  <c r="J380" i="54"/>
  <c r="I380" i="54"/>
  <c r="H380" i="54"/>
  <c r="G380" i="54"/>
  <c r="F380" i="54"/>
  <c r="C380" i="54"/>
  <c r="L378" i="54"/>
  <c r="F378" i="54"/>
  <c r="A378" i="54"/>
  <c r="A377" i="54"/>
  <c r="L376" i="54"/>
  <c r="F376" i="54"/>
  <c r="A345" i="54"/>
  <c r="A346" i="54" s="1"/>
  <c r="A347" i="54" s="1"/>
  <c r="A348" i="54" s="1"/>
  <c r="L341" i="54"/>
  <c r="K341" i="54"/>
  <c r="J341" i="54"/>
  <c r="I341" i="54"/>
  <c r="H341" i="54"/>
  <c r="G341" i="54"/>
  <c r="F341" i="54"/>
  <c r="C341" i="54"/>
  <c r="L339" i="54"/>
  <c r="F339" i="54"/>
  <c r="A339" i="54"/>
  <c r="A338" i="54"/>
  <c r="L337" i="54"/>
  <c r="F337" i="54"/>
  <c r="A302" i="54"/>
  <c r="A303" i="54" s="1"/>
  <c r="A304" i="54" s="1"/>
  <c r="A305" i="54" s="1"/>
  <c r="A306" i="54" s="1"/>
  <c r="A308" i="54" s="1"/>
  <c r="A310" i="54" s="1"/>
  <c r="A311" i="54" s="1"/>
  <c r="A312" i="54" s="1"/>
  <c r="A313" i="54" s="1"/>
  <c r="A315" i="54" s="1"/>
  <c r="A317" i="54" s="1"/>
  <c r="A318" i="54" s="1"/>
  <c r="A319" i="54" s="1"/>
  <c r="A320" i="54" s="1"/>
  <c r="A321" i="54" s="1"/>
  <c r="A322" i="54" s="1"/>
  <c r="A323" i="54" s="1"/>
  <c r="L296" i="54"/>
  <c r="K296" i="54"/>
  <c r="J296" i="54"/>
  <c r="I296" i="54"/>
  <c r="H296" i="54"/>
  <c r="G296" i="54"/>
  <c r="F296" i="54"/>
  <c r="C296" i="54"/>
  <c r="L294" i="54"/>
  <c r="F294" i="54"/>
  <c r="A294" i="54"/>
  <c r="A293" i="54"/>
  <c r="L292" i="54"/>
  <c r="F292" i="54"/>
  <c r="C287" i="54"/>
  <c r="A260" i="54"/>
  <c r="A261" i="54" s="1"/>
  <c r="A262" i="54" s="1"/>
  <c r="A263" i="54" s="1"/>
  <c r="A264" i="54" s="1"/>
  <c r="A265" i="54" s="1"/>
  <c r="A266" i="54" s="1"/>
  <c r="A267" i="54" s="1"/>
  <c r="A268" i="54" s="1"/>
  <c r="A269" i="54" s="1"/>
  <c r="A270" i="54" s="1"/>
  <c r="A271" i="54" s="1"/>
  <c r="A273" i="54" s="1"/>
  <c r="A275" i="54" s="1"/>
  <c r="A276" i="54" s="1"/>
  <c r="A277" i="54" s="1"/>
  <c r="A278" i="54" s="1"/>
  <c r="A279" i="54" s="1"/>
  <c r="A280" i="54" s="1"/>
  <c r="A281" i="54" s="1"/>
  <c r="A282" i="54" s="1"/>
  <c r="A283" i="54" s="1"/>
  <c r="A284" i="54" s="1"/>
  <c r="A285" i="54" s="1"/>
  <c r="A286" i="54" s="1"/>
  <c r="A287" i="54" s="1"/>
  <c r="A288" i="54" s="1"/>
  <c r="A289" i="54" s="1"/>
  <c r="A291" i="54" s="1"/>
  <c r="L255" i="54"/>
  <c r="K255" i="54"/>
  <c r="J255" i="54"/>
  <c r="I255" i="54"/>
  <c r="H255" i="54"/>
  <c r="G255" i="54"/>
  <c r="F255" i="54"/>
  <c r="C255" i="54"/>
  <c r="L253" i="54"/>
  <c r="F253" i="54"/>
  <c r="A253" i="54"/>
  <c r="A252" i="54"/>
  <c r="L251" i="54"/>
  <c r="F251" i="54"/>
  <c r="A215" i="54"/>
  <c r="A216" i="54" s="1"/>
  <c r="A217" i="54" s="1"/>
  <c r="A218" i="54" s="1"/>
  <c r="A219" i="54" s="1"/>
  <c r="A220" i="54" s="1"/>
  <c r="A222" i="54" s="1"/>
  <c r="A224" i="54" s="1"/>
  <c r="A225" i="54" s="1"/>
  <c r="A226" i="54" s="1"/>
  <c r="A227" i="54" s="1"/>
  <c r="A229" i="54" s="1"/>
  <c r="A231" i="54" s="1"/>
  <c r="A232" i="54" s="1"/>
  <c r="A233" i="54" s="1"/>
  <c r="A234" i="54" s="1"/>
  <c r="A235" i="54" s="1"/>
  <c r="A236" i="54" s="1"/>
  <c r="A237" i="54" s="1"/>
  <c r="L210" i="54"/>
  <c r="K210" i="54"/>
  <c r="J210" i="54"/>
  <c r="I210" i="54"/>
  <c r="H210" i="54"/>
  <c r="G210" i="54"/>
  <c r="F210" i="54"/>
  <c r="C210" i="54"/>
  <c r="L208" i="54"/>
  <c r="F208" i="54"/>
  <c r="A208" i="54"/>
  <c r="A207" i="54"/>
  <c r="L206" i="54"/>
  <c r="F206" i="54"/>
  <c r="C203" i="54"/>
  <c r="B203" i="54"/>
  <c r="C202" i="54"/>
  <c r="B202" i="54"/>
  <c r="C201" i="54"/>
  <c r="B201" i="54"/>
  <c r="C200" i="54"/>
  <c r="B200" i="54"/>
  <c r="C199" i="54"/>
  <c r="B199" i="54"/>
  <c r="C198" i="54"/>
  <c r="B198" i="54"/>
  <c r="C197" i="54"/>
  <c r="B197" i="54"/>
  <c r="C196" i="54"/>
  <c r="B196" i="54"/>
  <c r="C195" i="54"/>
  <c r="B195" i="54"/>
  <c r="C194" i="54"/>
  <c r="B194" i="54"/>
  <c r="C193" i="54"/>
  <c r="B193" i="54"/>
  <c r="C192" i="54"/>
  <c r="B192" i="54"/>
  <c r="C191" i="54"/>
  <c r="B191" i="54"/>
  <c r="C190" i="54"/>
  <c r="B190" i="54"/>
  <c r="C189" i="54"/>
  <c r="C187" i="54"/>
  <c r="B187" i="54"/>
  <c r="C186" i="54"/>
  <c r="B186" i="54"/>
  <c r="C185" i="54"/>
  <c r="B185" i="54"/>
  <c r="C184" i="54"/>
  <c r="B184" i="54"/>
  <c r="C183" i="54"/>
  <c r="B183" i="54"/>
  <c r="C182" i="54"/>
  <c r="B182" i="54"/>
  <c r="C181" i="54"/>
  <c r="B181" i="54"/>
  <c r="D180" i="54"/>
  <c r="C180" i="54"/>
  <c r="B180" i="54"/>
  <c r="D179" i="54"/>
  <c r="C179" i="54"/>
  <c r="B179" i="54"/>
  <c r="D178" i="54"/>
  <c r="C178" i="54"/>
  <c r="B178" i="54"/>
  <c r="D177" i="54"/>
  <c r="C177" i="54"/>
  <c r="B177" i="54"/>
  <c r="D176" i="54"/>
  <c r="C176" i="54"/>
  <c r="B176" i="54"/>
  <c r="A176" i="54"/>
  <c r="A177" i="54" s="1"/>
  <c r="A178" i="54" s="1"/>
  <c r="A179" i="54" s="1"/>
  <c r="A180" i="54" s="1"/>
  <c r="A181" i="54" s="1"/>
  <c r="A182" i="54" s="1"/>
  <c r="A183" i="54" s="1"/>
  <c r="A184" i="54" s="1"/>
  <c r="A185" i="54" s="1"/>
  <c r="A186" i="54" s="1"/>
  <c r="A187" i="54" s="1"/>
  <c r="A188" i="54" s="1"/>
  <c r="A189" i="54" s="1"/>
  <c r="A190" i="54" s="1"/>
  <c r="A191" i="54" s="1"/>
  <c r="A192" i="54" s="1"/>
  <c r="A193" i="54" s="1"/>
  <c r="A194" i="54" s="1"/>
  <c r="A195" i="54" s="1"/>
  <c r="A196" i="54" s="1"/>
  <c r="A197" i="54" s="1"/>
  <c r="A198" i="54" s="1"/>
  <c r="A199" i="54" s="1"/>
  <c r="A200" i="54" s="1"/>
  <c r="A201" i="54" s="1"/>
  <c r="A202" i="54" s="1"/>
  <c r="A203" i="54" s="1"/>
  <c r="A204" i="54" s="1"/>
  <c r="A205" i="54" s="1"/>
  <c r="C175" i="54"/>
  <c r="B175" i="54"/>
  <c r="L172" i="54"/>
  <c r="K172" i="54"/>
  <c r="J172" i="54"/>
  <c r="I172" i="54"/>
  <c r="H172" i="54"/>
  <c r="G172" i="54"/>
  <c r="F172" i="54"/>
  <c r="C172" i="54"/>
  <c r="L170" i="54"/>
  <c r="F170" i="54"/>
  <c r="A170" i="54"/>
  <c r="A169" i="54"/>
  <c r="L168" i="54"/>
  <c r="F168" i="54"/>
  <c r="D167" i="54"/>
  <c r="C167" i="54"/>
  <c r="B167" i="54"/>
  <c r="C166" i="54"/>
  <c r="B166" i="54"/>
  <c r="C165" i="54"/>
  <c r="B165" i="54"/>
  <c r="C164" i="54"/>
  <c r="B164" i="54"/>
  <c r="C163" i="54"/>
  <c r="B163" i="54"/>
  <c r="C162" i="54"/>
  <c r="B162" i="54"/>
  <c r="C161" i="54"/>
  <c r="B161" i="54"/>
  <c r="C160" i="54"/>
  <c r="B160" i="54"/>
  <c r="C159" i="54"/>
  <c r="B159" i="54"/>
  <c r="C158" i="54"/>
  <c r="B158" i="54"/>
  <c r="D157" i="54"/>
  <c r="C157" i="54"/>
  <c r="B157" i="54"/>
  <c r="C155" i="54"/>
  <c r="C156" i="54" s="1"/>
  <c r="C238" i="54" s="1"/>
  <c r="B155" i="54"/>
  <c r="B156" i="54" s="1"/>
  <c r="C154" i="54"/>
  <c r="B154" i="54"/>
  <c r="C153" i="54"/>
  <c r="B153" i="54"/>
  <c r="C152" i="54"/>
  <c r="B152" i="54"/>
  <c r="C151" i="54"/>
  <c r="B151" i="54"/>
  <c r="C150" i="54"/>
  <c r="B150" i="54"/>
  <c r="C149" i="54"/>
  <c r="B149" i="54"/>
  <c r="C147" i="54"/>
  <c r="D144" i="54"/>
  <c r="C144" i="54"/>
  <c r="B144" i="54"/>
  <c r="D143" i="54"/>
  <c r="C143" i="54"/>
  <c r="B143" i="54"/>
  <c r="D142" i="54"/>
  <c r="C142" i="54"/>
  <c r="B142" i="54"/>
  <c r="C140" i="54"/>
  <c r="C137" i="54"/>
  <c r="B137" i="54"/>
  <c r="C136" i="54"/>
  <c r="B136" i="54"/>
  <c r="C135" i="54"/>
  <c r="B135" i="54"/>
  <c r="C134" i="54"/>
  <c r="B134" i="54"/>
  <c r="C133" i="54"/>
  <c r="B133" i="54"/>
  <c r="A133" i="54"/>
  <c r="A134" i="54" s="1"/>
  <c r="A135" i="54" s="1"/>
  <c r="A136" i="54" s="1"/>
  <c r="A137" i="54" s="1"/>
  <c r="A138" i="54" s="1"/>
  <c r="A140" i="54" s="1"/>
  <c r="A142" i="54" s="1"/>
  <c r="A143" i="54" s="1"/>
  <c r="A144" i="54" s="1"/>
  <c r="A145" i="54" s="1"/>
  <c r="A147" i="54" s="1"/>
  <c r="A149" i="54" s="1"/>
  <c r="A150" i="54" s="1"/>
  <c r="A151" i="54" s="1"/>
  <c r="A152" i="54" s="1"/>
  <c r="A153" i="54" s="1"/>
  <c r="A154" i="54" s="1"/>
  <c r="A155" i="54" s="1"/>
  <c r="C131" i="54"/>
  <c r="L128" i="54"/>
  <c r="K128" i="54"/>
  <c r="J128" i="54"/>
  <c r="I128" i="54"/>
  <c r="H128" i="54"/>
  <c r="G128" i="54"/>
  <c r="F128" i="54"/>
  <c r="L126" i="54"/>
  <c r="F126" i="54"/>
  <c r="A126" i="54"/>
  <c r="A125" i="54"/>
  <c r="L124" i="54"/>
  <c r="F124" i="54"/>
  <c r="A99" i="54"/>
  <c r="A100" i="54" s="1"/>
  <c r="A101" i="54" s="1"/>
  <c r="A102" i="54" s="1"/>
  <c r="A103" i="54" s="1"/>
  <c r="A104" i="54" s="1"/>
  <c r="A105" i="54" s="1"/>
  <c r="A107" i="54" s="1"/>
  <c r="A109" i="54" s="1"/>
  <c r="A111" i="54" s="1"/>
  <c r="A113" i="54" s="1"/>
  <c r="A115" i="54" s="1"/>
  <c r="A117" i="54" s="1"/>
  <c r="L94" i="54"/>
  <c r="K94" i="54"/>
  <c r="J94" i="54"/>
  <c r="I94" i="54"/>
  <c r="H94" i="54"/>
  <c r="G94" i="54"/>
  <c r="F94" i="54"/>
  <c r="C94" i="54"/>
  <c r="L92" i="54"/>
  <c r="F92" i="54"/>
  <c r="A92" i="54"/>
  <c r="A91" i="54"/>
  <c r="L90" i="54"/>
  <c r="F90" i="54"/>
  <c r="B87" i="54"/>
  <c r="B83" i="54"/>
  <c r="A83" i="54"/>
  <c r="A85" i="54" s="1"/>
  <c r="A87" i="54" s="1"/>
  <c r="A89" i="54" s="1"/>
  <c r="B79" i="54"/>
  <c r="A79" i="54"/>
  <c r="A81" i="54" s="1"/>
  <c r="B77" i="54"/>
  <c r="L75" i="54"/>
  <c r="K75" i="54"/>
  <c r="J75" i="54"/>
  <c r="I75" i="54"/>
  <c r="H75" i="54"/>
  <c r="G75" i="54"/>
  <c r="F75" i="54"/>
  <c r="A75" i="54"/>
  <c r="A77" i="54" s="1"/>
  <c r="L71" i="54"/>
  <c r="K71" i="54"/>
  <c r="J71" i="54"/>
  <c r="I71" i="54"/>
  <c r="H71" i="54"/>
  <c r="G71" i="54"/>
  <c r="F71" i="54"/>
  <c r="L69" i="54"/>
  <c r="F69" i="54"/>
  <c r="A69" i="54"/>
  <c r="A68" i="54"/>
  <c r="L67" i="54"/>
  <c r="F67" i="54"/>
  <c r="A46" i="54"/>
  <c r="A47" i="54" s="1"/>
  <c r="A48" i="54" s="1"/>
  <c r="A49" i="54" s="1"/>
  <c r="A50" i="54" s="1"/>
  <c r="A52" i="54" s="1"/>
  <c r="A54" i="54" s="1"/>
  <c r="A55" i="54" s="1"/>
  <c r="A57" i="54" s="1"/>
  <c r="A59" i="54" s="1"/>
  <c r="A61" i="54" s="1"/>
  <c r="L39" i="54"/>
  <c r="K39" i="54"/>
  <c r="J39" i="54"/>
  <c r="I39" i="54"/>
  <c r="H39" i="54"/>
  <c r="G39" i="54"/>
  <c r="F39" i="54"/>
  <c r="C39" i="54"/>
  <c r="L37" i="54"/>
  <c r="F37" i="54"/>
  <c r="A37" i="54"/>
  <c r="A36" i="54"/>
  <c r="L35" i="54"/>
  <c r="F35" i="54"/>
  <c r="K99" i="54" l="1"/>
  <c r="K12" i="54" s="1"/>
  <c r="K427" i="45"/>
  <c r="L805" i="54"/>
  <c r="L427" i="45"/>
  <c r="A324" i="55"/>
  <c r="A325" i="55" s="1"/>
  <c r="A326" i="55" s="1"/>
  <c r="A327" i="55" s="1"/>
  <c r="A328" i="55" s="1"/>
  <c r="A329" i="55" s="1"/>
  <c r="A330" i="55" s="1"/>
  <c r="A331" i="55" s="1"/>
  <c r="A332" i="55" s="1"/>
  <c r="A333" i="55" s="1"/>
  <c r="A334" i="55" s="1"/>
  <c r="A335" i="55" s="1"/>
  <c r="A336" i="55" s="1"/>
  <c r="A324" i="54"/>
  <c r="A325" i="54" s="1"/>
  <c r="A326" i="54" s="1"/>
  <c r="A327" i="54" s="1"/>
  <c r="A328" i="54" s="1"/>
  <c r="A329" i="54" s="1"/>
  <c r="A330" i="54" s="1"/>
  <c r="A331" i="54" s="1"/>
  <c r="A332" i="54" s="1"/>
  <c r="A333" i="54" s="1"/>
  <c r="A334" i="54" s="1"/>
  <c r="A335" i="54" s="1"/>
  <c r="A336" i="54" s="1"/>
  <c r="A238" i="54"/>
  <c r="A239" i="54" s="1"/>
  <c r="A240" i="54" s="1"/>
  <c r="A241" i="54" s="1"/>
  <c r="A242" i="54" s="1"/>
  <c r="A243" i="54" s="1"/>
  <c r="A244" i="54" s="1"/>
  <c r="A245" i="54" s="1"/>
  <c r="A246" i="54" s="1"/>
  <c r="A247" i="54" s="1"/>
  <c r="A248" i="54" s="1"/>
  <c r="A249" i="54" s="1"/>
  <c r="A250" i="54" s="1"/>
  <c r="A238" i="55"/>
  <c r="A239" i="55" s="1"/>
  <c r="A240" i="55" s="1"/>
  <c r="A241" i="55" s="1"/>
  <c r="A242" i="55" s="1"/>
  <c r="A243" i="55" s="1"/>
  <c r="A244" i="55" s="1"/>
  <c r="A245" i="55" s="1"/>
  <c r="A246" i="55" s="1"/>
  <c r="A247" i="55" s="1"/>
  <c r="A248" i="55" s="1"/>
  <c r="A249" i="55" s="1"/>
  <c r="A250" i="55" s="1"/>
  <c r="A156" i="55"/>
  <c r="A157" i="55" s="1"/>
  <c r="A158" i="55" s="1"/>
  <c r="A159" i="55" s="1"/>
  <c r="A160" i="55" s="1"/>
  <c r="A161" i="55" s="1"/>
  <c r="A162" i="55" s="1"/>
  <c r="A163" i="55" s="1"/>
  <c r="A164" i="55" s="1"/>
  <c r="A165" i="55" s="1"/>
  <c r="A166" i="55" s="1"/>
  <c r="A167" i="55" s="1"/>
  <c r="A156" i="54"/>
  <c r="A157" i="54" s="1"/>
  <c r="A158" i="54" s="1"/>
  <c r="A159" i="54" s="1"/>
  <c r="A160" i="54" s="1"/>
  <c r="A161" i="54" s="1"/>
  <c r="A162" i="54" s="1"/>
  <c r="A163" i="54" s="1"/>
  <c r="A164" i="54" s="1"/>
  <c r="A165" i="54" s="1"/>
  <c r="A166" i="54" s="1"/>
  <c r="A167" i="54" s="1"/>
  <c r="A349" i="54"/>
  <c r="A350" i="54" s="1"/>
  <c r="A351" i="54" s="1"/>
  <c r="A352" i="54" s="1"/>
  <c r="A353" i="54" s="1"/>
  <c r="A354" i="54" s="1"/>
  <c r="A355" i="54" s="1"/>
  <c r="A356" i="54" s="1"/>
  <c r="A358" i="54" s="1"/>
  <c r="A360" i="54" s="1"/>
  <c r="A361" i="54" s="1"/>
  <c r="A362" i="54" s="1"/>
  <c r="A363" i="54" s="1"/>
  <c r="A364" i="54" s="1"/>
  <c r="A365" i="54" s="1"/>
  <c r="A366" i="54" s="1"/>
  <c r="A367" i="54" s="1"/>
  <c r="A368" i="54" s="1"/>
  <c r="A369" i="54" s="1"/>
  <c r="A370" i="54" s="1"/>
  <c r="A371" i="54" s="1"/>
  <c r="A372" i="54" s="1"/>
  <c r="A373" i="54" s="1"/>
  <c r="A375" i="54" s="1"/>
  <c r="L99" i="54"/>
  <c r="E75" i="55"/>
  <c r="E75" i="54"/>
  <c r="D799" i="53"/>
  <c r="C799" i="53"/>
  <c r="B799" i="53"/>
  <c r="C798" i="53"/>
  <c r="B798" i="53"/>
  <c r="C797" i="53"/>
  <c r="B797" i="53"/>
  <c r="D796" i="53"/>
  <c r="C796" i="53"/>
  <c r="B796" i="53"/>
  <c r="C789" i="53"/>
  <c r="B789" i="53"/>
  <c r="C788" i="53"/>
  <c r="B788" i="53"/>
  <c r="C787" i="53"/>
  <c r="B787" i="53"/>
  <c r="C786" i="53"/>
  <c r="B786" i="53"/>
  <c r="C784" i="53"/>
  <c r="B784" i="53"/>
  <c r="A782" i="53"/>
  <c r="A784" i="53" s="1"/>
  <c r="A786" i="53" s="1"/>
  <c r="A787" i="53" s="1"/>
  <c r="A788" i="53" s="1"/>
  <c r="A789" i="53" s="1"/>
  <c r="A790" i="53" s="1"/>
  <c r="A792" i="53" s="1"/>
  <c r="A794" i="53" s="1"/>
  <c r="A795" i="53" s="1"/>
  <c r="A796" i="53" s="1"/>
  <c r="A797" i="53" s="1"/>
  <c r="A798" i="53" s="1"/>
  <c r="A799" i="53" s="1"/>
  <c r="A800" i="53" s="1"/>
  <c r="A781" i="53"/>
  <c r="L776" i="53"/>
  <c r="K776" i="53"/>
  <c r="J776" i="53"/>
  <c r="I776" i="53"/>
  <c r="H776" i="53"/>
  <c r="G776" i="53"/>
  <c r="F776" i="53"/>
  <c r="C776" i="53"/>
  <c r="L774" i="53"/>
  <c r="F774" i="53"/>
  <c r="A774" i="53"/>
  <c r="A773" i="53"/>
  <c r="L772" i="53"/>
  <c r="F772" i="53"/>
  <c r="B766" i="53"/>
  <c r="B762" i="53"/>
  <c r="A762" i="53"/>
  <c r="A764" i="53" s="1"/>
  <c r="A766" i="53" s="1"/>
  <c r="A767" i="53" s="1"/>
  <c r="A769" i="53" s="1"/>
  <c r="A771" i="53" s="1"/>
  <c r="L756" i="53"/>
  <c r="K756" i="53"/>
  <c r="J756" i="53"/>
  <c r="I756" i="53"/>
  <c r="H756" i="53"/>
  <c r="G756" i="53"/>
  <c r="F756" i="53"/>
  <c r="C756" i="53"/>
  <c r="L754" i="53"/>
  <c r="F754" i="53"/>
  <c r="A754" i="53"/>
  <c r="A753" i="53"/>
  <c r="L752" i="53"/>
  <c r="F752" i="53"/>
  <c r="B751" i="53"/>
  <c r="B750" i="53"/>
  <c r="B749" i="53"/>
  <c r="B742" i="53"/>
  <c r="B697" i="53" s="1"/>
  <c r="B738" i="53"/>
  <c r="A731" i="53"/>
  <c r="A732" i="53" s="1"/>
  <c r="A734" i="53" s="1"/>
  <c r="A736" i="53" s="1"/>
  <c r="A738" i="53" s="1"/>
  <c r="A739" i="53" s="1"/>
  <c r="A740" i="53" s="1"/>
  <c r="A742" i="53" s="1"/>
  <c r="A743" i="53" s="1"/>
  <c r="A745" i="53" s="1"/>
  <c r="A747" i="53" s="1"/>
  <c r="A749" i="53" s="1"/>
  <c r="A750" i="53" s="1"/>
  <c r="A751" i="53" s="1"/>
  <c r="L726" i="53"/>
  <c r="K726" i="53"/>
  <c r="J726" i="53"/>
  <c r="I726" i="53"/>
  <c r="H726" i="53"/>
  <c r="G726" i="53"/>
  <c r="F726" i="53"/>
  <c r="C726" i="53"/>
  <c r="L724" i="53"/>
  <c r="F724" i="53"/>
  <c r="A724" i="53"/>
  <c r="A723" i="53"/>
  <c r="L722" i="53"/>
  <c r="F722" i="53"/>
  <c r="B717" i="53"/>
  <c r="A715" i="53"/>
  <c r="A717" i="53" s="1"/>
  <c r="A719" i="53" s="1"/>
  <c r="A721" i="53" s="1"/>
  <c r="L710" i="53"/>
  <c r="K710" i="53"/>
  <c r="J710" i="53"/>
  <c r="I710" i="53"/>
  <c r="H710" i="53"/>
  <c r="G710" i="53"/>
  <c r="F710" i="53"/>
  <c r="C710" i="53"/>
  <c r="L708" i="53"/>
  <c r="F708" i="53"/>
  <c r="A708" i="53"/>
  <c r="A707" i="53"/>
  <c r="L706" i="53"/>
  <c r="F706" i="53"/>
  <c r="B703" i="53"/>
  <c r="B702" i="53"/>
  <c r="B695" i="53"/>
  <c r="B694" i="53"/>
  <c r="B693" i="53"/>
  <c r="A689" i="53"/>
  <c r="A691" i="53" s="1"/>
  <c r="A693" i="53" s="1"/>
  <c r="A694" i="53" s="1"/>
  <c r="A695" i="53" s="1"/>
  <c r="A697" i="53" s="1"/>
  <c r="A699" i="53" s="1"/>
  <c r="A700" i="53" s="1"/>
  <c r="A702" i="53" s="1"/>
  <c r="A703" i="53" s="1"/>
  <c r="A705" i="53" s="1"/>
  <c r="L684" i="53"/>
  <c r="K684" i="53"/>
  <c r="J684" i="53"/>
  <c r="I684" i="53"/>
  <c r="H684" i="53"/>
  <c r="G684" i="53"/>
  <c r="F684" i="53"/>
  <c r="C684" i="53"/>
  <c r="L682" i="53"/>
  <c r="F682" i="53"/>
  <c r="A682" i="53"/>
  <c r="A681" i="53"/>
  <c r="L680" i="53"/>
  <c r="F680" i="53"/>
  <c r="C677" i="53"/>
  <c r="B677" i="53"/>
  <c r="C675" i="53"/>
  <c r="B675" i="53"/>
  <c r="A675" i="53"/>
  <c r="A677" i="53" s="1"/>
  <c r="A679" i="53" s="1"/>
  <c r="C673" i="53"/>
  <c r="B673" i="53"/>
  <c r="L668" i="53"/>
  <c r="K668" i="53"/>
  <c r="J668" i="53"/>
  <c r="I668" i="53"/>
  <c r="H668" i="53"/>
  <c r="G668" i="53"/>
  <c r="F668" i="53"/>
  <c r="C668" i="53"/>
  <c r="L666" i="53"/>
  <c r="F666" i="53"/>
  <c r="A666" i="53"/>
  <c r="A665" i="53"/>
  <c r="L664" i="53"/>
  <c r="F664" i="53"/>
  <c r="A643" i="53"/>
  <c r="A644" i="53" s="1"/>
  <c r="A645" i="53" s="1"/>
  <c r="A646" i="53" s="1"/>
  <c r="A647" i="53" s="1"/>
  <c r="A648" i="53" s="1"/>
  <c r="A649" i="53" s="1"/>
  <c r="A650" i="53" s="1"/>
  <c r="A652" i="53" s="1"/>
  <c r="A654" i="53" s="1"/>
  <c r="A655" i="53" s="1"/>
  <c r="A656" i="53" s="1"/>
  <c r="A657" i="53" s="1"/>
  <c r="A658" i="53" s="1"/>
  <c r="A659" i="53" s="1"/>
  <c r="A660" i="53" s="1"/>
  <c r="A661" i="53" s="1"/>
  <c r="A663" i="53" s="1"/>
  <c r="L638" i="53"/>
  <c r="K638" i="53"/>
  <c r="J638" i="53"/>
  <c r="I638" i="53"/>
  <c r="H638" i="53"/>
  <c r="G638" i="53"/>
  <c r="F638" i="53"/>
  <c r="C638" i="53"/>
  <c r="L636" i="53"/>
  <c r="F636" i="53"/>
  <c r="A636" i="53"/>
  <c r="A635" i="53"/>
  <c r="L634" i="53"/>
  <c r="F634" i="53"/>
  <c r="B623" i="53"/>
  <c r="C621" i="53"/>
  <c r="B621" i="53"/>
  <c r="D607" i="53"/>
  <c r="D606" i="53"/>
  <c r="D605" i="53"/>
  <c r="D604" i="53"/>
  <c r="A604" i="53"/>
  <c r="A605" i="53" s="1"/>
  <c r="A606" i="53" s="1"/>
  <c r="A607" i="53" s="1"/>
  <c r="A608" i="53" s="1"/>
  <c r="A610" i="53" s="1"/>
  <c r="A612" i="53" s="1"/>
  <c r="A614" i="53" s="1"/>
  <c r="A615" i="53" s="1"/>
  <c r="A616" i="53" s="1"/>
  <c r="A617" i="53" s="1"/>
  <c r="A618" i="53" s="1"/>
  <c r="A619" i="53" s="1"/>
  <c r="A620" i="53" s="1"/>
  <c r="A621" i="53" s="1"/>
  <c r="A622" i="53" s="1"/>
  <c r="A623" i="53" s="1"/>
  <c r="A624" i="53" s="1"/>
  <c r="A625" i="53" s="1"/>
  <c r="A626" i="53" s="1"/>
  <c r="A627" i="53" s="1"/>
  <c r="A628" i="53" s="1"/>
  <c r="A633" i="53" s="1"/>
  <c r="L599" i="53"/>
  <c r="K599" i="53"/>
  <c r="J599" i="53"/>
  <c r="I599" i="53"/>
  <c r="H599" i="53"/>
  <c r="G599" i="53"/>
  <c r="F599" i="53"/>
  <c r="C599" i="53"/>
  <c r="L597" i="53"/>
  <c r="F597" i="53"/>
  <c r="A597" i="53"/>
  <c r="A596" i="53"/>
  <c r="L595" i="53"/>
  <c r="F595" i="53"/>
  <c r="D593" i="53"/>
  <c r="D592" i="53"/>
  <c r="D591" i="53"/>
  <c r="D590" i="53"/>
  <c r="D589" i="53"/>
  <c r="D588" i="53"/>
  <c r="D587" i="53"/>
  <c r="D586" i="53"/>
  <c r="D581" i="53"/>
  <c r="D580" i="53"/>
  <c r="D579" i="53"/>
  <c r="D578" i="53"/>
  <c r="D577" i="53"/>
  <c r="D576" i="53"/>
  <c r="D575" i="53"/>
  <c r="D574" i="53"/>
  <c r="D573" i="53"/>
  <c r="A573" i="53"/>
  <c r="A574" i="53" s="1"/>
  <c r="A575" i="53" s="1"/>
  <c r="A576" i="53" s="1"/>
  <c r="A577" i="53" s="1"/>
  <c r="A578" i="53" s="1"/>
  <c r="A579" i="53" s="1"/>
  <c r="A580" i="53" s="1"/>
  <c r="A581" i="53" s="1"/>
  <c r="A582" i="53" s="1"/>
  <c r="A584" i="53" s="1"/>
  <c r="A586" i="53" s="1"/>
  <c r="A587" i="53" s="1"/>
  <c r="A588" i="53" s="1"/>
  <c r="A589" i="53" s="1"/>
  <c r="A590" i="53" s="1"/>
  <c r="A591" i="53" s="1"/>
  <c r="A592" i="53" s="1"/>
  <c r="A593" i="53" s="1"/>
  <c r="A594" i="53" s="1"/>
  <c r="L568" i="53"/>
  <c r="K568" i="53"/>
  <c r="J568" i="53"/>
  <c r="I568" i="53"/>
  <c r="H568" i="53"/>
  <c r="G568" i="53"/>
  <c r="F568" i="53"/>
  <c r="C568" i="53"/>
  <c r="L566" i="53"/>
  <c r="F566" i="53"/>
  <c r="A566" i="53"/>
  <c r="A565" i="53"/>
  <c r="L564" i="53"/>
  <c r="F564" i="53"/>
  <c r="D561" i="53"/>
  <c r="D560" i="53"/>
  <c r="D559" i="53"/>
  <c r="D548" i="53"/>
  <c r="D547" i="53"/>
  <c r="D546" i="53"/>
  <c r="A542" i="53"/>
  <c r="A543" i="53" s="1"/>
  <c r="A544" i="53" s="1"/>
  <c r="A545" i="53" s="1"/>
  <c r="A546" i="53" s="1"/>
  <c r="A547" i="53" s="1"/>
  <c r="A548" i="53" s="1"/>
  <c r="A549" i="53" s="1"/>
  <c r="A550" i="53" s="1"/>
  <c r="A551" i="53" s="1"/>
  <c r="A553" i="53" s="1"/>
  <c r="A555" i="53" s="1"/>
  <c r="A556" i="53" s="1"/>
  <c r="A557" i="53" s="1"/>
  <c r="A558" i="53" s="1"/>
  <c r="A559" i="53" s="1"/>
  <c r="A560" i="53" s="1"/>
  <c r="A561" i="53" s="1"/>
  <c r="A562" i="53" s="1"/>
  <c r="A563" i="53" s="1"/>
  <c r="L537" i="53"/>
  <c r="K537" i="53"/>
  <c r="J537" i="53"/>
  <c r="I537" i="53"/>
  <c r="H537" i="53"/>
  <c r="G537" i="53"/>
  <c r="F537" i="53"/>
  <c r="C537" i="53"/>
  <c r="L535" i="53"/>
  <c r="F535" i="53"/>
  <c r="A535" i="53"/>
  <c r="A534" i="53"/>
  <c r="L533" i="53"/>
  <c r="F533" i="53"/>
  <c r="C529" i="53"/>
  <c r="B529" i="53"/>
  <c r="C528" i="53"/>
  <c r="C527" i="53"/>
  <c r="B527" i="53"/>
  <c r="C526" i="53"/>
  <c r="B526" i="53"/>
  <c r="C525" i="53"/>
  <c r="B525" i="53"/>
  <c r="C524" i="53"/>
  <c r="B524" i="53"/>
  <c r="C523" i="53"/>
  <c r="B523" i="53"/>
  <c r="C522" i="53"/>
  <c r="B522" i="53"/>
  <c r="C521" i="53"/>
  <c r="B521" i="53"/>
  <c r="C520" i="53"/>
  <c r="B520" i="53"/>
  <c r="C519" i="53"/>
  <c r="B519" i="53"/>
  <c r="C518" i="53"/>
  <c r="B518" i="53"/>
  <c r="C517" i="53"/>
  <c r="B517" i="53"/>
  <c r="C516" i="53"/>
  <c r="B516" i="53"/>
  <c r="C515" i="53"/>
  <c r="B515" i="53"/>
  <c r="C513" i="53"/>
  <c r="D508" i="53"/>
  <c r="C508" i="53"/>
  <c r="B508" i="53"/>
  <c r="D507" i="53"/>
  <c r="C507" i="53"/>
  <c r="B507" i="53"/>
  <c r="D506" i="53"/>
  <c r="C506" i="53"/>
  <c r="B506" i="53"/>
  <c r="D505" i="53"/>
  <c r="C505" i="53"/>
  <c r="B505" i="53"/>
  <c r="A505" i="53"/>
  <c r="A506" i="53" s="1"/>
  <c r="A507" i="53" s="1"/>
  <c r="A508" i="53" s="1"/>
  <c r="A509" i="53" s="1"/>
  <c r="A511" i="53" s="1"/>
  <c r="A513" i="53" s="1"/>
  <c r="A515" i="53" s="1"/>
  <c r="A516" i="53" s="1"/>
  <c r="A517" i="53" s="1"/>
  <c r="A518" i="53" s="1"/>
  <c r="A519" i="53" s="1"/>
  <c r="A520" i="53" s="1"/>
  <c r="A521" i="53" s="1"/>
  <c r="A522" i="53" s="1"/>
  <c r="A523" i="53" s="1"/>
  <c r="A524" i="53" s="1"/>
  <c r="A525" i="53" s="1"/>
  <c r="A526" i="53" s="1"/>
  <c r="A527" i="53" s="1"/>
  <c r="A530" i="53" s="1"/>
  <c r="A532" i="53" s="1"/>
  <c r="C503" i="53"/>
  <c r="L500" i="53"/>
  <c r="K500" i="53"/>
  <c r="J500" i="53"/>
  <c r="I500" i="53"/>
  <c r="H500" i="53"/>
  <c r="G500" i="53"/>
  <c r="F500" i="53"/>
  <c r="C500" i="53"/>
  <c r="L498" i="53"/>
  <c r="F498" i="53"/>
  <c r="A498" i="53"/>
  <c r="A497" i="53"/>
  <c r="L496" i="53"/>
  <c r="F496" i="53"/>
  <c r="D494" i="53"/>
  <c r="C494" i="53"/>
  <c r="B494" i="53"/>
  <c r="D493" i="53"/>
  <c r="C493" i="53"/>
  <c r="B493" i="53"/>
  <c r="D492" i="53"/>
  <c r="C492" i="53"/>
  <c r="B492" i="53"/>
  <c r="D491" i="53"/>
  <c r="C491" i="53"/>
  <c r="B491" i="53"/>
  <c r="D490" i="53"/>
  <c r="C490" i="53"/>
  <c r="B490" i="53"/>
  <c r="D489" i="53"/>
  <c r="C489" i="53"/>
  <c r="B489" i="53"/>
  <c r="D488" i="53"/>
  <c r="C488" i="53"/>
  <c r="B488" i="53"/>
  <c r="D487" i="53"/>
  <c r="C487" i="53"/>
  <c r="B487" i="53"/>
  <c r="C485" i="53"/>
  <c r="D482" i="53"/>
  <c r="C482" i="53"/>
  <c r="B482" i="53"/>
  <c r="D481" i="53"/>
  <c r="C481" i="53"/>
  <c r="B481" i="53"/>
  <c r="D480" i="53"/>
  <c r="C480" i="53"/>
  <c r="B480" i="53"/>
  <c r="D479" i="53"/>
  <c r="C479" i="53"/>
  <c r="B479" i="53"/>
  <c r="D478" i="53"/>
  <c r="C478" i="53"/>
  <c r="B478" i="53"/>
  <c r="C477" i="53"/>
  <c r="B477" i="53"/>
  <c r="D476" i="53"/>
  <c r="C476" i="53"/>
  <c r="B476" i="53"/>
  <c r="D475" i="53"/>
  <c r="C475" i="53"/>
  <c r="B475" i="53"/>
  <c r="D474" i="53"/>
  <c r="C474" i="53"/>
  <c r="B474" i="53"/>
  <c r="A474" i="53"/>
  <c r="A475" i="53" s="1"/>
  <c r="A476" i="53" s="1"/>
  <c r="A477" i="53" s="1"/>
  <c r="A478" i="53" s="1"/>
  <c r="A479" i="53" s="1"/>
  <c r="A480" i="53" s="1"/>
  <c r="A481" i="53" s="1"/>
  <c r="A482" i="53" s="1"/>
  <c r="A483" i="53" s="1"/>
  <c r="A485" i="53" s="1"/>
  <c r="A487" i="53" s="1"/>
  <c r="A488" i="53" s="1"/>
  <c r="A489" i="53" s="1"/>
  <c r="A490" i="53" s="1"/>
  <c r="A491" i="53" s="1"/>
  <c r="A492" i="53" s="1"/>
  <c r="A493" i="53" s="1"/>
  <c r="A494" i="53" s="1"/>
  <c r="A495" i="53" s="1"/>
  <c r="C472" i="53"/>
  <c r="L469" i="53"/>
  <c r="K469" i="53"/>
  <c r="J469" i="53"/>
  <c r="I469" i="53"/>
  <c r="H469" i="53"/>
  <c r="G469" i="53"/>
  <c r="F469" i="53"/>
  <c r="C469" i="53"/>
  <c r="L467" i="53"/>
  <c r="F467" i="53"/>
  <c r="A467" i="53"/>
  <c r="A466" i="53"/>
  <c r="L465" i="53"/>
  <c r="F465" i="53"/>
  <c r="C463" i="53"/>
  <c r="B463" i="53"/>
  <c r="D462" i="53"/>
  <c r="C462" i="53"/>
  <c r="B462" i="53"/>
  <c r="D461" i="53"/>
  <c r="C461" i="53"/>
  <c r="B461" i="53"/>
  <c r="D460" i="53"/>
  <c r="C460" i="53"/>
  <c r="B460" i="53"/>
  <c r="C459" i="53"/>
  <c r="B459" i="53"/>
  <c r="C458" i="53"/>
  <c r="B458" i="53"/>
  <c r="C457" i="53"/>
  <c r="B457" i="53"/>
  <c r="C456" i="53"/>
  <c r="B456" i="53"/>
  <c r="C454" i="53"/>
  <c r="C451" i="53"/>
  <c r="B451" i="53"/>
  <c r="C450" i="53"/>
  <c r="B450" i="53"/>
  <c r="D449" i="53"/>
  <c r="C449" i="53"/>
  <c r="B449" i="53"/>
  <c r="D448" i="53"/>
  <c r="C448" i="53"/>
  <c r="B448" i="53"/>
  <c r="D447" i="53"/>
  <c r="C447" i="53"/>
  <c r="B447" i="53"/>
  <c r="C446" i="53"/>
  <c r="B446" i="53"/>
  <c r="C445" i="53"/>
  <c r="B445" i="53"/>
  <c r="D444" i="53"/>
  <c r="C444" i="53"/>
  <c r="B444" i="53"/>
  <c r="C443" i="53"/>
  <c r="B443" i="53"/>
  <c r="A443" i="53"/>
  <c r="A444" i="53" s="1"/>
  <c r="A445" i="53" s="1"/>
  <c r="A446" i="53" s="1"/>
  <c r="A447" i="53" s="1"/>
  <c r="A448" i="53" s="1"/>
  <c r="A449" i="53" s="1"/>
  <c r="A450" i="53" s="1"/>
  <c r="A451" i="53" s="1"/>
  <c r="A452" i="53" s="1"/>
  <c r="A454" i="53" s="1"/>
  <c r="A456" i="53" s="1"/>
  <c r="A457" i="53" s="1"/>
  <c r="A458" i="53" s="1"/>
  <c r="A459" i="53" s="1"/>
  <c r="A460" i="53" s="1"/>
  <c r="A461" i="53" s="1"/>
  <c r="A462" i="53" s="1"/>
  <c r="A463" i="53" s="1"/>
  <c r="A464" i="53" s="1"/>
  <c r="C441" i="53"/>
  <c r="L438" i="53"/>
  <c r="K438" i="53"/>
  <c r="J438" i="53"/>
  <c r="I438" i="53"/>
  <c r="H438" i="53"/>
  <c r="G438" i="53"/>
  <c r="F438" i="53"/>
  <c r="C438" i="53"/>
  <c r="L436" i="53"/>
  <c r="F436" i="53"/>
  <c r="A436" i="53"/>
  <c r="A435" i="53"/>
  <c r="L434" i="53"/>
  <c r="F434" i="53"/>
  <c r="D430" i="53"/>
  <c r="C430" i="53"/>
  <c r="B430" i="53"/>
  <c r="D429" i="53"/>
  <c r="C429" i="53"/>
  <c r="B429" i="53"/>
  <c r="D428" i="53"/>
  <c r="C428" i="53"/>
  <c r="B428" i="53"/>
  <c r="C427" i="53"/>
  <c r="D419" i="53"/>
  <c r="C419" i="53"/>
  <c r="B419" i="53"/>
  <c r="D418" i="53"/>
  <c r="C418" i="53"/>
  <c r="B418" i="53"/>
  <c r="D417" i="53"/>
  <c r="C417" i="53"/>
  <c r="B417" i="53"/>
  <c r="D416" i="53"/>
  <c r="C416" i="53"/>
  <c r="B416" i="53"/>
  <c r="D411" i="53"/>
  <c r="C411" i="53"/>
  <c r="B411" i="53"/>
  <c r="D410" i="53"/>
  <c r="C410" i="53"/>
  <c r="B410" i="53"/>
  <c r="D409" i="53"/>
  <c r="C409" i="53"/>
  <c r="B409" i="53"/>
  <c r="D408" i="53"/>
  <c r="C408" i="53"/>
  <c r="B408" i="53"/>
  <c r="A406" i="53"/>
  <c r="A408" i="53" s="1"/>
  <c r="A409" i="53" s="1"/>
  <c r="A410" i="53" s="1"/>
  <c r="A411" i="53" s="1"/>
  <c r="A412" i="53" s="1"/>
  <c r="A414" i="53" s="1"/>
  <c r="A416" i="53" s="1"/>
  <c r="A417" i="53" s="1"/>
  <c r="A418" i="53" s="1"/>
  <c r="A419" i="53" s="1"/>
  <c r="A420" i="53" s="1"/>
  <c r="A422" i="53" s="1"/>
  <c r="A424" i="53" s="1"/>
  <c r="A426" i="53" s="1"/>
  <c r="A427" i="53" s="1"/>
  <c r="A428" i="53" s="1"/>
  <c r="A429" i="53" s="1"/>
  <c r="A430" i="53" s="1"/>
  <c r="A431" i="53" s="1"/>
  <c r="A433" i="53" s="1"/>
  <c r="L401" i="53"/>
  <c r="K401" i="53"/>
  <c r="J401" i="53"/>
  <c r="I401" i="53"/>
  <c r="H401" i="53"/>
  <c r="G401" i="53"/>
  <c r="F401" i="53"/>
  <c r="C401" i="53"/>
  <c r="L399" i="53"/>
  <c r="F399" i="53"/>
  <c r="A399" i="53"/>
  <c r="A398" i="53"/>
  <c r="L397" i="53"/>
  <c r="F397" i="53"/>
  <c r="D393" i="53"/>
  <c r="C393" i="53"/>
  <c r="B393" i="53"/>
  <c r="B392" i="53"/>
  <c r="D391" i="53"/>
  <c r="C391" i="53"/>
  <c r="B391" i="53"/>
  <c r="C390" i="53"/>
  <c r="B390" i="53"/>
  <c r="B387" i="53"/>
  <c r="B386" i="53"/>
  <c r="B385" i="53"/>
  <c r="A385" i="53"/>
  <c r="A386" i="53" s="1"/>
  <c r="A387" i="53" s="1"/>
  <c r="A388" i="53" s="1"/>
  <c r="A390" i="53" s="1"/>
  <c r="A391" i="53" s="1"/>
  <c r="A392" i="53" s="1"/>
  <c r="A393" i="53" s="1"/>
  <c r="A394" i="53" s="1"/>
  <c r="A396" i="53" s="1"/>
  <c r="L380" i="53"/>
  <c r="K380" i="53"/>
  <c r="J380" i="53"/>
  <c r="I380" i="53"/>
  <c r="H380" i="53"/>
  <c r="G380" i="53"/>
  <c r="F380" i="53"/>
  <c r="C380" i="53"/>
  <c r="L378" i="53"/>
  <c r="F378" i="53"/>
  <c r="A378" i="53"/>
  <c r="A377" i="53"/>
  <c r="L376" i="53"/>
  <c r="F376" i="53"/>
  <c r="A345" i="53"/>
  <c r="A346" i="53" s="1"/>
  <c r="A347" i="53" s="1"/>
  <c r="A348" i="53" s="1"/>
  <c r="A351" i="53" s="1"/>
  <c r="A352" i="53" s="1"/>
  <c r="A353" i="53" s="1"/>
  <c r="A354" i="53" s="1"/>
  <c r="A355" i="53" s="1"/>
  <c r="A356" i="53" s="1"/>
  <c r="A358" i="53" s="1"/>
  <c r="A360" i="53" s="1"/>
  <c r="A361" i="53" s="1"/>
  <c r="A362" i="53" s="1"/>
  <c r="A363" i="53" s="1"/>
  <c r="A364" i="53" s="1"/>
  <c r="A365" i="53" s="1"/>
  <c r="A366" i="53" s="1"/>
  <c r="A367" i="53" s="1"/>
  <c r="A368" i="53" s="1"/>
  <c r="A369" i="53" s="1"/>
  <c r="A370" i="53" s="1"/>
  <c r="A371" i="53" s="1"/>
  <c r="A372" i="53" s="1"/>
  <c r="A373" i="53" s="1"/>
  <c r="A375" i="53" s="1"/>
  <c r="L341" i="53"/>
  <c r="K341" i="53"/>
  <c r="J341" i="53"/>
  <c r="I341" i="53"/>
  <c r="H341" i="53"/>
  <c r="G341" i="53"/>
  <c r="F341" i="53"/>
  <c r="C341" i="53"/>
  <c r="L339" i="53"/>
  <c r="F339" i="53"/>
  <c r="A339" i="53"/>
  <c r="A338" i="53"/>
  <c r="L337" i="53"/>
  <c r="F337" i="53"/>
  <c r="A302" i="53"/>
  <c r="A303" i="53" s="1"/>
  <c r="A304" i="53" s="1"/>
  <c r="A305" i="53" s="1"/>
  <c r="A306" i="53" s="1"/>
  <c r="A308" i="53" s="1"/>
  <c r="A310" i="53" s="1"/>
  <c r="A311" i="53" s="1"/>
  <c r="A312" i="53" s="1"/>
  <c r="A313" i="53" s="1"/>
  <c r="A315" i="53" s="1"/>
  <c r="A317" i="53" s="1"/>
  <c r="A318" i="53" s="1"/>
  <c r="A319" i="53" s="1"/>
  <c r="A320" i="53" s="1"/>
  <c r="A321" i="53" s="1"/>
  <c r="A322" i="53" s="1"/>
  <c r="A323" i="53" s="1"/>
  <c r="L296" i="53"/>
  <c r="K296" i="53"/>
  <c r="J296" i="53"/>
  <c r="I296" i="53"/>
  <c r="H296" i="53"/>
  <c r="G296" i="53"/>
  <c r="F296" i="53"/>
  <c r="C296" i="53"/>
  <c r="L294" i="53"/>
  <c r="F294" i="53"/>
  <c r="A294" i="53"/>
  <c r="A293" i="53"/>
  <c r="L292" i="53"/>
  <c r="F292" i="53"/>
  <c r="C287" i="53"/>
  <c r="A260" i="53"/>
  <c r="A261" i="53" s="1"/>
  <c r="A262" i="53" s="1"/>
  <c r="A263" i="53" s="1"/>
  <c r="A264" i="53" s="1"/>
  <c r="A265" i="53" s="1"/>
  <c r="A266" i="53" s="1"/>
  <c r="A267" i="53" s="1"/>
  <c r="A268" i="53" s="1"/>
  <c r="A269" i="53" s="1"/>
  <c r="A270" i="53" s="1"/>
  <c r="A271" i="53" s="1"/>
  <c r="A273" i="53" s="1"/>
  <c r="A275" i="53" s="1"/>
  <c r="A276" i="53" s="1"/>
  <c r="A277" i="53" s="1"/>
  <c r="A278" i="53" s="1"/>
  <c r="A279" i="53" s="1"/>
  <c r="A280" i="53" s="1"/>
  <c r="A281" i="53" s="1"/>
  <c r="A282" i="53" s="1"/>
  <c r="A283" i="53" s="1"/>
  <c r="A284" i="53" s="1"/>
  <c r="A285" i="53" s="1"/>
  <c r="A286" i="53" s="1"/>
  <c r="A287" i="53" s="1"/>
  <c r="A288" i="53" s="1"/>
  <c r="A289" i="53" s="1"/>
  <c r="A291" i="53" s="1"/>
  <c r="L255" i="53"/>
  <c r="K255" i="53"/>
  <c r="J255" i="53"/>
  <c r="I255" i="53"/>
  <c r="H255" i="53"/>
  <c r="G255" i="53"/>
  <c r="F255" i="53"/>
  <c r="C255" i="53"/>
  <c r="L253" i="53"/>
  <c r="F253" i="53"/>
  <c r="A253" i="53"/>
  <c r="A252" i="53"/>
  <c r="L251" i="53"/>
  <c r="F251" i="53"/>
  <c r="A215" i="53"/>
  <c r="A216" i="53" s="1"/>
  <c r="A217" i="53" s="1"/>
  <c r="A218" i="53" s="1"/>
  <c r="A219" i="53" s="1"/>
  <c r="A220" i="53" s="1"/>
  <c r="A222" i="53" s="1"/>
  <c r="A224" i="53" s="1"/>
  <c r="A225" i="53" s="1"/>
  <c r="A226" i="53" s="1"/>
  <c r="A227" i="53" s="1"/>
  <c r="A229" i="53" s="1"/>
  <c r="A231" i="53" s="1"/>
  <c r="A232" i="53" s="1"/>
  <c r="A233" i="53" s="1"/>
  <c r="A234" i="53" s="1"/>
  <c r="A235" i="53" s="1"/>
  <c r="A236" i="53" s="1"/>
  <c r="A237" i="53" s="1"/>
  <c r="L210" i="53"/>
  <c r="K210" i="53"/>
  <c r="J210" i="53"/>
  <c r="I210" i="53"/>
  <c r="H210" i="53"/>
  <c r="G210" i="53"/>
  <c r="F210" i="53"/>
  <c r="C210" i="53"/>
  <c r="L208" i="53"/>
  <c r="F208" i="53"/>
  <c r="A208" i="53"/>
  <c r="A207" i="53"/>
  <c r="L206" i="53"/>
  <c r="F206" i="53"/>
  <c r="C203" i="53"/>
  <c r="B203" i="53"/>
  <c r="C202" i="53"/>
  <c r="B202" i="53"/>
  <c r="C201" i="53"/>
  <c r="B201" i="53"/>
  <c r="C200" i="53"/>
  <c r="B200" i="53"/>
  <c r="C199" i="53"/>
  <c r="B199" i="53"/>
  <c r="C198" i="53"/>
  <c r="B198" i="53"/>
  <c r="C197" i="53"/>
  <c r="B197" i="53"/>
  <c r="C196" i="53"/>
  <c r="B196" i="53"/>
  <c r="C195" i="53"/>
  <c r="B195" i="53"/>
  <c r="C194" i="53"/>
  <c r="B194" i="53"/>
  <c r="C193" i="53"/>
  <c r="B193" i="53"/>
  <c r="C192" i="53"/>
  <c r="B192" i="53"/>
  <c r="C191" i="53"/>
  <c r="B191" i="53"/>
  <c r="C190" i="53"/>
  <c r="B190" i="53"/>
  <c r="C189" i="53"/>
  <c r="C187" i="53"/>
  <c r="B187" i="53"/>
  <c r="C186" i="53"/>
  <c r="B186" i="53"/>
  <c r="C185" i="53"/>
  <c r="B185" i="53"/>
  <c r="C184" i="53"/>
  <c r="B184" i="53"/>
  <c r="C183" i="53"/>
  <c r="B183" i="53"/>
  <c r="C182" i="53"/>
  <c r="B182" i="53"/>
  <c r="C181" i="53"/>
  <c r="B181" i="53"/>
  <c r="D180" i="53"/>
  <c r="C180" i="53"/>
  <c r="B180" i="53"/>
  <c r="D179" i="53"/>
  <c r="C179" i="53"/>
  <c r="B179" i="53"/>
  <c r="D178" i="53"/>
  <c r="C178" i="53"/>
  <c r="B178" i="53"/>
  <c r="D177" i="53"/>
  <c r="C177" i="53"/>
  <c r="B177" i="53"/>
  <c r="D176" i="53"/>
  <c r="C176" i="53"/>
  <c r="B176" i="53"/>
  <c r="A176" i="53"/>
  <c r="A177" i="53" s="1"/>
  <c r="A178" i="53" s="1"/>
  <c r="A179" i="53" s="1"/>
  <c r="A180" i="53" s="1"/>
  <c r="A181" i="53" s="1"/>
  <c r="A182" i="53" s="1"/>
  <c r="A183" i="53" s="1"/>
  <c r="A184" i="53" s="1"/>
  <c r="A185" i="53" s="1"/>
  <c r="A186" i="53" s="1"/>
  <c r="A187" i="53" s="1"/>
  <c r="A188" i="53" s="1"/>
  <c r="A189" i="53" s="1"/>
  <c r="A190" i="53" s="1"/>
  <c r="A191" i="53" s="1"/>
  <c r="A192" i="53" s="1"/>
  <c r="A193" i="53" s="1"/>
  <c r="A194" i="53" s="1"/>
  <c r="A195" i="53" s="1"/>
  <c r="A196" i="53" s="1"/>
  <c r="A197" i="53" s="1"/>
  <c r="A198" i="53" s="1"/>
  <c r="A199" i="53" s="1"/>
  <c r="A200" i="53" s="1"/>
  <c r="A201" i="53" s="1"/>
  <c r="A202" i="53" s="1"/>
  <c r="A203" i="53" s="1"/>
  <c r="A204" i="53" s="1"/>
  <c r="A205" i="53" s="1"/>
  <c r="C175" i="53"/>
  <c r="B175" i="53"/>
  <c r="L172" i="53"/>
  <c r="K172" i="53"/>
  <c r="J172" i="53"/>
  <c r="I172" i="53"/>
  <c r="H172" i="53"/>
  <c r="G172" i="53"/>
  <c r="F172" i="53"/>
  <c r="C172" i="53"/>
  <c r="L170" i="53"/>
  <c r="F170" i="53"/>
  <c r="A170" i="53"/>
  <c r="A169" i="53"/>
  <c r="L168" i="53"/>
  <c r="F168" i="53"/>
  <c r="D167" i="53"/>
  <c r="C167" i="53"/>
  <c r="B167" i="53"/>
  <c r="C166" i="53"/>
  <c r="B166" i="53"/>
  <c r="C165" i="53"/>
  <c r="B165" i="53"/>
  <c r="C164" i="53"/>
  <c r="B164" i="53"/>
  <c r="C163" i="53"/>
  <c r="B163" i="53"/>
  <c r="C162" i="53"/>
  <c r="B162" i="53"/>
  <c r="C161" i="53"/>
  <c r="B161" i="53"/>
  <c r="C160" i="53"/>
  <c r="B160" i="53"/>
  <c r="C159" i="53"/>
  <c r="B159" i="53"/>
  <c r="C158" i="53"/>
  <c r="B158" i="53"/>
  <c r="D157" i="53"/>
  <c r="C157" i="53"/>
  <c r="B157" i="53"/>
  <c r="C155" i="53"/>
  <c r="C156" i="53" s="1"/>
  <c r="C238" i="53" s="1"/>
  <c r="B155" i="53"/>
  <c r="B156" i="53" s="1"/>
  <c r="C154" i="53"/>
  <c r="B154" i="53"/>
  <c r="C153" i="53"/>
  <c r="B153" i="53"/>
  <c r="C152" i="53"/>
  <c r="B152" i="53"/>
  <c r="C151" i="53"/>
  <c r="B151" i="53"/>
  <c r="C150" i="53"/>
  <c r="B150" i="53"/>
  <c r="C149" i="53"/>
  <c r="B149" i="53"/>
  <c r="C147" i="53"/>
  <c r="D144" i="53"/>
  <c r="C144" i="53"/>
  <c r="B144" i="53"/>
  <c r="D143" i="53"/>
  <c r="C143" i="53"/>
  <c r="B143" i="53"/>
  <c r="D142" i="53"/>
  <c r="C142" i="53"/>
  <c r="B142" i="53"/>
  <c r="C140" i="53"/>
  <c r="C137" i="53"/>
  <c r="B137" i="53"/>
  <c r="C136" i="53"/>
  <c r="B136" i="53"/>
  <c r="C135" i="53"/>
  <c r="B135" i="53"/>
  <c r="C134" i="53"/>
  <c r="B134" i="53"/>
  <c r="C133" i="53"/>
  <c r="B133" i="53"/>
  <c r="A133" i="53"/>
  <c r="A134" i="53" s="1"/>
  <c r="A135" i="53" s="1"/>
  <c r="A136" i="53" s="1"/>
  <c r="A137" i="53" s="1"/>
  <c r="A138" i="53" s="1"/>
  <c r="A140" i="53" s="1"/>
  <c r="A142" i="53" s="1"/>
  <c r="A143" i="53" s="1"/>
  <c r="A144" i="53" s="1"/>
  <c r="A145" i="53" s="1"/>
  <c r="A147" i="53" s="1"/>
  <c r="A149" i="53" s="1"/>
  <c r="A150" i="53" s="1"/>
  <c r="A151" i="53" s="1"/>
  <c r="A152" i="53" s="1"/>
  <c r="A153" i="53" s="1"/>
  <c r="A154" i="53" s="1"/>
  <c r="A155" i="53" s="1"/>
  <c r="C131" i="53"/>
  <c r="L128" i="53"/>
  <c r="K128" i="53"/>
  <c r="J128" i="53"/>
  <c r="I128" i="53"/>
  <c r="H128" i="53"/>
  <c r="G128" i="53"/>
  <c r="F128" i="53"/>
  <c r="L126" i="53"/>
  <c r="F126" i="53"/>
  <c r="A126" i="53"/>
  <c r="A125" i="53"/>
  <c r="L124" i="53"/>
  <c r="F124" i="53"/>
  <c r="A99" i="53"/>
  <c r="A100" i="53" s="1"/>
  <c r="A101" i="53" s="1"/>
  <c r="A102" i="53" s="1"/>
  <c r="A103" i="53" s="1"/>
  <c r="A104" i="53" s="1"/>
  <c r="A105" i="53" s="1"/>
  <c r="A107" i="53" s="1"/>
  <c r="A109" i="53" s="1"/>
  <c r="A111" i="53" s="1"/>
  <c r="A113" i="53" s="1"/>
  <c r="A115" i="53" s="1"/>
  <c r="A117" i="53" s="1"/>
  <c r="L94" i="53"/>
  <c r="K94" i="53"/>
  <c r="J94" i="53"/>
  <c r="I94" i="53"/>
  <c r="H94" i="53"/>
  <c r="G94" i="53"/>
  <c r="F94" i="53"/>
  <c r="C94" i="53"/>
  <c r="L92" i="53"/>
  <c r="F92" i="53"/>
  <c r="A92" i="53"/>
  <c r="A91" i="53"/>
  <c r="L90" i="53"/>
  <c r="F90" i="53"/>
  <c r="B87" i="53"/>
  <c r="B83" i="53"/>
  <c r="B79" i="53"/>
  <c r="B77" i="53"/>
  <c r="L75" i="53"/>
  <c r="K75" i="53"/>
  <c r="J75" i="53"/>
  <c r="I75" i="53"/>
  <c r="H75" i="53"/>
  <c r="G75" i="53"/>
  <c r="F75" i="53"/>
  <c r="A75" i="53"/>
  <c r="A77" i="53" s="1"/>
  <c r="A79" i="53" s="1"/>
  <c r="A81" i="53" s="1"/>
  <c r="A83" i="53" s="1"/>
  <c r="A85" i="53" s="1"/>
  <c r="A87" i="53" s="1"/>
  <c r="A89" i="53" s="1"/>
  <c r="L71" i="53"/>
  <c r="K71" i="53"/>
  <c r="J71" i="53"/>
  <c r="I71" i="53"/>
  <c r="H71" i="53"/>
  <c r="G71" i="53"/>
  <c r="F71" i="53"/>
  <c r="L69" i="53"/>
  <c r="F69" i="53"/>
  <c r="A69" i="53"/>
  <c r="A68" i="53"/>
  <c r="L67" i="53"/>
  <c r="F67" i="53"/>
  <c r="A46" i="53"/>
  <c r="A47" i="53" s="1"/>
  <c r="A48" i="53" s="1"/>
  <c r="A49" i="53" s="1"/>
  <c r="A50" i="53" s="1"/>
  <c r="A52" i="53" s="1"/>
  <c r="A54" i="53" s="1"/>
  <c r="A55" i="53" s="1"/>
  <c r="A57" i="53" s="1"/>
  <c r="A59" i="53" s="1"/>
  <c r="A61" i="53" s="1"/>
  <c r="A63" i="53" s="1"/>
  <c r="L39" i="53"/>
  <c r="K39" i="53"/>
  <c r="J39" i="53"/>
  <c r="I39" i="53"/>
  <c r="H39" i="53"/>
  <c r="G39" i="53"/>
  <c r="F39" i="53"/>
  <c r="C39" i="53"/>
  <c r="L37" i="53"/>
  <c r="F37" i="53"/>
  <c r="A37" i="53"/>
  <c r="A36" i="53"/>
  <c r="L35" i="53"/>
  <c r="F35" i="53"/>
  <c r="E591" i="1"/>
  <c r="F591" i="1"/>
  <c r="G591" i="1"/>
  <c r="H591" i="1"/>
  <c r="I591" i="1"/>
  <c r="J591" i="1"/>
  <c r="K591" i="1"/>
  <c r="K288" i="1"/>
  <c r="J288" i="1"/>
  <c r="I288" i="1"/>
  <c r="H288" i="1"/>
  <c r="G288" i="1"/>
  <c r="F288" i="1"/>
  <c r="E288" i="1"/>
  <c r="E137" i="52"/>
  <c r="K44" i="54" l="1"/>
  <c r="A324" i="53"/>
  <c r="A325" i="53" s="1"/>
  <c r="A326" i="53" s="1"/>
  <c r="A327" i="53" s="1"/>
  <c r="A328" i="53" s="1"/>
  <c r="A329" i="53" s="1"/>
  <c r="A330" i="53" s="1"/>
  <c r="A331" i="53" s="1"/>
  <c r="A332" i="53" s="1"/>
  <c r="A333" i="53" s="1"/>
  <c r="A334" i="53" s="1"/>
  <c r="A335" i="53" s="1"/>
  <c r="A336" i="53" s="1"/>
  <c r="A238" i="53"/>
  <c r="A239" i="53" s="1"/>
  <c r="A240" i="53" s="1"/>
  <c r="A241" i="53" s="1"/>
  <c r="A242" i="53" s="1"/>
  <c r="A243" i="53" s="1"/>
  <c r="A244" i="53" s="1"/>
  <c r="A245" i="53" s="1"/>
  <c r="A246" i="53" s="1"/>
  <c r="A247" i="53" s="1"/>
  <c r="A248" i="53" s="1"/>
  <c r="A249" i="53" s="1"/>
  <c r="A250" i="53" s="1"/>
  <c r="A156" i="53"/>
  <c r="A157" i="53" s="1"/>
  <c r="A158" i="53" s="1"/>
  <c r="A159" i="53" s="1"/>
  <c r="A160" i="53" s="1"/>
  <c r="A161" i="53" s="1"/>
  <c r="A162" i="53" s="1"/>
  <c r="A163" i="53" s="1"/>
  <c r="A164" i="53" s="1"/>
  <c r="A165" i="53" s="1"/>
  <c r="A166" i="53" s="1"/>
  <c r="A167" i="53" s="1"/>
  <c r="L44" i="54"/>
  <c r="L12" i="54"/>
  <c r="A64" i="53"/>
  <c r="A65" i="53"/>
  <c r="E75" i="53"/>
  <c r="E799" i="52" l="1"/>
  <c r="C799" i="52"/>
  <c r="B799" i="52"/>
  <c r="E798" i="52"/>
  <c r="C798" i="52"/>
  <c r="B798" i="52"/>
  <c r="E797" i="52"/>
  <c r="C797" i="52"/>
  <c r="B797" i="52"/>
  <c r="E796" i="52"/>
  <c r="C796" i="52"/>
  <c r="B796" i="52"/>
  <c r="E789" i="52"/>
  <c r="C789" i="52"/>
  <c r="B789" i="52"/>
  <c r="E788" i="52"/>
  <c r="C788" i="52"/>
  <c r="B788" i="52"/>
  <c r="E787" i="52"/>
  <c r="C787" i="52"/>
  <c r="B787" i="52"/>
  <c r="E786" i="52"/>
  <c r="C786" i="52"/>
  <c r="B786" i="52"/>
  <c r="E784" i="52"/>
  <c r="C784" i="52"/>
  <c r="B784" i="52"/>
  <c r="A781" i="52"/>
  <c r="A782" i="52" s="1"/>
  <c r="A784" i="52" s="1"/>
  <c r="A786" i="52" s="1"/>
  <c r="A787" i="52" s="1"/>
  <c r="A788" i="52" s="1"/>
  <c r="A789" i="52" s="1"/>
  <c r="A790" i="52" s="1"/>
  <c r="A792" i="52" s="1"/>
  <c r="A794" i="52" s="1"/>
  <c r="A795" i="52" s="1"/>
  <c r="A796" i="52" s="1"/>
  <c r="A797" i="52" s="1"/>
  <c r="A798" i="52" s="1"/>
  <c r="A799" i="52" s="1"/>
  <c r="A800" i="52" s="1"/>
  <c r="C776" i="52"/>
  <c r="K774" i="52"/>
  <c r="F774" i="52"/>
  <c r="A774" i="52"/>
  <c r="A773" i="52"/>
  <c r="K772" i="52"/>
  <c r="F772" i="52"/>
  <c r="E766" i="52"/>
  <c r="B766" i="52"/>
  <c r="E762" i="52"/>
  <c r="B762" i="52"/>
  <c r="A762" i="52"/>
  <c r="A764" i="52" s="1"/>
  <c r="A766" i="52" s="1"/>
  <c r="A767" i="52" s="1"/>
  <c r="A769" i="52" s="1"/>
  <c r="A771" i="52" s="1"/>
  <c r="C756" i="52"/>
  <c r="K754" i="52"/>
  <c r="F754" i="52"/>
  <c r="A754" i="52"/>
  <c r="A753" i="52"/>
  <c r="K752" i="52"/>
  <c r="F752" i="52"/>
  <c r="B751" i="52"/>
  <c r="E750" i="52"/>
  <c r="B750" i="52"/>
  <c r="B749" i="52"/>
  <c r="E742" i="52"/>
  <c r="B742" i="52"/>
  <c r="B697" i="52" s="1"/>
  <c r="B738" i="52"/>
  <c r="A731" i="52"/>
  <c r="A732" i="52" s="1"/>
  <c r="A734" i="52" s="1"/>
  <c r="A736" i="52" s="1"/>
  <c r="A738" i="52" s="1"/>
  <c r="A739" i="52" s="1"/>
  <c r="A740" i="52" s="1"/>
  <c r="A742" i="52" s="1"/>
  <c r="A743" i="52" s="1"/>
  <c r="A745" i="52" s="1"/>
  <c r="A747" i="52" s="1"/>
  <c r="A749" i="52" s="1"/>
  <c r="A750" i="52" s="1"/>
  <c r="A751" i="52" s="1"/>
  <c r="C726" i="52"/>
  <c r="K724" i="52"/>
  <c r="F724" i="52"/>
  <c r="A724" i="52"/>
  <c r="A723" i="52"/>
  <c r="K722" i="52"/>
  <c r="F722" i="52"/>
  <c r="E717" i="52"/>
  <c r="B717" i="52"/>
  <c r="A715" i="52"/>
  <c r="A717" i="52" s="1"/>
  <c r="A719" i="52" s="1"/>
  <c r="A721" i="52" s="1"/>
  <c r="C710" i="52"/>
  <c r="K708" i="52"/>
  <c r="F708" i="52"/>
  <c r="A708" i="52"/>
  <c r="A707" i="52"/>
  <c r="K706" i="52"/>
  <c r="F706" i="52"/>
  <c r="E703" i="52"/>
  <c r="B703" i="52"/>
  <c r="B702" i="52"/>
  <c r="B695" i="52"/>
  <c r="B694" i="52"/>
  <c r="B693" i="52"/>
  <c r="A689" i="52"/>
  <c r="A691" i="52" s="1"/>
  <c r="A693" i="52" s="1"/>
  <c r="A694" i="52" s="1"/>
  <c r="A695" i="52" s="1"/>
  <c r="A697" i="52" s="1"/>
  <c r="A699" i="52" s="1"/>
  <c r="A700" i="52" s="1"/>
  <c r="A702" i="52" s="1"/>
  <c r="A703" i="52" s="1"/>
  <c r="A705" i="52" s="1"/>
  <c r="C684" i="52"/>
  <c r="K682" i="52"/>
  <c r="F682" i="52"/>
  <c r="A682" i="52"/>
  <c r="A681" i="52"/>
  <c r="K680" i="52"/>
  <c r="F680" i="52"/>
  <c r="C677" i="52"/>
  <c r="B677" i="52"/>
  <c r="E675" i="52"/>
  <c r="C675" i="52"/>
  <c r="B675" i="52"/>
  <c r="A675" i="52"/>
  <c r="A677" i="52" s="1"/>
  <c r="A679" i="52" s="1"/>
  <c r="E673" i="52"/>
  <c r="C673" i="52"/>
  <c r="B673" i="52"/>
  <c r="C668" i="52"/>
  <c r="K666" i="52"/>
  <c r="F666" i="52"/>
  <c r="A666" i="52"/>
  <c r="A665" i="52"/>
  <c r="K664" i="52"/>
  <c r="F664" i="52"/>
  <c r="A643" i="52"/>
  <c r="A644" i="52" s="1"/>
  <c r="A645" i="52" s="1"/>
  <c r="A646" i="52" s="1"/>
  <c r="A647" i="52" s="1"/>
  <c r="A648" i="52" s="1"/>
  <c r="A649" i="52" s="1"/>
  <c r="A650" i="52" s="1"/>
  <c r="A652" i="52" s="1"/>
  <c r="A654" i="52" s="1"/>
  <c r="A655" i="52" s="1"/>
  <c r="A656" i="52" s="1"/>
  <c r="A657" i="52" s="1"/>
  <c r="A658" i="52" s="1"/>
  <c r="A659" i="52" s="1"/>
  <c r="A660" i="52" s="1"/>
  <c r="A661" i="52" s="1"/>
  <c r="A663" i="52" s="1"/>
  <c r="C638" i="52"/>
  <c r="K636" i="52"/>
  <c r="F636" i="52"/>
  <c r="A636" i="52"/>
  <c r="A635" i="52"/>
  <c r="K634" i="52"/>
  <c r="F634" i="52"/>
  <c r="B623" i="52"/>
  <c r="C621" i="52"/>
  <c r="B621" i="52"/>
  <c r="A604" i="52"/>
  <c r="A605" i="52" s="1"/>
  <c r="A606" i="52" s="1"/>
  <c r="A607" i="52" s="1"/>
  <c r="A608" i="52" s="1"/>
  <c r="A610" i="52" s="1"/>
  <c r="A612" i="52" s="1"/>
  <c r="A614" i="52" s="1"/>
  <c r="A615" i="52" s="1"/>
  <c r="A616" i="52" s="1"/>
  <c r="A617" i="52" s="1"/>
  <c r="A618" i="52" s="1"/>
  <c r="A619" i="52" s="1"/>
  <c r="A620" i="52" s="1"/>
  <c r="A621" i="52" s="1"/>
  <c r="A622" i="52" s="1"/>
  <c r="A623" i="52" s="1"/>
  <c r="A624" i="52" s="1"/>
  <c r="A625" i="52" s="1"/>
  <c r="A626" i="52" s="1"/>
  <c r="A627" i="52" s="1"/>
  <c r="A628" i="52" s="1"/>
  <c r="A630" i="52" s="1"/>
  <c r="A631" i="52" s="1"/>
  <c r="A633" i="52" s="1"/>
  <c r="C599" i="52"/>
  <c r="K597" i="52"/>
  <c r="F597" i="52"/>
  <c r="A597" i="52"/>
  <c r="A596" i="52"/>
  <c r="K595" i="52"/>
  <c r="F595" i="52"/>
  <c r="A573" i="52"/>
  <c r="A574" i="52" s="1"/>
  <c r="A575" i="52" s="1"/>
  <c r="A576" i="52" s="1"/>
  <c r="A577" i="52" s="1"/>
  <c r="A578" i="52" s="1"/>
  <c r="A579" i="52" s="1"/>
  <c r="A580" i="52" s="1"/>
  <c r="A581" i="52" s="1"/>
  <c r="A582" i="52" s="1"/>
  <c r="A584" i="52" s="1"/>
  <c r="A586" i="52" s="1"/>
  <c r="A587" i="52" s="1"/>
  <c r="A588" i="52" s="1"/>
  <c r="A589" i="52" s="1"/>
  <c r="A590" i="52" s="1"/>
  <c r="A591" i="52" s="1"/>
  <c r="A592" i="52" s="1"/>
  <c r="A593" i="52" s="1"/>
  <c r="A594" i="52" s="1"/>
  <c r="C568" i="52"/>
  <c r="K566" i="52"/>
  <c r="F566" i="52"/>
  <c r="A566" i="52"/>
  <c r="A565" i="52"/>
  <c r="K564" i="52"/>
  <c r="F564" i="52"/>
  <c r="A542" i="52"/>
  <c r="A543" i="52" s="1"/>
  <c r="A544" i="52" s="1"/>
  <c r="A545" i="52" s="1"/>
  <c r="A546" i="52" s="1"/>
  <c r="A547" i="52" s="1"/>
  <c r="A548" i="52" s="1"/>
  <c r="A549" i="52" s="1"/>
  <c r="A550" i="52" s="1"/>
  <c r="A551" i="52" s="1"/>
  <c r="A553" i="52" s="1"/>
  <c r="A555" i="52" s="1"/>
  <c r="A556" i="52" s="1"/>
  <c r="A557" i="52" s="1"/>
  <c r="A558" i="52" s="1"/>
  <c r="A559" i="52" s="1"/>
  <c r="A560" i="52" s="1"/>
  <c r="A561" i="52" s="1"/>
  <c r="A562" i="52" s="1"/>
  <c r="A563" i="52" s="1"/>
  <c r="C537" i="52"/>
  <c r="K535" i="52"/>
  <c r="F535" i="52"/>
  <c r="A535" i="52"/>
  <c r="A534" i="52"/>
  <c r="K533" i="52"/>
  <c r="F533" i="52"/>
  <c r="E529" i="52"/>
  <c r="C529" i="52"/>
  <c r="B529" i="52"/>
  <c r="E528" i="52"/>
  <c r="C528" i="52"/>
  <c r="C527" i="52"/>
  <c r="B527" i="52"/>
  <c r="E526" i="52"/>
  <c r="C526" i="52"/>
  <c r="B526" i="52"/>
  <c r="E525" i="52"/>
  <c r="C525" i="52"/>
  <c r="B525" i="52"/>
  <c r="E524" i="52"/>
  <c r="C524" i="52"/>
  <c r="B524" i="52"/>
  <c r="E523" i="52"/>
  <c r="C523" i="52"/>
  <c r="B523" i="52"/>
  <c r="E522" i="52"/>
  <c r="C522" i="52"/>
  <c r="B522" i="52"/>
  <c r="E521" i="52"/>
  <c r="C521" i="52"/>
  <c r="B521" i="52"/>
  <c r="E520" i="52"/>
  <c r="C520" i="52"/>
  <c r="B520" i="52"/>
  <c r="E519" i="52"/>
  <c r="C519" i="52"/>
  <c r="B519" i="52"/>
  <c r="E518" i="52"/>
  <c r="C518" i="52"/>
  <c r="B518" i="52"/>
  <c r="E517" i="52"/>
  <c r="C517" i="52"/>
  <c r="B517" i="52"/>
  <c r="E516" i="52"/>
  <c r="C516" i="52"/>
  <c r="B516" i="52"/>
  <c r="E515" i="52"/>
  <c r="C515" i="52"/>
  <c r="B515" i="52"/>
  <c r="C513" i="52"/>
  <c r="E508" i="52"/>
  <c r="C508" i="52"/>
  <c r="B508" i="52"/>
  <c r="E507" i="52"/>
  <c r="C507" i="52"/>
  <c r="B507" i="52"/>
  <c r="E506" i="52"/>
  <c r="C506" i="52"/>
  <c r="B506" i="52"/>
  <c r="E505" i="52"/>
  <c r="C505" i="52"/>
  <c r="B505" i="52"/>
  <c r="A505" i="52"/>
  <c r="A506" i="52" s="1"/>
  <c r="A507" i="52" s="1"/>
  <c r="A508" i="52" s="1"/>
  <c r="A509" i="52" s="1"/>
  <c r="A511" i="52" s="1"/>
  <c r="A513" i="52" s="1"/>
  <c r="A515" i="52" s="1"/>
  <c r="A516" i="52" s="1"/>
  <c r="A517" i="52" s="1"/>
  <c r="A518" i="52" s="1"/>
  <c r="A519" i="52" s="1"/>
  <c r="A520" i="52" s="1"/>
  <c r="A521" i="52" s="1"/>
  <c r="A522" i="52" s="1"/>
  <c r="A523" i="52" s="1"/>
  <c r="A524" i="52" s="1"/>
  <c r="A525" i="52" s="1"/>
  <c r="A526" i="52" s="1"/>
  <c r="A527" i="52" s="1"/>
  <c r="C503" i="52"/>
  <c r="C500" i="52"/>
  <c r="K498" i="52"/>
  <c r="F498" i="52"/>
  <c r="A498" i="52"/>
  <c r="A497" i="52"/>
  <c r="K496" i="52"/>
  <c r="F496" i="52"/>
  <c r="E494" i="52"/>
  <c r="C494" i="52"/>
  <c r="B494" i="52"/>
  <c r="E493" i="52"/>
  <c r="C493" i="52"/>
  <c r="B493" i="52"/>
  <c r="E492" i="52"/>
  <c r="C492" i="52"/>
  <c r="B492" i="52"/>
  <c r="E491" i="52"/>
  <c r="C491" i="52"/>
  <c r="B491" i="52"/>
  <c r="E490" i="52"/>
  <c r="C490" i="52"/>
  <c r="B490" i="52"/>
  <c r="E489" i="52"/>
  <c r="C489" i="52"/>
  <c r="B489" i="52"/>
  <c r="E488" i="52"/>
  <c r="C488" i="52"/>
  <c r="B488" i="52"/>
  <c r="E487" i="52"/>
  <c r="C487" i="52"/>
  <c r="B487" i="52"/>
  <c r="C485" i="52"/>
  <c r="E482" i="52"/>
  <c r="C482" i="52"/>
  <c r="B482" i="52"/>
  <c r="E481" i="52"/>
  <c r="C481" i="52"/>
  <c r="B481" i="52"/>
  <c r="E480" i="52"/>
  <c r="C480" i="52"/>
  <c r="B480" i="52"/>
  <c r="E479" i="52"/>
  <c r="C479" i="52"/>
  <c r="B479" i="52"/>
  <c r="E478" i="52"/>
  <c r="C478" i="52"/>
  <c r="B478" i="52"/>
  <c r="C477" i="52"/>
  <c r="B477" i="52"/>
  <c r="E476" i="52"/>
  <c r="C476" i="52"/>
  <c r="B476" i="52"/>
  <c r="E475" i="52"/>
  <c r="C475" i="52"/>
  <c r="B475" i="52"/>
  <c r="E474" i="52"/>
  <c r="C474" i="52"/>
  <c r="B474" i="52"/>
  <c r="A474" i="52"/>
  <c r="A475" i="52" s="1"/>
  <c r="A476" i="52" s="1"/>
  <c r="A477" i="52" s="1"/>
  <c r="A478" i="52" s="1"/>
  <c r="A479" i="52" s="1"/>
  <c r="A480" i="52" s="1"/>
  <c r="A481" i="52" s="1"/>
  <c r="A482" i="52" s="1"/>
  <c r="A483" i="52" s="1"/>
  <c r="A485" i="52" s="1"/>
  <c r="A487" i="52" s="1"/>
  <c r="A488" i="52" s="1"/>
  <c r="A489" i="52" s="1"/>
  <c r="A490" i="52" s="1"/>
  <c r="A491" i="52" s="1"/>
  <c r="A492" i="52" s="1"/>
  <c r="A493" i="52" s="1"/>
  <c r="A494" i="52" s="1"/>
  <c r="A495" i="52" s="1"/>
  <c r="C472" i="52"/>
  <c r="C469" i="52"/>
  <c r="K467" i="52"/>
  <c r="F467" i="52"/>
  <c r="A467" i="52"/>
  <c r="A466" i="52"/>
  <c r="K465" i="52"/>
  <c r="F465" i="52"/>
  <c r="E463" i="52"/>
  <c r="C463" i="52"/>
  <c r="B463" i="52"/>
  <c r="E462" i="52"/>
  <c r="C462" i="52"/>
  <c r="B462" i="52"/>
  <c r="E461" i="52"/>
  <c r="C461" i="52"/>
  <c r="B461" i="52"/>
  <c r="E460" i="52"/>
  <c r="C460" i="52"/>
  <c r="B460" i="52"/>
  <c r="E459" i="52"/>
  <c r="C459" i="52"/>
  <c r="B459" i="52"/>
  <c r="E458" i="52"/>
  <c r="C458" i="52"/>
  <c r="B458" i="52"/>
  <c r="E457" i="52"/>
  <c r="C457" i="52"/>
  <c r="B457" i="52"/>
  <c r="E456" i="52"/>
  <c r="C456" i="52"/>
  <c r="B456" i="52"/>
  <c r="C454" i="52"/>
  <c r="E451" i="52"/>
  <c r="C451" i="52"/>
  <c r="B451" i="52"/>
  <c r="E450" i="52"/>
  <c r="C450" i="52"/>
  <c r="B450" i="52"/>
  <c r="E449" i="52"/>
  <c r="C449" i="52"/>
  <c r="B449" i="52"/>
  <c r="E448" i="52"/>
  <c r="C448" i="52"/>
  <c r="B448" i="52"/>
  <c r="E447" i="52"/>
  <c r="C447" i="52"/>
  <c r="B447" i="52"/>
  <c r="E446" i="52"/>
  <c r="C446" i="52"/>
  <c r="B446" i="52"/>
  <c r="E445" i="52"/>
  <c r="C445" i="52"/>
  <c r="B445" i="52"/>
  <c r="E444" i="52"/>
  <c r="C444" i="52"/>
  <c r="B444" i="52"/>
  <c r="E443" i="52"/>
  <c r="C443" i="52"/>
  <c r="B443" i="52"/>
  <c r="A443" i="52"/>
  <c r="A444" i="52" s="1"/>
  <c r="A445" i="52" s="1"/>
  <c r="A446" i="52" s="1"/>
  <c r="A447" i="52" s="1"/>
  <c r="A448" i="52" s="1"/>
  <c r="A449" i="52" s="1"/>
  <c r="A450" i="52" s="1"/>
  <c r="A451" i="52" s="1"/>
  <c r="A452" i="52" s="1"/>
  <c r="A454" i="52" s="1"/>
  <c r="A456" i="52" s="1"/>
  <c r="A457" i="52" s="1"/>
  <c r="A458" i="52" s="1"/>
  <c r="A459" i="52" s="1"/>
  <c r="A460" i="52" s="1"/>
  <c r="A461" i="52" s="1"/>
  <c r="A462" i="52" s="1"/>
  <c r="A463" i="52" s="1"/>
  <c r="A464" i="52" s="1"/>
  <c r="C441" i="52"/>
  <c r="C438" i="52"/>
  <c r="K436" i="52"/>
  <c r="F436" i="52"/>
  <c r="A436" i="52"/>
  <c r="A435" i="52"/>
  <c r="K434" i="52"/>
  <c r="F434" i="52"/>
  <c r="E430" i="52"/>
  <c r="C430" i="52"/>
  <c r="B430" i="52"/>
  <c r="C429" i="52"/>
  <c r="B429" i="52"/>
  <c r="E428" i="52"/>
  <c r="C428" i="52"/>
  <c r="B428" i="52"/>
  <c r="C427" i="52"/>
  <c r="E419" i="52"/>
  <c r="C419" i="52"/>
  <c r="B419" i="52"/>
  <c r="E418" i="52"/>
  <c r="C418" i="52"/>
  <c r="B418" i="52"/>
  <c r="E417" i="52"/>
  <c r="C417" i="52"/>
  <c r="B417" i="52"/>
  <c r="E416" i="52"/>
  <c r="C416" i="52"/>
  <c r="B416" i="52"/>
  <c r="E411" i="52"/>
  <c r="C411" i="52"/>
  <c r="B411" i="52"/>
  <c r="E410" i="52"/>
  <c r="C410" i="52"/>
  <c r="B410" i="52"/>
  <c r="E409" i="52"/>
  <c r="C409" i="52"/>
  <c r="B409" i="52"/>
  <c r="E408" i="52"/>
  <c r="C408" i="52"/>
  <c r="B408" i="52"/>
  <c r="A406" i="52"/>
  <c r="A408" i="52" s="1"/>
  <c r="A409" i="52" s="1"/>
  <c r="A410" i="52" s="1"/>
  <c r="A411" i="52" s="1"/>
  <c r="A412" i="52" s="1"/>
  <c r="A414" i="52" s="1"/>
  <c r="A416" i="52" s="1"/>
  <c r="A417" i="52" s="1"/>
  <c r="A418" i="52" s="1"/>
  <c r="A419" i="52" s="1"/>
  <c r="A420" i="52" s="1"/>
  <c r="A422" i="52" s="1"/>
  <c r="A424" i="52" s="1"/>
  <c r="A426" i="52" s="1"/>
  <c r="A427" i="52" s="1"/>
  <c r="A428" i="52" s="1"/>
  <c r="A429" i="52" s="1"/>
  <c r="A430" i="52" s="1"/>
  <c r="A431" i="52" s="1"/>
  <c r="A433" i="52" s="1"/>
  <c r="C401" i="52"/>
  <c r="K399" i="52"/>
  <c r="F399" i="52"/>
  <c r="A399" i="52"/>
  <c r="A398" i="52"/>
  <c r="K397" i="52"/>
  <c r="F397" i="52"/>
  <c r="C393" i="52"/>
  <c r="B393" i="52"/>
  <c r="B392" i="52"/>
  <c r="C391" i="52"/>
  <c r="B391" i="52"/>
  <c r="C390" i="52"/>
  <c r="B390" i="52"/>
  <c r="B387" i="52"/>
  <c r="B386" i="52"/>
  <c r="B385" i="52"/>
  <c r="A385" i="52"/>
  <c r="A386" i="52" s="1"/>
  <c r="A387" i="52" s="1"/>
  <c r="A388" i="52" s="1"/>
  <c r="A390" i="52" s="1"/>
  <c r="A391" i="52" s="1"/>
  <c r="A392" i="52" s="1"/>
  <c r="A393" i="52" s="1"/>
  <c r="A394" i="52" s="1"/>
  <c r="A396" i="52" s="1"/>
  <c r="C380" i="52"/>
  <c r="K378" i="52"/>
  <c r="F378" i="52"/>
  <c r="A378" i="52"/>
  <c r="A377" i="52"/>
  <c r="K376" i="52"/>
  <c r="F376" i="52"/>
  <c r="E372" i="52"/>
  <c r="E371" i="52"/>
  <c r="E370" i="52"/>
  <c r="E369" i="52"/>
  <c r="E368" i="52"/>
  <c r="E367" i="52"/>
  <c r="E366" i="52"/>
  <c r="E365" i="52"/>
  <c r="E364" i="52"/>
  <c r="E363" i="52"/>
  <c r="E362" i="52"/>
  <c r="E361" i="52"/>
  <c r="E360" i="52"/>
  <c r="E355" i="52"/>
  <c r="E353" i="52"/>
  <c r="E352" i="52"/>
  <c r="E351" i="52"/>
  <c r="E350" i="52"/>
  <c r="E347" i="52"/>
  <c r="A345" i="52"/>
  <c r="A346" i="52" s="1"/>
  <c r="A347" i="52" s="1"/>
  <c r="A348" i="52" s="1"/>
  <c r="C341" i="52"/>
  <c r="K339" i="52"/>
  <c r="F339" i="52"/>
  <c r="A339" i="52"/>
  <c r="A338" i="52"/>
  <c r="K337" i="52"/>
  <c r="F337" i="52"/>
  <c r="E334" i="52"/>
  <c r="E333" i="52"/>
  <c r="E331" i="52"/>
  <c r="E328" i="52"/>
  <c r="E327" i="52"/>
  <c r="E326" i="52"/>
  <c r="E325" i="52"/>
  <c r="E322" i="52"/>
  <c r="E321" i="52"/>
  <c r="E320" i="52"/>
  <c r="E319" i="52"/>
  <c r="E318" i="52"/>
  <c r="E317" i="52"/>
  <c r="E312" i="52"/>
  <c r="E311" i="52"/>
  <c r="E310" i="52"/>
  <c r="E305" i="52"/>
  <c r="E304" i="52"/>
  <c r="E303" i="52"/>
  <c r="E302" i="52"/>
  <c r="A302" i="52"/>
  <c r="A303" i="52" s="1"/>
  <c r="A304" i="52" s="1"/>
  <c r="A305" i="52" s="1"/>
  <c r="A306" i="52" s="1"/>
  <c r="A308" i="52" s="1"/>
  <c r="A310" i="52" s="1"/>
  <c r="A311" i="52" s="1"/>
  <c r="A312" i="52" s="1"/>
  <c r="A313" i="52" s="1"/>
  <c r="A315" i="52" s="1"/>
  <c r="A317" i="52" s="1"/>
  <c r="A318" i="52" s="1"/>
  <c r="A319" i="52" s="1"/>
  <c r="A320" i="52" s="1"/>
  <c r="A321" i="52" s="1"/>
  <c r="A322" i="52" s="1"/>
  <c r="A323" i="52" s="1"/>
  <c r="E301" i="52"/>
  <c r="C296" i="52"/>
  <c r="K294" i="52"/>
  <c r="F294" i="52"/>
  <c r="A294" i="52"/>
  <c r="A293" i="52"/>
  <c r="K292" i="52"/>
  <c r="F292" i="52"/>
  <c r="E288" i="52"/>
  <c r="E287" i="52"/>
  <c r="C287" i="52"/>
  <c r="E286" i="52"/>
  <c r="E285" i="52"/>
  <c r="E284" i="52"/>
  <c r="E283" i="52"/>
  <c r="E282" i="52"/>
  <c r="E281" i="52"/>
  <c r="E280" i="52"/>
  <c r="E279" i="52"/>
  <c r="E278" i="52"/>
  <c r="E277" i="52"/>
  <c r="E276" i="52"/>
  <c r="E275" i="52"/>
  <c r="E270" i="52"/>
  <c r="E269" i="52"/>
  <c r="E268" i="52"/>
  <c r="E267" i="52"/>
  <c r="E266" i="52"/>
  <c r="E265" i="52"/>
  <c r="E263" i="52"/>
  <c r="E262" i="52"/>
  <c r="E261" i="52"/>
  <c r="E260" i="52"/>
  <c r="A260" i="52"/>
  <c r="A261" i="52" s="1"/>
  <c r="A262" i="52" s="1"/>
  <c r="A263" i="52" s="1"/>
  <c r="A264" i="52" s="1"/>
  <c r="A265" i="52" s="1"/>
  <c r="A266" i="52" s="1"/>
  <c r="A267" i="52" s="1"/>
  <c r="A268" i="52" s="1"/>
  <c r="A269" i="52" s="1"/>
  <c r="A270" i="52" s="1"/>
  <c r="A271" i="52" s="1"/>
  <c r="A273" i="52" s="1"/>
  <c r="A275" i="52" s="1"/>
  <c r="A276" i="52" s="1"/>
  <c r="A277" i="52" s="1"/>
  <c r="A278" i="52" s="1"/>
  <c r="A279" i="52" s="1"/>
  <c r="A280" i="52" s="1"/>
  <c r="A281" i="52" s="1"/>
  <c r="A282" i="52" s="1"/>
  <c r="A283" i="52" s="1"/>
  <c r="A284" i="52" s="1"/>
  <c r="A285" i="52" s="1"/>
  <c r="A286" i="52" s="1"/>
  <c r="A287" i="52" s="1"/>
  <c r="A288" i="52" s="1"/>
  <c r="A289" i="52" s="1"/>
  <c r="A291" i="52" s="1"/>
  <c r="C255" i="52"/>
  <c r="K253" i="52"/>
  <c r="F253" i="52"/>
  <c r="A253" i="52"/>
  <c r="A252" i="52"/>
  <c r="K251" i="52"/>
  <c r="F251" i="52"/>
  <c r="E249" i="52"/>
  <c r="E248" i="52"/>
  <c r="E247" i="52"/>
  <c r="E246" i="52"/>
  <c r="E245" i="52"/>
  <c r="E243" i="52"/>
  <c r="E242" i="52"/>
  <c r="E241" i="52"/>
  <c r="E240" i="52"/>
  <c r="E239" i="52"/>
  <c r="E236" i="52"/>
  <c r="E235" i="52"/>
  <c r="E234" i="52"/>
  <c r="E233" i="52"/>
  <c r="E232" i="52"/>
  <c r="E231" i="52"/>
  <c r="E226" i="52"/>
  <c r="E225" i="52"/>
  <c r="E224" i="52"/>
  <c r="E219" i="52"/>
  <c r="E218" i="52"/>
  <c r="E217" i="52"/>
  <c r="E216" i="52"/>
  <c r="E215" i="52"/>
  <c r="A215" i="52"/>
  <c r="A216" i="52" s="1"/>
  <c r="A217" i="52" s="1"/>
  <c r="A218" i="52" s="1"/>
  <c r="A219" i="52" s="1"/>
  <c r="A220" i="52" s="1"/>
  <c r="A222" i="52" s="1"/>
  <c r="A224" i="52" s="1"/>
  <c r="A225" i="52" s="1"/>
  <c r="A226" i="52" s="1"/>
  <c r="A227" i="52" s="1"/>
  <c r="A229" i="52" s="1"/>
  <c r="A231" i="52" s="1"/>
  <c r="A232" i="52" s="1"/>
  <c r="A233" i="52" s="1"/>
  <c r="A234" i="52" s="1"/>
  <c r="A235" i="52" s="1"/>
  <c r="A236" i="52" s="1"/>
  <c r="A237" i="52" s="1"/>
  <c r="C210" i="52"/>
  <c r="K208" i="52"/>
  <c r="F208" i="52"/>
  <c r="A208" i="52"/>
  <c r="A207" i="52"/>
  <c r="K206" i="52"/>
  <c r="F206" i="52"/>
  <c r="E203" i="52"/>
  <c r="C203" i="52"/>
  <c r="B203" i="52"/>
  <c r="E202" i="52"/>
  <c r="C202" i="52"/>
  <c r="B202" i="52"/>
  <c r="E201" i="52"/>
  <c r="C201" i="52"/>
  <c r="B201" i="52"/>
  <c r="E200" i="52"/>
  <c r="C200" i="52"/>
  <c r="B200" i="52"/>
  <c r="E199" i="52"/>
  <c r="C199" i="52"/>
  <c r="B199" i="52"/>
  <c r="E198" i="52"/>
  <c r="C198" i="52"/>
  <c r="B198" i="52"/>
  <c r="E197" i="52"/>
  <c r="C197" i="52"/>
  <c r="B197" i="52"/>
  <c r="E196" i="52"/>
  <c r="C196" i="52"/>
  <c r="B196" i="52"/>
  <c r="E195" i="52"/>
  <c r="C195" i="52"/>
  <c r="B195" i="52"/>
  <c r="E194" i="52"/>
  <c r="C194" i="52"/>
  <c r="B194" i="52"/>
  <c r="E193" i="52"/>
  <c r="C193" i="52"/>
  <c r="B193" i="52"/>
  <c r="E192" i="52"/>
  <c r="C192" i="52"/>
  <c r="B192" i="52"/>
  <c r="E191" i="52"/>
  <c r="C191" i="52"/>
  <c r="B191" i="52"/>
  <c r="E190" i="52"/>
  <c r="C190" i="52"/>
  <c r="B190" i="52"/>
  <c r="C189" i="52"/>
  <c r="E187" i="52"/>
  <c r="C187" i="52"/>
  <c r="B187" i="52"/>
  <c r="E186" i="52"/>
  <c r="C186" i="52"/>
  <c r="B186" i="52"/>
  <c r="E185" i="52"/>
  <c r="C185" i="52"/>
  <c r="B185" i="52"/>
  <c r="E184" i="52"/>
  <c r="C184" i="52"/>
  <c r="B184" i="52"/>
  <c r="E183" i="52"/>
  <c r="C183" i="52"/>
  <c r="B183" i="52"/>
  <c r="E182" i="52"/>
  <c r="C182" i="52"/>
  <c r="B182" i="52"/>
  <c r="E181" i="52"/>
  <c r="C181" i="52"/>
  <c r="B181" i="52"/>
  <c r="C180" i="52"/>
  <c r="B180" i="52"/>
  <c r="E179" i="52"/>
  <c r="C179" i="52"/>
  <c r="B179" i="52"/>
  <c r="C178" i="52"/>
  <c r="B178" i="52"/>
  <c r="C177" i="52"/>
  <c r="B177" i="52"/>
  <c r="E176" i="52"/>
  <c r="C176" i="52"/>
  <c r="B176" i="52"/>
  <c r="A176" i="52"/>
  <c r="A177" i="52" s="1"/>
  <c r="A178" i="52" s="1"/>
  <c r="A179" i="52" s="1"/>
  <c r="A180" i="52" s="1"/>
  <c r="A181" i="52" s="1"/>
  <c r="A182" i="52" s="1"/>
  <c r="A183" i="52" s="1"/>
  <c r="A184" i="52" s="1"/>
  <c r="A185" i="52" s="1"/>
  <c r="A186" i="52" s="1"/>
  <c r="A187" i="52" s="1"/>
  <c r="A188" i="52" s="1"/>
  <c r="A189" i="52" s="1"/>
  <c r="A190" i="52" s="1"/>
  <c r="A191" i="52" s="1"/>
  <c r="A192" i="52" s="1"/>
  <c r="A193" i="52" s="1"/>
  <c r="A194" i="52" s="1"/>
  <c r="A195" i="52" s="1"/>
  <c r="A196" i="52" s="1"/>
  <c r="A197" i="52" s="1"/>
  <c r="A198" i="52" s="1"/>
  <c r="A199" i="52" s="1"/>
  <c r="A200" i="52" s="1"/>
  <c r="A201" i="52" s="1"/>
  <c r="A202" i="52" s="1"/>
  <c r="A203" i="52" s="1"/>
  <c r="A204" i="52" s="1"/>
  <c r="A205" i="52" s="1"/>
  <c r="E175" i="52"/>
  <c r="C175" i="52"/>
  <c r="B175" i="52"/>
  <c r="C172" i="52"/>
  <c r="K170" i="52"/>
  <c r="F170" i="52"/>
  <c r="A170" i="52"/>
  <c r="A169" i="52"/>
  <c r="K168" i="52"/>
  <c r="F168" i="52"/>
  <c r="C167" i="52"/>
  <c r="B167" i="52"/>
  <c r="E166" i="52"/>
  <c r="C166" i="52"/>
  <c r="B166" i="52"/>
  <c r="C165" i="52"/>
  <c r="B165" i="52"/>
  <c r="E164" i="52"/>
  <c r="C164" i="52"/>
  <c r="B164" i="52"/>
  <c r="C163" i="52"/>
  <c r="B163" i="52"/>
  <c r="E162" i="52"/>
  <c r="C162" i="52"/>
  <c r="B162" i="52"/>
  <c r="C161" i="52"/>
  <c r="B161" i="52"/>
  <c r="E160" i="52"/>
  <c r="C160" i="52"/>
  <c r="B160" i="52"/>
  <c r="E159" i="52"/>
  <c r="C159" i="52"/>
  <c r="B159" i="52"/>
  <c r="C158" i="52"/>
  <c r="B158" i="52"/>
  <c r="E157" i="52"/>
  <c r="C157" i="52"/>
  <c r="B157" i="52"/>
  <c r="C155" i="52"/>
  <c r="B155" i="52"/>
  <c r="B156" i="52" s="1"/>
  <c r="E154" i="52"/>
  <c r="C154" i="52"/>
  <c r="B154" i="52"/>
  <c r="E153" i="52"/>
  <c r="C153" i="52"/>
  <c r="B153" i="52"/>
  <c r="C152" i="52"/>
  <c r="B152" i="52"/>
  <c r="E151" i="52"/>
  <c r="C151" i="52"/>
  <c r="B151" i="52"/>
  <c r="E150" i="52"/>
  <c r="C150" i="52"/>
  <c r="B150" i="52"/>
  <c r="E149" i="52"/>
  <c r="C149" i="52"/>
  <c r="B149" i="52"/>
  <c r="C147" i="52"/>
  <c r="E144" i="52"/>
  <c r="C144" i="52"/>
  <c r="B144" i="52"/>
  <c r="E143" i="52"/>
  <c r="C143" i="52"/>
  <c r="B143" i="52"/>
  <c r="E142" i="52"/>
  <c r="C142" i="52"/>
  <c r="B142" i="52"/>
  <c r="C140" i="52"/>
  <c r="C137" i="52"/>
  <c r="B137" i="52"/>
  <c r="E136" i="52"/>
  <c r="C136" i="52"/>
  <c r="B136" i="52"/>
  <c r="E135" i="52"/>
  <c r="C135" i="52"/>
  <c r="B135" i="52"/>
  <c r="E134" i="52"/>
  <c r="C134" i="52"/>
  <c r="B134" i="52"/>
  <c r="E133" i="52"/>
  <c r="C133" i="52"/>
  <c r="B133" i="52"/>
  <c r="A133" i="52"/>
  <c r="A134" i="52" s="1"/>
  <c r="A135" i="52" s="1"/>
  <c r="A136" i="52" s="1"/>
  <c r="A137" i="52" s="1"/>
  <c r="A138" i="52" s="1"/>
  <c r="A140" i="52" s="1"/>
  <c r="A142" i="52" s="1"/>
  <c r="A143" i="52" s="1"/>
  <c r="A144" i="52" s="1"/>
  <c r="A145" i="52" s="1"/>
  <c r="A147" i="52" s="1"/>
  <c r="A149" i="52" s="1"/>
  <c r="A150" i="52" s="1"/>
  <c r="A151" i="52" s="1"/>
  <c r="A152" i="52" s="1"/>
  <c r="A153" i="52" s="1"/>
  <c r="A154" i="52" s="1"/>
  <c r="A155" i="52" s="1"/>
  <c r="C131" i="52"/>
  <c r="K126" i="52"/>
  <c r="F126" i="52"/>
  <c r="A126" i="52"/>
  <c r="A125" i="52"/>
  <c r="K124" i="52"/>
  <c r="F124" i="52"/>
  <c r="A99" i="52"/>
  <c r="A100" i="52" s="1"/>
  <c r="A101" i="52" s="1"/>
  <c r="A102" i="52" s="1"/>
  <c r="A103" i="52" s="1"/>
  <c r="A104" i="52" s="1"/>
  <c r="A105" i="52" s="1"/>
  <c r="A107" i="52" s="1"/>
  <c r="A109" i="52" s="1"/>
  <c r="A111" i="52" s="1"/>
  <c r="A113" i="52" s="1"/>
  <c r="A115" i="52" s="1"/>
  <c r="A117" i="52" s="1"/>
  <c r="C94" i="52"/>
  <c r="K92" i="52"/>
  <c r="F92" i="52"/>
  <c r="A92" i="52"/>
  <c r="A91" i="52"/>
  <c r="K90" i="52"/>
  <c r="F90" i="52"/>
  <c r="B87" i="52"/>
  <c r="B83" i="52"/>
  <c r="B79" i="52"/>
  <c r="B77" i="52"/>
  <c r="H75" i="52"/>
  <c r="G75" i="52"/>
  <c r="F75" i="52"/>
  <c r="A75" i="52"/>
  <c r="A77" i="52" s="1"/>
  <c r="A79" i="52" s="1"/>
  <c r="A81" i="52" s="1"/>
  <c r="A83" i="52" s="1"/>
  <c r="A85" i="52" s="1"/>
  <c r="A87" i="52" s="1"/>
  <c r="A89" i="52" s="1"/>
  <c r="K69" i="52"/>
  <c r="F69" i="52"/>
  <c r="A69" i="52"/>
  <c r="A68" i="52"/>
  <c r="K67" i="52"/>
  <c r="F67" i="52"/>
  <c r="A46" i="52"/>
  <c r="A47" i="52" s="1"/>
  <c r="A48" i="52" s="1"/>
  <c r="A49" i="52" s="1"/>
  <c r="A50" i="52" s="1"/>
  <c r="A52" i="52" s="1"/>
  <c r="A54" i="52" s="1"/>
  <c r="A55" i="52" s="1"/>
  <c r="A57" i="52" s="1"/>
  <c r="A59" i="52" s="1"/>
  <c r="A61" i="52" s="1"/>
  <c r="C39" i="52"/>
  <c r="K37" i="52"/>
  <c r="F37" i="52"/>
  <c r="A37" i="52"/>
  <c r="A36" i="52"/>
  <c r="K35" i="52"/>
  <c r="F35" i="52"/>
  <c r="A349" i="52" l="1"/>
  <c r="A350" i="52" s="1"/>
  <c r="A351" i="52" s="1"/>
  <c r="A352" i="52" s="1"/>
  <c r="A353" i="52" s="1"/>
  <c r="A354" i="52" s="1"/>
  <c r="A355" i="52" s="1"/>
  <c r="A356" i="52" s="1"/>
  <c r="A358" i="52" s="1"/>
  <c r="A360" i="52" s="1"/>
  <c r="A361" i="52" s="1"/>
  <c r="A362" i="52" s="1"/>
  <c r="A363" i="52" s="1"/>
  <c r="A364" i="52" s="1"/>
  <c r="A365" i="52" s="1"/>
  <c r="A366" i="52" s="1"/>
  <c r="A367" i="52" s="1"/>
  <c r="A368" i="52" s="1"/>
  <c r="A369" i="52" s="1"/>
  <c r="A370" i="52" s="1"/>
  <c r="A371" i="52" s="1"/>
  <c r="A372" i="52" s="1"/>
  <c r="A373" i="52" s="1"/>
  <c r="A375" i="52" s="1"/>
  <c r="A528" i="52"/>
  <c r="A529" i="52" s="1"/>
  <c r="A530" i="52" s="1"/>
  <c r="A532" i="52" s="1"/>
  <c r="H410" i="52"/>
  <c r="F410" i="52"/>
  <c r="E410" i="53" s="1"/>
  <c r="G410" i="52"/>
  <c r="E410" i="54" s="1"/>
  <c r="H418" i="52"/>
  <c r="G418" i="52"/>
  <c r="E418" i="54" s="1"/>
  <c r="F418" i="52"/>
  <c r="E418" i="53" s="1"/>
  <c r="H430" i="52"/>
  <c r="F430" i="52"/>
  <c r="E430" i="53" s="1"/>
  <c r="G430" i="52"/>
  <c r="E430" i="54" s="1"/>
  <c r="F475" i="52"/>
  <c r="G475" i="52"/>
  <c r="E475" i="54" s="1"/>
  <c r="H475" i="52"/>
  <c r="H478" i="52"/>
  <c r="G478" i="52"/>
  <c r="E478" i="54" s="1"/>
  <c r="F478" i="52"/>
  <c r="H482" i="52"/>
  <c r="G482" i="52"/>
  <c r="E482" i="54" s="1"/>
  <c r="F482" i="52"/>
  <c r="G487" i="52"/>
  <c r="E487" i="54" s="1"/>
  <c r="H487" i="52"/>
  <c r="F487" i="52"/>
  <c r="H491" i="52"/>
  <c r="F491" i="52"/>
  <c r="G491" i="52"/>
  <c r="E491" i="54" s="1"/>
  <c r="H506" i="52"/>
  <c r="F506" i="52"/>
  <c r="G506" i="52"/>
  <c r="E506" i="54" s="1"/>
  <c r="G144" i="52"/>
  <c r="E144" i="54" s="1"/>
  <c r="F144" i="52"/>
  <c r="E144" i="53" s="1"/>
  <c r="H144" i="52"/>
  <c r="G409" i="52"/>
  <c r="E409" i="54" s="1"/>
  <c r="H409" i="52"/>
  <c r="F409" i="52"/>
  <c r="E409" i="53" s="1"/>
  <c r="F417" i="52"/>
  <c r="E417" i="53" s="1"/>
  <c r="G417" i="52"/>
  <c r="E417" i="54" s="1"/>
  <c r="H417" i="52"/>
  <c r="G474" i="52"/>
  <c r="E474" i="54" s="1"/>
  <c r="H474" i="52"/>
  <c r="F474" i="52"/>
  <c r="G481" i="52"/>
  <c r="E481" i="54" s="1"/>
  <c r="H481" i="52"/>
  <c r="F481" i="52"/>
  <c r="H490" i="52"/>
  <c r="F490" i="52"/>
  <c r="G490" i="52"/>
  <c r="E490" i="54" s="1"/>
  <c r="H494" i="52"/>
  <c r="F494" i="52"/>
  <c r="G494" i="52"/>
  <c r="E494" i="54" s="1"/>
  <c r="H505" i="52"/>
  <c r="F505" i="52"/>
  <c r="G505" i="52"/>
  <c r="H143" i="52"/>
  <c r="G143" i="52"/>
  <c r="E143" i="54" s="1"/>
  <c r="F143" i="52"/>
  <c r="E143" i="53" s="1"/>
  <c r="F408" i="52"/>
  <c r="E408" i="53" s="1"/>
  <c r="G408" i="52"/>
  <c r="E408" i="54" s="1"/>
  <c r="H408" i="52"/>
  <c r="G416" i="52"/>
  <c r="E416" i="54" s="1"/>
  <c r="H416" i="52"/>
  <c r="F416" i="52"/>
  <c r="E416" i="53" s="1"/>
  <c r="F480" i="52"/>
  <c r="H480" i="52"/>
  <c r="G480" i="52"/>
  <c r="E480" i="54" s="1"/>
  <c r="G489" i="52"/>
  <c r="E489" i="54" s="1"/>
  <c r="H489" i="52"/>
  <c r="F489" i="52"/>
  <c r="F493" i="52"/>
  <c r="G493" i="52"/>
  <c r="E493" i="54" s="1"/>
  <c r="H493" i="52"/>
  <c r="G508" i="52"/>
  <c r="E508" i="54" s="1"/>
  <c r="F508" i="52"/>
  <c r="H508" i="52"/>
  <c r="G142" i="52"/>
  <c r="E142" i="54" s="1"/>
  <c r="F142" i="52"/>
  <c r="E142" i="53" s="1"/>
  <c r="H142" i="52"/>
  <c r="H411" i="52"/>
  <c r="F411" i="52"/>
  <c r="E411" i="53" s="1"/>
  <c r="G411" i="52"/>
  <c r="E411" i="54" s="1"/>
  <c r="G419" i="52"/>
  <c r="E419" i="54" s="1"/>
  <c r="H419" i="52"/>
  <c r="F419" i="52"/>
  <c r="E419" i="53" s="1"/>
  <c r="H428" i="52"/>
  <c r="G428" i="52"/>
  <c r="E428" i="54" s="1"/>
  <c r="F428" i="52"/>
  <c r="E428" i="53" s="1"/>
  <c r="G476" i="52"/>
  <c r="E476" i="54" s="1"/>
  <c r="H476" i="52"/>
  <c r="F476" i="52"/>
  <c r="H479" i="52"/>
  <c r="G479" i="52"/>
  <c r="E479" i="54" s="1"/>
  <c r="F479" i="52"/>
  <c r="H488" i="52"/>
  <c r="F488" i="52"/>
  <c r="G488" i="52"/>
  <c r="E488" i="54" s="1"/>
  <c r="H492" i="52"/>
  <c r="F492" i="52"/>
  <c r="G492" i="52"/>
  <c r="E492" i="54" s="1"/>
  <c r="F507" i="52"/>
  <c r="G507" i="52"/>
  <c r="E507" i="54" s="1"/>
  <c r="H507" i="52"/>
  <c r="H157" i="52"/>
  <c r="G157" i="52"/>
  <c r="F157" i="52"/>
  <c r="F447" i="52"/>
  <c r="H447" i="52"/>
  <c r="G447" i="52"/>
  <c r="E447" i="54" s="1"/>
  <c r="H460" i="52"/>
  <c r="G460" i="52"/>
  <c r="E460" i="54" s="1"/>
  <c r="F460" i="52"/>
  <c r="F179" i="52"/>
  <c r="G179" i="52"/>
  <c r="E179" i="54" s="1"/>
  <c r="H179" i="52"/>
  <c r="G449" i="52"/>
  <c r="E449" i="54" s="1"/>
  <c r="H449" i="52"/>
  <c r="F449" i="52"/>
  <c r="G462" i="52"/>
  <c r="E462" i="54" s="1"/>
  <c r="H462" i="52"/>
  <c r="F462" i="52"/>
  <c r="F796" i="52"/>
  <c r="E796" i="53" s="1"/>
  <c r="H796" i="52"/>
  <c r="G796" i="52"/>
  <c r="E796" i="54" s="1"/>
  <c r="G175" i="52"/>
  <c r="E175" i="54" s="1"/>
  <c r="I175" i="54" s="1"/>
  <c r="F175" i="52"/>
  <c r="E175" i="53" s="1"/>
  <c r="I175" i="53" s="1"/>
  <c r="H175" i="52"/>
  <c r="G176" i="52"/>
  <c r="E176" i="54" s="1"/>
  <c r="H176" i="52"/>
  <c r="F176" i="52"/>
  <c r="E176" i="53" s="1"/>
  <c r="G181" i="52"/>
  <c r="E181" i="54" s="1"/>
  <c r="I181" i="54" s="1"/>
  <c r="F181" i="52"/>
  <c r="E181" i="53" s="1"/>
  <c r="I181" i="53" s="1"/>
  <c r="H181" i="52"/>
  <c r="J17" i="57"/>
  <c r="J18" i="57"/>
  <c r="J19" i="57"/>
  <c r="H444" i="52"/>
  <c r="G444" i="52"/>
  <c r="E444" i="54" s="1"/>
  <c r="F444" i="52"/>
  <c r="E444" i="53" s="1"/>
  <c r="F448" i="52"/>
  <c r="H448" i="52"/>
  <c r="G448" i="52"/>
  <c r="E448" i="54" s="1"/>
  <c r="G461" i="52"/>
  <c r="E461" i="54" s="1"/>
  <c r="H461" i="52"/>
  <c r="F461" i="52"/>
  <c r="G799" i="52"/>
  <c r="E799" i="54" s="1"/>
  <c r="H799" i="52"/>
  <c r="F799" i="52"/>
  <c r="E157" i="54"/>
  <c r="A324" i="52"/>
  <c r="A325" i="52" s="1"/>
  <c r="A326" i="52" s="1"/>
  <c r="A327" i="52" s="1"/>
  <c r="A328" i="52" s="1"/>
  <c r="A329" i="52" s="1"/>
  <c r="A330" i="52" s="1"/>
  <c r="A331" i="52" s="1"/>
  <c r="A332" i="52" s="1"/>
  <c r="A333" i="52" s="1"/>
  <c r="A334" i="52" s="1"/>
  <c r="A335" i="52" s="1"/>
  <c r="A336" i="52" s="1"/>
  <c r="A238" i="52"/>
  <c r="A239" i="52" s="1"/>
  <c r="A240" i="52" s="1"/>
  <c r="A241" i="52" s="1"/>
  <c r="A242" i="52" s="1"/>
  <c r="A243" i="52" s="1"/>
  <c r="A244" i="52" s="1"/>
  <c r="A245" i="52" s="1"/>
  <c r="A246" i="52" s="1"/>
  <c r="A247" i="52" s="1"/>
  <c r="A248" i="52" s="1"/>
  <c r="A249" i="52" s="1"/>
  <c r="A250" i="52" s="1"/>
  <c r="A156" i="52"/>
  <c r="A157" i="52" s="1"/>
  <c r="A158" i="52" s="1"/>
  <c r="A159" i="52" s="1"/>
  <c r="A160" i="52" s="1"/>
  <c r="A161" i="52" s="1"/>
  <c r="A162" i="52" s="1"/>
  <c r="A163" i="52" s="1"/>
  <c r="A164" i="52" s="1"/>
  <c r="A165" i="52" s="1"/>
  <c r="A166" i="52" s="1"/>
  <c r="A167" i="52" s="1"/>
  <c r="E697" i="52"/>
  <c r="E555" i="52"/>
  <c r="E556" i="52"/>
  <c r="E557" i="52"/>
  <c r="E558" i="52"/>
  <c r="E559" i="52"/>
  <c r="E560" i="52"/>
  <c r="E561" i="52"/>
  <c r="E562" i="52"/>
  <c r="E604" i="52"/>
  <c r="E605" i="52"/>
  <c r="E606" i="52"/>
  <c r="E607" i="52"/>
  <c r="E576" i="52"/>
  <c r="E577" i="52"/>
  <c r="E578" i="52"/>
  <c r="E579" i="52"/>
  <c r="E580" i="52"/>
  <c r="E581" i="52"/>
  <c r="E614" i="52"/>
  <c r="E615" i="52"/>
  <c r="E616" i="52"/>
  <c r="E617" i="52"/>
  <c r="E618" i="52"/>
  <c r="E619" i="52"/>
  <c r="E624" i="52"/>
  <c r="E625" i="52"/>
  <c r="E626" i="52"/>
  <c r="E627" i="52"/>
  <c r="E574" i="52"/>
  <c r="E575" i="52"/>
  <c r="E587" i="52"/>
  <c r="E589" i="52"/>
  <c r="E591" i="52"/>
  <c r="E593" i="52"/>
  <c r="E543" i="52"/>
  <c r="E544" i="52"/>
  <c r="E545" i="52"/>
  <c r="E546" i="52"/>
  <c r="E547" i="52"/>
  <c r="E548" i="52"/>
  <c r="E549" i="52"/>
  <c r="E550" i="52"/>
  <c r="E420" i="52"/>
  <c r="E289" i="52"/>
  <c r="E412" i="52"/>
  <c r="E145" i="52"/>
  <c r="E220" i="52"/>
  <c r="E464" i="52"/>
  <c r="E645" i="52" s="1"/>
  <c r="E227" i="52"/>
  <c r="E509" i="52"/>
  <c r="E138" i="52"/>
  <c r="E495" i="52"/>
  <c r="E647" i="52" s="1"/>
  <c r="E204" i="52"/>
  <c r="E306" i="52"/>
  <c r="E313" i="52"/>
  <c r="E573" i="52"/>
  <c r="E483" i="52"/>
  <c r="E646" i="52" s="1"/>
  <c r="E373" i="52"/>
  <c r="E630" i="52"/>
  <c r="E643" i="52"/>
  <c r="E629" i="52"/>
  <c r="E542" i="52"/>
  <c r="E452" i="52"/>
  <c r="E530" i="52"/>
  <c r="E649" i="52" s="1"/>
  <c r="E586" i="52"/>
  <c r="E588" i="52"/>
  <c r="E590" i="52"/>
  <c r="E719" i="52"/>
  <c r="E767" i="52"/>
  <c r="E769" i="52" s="1"/>
  <c r="F772" i="45"/>
  <c r="L772" i="45"/>
  <c r="A773" i="45"/>
  <c r="A774" i="45"/>
  <c r="F774" i="45"/>
  <c r="L774" i="45"/>
  <c r="C776" i="45"/>
  <c r="F776" i="45"/>
  <c r="G776" i="45"/>
  <c r="H776" i="45"/>
  <c r="I776" i="45"/>
  <c r="J776" i="45"/>
  <c r="K776" i="45"/>
  <c r="L776" i="45"/>
  <c r="A781" i="45"/>
  <c r="A782" i="45" s="1"/>
  <c r="A784" i="45" s="1"/>
  <c r="A786" i="45" s="1"/>
  <c r="A787" i="45" s="1"/>
  <c r="A788" i="45" s="1"/>
  <c r="A789" i="45" s="1"/>
  <c r="A790" i="45" s="1"/>
  <c r="A792" i="45" s="1"/>
  <c r="A794" i="45" s="1"/>
  <c r="A795" i="45" s="1"/>
  <c r="A796" i="45" s="1"/>
  <c r="A797" i="45" s="1"/>
  <c r="A798" i="45" s="1"/>
  <c r="A799" i="45" s="1"/>
  <c r="A800" i="45" s="1"/>
  <c r="B784" i="45"/>
  <c r="C784" i="45"/>
  <c r="E784" i="45"/>
  <c r="B786" i="45"/>
  <c r="C786" i="45"/>
  <c r="E786" i="45"/>
  <c r="B787" i="45"/>
  <c r="C787" i="45"/>
  <c r="E787" i="45"/>
  <c r="B788" i="45"/>
  <c r="C788" i="45"/>
  <c r="E788" i="45"/>
  <c r="B789" i="45"/>
  <c r="C789" i="45"/>
  <c r="E789" i="45"/>
  <c r="B796" i="45"/>
  <c r="C796" i="45"/>
  <c r="E796" i="45"/>
  <c r="B797" i="45"/>
  <c r="C797" i="45"/>
  <c r="E797" i="45"/>
  <c r="B798" i="45"/>
  <c r="C798" i="45"/>
  <c r="E798" i="45"/>
  <c r="B799" i="45"/>
  <c r="C799" i="45"/>
  <c r="E799" i="45"/>
  <c r="F752" i="45"/>
  <c r="L752" i="45"/>
  <c r="A753" i="45"/>
  <c r="A754" i="45"/>
  <c r="F754" i="45"/>
  <c r="L754" i="45"/>
  <c r="C756" i="45"/>
  <c r="F756" i="45"/>
  <c r="G756" i="45"/>
  <c r="H756" i="45"/>
  <c r="I756" i="45"/>
  <c r="J756" i="45"/>
  <c r="K756" i="45"/>
  <c r="L756" i="45"/>
  <c r="A762" i="45"/>
  <c r="A764" i="45" s="1"/>
  <c r="A766" i="45" s="1"/>
  <c r="A767" i="45" s="1"/>
  <c r="A769" i="45" s="1"/>
  <c r="A771" i="45" s="1"/>
  <c r="B762" i="45"/>
  <c r="E762" i="45"/>
  <c r="B766" i="45"/>
  <c r="E766" i="45"/>
  <c r="F722" i="45"/>
  <c r="L722" i="45"/>
  <c r="A723" i="45"/>
  <c r="A724" i="45"/>
  <c r="F724" i="45"/>
  <c r="L724" i="45"/>
  <c r="C726" i="45"/>
  <c r="F726" i="45"/>
  <c r="G726" i="45"/>
  <c r="H726" i="45"/>
  <c r="I726" i="45"/>
  <c r="J726" i="45"/>
  <c r="K726" i="45"/>
  <c r="L726" i="45"/>
  <c r="A731" i="45"/>
  <c r="A732" i="45" s="1"/>
  <c r="A734" i="45" s="1"/>
  <c r="A736" i="45" s="1"/>
  <c r="A738" i="45" s="1"/>
  <c r="A739" i="45" s="1"/>
  <c r="A740" i="45" s="1"/>
  <c r="A742" i="45" s="1"/>
  <c r="A743" i="45" s="1"/>
  <c r="A745" i="45" s="1"/>
  <c r="A747" i="45" s="1"/>
  <c r="A749" i="45" s="1"/>
  <c r="A750" i="45" s="1"/>
  <c r="A751" i="45" s="1"/>
  <c r="B738" i="45"/>
  <c r="B742" i="45"/>
  <c r="B697" i="45" s="1"/>
  <c r="E742" i="45"/>
  <c r="B749" i="45"/>
  <c r="B750" i="45"/>
  <c r="E750" i="45"/>
  <c r="B751" i="45"/>
  <c r="F706" i="45"/>
  <c r="L706" i="45"/>
  <c r="A707" i="45"/>
  <c r="A708" i="45"/>
  <c r="F708" i="45"/>
  <c r="L708" i="45"/>
  <c r="C710" i="45"/>
  <c r="F710" i="45"/>
  <c r="G710" i="45"/>
  <c r="H710" i="45"/>
  <c r="I710" i="45"/>
  <c r="J710" i="45"/>
  <c r="K710" i="45"/>
  <c r="L710" i="45"/>
  <c r="A715" i="45"/>
  <c r="A717" i="45" s="1"/>
  <c r="A719" i="45" s="1"/>
  <c r="A721" i="45" s="1"/>
  <c r="B717" i="45"/>
  <c r="E717" i="45"/>
  <c r="F680" i="45"/>
  <c r="L680" i="45"/>
  <c r="A681" i="45"/>
  <c r="A682" i="45"/>
  <c r="F682" i="45"/>
  <c r="L682" i="45"/>
  <c r="C684" i="45"/>
  <c r="F684" i="45"/>
  <c r="G684" i="45"/>
  <c r="H684" i="45"/>
  <c r="I684" i="45"/>
  <c r="J684" i="45"/>
  <c r="K684" i="45"/>
  <c r="L684" i="45"/>
  <c r="A689" i="45"/>
  <c r="A691" i="45" s="1"/>
  <c r="A693" i="45" s="1"/>
  <c r="A694" i="45" s="1"/>
  <c r="A695" i="45" s="1"/>
  <c r="A697" i="45" s="1"/>
  <c r="A699" i="45" s="1"/>
  <c r="A700" i="45" s="1"/>
  <c r="A702" i="45" s="1"/>
  <c r="A703" i="45" s="1"/>
  <c r="A705" i="45" s="1"/>
  <c r="B693" i="45"/>
  <c r="B694" i="45"/>
  <c r="B695" i="45"/>
  <c r="B702" i="45"/>
  <c r="B703" i="45"/>
  <c r="E703" i="45"/>
  <c r="F664" i="45"/>
  <c r="L664" i="45"/>
  <c r="A665" i="45"/>
  <c r="A666" i="45"/>
  <c r="F666" i="45"/>
  <c r="L666" i="45"/>
  <c r="C668" i="45"/>
  <c r="F668" i="45"/>
  <c r="G668" i="45"/>
  <c r="H668" i="45"/>
  <c r="I668" i="45"/>
  <c r="J668" i="45"/>
  <c r="K668" i="45"/>
  <c r="L668" i="45"/>
  <c r="B673" i="45"/>
  <c r="C673" i="45"/>
  <c r="E673" i="45"/>
  <c r="A675" i="45"/>
  <c r="A677" i="45" s="1"/>
  <c r="A679" i="45" s="1"/>
  <c r="B675" i="45"/>
  <c r="C675" i="45"/>
  <c r="E675" i="45"/>
  <c r="B677" i="45"/>
  <c r="C677" i="45"/>
  <c r="F634" i="45"/>
  <c r="L634" i="45"/>
  <c r="A635" i="45"/>
  <c r="A636" i="45"/>
  <c r="F636" i="45"/>
  <c r="L636" i="45"/>
  <c r="C638" i="45"/>
  <c r="F638" i="45"/>
  <c r="G638" i="45"/>
  <c r="H638" i="45"/>
  <c r="I638" i="45"/>
  <c r="J638" i="45"/>
  <c r="K638" i="45"/>
  <c r="L638" i="45"/>
  <c r="A643" i="45"/>
  <c r="A644" i="45" s="1"/>
  <c r="A645" i="45" s="1"/>
  <c r="A646" i="45" s="1"/>
  <c r="A647" i="45" s="1"/>
  <c r="A648" i="45" s="1"/>
  <c r="A649" i="45" s="1"/>
  <c r="A650" i="45" s="1"/>
  <c r="A652" i="45" s="1"/>
  <c r="A654" i="45" s="1"/>
  <c r="A655" i="45" s="1"/>
  <c r="A656" i="45" s="1"/>
  <c r="A657" i="45" s="1"/>
  <c r="A658" i="45" s="1"/>
  <c r="A659" i="45" s="1"/>
  <c r="A660" i="45" s="1"/>
  <c r="A661" i="45" s="1"/>
  <c r="A663" i="45" s="1"/>
  <c r="F595" i="45"/>
  <c r="L595" i="45"/>
  <c r="A596" i="45"/>
  <c r="A597" i="45"/>
  <c r="F597" i="45"/>
  <c r="L597" i="45"/>
  <c r="C599" i="45"/>
  <c r="F599" i="45"/>
  <c r="G599" i="45"/>
  <c r="H599" i="45"/>
  <c r="I599" i="45"/>
  <c r="J599" i="45"/>
  <c r="K599" i="45"/>
  <c r="L599" i="45"/>
  <c r="A604" i="45"/>
  <c r="A605" i="45" s="1"/>
  <c r="A606" i="45" s="1"/>
  <c r="A607" i="45" s="1"/>
  <c r="A608" i="45" s="1"/>
  <c r="A610" i="45" s="1"/>
  <c r="A612" i="45" s="1"/>
  <c r="A614" i="45" s="1"/>
  <c r="A615" i="45" s="1"/>
  <c r="A616" i="45" s="1"/>
  <c r="A617" i="45" s="1"/>
  <c r="A618" i="45" s="1"/>
  <c r="A619" i="45" s="1"/>
  <c r="A620" i="45" s="1"/>
  <c r="A621" i="45" s="1"/>
  <c r="A622" i="45" s="1"/>
  <c r="A623" i="45" s="1"/>
  <c r="A624" i="45" s="1"/>
  <c r="A625" i="45" s="1"/>
  <c r="A626" i="45" s="1"/>
  <c r="A627" i="45" s="1"/>
  <c r="A628" i="45" s="1"/>
  <c r="A630" i="45" s="1"/>
  <c r="A631" i="45" s="1"/>
  <c r="A633" i="45" s="1"/>
  <c r="B621" i="45"/>
  <c r="C621" i="45"/>
  <c r="B623" i="45"/>
  <c r="F564" i="45"/>
  <c r="L564" i="45"/>
  <c r="A565" i="45"/>
  <c r="A566" i="45"/>
  <c r="F566" i="45"/>
  <c r="L566" i="45"/>
  <c r="C568" i="45"/>
  <c r="F568" i="45"/>
  <c r="G568" i="45"/>
  <c r="H568" i="45"/>
  <c r="I568" i="45"/>
  <c r="J568" i="45"/>
  <c r="K568" i="45"/>
  <c r="L568" i="45"/>
  <c r="A573" i="45"/>
  <c r="A574" i="45" s="1"/>
  <c r="A575" i="45" s="1"/>
  <c r="A576" i="45" s="1"/>
  <c r="A577" i="45" s="1"/>
  <c r="A578" i="45" s="1"/>
  <c r="A579" i="45" s="1"/>
  <c r="A580" i="45" s="1"/>
  <c r="A581" i="45" s="1"/>
  <c r="A582" i="45" s="1"/>
  <c r="A584" i="45" s="1"/>
  <c r="A586" i="45" s="1"/>
  <c r="A587" i="45" s="1"/>
  <c r="A588" i="45" s="1"/>
  <c r="A589" i="45" s="1"/>
  <c r="A590" i="45" s="1"/>
  <c r="A591" i="45" s="1"/>
  <c r="A592" i="45" s="1"/>
  <c r="A593" i="45" s="1"/>
  <c r="A594" i="45" s="1"/>
  <c r="F533" i="45"/>
  <c r="L533" i="45"/>
  <c r="A534" i="45"/>
  <c r="A535" i="45"/>
  <c r="F535" i="45"/>
  <c r="L535" i="45"/>
  <c r="C537" i="45"/>
  <c r="F537" i="45"/>
  <c r="G537" i="45"/>
  <c r="H537" i="45"/>
  <c r="I537" i="45"/>
  <c r="J537" i="45"/>
  <c r="K537" i="45"/>
  <c r="L537" i="45"/>
  <c r="A542" i="45"/>
  <c r="A543" i="45" s="1"/>
  <c r="A544" i="45" s="1"/>
  <c r="A545" i="45" s="1"/>
  <c r="A546" i="45" s="1"/>
  <c r="A547" i="45" s="1"/>
  <c r="A548" i="45" s="1"/>
  <c r="A549" i="45" s="1"/>
  <c r="A550" i="45" s="1"/>
  <c r="A551" i="45" s="1"/>
  <c r="A553" i="45" s="1"/>
  <c r="A555" i="45" s="1"/>
  <c r="A556" i="45" s="1"/>
  <c r="A557" i="45" s="1"/>
  <c r="A558" i="45" s="1"/>
  <c r="A559" i="45" s="1"/>
  <c r="A560" i="45" s="1"/>
  <c r="A561" i="45" s="1"/>
  <c r="A562" i="45" s="1"/>
  <c r="A563" i="45" s="1"/>
  <c r="F496" i="45"/>
  <c r="L496" i="45"/>
  <c r="A497" i="45"/>
  <c r="A498" i="45"/>
  <c r="F498" i="45"/>
  <c r="L498" i="45"/>
  <c r="C500" i="45"/>
  <c r="F500" i="45"/>
  <c r="G500" i="45"/>
  <c r="H500" i="45"/>
  <c r="I500" i="45"/>
  <c r="J500" i="45"/>
  <c r="K500" i="45"/>
  <c r="L500" i="45"/>
  <c r="C503" i="45"/>
  <c r="A505" i="45"/>
  <c r="A506" i="45" s="1"/>
  <c r="A507" i="45" s="1"/>
  <c r="A508" i="45" s="1"/>
  <c r="A509" i="45" s="1"/>
  <c r="A511" i="45" s="1"/>
  <c r="A513" i="45" s="1"/>
  <c r="A515" i="45" s="1"/>
  <c r="A516" i="45" s="1"/>
  <c r="A517" i="45" s="1"/>
  <c r="A518" i="45" s="1"/>
  <c r="A519" i="45" s="1"/>
  <c r="A520" i="45" s="1"/>
  <c r="A521" i="45" s="1"/>
  <c r="A522" i="45" s="1"/>
  <c r="A523" i="45" s="1"/>
  <c r="A524" i="45" s="1"/>
  <c r="A525" i="45" s="1"/>
  <c r="A526" i="45" s="1"/>
  <c r="A527" i="45" s="1"/>
  <c r="A529" i="45" s="1"/>
  <c r="A530" i="45" s="1"/>
  <c r="A532" i="45" s="1"/>
  <c r="B505" i="45"/>
  <c r="C505" i="45"/>
  <c r="E505" i="45"/>
  <c r="B506" i="45"/>
  <c r="C506" i="45"/>
  <c r="E506" i="45"/>
  <c r="B507" i="45"/>
  <c r="C507" i="45"/>
  <c r="E507" i="45"/>
  <c r="B508" i="45"/>
  <c r="C508" i="45"/>
  <c r="E508" i="45"/>
  <c r="C513" i="45"/>
  <c r="B515" i="45"/>
  <c r="C515" i="45"/>
  <c r="E515" i="45"/>
  <c r="B516" i="45"/>
  <c r="C516" i="45"/>
  <c r="E516" i="45"/>
  <c r="B517" i="45"/>
  <c r="C517" i="45"/>
  <c r="E517" i="45"/>
  <c r="B518" i="45"/>
  <c r="C518" i="45"/>
  <c r="E518" i="45"/>
  <c r="B519" i="45"/>
  <c r="C519" i="45"/>
  <c r="E519" i="45"/>
  <c r="B520" i="45"/>
  <c r="C520" i="45"/>
  <c r="E520" i="45"/>
  <c r="B521" i="45"/>
  <c r="C521" i="45"/>
  <c r="E521" i="45"/>
  <c r="B522" i="45"/>
  <c r="C522" i="45"/>
  <c r="E522" i="45"/>
  <c r="B523" i="45"/>
  <c r="C523" i="45"/>
  <c r="E523" i="45"/>
  <c r="B524" i="45"/>
  <c r="C524" i="45"/>
  <c r="E524" i="45"/>
  <c r="B525" i="45"/>
  <c r="C525" i="45"/>
  <c r="E525" i="45"/>
  <c r="B526" i="45"/>
  <c r="C526" i="45"/>
  <c r="E526" i="45"/>
  <c r="B527" i="45"/>
  <c r="C527" i="45"/>
  <c r="C528" i="45"/>
  <c r="E528" i="45"/>
  <c r="B529" i="45"/>
  <c r="C529" i="45"/>
  <c r="E529" i="45"/>
  <c r="F465" i="45"/>
  <c r="L465" i="45"/>
  <c r="A466" i="45"/>
  <c r="A467" i="45"/>
  <c r="F467" i="45"/>
  <c r="L467" i="45"/>
  <c r="C469" i="45"/>
  <c r="F469" i="45"/>
  <c r="G469" i="45"/>
  <c r="H469" i="45"/>
  <c r="I469" i="45"/>
  <c r="J469" i="45"/>
  <c r="K469" i="45"/>
  <c r="L469" i="45"/>
  <c r="C472" i="45"/>
  <c r="A474" i="45"/>
  <c r="A475" i="45" s="1"/>
  <c r="A476" i="45" s="1"/>
  <c r="A477" i="45" s="1"/>
  <c r="A478" i="45" s="1"/>
  <c r="A479" i="45" s="1"/>
  <c r="A480" i="45" s="1"/>
  <c r="A481" i="45" s="1"/>
  <c r="A482" i="45" s="1"/>
  <c r="A483" i="45" s="1"/>
  <c r="A485" i="45" s="1"/>
  <c r="A487" i="45" s="1"/>
  <c r="A488" i="45" s="1"/>
  <c r="A489" i="45" s="1"/>
  <c r="A490" i="45" s="1"/>
  <c r="A491" i="45" s="1"/>
  <c r="A492" i="45" s="1"/>
  <c r="A493" i="45" s="1"/>
  <c r="A494" i="45" s="1"/>
  <c r="A495" i="45" s="1"/>
  <c r="B474" i="45"/>
  <c r="C474" i="45"/>
  <c r="E474" i="45"/>
  <c r="B475" i="45"/>
  <c r="C475" i="45"/>
  <c r="E475" i="45"/>
  <c r="B476" i="45"/>
  <c r="C476" i="45"/>
  <c r="E476" i="45"/>
  <c r="B477" i="45"/>
  <c r="C477" i="45"/>
  <c r="B478" i="45"/>
  <c r="C478" i="45"/>
  <c r="E478" i="45"/>
  <c r="B479" i="45"/>
  <c r="C479" i="45"/>
  <c r="E479" i="45"/>
  <c r="B480" i="45"/>
  <c r="C480" i="45"/>
  <c r="E480" i="45"/>
  <c r="B481" i="45"/>
  <c r="C481" i="45"/>
  <c r="E481" i="45"/>
  <c r="B482" i="45"/>
  <c r="C482" i="45"/>
  <c r="E482" i="45"/>
  <c r="C485" i="45"/>
  <c r="B487" i="45"/>
  <c r="C487" i="45"/>
  <c r="E487" i="45"/>
  <c r="B488" i="45"/>
  <c r="C488" i="45"/>
  <c r="E488" i="45"/>
  <c r="B489" i="45"/>
  <c r="C489" i="45"/>
  <c r="E489" i="45"/>
  <c r="B490" i="45"/>
  <c r="C490" i="45"/>
  <c r="E490" i="45"/>
  <c r="B491" i="45"/>
  <c r="C491" i="45"/>
  <c r="E491" i="45"/>
  <c r="B492" i="45"/>
  <c r="C492" i="45"/>
  <c r="E492" i="45"/>
  <c r="B493" i="45"/>
  <c r="C493" i="45"/>
  <c r="E493" i="45"/>
  <c r="B494" i="45"/>
  <c r="C494" i="45"/>
  <c r="E494" i="45"/>
  <c r="F434" i="45"/>
  <c r="L434" i="45"/>
  <c r="A435" i="45"/>
  <c r="A436" i="45"/>
  <c r="F436" i="45"/>
  <c r="L436" i="45"/>
  <c r="C438" i="45"/>
  <c r="F438" i="45"/>
  <c r="G438" i="45"/>
  <c r="H438" i="45"/>
  <c r="I438" i="45"/>
  <c r="J438" i="45"/>
  <c r="K438" i="45"/>
  <c r="L438" i="45"/>
  <c r="C441" i="45"/>
  <c r="A443" i="45"/>
  <c r="A444" i="45" s="1"/>
  <c r="A445" i="45" s="1"/>
  <c r="A446" i="45" s="1"/>
  <c r="A447" i="45" s="1"/>
  <c r="A448" i="45" s="1"/>
  <c r="A449" i="45" s="1"/>
  <c r="A450" i="45" s="1"/>
  <c r="A451" i="45" s="1"/>
  <c r="A452" i="45" s="1"/>
  <c r="A454" i="45" s="1"/>
  <c r="A456" i="45" s="1"/>
  <c r="A457" i="45" s="1"/>
  <c r="A458" i="45" s="1"/>
  <c r="A459" i="45" s="1"/>
  <c r="A460" i="45" s="1"/>
  <c r="A461" i="45" s="1"/>
  <c r="A462" i="45" s="1"/>
  <c r="A463" i="45" s="1"/>
  <c r="A464" i="45" s="1"/>
  <c r="B443" i="45"/>
  <c r="C443" i="45"/>
  <c r="E443" i="45"/>
  <c r="B444" i="45"/>
  <c r="C444" i="45"/>
  <c r="E444" i="45"/>
  <c r="B445" i="45"/>
  <c r="C445" i="45"/>
  <c r="E445" i="45"/>
  <c r="B446" i="45"/>
  <c r="C446" i="45"/>
  <c r="E446" i="45"/>
  <c r="B447" i="45"/>
  <c r="C447" i="45"/>
  <c r="E447" i="45"/>
  <c r="B448" i="45"/>
  <c r="C448" i="45"/>
  <c r="E448" i="45"/>
  <c r="B449" i="45"/>
  <c r="C449" i="45"/>
  <c r="E449" i="45"/>
  <c r="B450" i="45"/>
  <c r="C450" i="45"/>
  <c r="E450" i="45"/>
  <c r="B451" i="45"/>
  <c r="C451" i="45"/>
  <c r="E451" i="45"/>
  <c r="C454" i="45"/>
  <c r="B456" i="45"/>
  <c r="C456" i="45"/>
  <c r="E456" i="45"/>
  <c r="B457" i="45"/>
  <c r="C457" i="45"/>
  <c r="E457" i="45"/>
  <c r="B458" i="45"/>
  <c r="C458" i="45"/>
  <c r="E458" i="45"/>
  <c r="B459" i="45"/>
  <c r="C459" i="45"/>
  <c r="E459" i="45"/>
  <c r="B460" i="45"/>
  <c r="C460" i="45"/>
  <c r="E460" i="45"/>
  <c r="B461" i="45"/>
  <c r="C461" i="45"/>
  <c r="E461" i="45"/>
  <c r="B462" i="45"/>
  <c r="C462" i="45"/>
  <c r="E462" i="45"/>
  <c r="B463" i="45"/>
  <c r="C463" i="45"/>
  <c r="E463" i="45"/>
  <c r="F397" i="45"/>
  <c r="L397" i="45"/>
  <c r="A398" i="45"/>
  <c r="A399" i="45"/>
  <c r="F399" i="45"/>
  <c r="L399" i="45"/>
  <c r="C401" i="45"/>
  <c r="F401" i="45"/>
  <c r="G401" i="45"/>
  <c r="H401" i="45"/>
  <c r="I401" i="45"/>
  <c r="J401" i="45"/>
  <c r="K401" i="45"/>
  <c r="L401" i="45"/>
  <c r="A406" i="45"/>
  <c r="A408" i="45" s="1"/>
  <c r="A409" i="45" s="1"/>
  <c r="A410" i="45" s="1"/>
  <c r="A411" i="45" s="1"/>
  <c r="A412" i="45" s="1"/>
  <c r="A414" i="45" s="1"/>
  <c r="A416" i="45" s="1"/>
  <c r="A417" i="45" s="1"/>
  <c r="A418" i="45" s="1"/>
  <c r="A419" i="45" s="1"/>
  <c r="A420" i="45" s="1"/>
  <c r="A422" i="45" s="1"/>
  <c r="A424" i="45" s="1"/>
  <c r="A426" i="45" s="1"/>
  <c r="A427" i="45" s="1"/>
  <c r="A428" i="45" s="1"/>
  <c r="A429" i="45" s="1"/>
  <c r="A430" i="45" s="1"/>
  <c r="A431" i="45" s="1"/>
  <c r="A433" i="45" s="1"/>
  <c r="B408" i="45"/>
  <c r="C408" i="45"/>
  <c r="E408" i="45"/>
  <c r="B409" i="45"/>
  <c r="C409" i="45"/>
  <c r="E409" i="45"/>
  <c r="B410" i="45"/>
  <c r="C410" i="45"/>
  <c r="E410" i="45"/>
  <c r="B411" i="45"/>
  <c r="C411" i="45"/>
  <c r="E411" i="45"/>
  <c r="B416" i="45"/>
  <c r="C416" i="45"/>
  <c r="E416" i="45"/>
  <c r="B417" i="45"/>
  <c r="C417" i="45"/>
  <c r="E417" i="45"/>
  <c r="B418" i="45"/>
  <c r="C418" i="45"/>
  <c r="E418" i="45"/>
  <c r="B419" i="45"/>
  <c r="C419" i="45"/>
  <c r="E419" i="45"/>
  <c r="C427" i="45"/>
  <c r="I15" i="60"/>
  <c r="J15" i="60"/>
  <c r="B428" i="45"/>
  <c r="C428" i="45"/>
  <c r="E428" i="45"/>
  <c r="B429" i="45"/>
  <c r="C429" i="45"/>
  <c r="B430" i="45"/>
  <c r="C430" i="45"/>
  <c r="E430" i="45"/>
  <c r="F376" i="45"/>
  <c r="L376" i="45"/>
  <c r="A377" i="45"/>
  <c r="A378" i="45"/>
  <c r="F378" i="45"/>
  <c r="L378" i="45"/>
  <c r="C380" i="45"/>
  <c r="F380" i="45"/>
  <c r="G380" i="45"/>
  <c r="H380" i="45"/>
  <c r="I380" i="45"/>
  <c r="J380" i="45"/>
  <c r="K380" i="45"/>
  <c r="L380" i="45"/>
  <c r="A385" i="45"/>
  <c r="A386" i="45" s="1"/>
  <c r="A387" i="45" s="1"/>
  <c r="A388" i="45" s="1"/>
  <c r="A390" i="45" s="1"/>
  <c r="A391" i="45" s="1"/>
  <c r="A392" i="45" s="1"/>
  <c r="A393" i="45" s="1"/>
  <c r="A394" i="45" s="1"/>
  <c r="A396" i="45" s="1"/>
  <c r="B385" i="45"/>
  <c r="B386" i="45"/>
  <c r="B387" i="45"/>
  <c r="B390" i="45"/>
  <c r="C390" i="45"/>
  <c r="B391" i="45"/>
  <c r="C391" i="45"/>
  <c r="B392" i="45"/>
  <c r="B393" i="45"/>
  <c r="C393" i="45"/>
  <c r="F337" i="45"/>
  <c r="L337" i="45"/>
  <c r="A338" i="45"/>
  <c r="A339" i="45"/>
  <c r="F339" i="45"/>
  <c r="L339" i="45"/>
  <c r="C341" i="45"/>
  <c r="F341" i="45"/>
  <c r="G341" i="45"/>
  <c r="H341" i="45"/>
  <c r="I341" i="45"/>
  <c r="J341" i="45"/>
  <c r="K341" i="45"/>
  <c r="L341" i="45"/>
  <c r="A345" i="45"/>
  <c r="A346" i="45" s="1"/>
  <c r="A347" i="45" s="1"/>
  <c r="A348" i="45" s="1"/>
  <c r="E347" i="45"/>
  <c r="E350" i="45"/>
  <c r="E351" i="45"/>
  <c r="E352" i="45"/>
  <c r="E353" i="45"/>
  <c r="E355" i="45"/>
  <c r="E360" i="45"/>
  <c r="E361" i="45"/>
  <c r="E362" i="45"/>
  <c r="E363" i="45"/>
  <c r="E364" i="45"/>
  <c r="E365" i="45"/>
  <c r="E366" i="45"/>
  <c r="E367" i="45"/>
  <c r="E368" i="45"/>
  <c r="E369" i="45"/>
  <c r="E370" i="45"/>
  <c r="E371" i="45"/>
  <c r="E372" i="45"/>
  <c r="F292" i="45"/>
  <c r="L292" i="45"/>
  <c r="A293" i="45"/>
  <c r="A294" i="45"/>
  <c r="F294" i="45"/>
  <c r="L294" i="45"/>
  <c r="C296" i="45"/>
  <c r="F296" i="45"/>
  <c r="G296" i="45"/>
  <c r="H296" i="45"/>
  <c r="I296" i="45"/>
  <c r="J296" i="45"/>
  <c r="K296" i="45"/>
  <c r="L296" i="45"/>
  <c r="E301" i="45"/>
  <c r="A302" i="45"/>
  <c r="A303" i="45" s="1"/>
  <c r="A304" i="45" s="1"/>
  <c r="A305" i="45" s="1"/>
  <c r="A306" i="45" s="1"/>
  <c r="A308" i="45" s="1"/>
  <c r="A310" i="45" s="1"/>
  <c r="A311" i="45" s="1"/>
  <c r="A312" i="45" s="1"/>
  <c r="A313" i="45" s="1"/>
  <c r="A315" i="45" s="1"/>
  <c r="A317" i="45" s="1"/>
  <c r="A318" i="45" s="1"/>
  <c r="A319" i="45" s="1"/>
  <c r="A320" i="45" s="1"/>
  <c r="A321" i="45" s="1"/>
  <c r="A322" i="45" s="1"/>
  <c r="A323" i="45" s="1"/>
  <c r="E302" i="45"/>
  <c r="E303" i="45"/>
  <c r="E304" i="45"/>
  <c r="E305" i="45"/>
  <c r="E310" i="45"/>
  <c r="E311" i="45"/>
  <c r="E312" i="45"/>
  <c r="E317" i="45"/>
  <c r="E318" i="45"/>
  <c r="E319" i="45"/>
  <c r="E320" i="45"/>
  <c r="E321" i="45"/>
  <c r="E322" i="45"/>
  <c r="E325" i="45"/>
  <c r="E326" i="45"/>
  <c r="E327" i="45"/>
  <c r="E328" i="45"/>
  <c r="E331" i="45"/>
  <c r="E333" i="45"/>
  <c r="E334" i="45"/>
  <c r="F251" i="45"/>
  <c r="L251" i="45"/>
  <c r="A252" i="45"/>
  <c r="A253" i="45"/>
  <c r="F253" i="45"/>
  <c r="L253" i="45"/>
  <c r="C255" i="45"/>
  <c r="F255" i="45"/>
  <c r="G255" i="45"/>
  <c r="H255" i="45"/>
  <c r="I255" i="45"/>
  <c r="J255" i="45"/>
  <c r="K255" i="45"/>
  <c r="L255" i="45"/>
  <c r="A260" i="45"/>
  <c r="A261" i="45" s="1"/>
  <c r="A262" i="45" s="1"/>
  <c r="A263" i="45" s="1"/>
  <c r="A264" i="45" s="1"/>
  <c r="A265" i="45" s="1"/>
  <c r="A266" i="45" s="1"/>
  <c r="A267" i="45" s="1"/>
  <c r="A268" i="45" s="1"/>
  <c r="A269" i="45" s="1"/>
  <c r="A270" i="45" s="1"/>
  <c r="A271" i="45" s="1"/>
  <c r="A273" i="45" s="1"/>
  <c r="A275" i="45" s="1"/>
  <c r="A276" i="45" s="1"/>
  <c r="A277" i="45" s="1"/>
  <c r="A278" i="45" s="1"/>
  <c r="A279" i="45" s="1"/>
  <c r="A280" i="45" s="1"/>
  <c r="A281" i="45" s="1"/>
  <c r="A282" i="45" s="1"/>
  <c r="A283" i="45" s="1"/>
  <c r="A284" i="45" s="1"/>
  <c r="A285" i="45" s="1"/>
  <c r="A286" i="45" s="1"/>
  <c r="A287" i="45" s="1"/>
  <c r="A288" i="45" s="1"/>
  <c r="A289" i="45" s="1"/>
  <c r="A291" i="45" s="1"/>
  <c r="E260" i="45"/>
  <c r="E261" i="45"/>
  <c r="E262" i="45"/>
  <c r="E263" i="45"/>
  <c r="E265" i="45"/>
  <c r="E266" i="45"/>
  <c r="E267" i="45"/>
  <c r="E268" i="45"/>
  <c r="E269" i="45"/>
  <c r="E270" i="45"/>
  <c r="E275" i="45"/>
  <c r="E276" i="45"/>
  <c r="E277" i="45"/>
  <c r="E278" i="45"/>
  <c r="E279" i="45"/>
  <c r="E280" i="45"/>
  <c r="E281" i="45"/>
  <c r="E282" i="45"/>
  <c r="E283" i="45"/>
  <c r="E284" i="45"/>
  <c r="E285" i="45"/>
  <c r="E286" i="45"/>
  <c r="C287" i="45"/>
  <c r="E287" i="45"/>
  <c r="E288" i="45"/>
  <c r="F206" i="45"/>
  <c r="L206" i="45"/>
  <c r="A207" i="45"/>
  <c r="A208" i="45"/>
  <c r="F208" i="45"/>
  <c r="L208" i="45"/>
  <c r="C210" i="45"/>
  <c r="F210" i="45"/>
  <c r="G210" i="45"/>
  <c r="H210" i="45"/>
  <c r="I210" i="45"/>
  <c r="J210" i="45"/>
  <c r="K210" i="45"/>
  <c r="L210" i="45"/>
  <c r="A215" i="45"/>
  <c r="A216" i="45" s="1"/>
  <c r="A217" i="45" s="1"/>
  <c r="A218" i="45" s="1"/>
  <c r="A219" i="45" s="1"/>
  <c r="A220" i="45" s="1"/>
  <c r="A222" i="45" s="1"/>
  <c r="A224" i="45" s="1"/>
  <c r="A225" i="45" s="1"/>
  <c r="A226" i="45" s="1"/>
  <c r="A227" i="45" s="1"/>
  <c r="A229" i="45" s="1"/>
  <c r="A231" i="45" s="1"/>
  <c r="A232" i="45" s="1"/>
  <c r="A233" i="45" s="1"/>
  <c r="A234" i="45" s="1"/>
  <c r="A235" i="45" s="1"/>
  <c r="A236" i="45" s="1"/>
  <c r="A237" i="45" s="1"/>
  <c r="E215" i="45"/>
  <c r="E216" i="45"/>
  <c r="E217" i="45"/>
  <c r="E218" i="45"/>
  <c r="E219" i="45"/>
  <c r="E224" i="45"/>
  <c r="E225" i="45"/>
  <c r="E226" i="45"/>
  <c r="E231" i="45"/>
  <c r="E232" i="45"/>
  <c r="E233" i="45"/>
  <c r="E234" i="45"/>
  <c r="E235" i="45"/>
  <c r="E236" i="45"/>
  <c r="E239" i="45"/>
  <c r="E240" i="45"/>
  <c r="E241" i="45"/>
  <c r="E242" i="45"/>
  <c r="E243" i="45"/>
  <c r="E245" i="45"/>
  <c r="E246" i="45"/>
  <c r="E247" i="45"/>
  <c r="E248" i="45"/>
  <c r="E249" i="45"/>
  <c r="F168" i="45"/>
  <c r="L168" i="45"/>
  <c r="A169" i="45"/>
  <c r="A170" i="45"/>
  <c r="F170" i="45"/>
  <c r="L170" i="45"/>
  <c r="C172" i="45"/>
  <c r="F172" i="45"/>
  <c r="G172" i="45"/>
  <c r="H172" i="45"/>
  <c r="I172" i="45"/>
  <c r="J172" i="45"/>
  <c r="K172" i="45"/>
  <c r="L172" i="45"/>
  <c r="B175" i="45"/>
  <c r="C175" i="45"/>
  <c r="E175" i="45"/>
  <c r="A176" i="45"/>
  <c r="A177" i="45" s="1"/>
  <c r="A178" i="45" s="1"/>
  <c r="A179" i="45" s="1"/>
  <c r="A180" i="45" s="1"/>
  <c r="A181" i="45" s="1"/>
  <c r="A182" i="45" s="1"/>
  <c r="A183" i="45" s="1"/>
  <c r="A184" i="45" s="1"/>
  <c r="A185" i="45" s="1"/>
  <c r="A186" i="45" s="1"/>
  <c r="A187" i="45" s="1"/>
  <c r="A188" i="45" s="1"/>
  <c r="A189" i="45" s="1"/>
  <c r="A190" i="45" s="1"/>
  <c r="A191" i="45" s="1"/>
  <c r="A192" i="45" s="1"/>
  <c r="A193" i="45" s="1"/>
  <c r="A194" i="45" s="1"/>
  <c r="A195" i="45" s="1"/>
  <c r="A196" i="45" s="1"/>
  <c r="A197" i="45" s="1"/>
  <c r="A198" i="45" s="1"/>
  <c r="A199" i="45" s="1"/>
  <c r="A200" i="45" s="1"/>
  <c r="A201" i="45" s="1"/>
  <c r="A202" i="45" s="1"/>
  <c r="A203" i="45" s="1"/>
  <c r="A204" i="45" s="1"/>
  <c r="A205" i="45" s="1"/>
  <c r="B176" i="45"/>
  <c r="C176" i="45"/>
  <c r="E176" i="45"/>
  <c r="B177" i="45"/>
  <c r="C177" i="45"/>
  <c r="B178" i="45"/>
  <c r="C178" i="45"/>
  <c r="B179" i="45"/>
  <c r="C179" i="45"/>
  <c r="E179" i="45"/>
  <c r="B180" i="45"/>
  <c r="C180" i="45"/>
  <c r="B181" i="45"/>
  <c r="C181" i="45"/>
  <c r="E181" i="45"/>
  <c r="B182" i="45"/>
  <c r="C182" i="45"/>
  <c r="E182" i="45"/>
  <c r="B183" i="45"/>
  <c r="C183" i="45"/>
  <c r="E183" i="45"/>
  <c r="B184" i="45"/>
  <c r="C184" i="45"/>
  <c r="E184" i="45"/>
  <c r="B185" i="45"/>
  <c r="C185" i="45"/>
  <c r="E185" i="45"/>
  <c r="B186" i="45"/>
  <c r="C186" i="45"/>
  <c r="E186" i="45"/>
  <c r="B187" i="45"/>
  <c r="C187" i="45"/>
  <c r="E187" i="45"/>
  <c r="C189" i="45"/>
  <c r="B190" i="45"/>
  <c r="C190" i="45"/>
  <c r="E190" i="45"/>
  <c r="B191" i="45"/>
  <c r="C191" i="45"/>
  <c r="E191" i="45"/>
  <c r="B192" i="45"/>
  <c r="C192" i="45"/>
  <c r="E192" i="45"/>
  <c r="B193" i="45"/>
  <c r="C193" i="45"/>
  <c r="E193" i="45"/>
  <c r="B194" i="45"/>
  <c r="C194" i="45"/>
  <c r="E194" i="45"/>
  <c r="B195" i="45"/>
  <c r="C195" i="45"/>
  <c r="E195" i="45"/>
  <c r="B196" i="45"/>
  <c r="C196" i="45"/>
  <c r="E196" i="45"/>
  <c r="B197" i="45"/>
  <c r="C197" i="45"/>
  <c r="E197" i="45"/>
  <c r="B198" i="45"/>
  <c r="C198" i="45"/>
  <c r="E198" i="45"/>
  <c r="B199" i="45"/>
  <c r="C199" i="45"/>
  <c r="E199" i="45"/>
  <c r="B200" i="45"/>
  <c r="C200" i="45"/>
  <c r="E200" i="45"/>
  <c r="B201" i="45"/>
  <c r="C201" i="45"/>
  <c r="E201" i="45"/>
  <c r="B202" i="45"/>
  <c r="C202" i="45"/>
  <c r="E202" i="45"/>
  <c r="B203" i="45"/>
  <c r="C203" i="45"/>
  <c r="E203" i="45"/>
  <c r="F124" i="45"/>
  <c r="L124" i="45"/>
  <c r="A125" i="45"/>
  <c r="A126" i="45"/>
  <c r="F126" i="45"/>
  <c r="L126" i="45"/>
  <c r="F128" i="45"/>
  <c r="G128" i="45"/>
  <c r="H128" i="45"/>
  <c r="I128" i="45"/>
  <c r="J128" i="45"/>
  <c r="K128" i="45"/>
  <c r="L128" i="45"/>
  <c r="C131" i="45"/>
  <c r="A133" i="45"/>
  <c r="A134" i="45" s="1"/>
  <c r="A135" i="45" s="1"/>
  <c r="A136" i="45" s="1"/>
  <c r="A137" i="45" s="1"/>
  <c r="A138" i="45" s="1"/>
  <c r="A140" i="45" s="1"/>
  <c r="A142" i="45" s="1"/>
  <c r="A143" i="45" s="1"/>
  <c r="A144" i="45" s="1"/>
  <c r="A145" i="45" s="1"/>
  <c r="A147" i="45" s="1"/>
  <c r="A149" i="45" s="1"/>
  <c r="A150" i="45" s="1"/>
  <c r="A151" i="45" s="1"/>
  <c r="A152" i="45" s="1"/>
  <c r="A153" i="45" s="1"/>
  <c r="A154" i="45" s="1"/>
  <c r="A155" i="45" s="1"/>
  <c r="B133" i="45"/>
  <c r="C133" i="45"/>
  <c r="E133" i="45"/>
  <c r="B134" i="45"/>
  <c r="C134" i="45"/>
  <c r="E134" i="45"/>
  <c r="B135" i="45"/>
  <c r="C135" i="45"/>
  <c r="E135" i="45"/>
  <c r="B136" i="45"/>
  <c r="C136" i="45"/>
  <c r="E136" i="45"/>
  <c r="B137" i="45"/>
  <c r="C137" i="45"/>
  <c r="E137" i="45"/>
  <c r="C140" i="45"/>
  <c r="B142" i="45"/>
  <c r="C142" i="45"/>
  <c r="E142" i="45"/>
  <c r="B143" i="45"/>
  <c r="C143" i="45"/>
  <c r="E143" i="45"/>
  <c r="B144" i="45"/>
  <c r="C144" i="45"/>
  <c r="E144" i="45"/>
  <c r="C147" i="45"/>
  <c r="B149" i="45"/>
  <c r="C149" i="45"/>
  <c r="E149" i="45"/>
  <c r="B150" i="45"/>
  <c r="C150" i="45"/>
  <c r="E150" i="45"/>
  <c r="B151" i="45"/>
  <c r="C151" i="45"/>
  <c r="E151" i="45"/>
  <c r="B152" i="45"/>
  <c r="C152" i="45"/>
  <c r="B153" i="45"/>
  <c r="C153" i="45"/>
  <c r="E153" i="45"/>
  <c r="B154" i="45"/>
  <c r="C154" i="45"/>
  <c r="E154" i="45"/>
  <c r="B155" i="45"/>
  <c r="B156" i="45" s="1"/>
  <c r="C155" i="45"/>
  <c r="B157" i="45"/>
  <c r="C157" i="45"/>
  <c r="E157" i="45"/>
  <c r="B158" i="45"/>
  <c r="C158" i="45"/>
  <c r="B159" i="45"/>
  <c r="C159" i="45"/>
  <c r="E159" i="45"/>
  <c r="B160" i="45"/>
  <c r="C160" i="45"/>
  <c r="E160" i="45"/>
  <c r="B161" i="45"/>
  <c r="C161" i="45"/>
  <c r="B162" i="45"/>
  <c r="C162" i="45"/>
  <c r="E162" i="45"/>
  <c r="B163" i="45"/>
  <c r="C163" i="45"/>
  <c r="B164" i="45"/>
  <c r="C164" i="45"/>
  <c r="E164" i="45"/>
  <c r="B165" i="45"/>
  <c r="C165" i="45"/>
  <c r="B166" i="45"/>
  <c r="C166" i="45"/>
  <c r="E166" i="45"/>
  <c r="B167" i="45"/>
  <c r="C167" i="45"/>
  <c r="F90" i="45"/>
  <c r="L90" i="45"/>
  <c r="A91" i="45"/>
  <c r="A92" i="45"/>
  <c r="F92" i="45"/>
  <c r="L92" i="45"/>
  <c r="C94" i="45"/>
  <c r="F94" i="45"/>
  <c r="G94" i="45"/>
  <c r="H94" i="45"/>
  <c r="I94" i="45"/>
  <c r="J94" i="45"/>
  <c r="K94" i="45"/>
  <c r="L94" i="45"/>
  <c r="A99" i="45"/>
  <c r="A100" i="45" s="1"/>
  <c r="A101" i="45" s="1"/>
  <c r="A102" i="45" s="1"/>
  <c r="A103" i="45" s="1"/>
  <c r="A104" i="45" s="1"/>
  <c r="A105" i="45" s="1"/>
  <c r="A107" i="45" s="1"/>
  <c r="A109" i="45" s="1"/>
  <c r="A111" i="45" s="1"/>
  <c r="A113" i="45" s="1"/>
  <c r="A115" i="45" s="1"/>
  <c r="A117" i="45" s="1"/>
  <c r="F67" i="45"/>
  <c r="L67" i="45"/>
  <c r="A68" i="45"/>
  <c r="A69" i="45"/>
  <c r="F69" i="45"/>
  <c r="L69" i="45"/>
  <c r="F71" i="45"/>
  <c r="G71" i="45"/>
  <c r="H71" i="45"/>
  <c r="I71" i="45"/>
  <c r="J71" i="45"/>
  <c r="K71" i="45"/>
  <c r="L71" i="45"/>
  <c r="A75" i="45"/>
  <c r="A77" i="45" s="1"/>
  <c r="A79" i="45" s="1"/>
  <c r="A81" i="45" s="1"/>
  <c r="A83" i="45" s="1"/>
  <c r="A85" i="45" s="1"/>
  <c r="A87" i="45" s="1"/>
  <c r="A89" i="45" s="1"/>
  <c r="F75" i="45"/>
  <c r="G75" i="45"/>
  <c r="H75" i="45"/>
  <c r="I75" i="45"/>
  <c r="J75" i="45"/>
  <c r="K75" i="45"/>
  <c r="L75" i="45"/>
  <c r="B77" i="45"/>
  <c r="B79" i="45"/>
  <c r="B83" i="45"/>
  <c r="B87" i="45"/>
  <c r="E460" i="55" l="1"/>
  <c r="E143" i="55"/>
  <c r="E488" i="55"/>
  <c r="E490" i="55"/>
  <c r="E157" i="55"/>
  <c r="E476" i="55"/>
  <c r="E479" i="55"/>
  <c r="E478" i="55"/>
  <c r="E449" i="55"/>
  <c r="E157" i="53"/>
  <c r="E461" i="55"/>
  <c r="E175" i="55"/>
  <c r="I175" i="55" s="1"/>
  <c r="I175" i="45" s="1"/>
  <c r="E507" i="55"/>
  <c r="E493" i="55"/>
  <c r="E494" i="55"/>
  <c r="E474" i="55"/>
  <c r="E409" i="55"/>
  <c r="E145" i="53"/>
  <c r="E489" i="55"/>
  <c r="E492" i="55"/>
  <c r="E428" i="55"/>
  <c r="J428" i="55" s="1"/>
  <c r="E506" i="55"/>
  <c r="E475" i="55"/>
  <c r="E448" i="55"/>
  <c r="E179" i="55"/>
  <c r="E145" i="54"/>
  <c r="E491" i="55"/>
  <c r="E144" i="55"/>
  <c r="E142" i="55"/>
  <c r="E480" i="55"/>
  <c r="E482" i="55"/>
  <c r="E411" i="55"/>
  <c r="E508" i="55"/>
  <c r="G588" i="52"/>
  <c r="E588" i="54" s="1"/>
  <c r="H588" i="52"/>
  <c r="F588" i="52"/>
  <c r="F587" i="52"/>
  <c r="E587" i="53" s="1"/>
  <c r="G587" i="52"/>
  <c r="E587" i="54" s="1"/>
  <c r="H587" i="52"/>
  <c r="H578" i="52"/>
  <c r="F578" i="52"/>
  <c r="E578" i="53" s="1"/>
  <c r="G578" i="52"/>
  <c r="E578" i="54" s="1"/>
  <c r="F606" i="52"/>
  <c r="E606" i="53" s="1"/>
  <c r="G606" i="52"/>
  <c r="E606" i="54" s="1"/>
  <c r="H606" i="52"/>
  <c r="G509" i="52"/>
  <c r="E505" i="54"/>
  <c r="E509" i="54" s="1"/>
  <c r="E648" i="54" s="1"/>
  <c r="F586" i="52"/>
  <c r="G586" i="52"/>
  <c r="E586" i="54" s="1"/>
  <c r="H586" i="52"/>
  <c r="H593" i="52"/>
  <c r="F593" i="52"/>
  <c r="E593" i="53" s="1"/>
  <c r="G593" i="52"/>
  <c r="E593" i="54" s="1"/>
  <c r="F575" i="52"/>
  <c r="E575" i="53" s="1"/>
  <c r="G575" i="52"/>
  <c r="E575" i="54" s="1"/>
  <c r="H575" i="52"/>
  <c r="F581" i="52"/>
  <c r="E581" i="53" s="1"/>
  <c r="H581" i="52"/>
  <c r="G581" i="52"/>
  <c r="E581" i="54" s="1"/>
  <c r="G577" i="52"/>
  <c r="E577" i="54" s="1"/>
  <c r="H577" i="52"/>
  <c r="F577" i="52"/>
  <c r="E577" i="53" s="1"/>
  <c r="G605" i="52"/>
  <c r="E605" i="54" s="1"/>
  <c r="H605" i="52"/>
  <c r="F605" i="52"/>
  <c r="E420" i="54"/>
  <c r="E412" i="54"/>
  <c r="E643" i="54"/>
  <c r="F509" i="52"/>
  <c r="E495" i="54"/>
  <c r="E647" i="54" s="1"/>
  <c r="F591" i="52"/>
  <c r="E591" i="53" s="1"/>
  <c r="G591" i="52"/>
  <c r="E591" i="54" s="1"/>
  <c r="H591" i="52"/>
  <c r="F574" i="52"/>
  <c r="E574" i="53" s="1"/>
  <c r="G574" i="52"/>
  <c r="E574" i="54" s="1"/>
  <c r="H574" i="52"/>
  <c r="G580" i="52"/>
  <c r="E580" i="54" s="1"/>
  <c r="H580" i="52"/>
  <c r="F580" i="52"/>
  <c r="F576" i="52"/>
  <c r="E576" i="53" s="1"/>
  <c r="G576" i="52"/>
  <c r="E576" i="54" s="1"/>
  <c r="H576" i="52"/>
  <c r="F604" i="52"/>
  <c r="G604" i="52"/>
  <c r="H604" i="52"/>
  <c r="E796" i="55"/>
  <c r="E462" i="55"/>
  <c r="E416" i="55"/>
  <c r="E412" i="53"/>
  <c r="E643" i="53"/>
  <c r="H509" i="52"/>
  <c r="E481" i="55"/>
  <c r="E483" i="54"/>
  <c r="E646" i="54" s="1"/>
  <c r="E487" i="55"/>
  <c r="E418" i="55"/>
  <c r="H590" i="52"/>
  <c r="F590" i="52"/>
  <c r="E590" i="53" s="1"/>
  <c r="G590" i="52"/>
  <c r="E590" i="54" s="1"/>
  <c r="H573" i="52"/>
  <c r="F573" i="52"/>
  <c r="E573" i="53" s="1"/>
  <c r="G573" i="52"/>
  <c r="H589" i="52"/>
  <c r="F589" i="52"/>
  <c r="E589" i="53" s="1"/>
  <c r="G589" i="52"/>
  <c r="E589" i="54" s="1"/>
  <c r="G579" i="52"/>
  <c r="E579" i="54" s="1"/>
  <c r="H579" i="52"/>
  <c r="F579" i="52"/>
  <c r="E579" i="53" s="1"/>
  <c r="G607" i="52"/>
  <c r="E607" i="54" s="1"/>
  <c r="H607" i="52"/>
  <c r="F607" i="52"/>
  <c r="E419" i="55"/>
  <c r="E420" i="53"/>
  <c r="E408" i="55"/>
  <c r="E505" i="55"/>
  <c r="E417" i="55"/>
  <c r="E430" i="55"/>
  <c r="K430" i="55" s="1"/>
  <c r="E410" i="55"/>
  <c r="H546" i="52"/>
  <c r="F546" i="52"/>
  <c r="G546" i="52"/>
  <c r="E546" i="54" s="1"/>
  <c r="F560" i="52"/>
  <c r="E560" i="53" s="1"/>
  <c r="H560" i="52"/>
  <c r="G560" i="52"/>
  <c r="E560" i="54" s="1"/>
  <c r="E181" i="55"/>
  <c r="I181" i="55" s="1"/>
  <c r="I181" i="45" s="1"/>
  <c r="E176" i="55"/>
  <c r="F559" i="52"/>
  <c r="G559" i="52"/>
  <c r="E559" i="54" s="1"/>
  <c r="H559" i="52"/>
  <c r="H548" i="52"/>
  <c r="F548" i="52"/>
  <c r="G548" i="52"/>
  <c r="E548" i="54" s="1"/>
  <c r="E799" i="55"/>
  <c r="E799" i="53"/>
  <c r="E444" i="55"/>
  <c r="E447" i="55"/>
  <c r="H547" i="52"/>
  <c r="F547" i="52"/>
  <c r="E547" i="53" s="1"/>
  <c r="G547" i="52"/>
  <c r="E547" i="54" s="1"/>
  <c r="J22" i="57"/>
  <c r="J20" i="57"/>
  <c r="J21" i="57"/>
  <c r="H543" i="52"/>
  <c r="G543" i="52"/>
  <c r="E543" i="54" s="1"/>
  <c r="F543" i="52"/>
  <c r="E543" i="53" s="1"/>
  <c r="G561" i="52"/>
  <c r="E561" i="54" s="1"/>
  <c r="F561" i="52"/>
  <c r="E561" i="53" s="1"/>
  <c r="H561" i="52"/>
  <c r="J430" i="55"/>
  <c r="A324" i="45"/>
  <c r="A325" i="45" s="1"/>
  <c r="A326" i="45" s="1"/>
  <c r="A327" i="45" s="1"/>
  <c r="A328" i="45" s="1"/>
  <c r="A329" i="45" s="1"/>
  <c r="A330" i="45" s="1"/>
  <c r="A331" i="45" s="1"/>
  <c r="A332" i="45" s="1"/>
  <c r="A333" i="45" s="1"/>
  <c r="A334" i="45" s="1"/>
  <c r="A335" i="45" s="1"/>
  <c r="A336" i="45" s="1"/>
  <c r="A156" i="45"/>
  <c r="A157" i="45" s="1"/>
  <c r="A158" i="45" s="1"/>
  <c r="A159" i="45" s="1"/>
  <c r="A160" i="45" s="1"/>
  <c r="A161" i="45" s="1"/>
  <c r="A162" i="45" s="1"/>
  <c r="A163" i="45" s="1"/>
  <c r="A164" i="45" s="1"/>
  <c r="A165" i="45" s="1"/>
  <c r="A166" i="45" s="1"/>
  <c r="A167" i="45" s="1"/>
  <c r="A238" i="45"/>
  <c r="A239" i="45" s="1"/>
  <c r="A240" i="45" s="1"/>
  <c r="A241" i="45" s="1"/>
  <c r="A242" i="45" s="1"/>
  <c r="A243" i="45" s="1"/>
  <c r="A244" i="45" s="1"/>
  <c r="A245" i="45" s="1"/>
  <c r="A246" i="45" s="1"/>
  <c r="A247" i="45" s="1"/>
  <c r="A248" i="45" s="1"/>
  <c r="A249" i="45" s="1"/>
  <c r="A250" i="45" s="1"/>
  <c r="A349" i="45"/>
  <c r="A350" i="45" s="1"/>
  <c r="A351" i="45" s="1"/>
  <c r="A352" i="45" s="1"/>
  <c r="A353" i="45" s="1"/>
  <c r="A354" i="45" s="1"/>
  <c r="A355" i="45" s="1"/>
  <c r="A356" i="45" s="1"/>
  <c r="A358" i="45" s="1"/>
  <c r="A360" i="45" s="1"/>
  <c r="A361" i="45" s="1"/>
  <c r="A362" i="45" s="1"/>
  <c r="A363" i="45" s="1"/>
  <c r="A364" i="45" s="1"/>
  <c r="A365" i="45" s="1"/>
  <c r="A366" i="45" s="1"/>
  <c r="A367" i="45" s="1"/>
  <c r="A368" i="45" s="1"/>
  <c r="A369" i="45" s="1"/>
  <c r="A370" i="45" s="1"/>
  <c r="A371" i="45" s="1"/>
  <c r="A372" i="45" s="1"/>
  <c r="A373" i="45" s="1"/>
  <c r="A375" i="45" s="1"/>
  <c r="L99" i="45"/>
  <c r="E550" i="45"/>
  <c r="E549" i="45"/>
  <c r="E548" i="45"/>
  <c r="E547" i="45"/>
  <c r="E546" i="45"/>
  <c r="E545" i="45"/>
  <c r="E544" i="45"/>
  <c r="E543" i="45"/>
  <c r="E542" i="45"/>
  <c r="E575" i="45"/>
  <c r="E574" i="45"/>
  <c r="E449" i="53"/>
  <c r="E447" i="53"/>
  <c r="E491" i="53"/>
  <c r="E488" i="53"/>
  <c r="E481" i="53"/>
  <c r="E479" i="53"/>
  <c r="E477" i="53"/>
  <c r="E462" i="53"/>
  <c r="E460" i="53"/>
  <c r="K99" i="45"/>
  <c r="E593" i="45"/>
  <c r="E588" i="45"/>
  <c r="E587" i="45"/>
  <c r="E586" i="45"/>
  <c r="E629" i="45"/>
  <c r="E493" i="53"/>
  <c r="E490" i="53"/>
  <c r="E475" i="53"/>
  <c r="E507" i="53"/>
  <c r="E505" i="53"/>
  <c r="E591" i="45"/>
  <c r="E589" i="45"/>
  <c r="E576" i="45"/>
  <c r="E581" i="45"/>
  <c r="E580" i="45"/>
  <c r="E579" i="45"/>
  <c r="E578" i="45"/>
  <c r="E577" i="45"/>
  <c r="E627" i="45"/>
  <c r="E626" i="45"/>
  <c r="E625" i="45"/>
  <c r="E624" i="45"/>
  <c r="E619" i="45"/>
  <c r="E618" i="45"/>
  <c r="E617" i="45"/>
  <c r="E616" i="45"/>
  <c r="E615" i="45"/>
  <c r="E614" i="45"/>
  <c r="E719" i="45"/>
  <c r="E697" i="45"/>
  <c r="E767" i="45"/>
  <c r="E769" i="45" s="1"/>
  <c r="E179" i="53"/>
  <c r="E448" i="53"/>
  <c r="E492" i="53"/>
  <c r="E487" i="53"/>
  <c r="E482" i="53"/>
  <c r="E480" i="53"/>
  <c r="E478" i="53"/>
  <c r="E461" i="53"/>
  <c r="E562" i="45"/>
  <c r="E561" i="45"/>
  <c r="E560" i="45"/>
  <c r="E559" i="45"/>
  <c r="E558" i="45"/>
  <c r="E557" i="45"/>
  <c r="E556" i="45"/>
  <c r="E555" i="45"/>
  <c r="E607" i="45"/>
  <c r="E606" i="45"/>
  <c r="E604" i="45"/>
  <c r="E494" i="53"/>
  <c r="E489" i="53"/>
  <c r="E476" i="53"/>
  <c r="E474" i="53"/>
  <c r="E508" i="53"/>
  <c r="E506" i="53"/>
  <c r="E563" i="52"/>
  <c r="E656" i="52" s="1"/>
  <c r="C11" i="65" s="1"/>
  <c r="E608" i="52"/>
  <c r="E648" i="52"/>
  <c r="E422" i="52"/>
  <c r="E551" i="52"/>
  <c r="F145" i="52"/>
  <c r="E582" i="52"/>
  <c r="E657" i="52" s="1"/>
  <c r="H145" i="52"/>
  <c r="G145" i="52"/>
  <c r="E644" i="52"/>
  <c r="E511" i="52"/>
  <c r="E532" i="52" s="1"/>
  <c r="L805" i="45"/>
  <c r="E643" i="45"/>
  <c r="E530" i="45"/>
  <c r="E649" i="45" s="1"/>
  <c r="E630" i="45"/>
  <c r="E605" i="45"/>
  <c r="E573" i="45"/>
  <c r="E590" i="45"/>
  <c r="E509" i="45"/>
  <c r="E648" i="45" s="1"/>
  <c r="L388" i="45"/>
  <c r="E483" i="45"/>
  <c r="E646" i="45" s="1"/>
  <c r="E452" i="45"/>
  <c r="E644" i="45" s="1"/>
  <c r="E412" i="45"/>
  <c r="E464" i="45"/>
  <c r="E645" i="45" s="1"/>
  <c r="E495" i="45"/>
  <c r="E647" i="45" s="1"/>
  <c r="E420" i="45"/>
  <c r="K388" i="45"/>
  <c r="E306" i="45"/>
  <c r="E373" i="45"/>
  <c r="E313" i="45"/>
  <c r="E220" i="45"/>
  <c r="E289" i="45"/>
  <c r="E227" i="45"/>
  <c r="E204" i="45"/>
  <c r="E145" i="45"/>
  <c r="E138" i="45"/>
  <c r="E75" i="45"/>
  <c r="C12" i="65" l="1"/>
  <c r="E559" i="53"/>
  <c r="K428" i="55"/>
  <c r="H428" i="55"/>
  <c r="H430" i="55"/>
  <c r="L428" i="55"/>
  <c r="G428" i="55"/>
  <c r="L430" i="55"/>
  <c r="I428" i="55"/>
  <c r="F430" i="55"/>
  <c r="I430" i="55"/>
  <c r="F428" i="55"/>
  <c r="G430" i="55"/>
  <c r="E145" i="55"/>
  <c r="E607" i="55"/>
  <c r="E575" i="55"/>
  <c r="E561" i="55"/>
  <c r="E576" i="55"/>
  <c r="E420" i="55"/>
  <c r="E580" i="55"/>
  <c r="F582" i="52"/>
  <c r="E643" i="55"/>
  <c r="E412" i="55"/>
  <c r="E559" i="55"/>
  <c r="E589" i="55"/>
  <c r="E605" i="55"/>
  <c r="E578" i="55"/>
  <c r="E587" i="55"/>
  <c r="E546" i="55"/>
  <c r="E577" i="55"/>
  <c r="E580" i="53"/>
  <c r="E582" i="53" s="1"/>
  <c r="E657" i="53" s="1"/>
  <c r="E547" i="55"/>
  <c r="E579" i="55"/>
  <c r="E586" i="55"/>
  <c r="E588" i="55"/>
  <c r="E422" i="53"/>
  <c r="F608" i="52"/>
  <c r="E422" i="54"/>
  <c r="E573" i="55"/>
  <c r="E604" i="55"/>
  <c r="E581" i="55"/>
  <c r="E593" i="55"/>
  <c r="E606" i="55"/>
  <c r="E590" i="55"/>
  <c r="H608" i="52"/>
  <c r="E574" i="55"/>
  <c r="E543" i="55"/>
  <c r="E573" i="54"/>
  <c r="E582" i="54" s="1"/>
  <c r="E657" i="54" s="1"/>
  <c r="G582" i="52"/>
  <c r="G608" i="52"/>
  <c r="E604" i="54"/>
  <c r="E608" i="54" s="1"/>
  <c r="E659" i="54" s="1"/>
  <c r="E591" i="55"/>
  <c r="E560" i="55"/>
  <c r="E548" i="55"/>
  <c r="J24" i="57"/>
  <c r="J25" i="57"/>
  <c r="J23" i="57"/>
  <c r="E563" i="45"/>
  <c r="E656" i="45" s="1"/>
  <c r="E551" i="45"/>
  <c r="E655" i="45" s="1"/>
  <c r="E650" i="52"/>
  <c r="E586" i="53"/>
  <c r="E605" i="53"/>
  <c r="E483" i="53"/>
  <c r="E646" i="53" s="1"/>
  <c r="E495" i="53"/>
  <c r="E647" i="53" s="1"/>
  <c r="E546" i="53"/>
  <c r="E548" i="53"/>
  <c r="E607" i="53"/>
  <c r="E509" i="53"/>
  <c r="E648" i="53" s="1"/>
  <c r="E588" i="53"/>
  <c r="H582" i="52"/>
  <c r="E604" i="53"/>
  <c r="E659" i="52"/>
  <c r="C14" i="65" s="1"/>
  <c r="E655" i="52"/>
  <c r="C10" i="65" s="1"/>
  <c r="E650" i="45"/>
  <c r="E608" i="45"/>
  <c r="E659" i="45" s="1"/>
  <c r="E582" i="45"/>
  <c r="E657" i="45" s="1"/>
  <c r="E422" i="45"/>
  <c r="E511" i="45"/>
  <c r="E532" i="45" s="1"/>
  <c r="E422" i="55" l="1"/>
  <c r="E608" i="55"/>
  <c r="E659" i="55" s="1"/>
  <c r="E509" i="55"/>
  <c r="E648" i="55" s="1"/>
  <c r="E582" i="55"/>
  <c r="E657" i="55" s="1"/>
  <c r="E483" i="55"/>
  <c r="E646" i="55" s="1"/>
  <c r="E495" i="55"/>
  <c r="E647" i="55" s="1"/>
  <c r="E608" i="53"/>
  <c r="E659" i="53" s="1"/>
  <c r="C70" i="1" l="1"/>
  <c r="D786" i="52" s="1"/>
  <c r="F786" i="52" l="1"/>
  <c r="H786" i="52"/>
  <c r="G786" i="52"/>
  <c r="E786" i="54" s="1"/>
  <c r="D786" i="55"/>
  <c r="D786" i="54"/>
  <c r="D786" i="53"/>
  <c r="D29" i="1"/>
  <c r="E786" i="55" l="1"/>
  <c r="I22" i="50"/>
  <c r="F10" i="50"/>
  <c r="I9" i="50"/>
  <c r="H9" i="50"/>
  <c r="S5" i="50"/>
  <c r="R5" i="50"/>
  <c r="Q5" i="50"/>
  <c r="P5" i="50"/>
  <c r="O5" i="50"/>
  <c r="N5" i="50"/>
  <c r="M5" i="50"/>
  <c r="I5" i="50"/>
  <c r="H5" i="50"/>
  <c r="G5" i="50"/>
  <c r="F5" i="50"/>
  <c r="E5" i="50"/>
  <c r="D5" i="50"/>
  <c r="C5" i="50"/>
  <c r="F35" i="45" l="1"/>
  <c r="L35" i="45"/>
  <c r="A36" i="45"/>
  <c r="A37" i="45"/>
  <c r="F37" i="45"/>
  <c r="L37" i="45"/>
  <c r="C39" i="45"/>
  <c r="F39" i="45"/>
  <c r="G39" i="45"/>
  <c r="H39" i="45"/>
  <c r="I39" i="45"/>
  <c r="J39" i="45"/>
  <c r="K39" i="45"/>
  <c r="L39" i="45"/>
  <c r="A46" i="45"/>
  <c r="A47" i="45" s="1"/>
  <c r="A48" i="45" s="1"/>
  <c r="A49" i="45" s="1"/>
  <c r="A50" i="45" s="1"/>
  <c r="A52" i="45" s="1"/>
  <c r="A54" i="45" s="1"/>
  <c r="A55" i="45" s="1"/>
  <c r="A57" i="45" s="1"/>
  <c r="A59" i="45" s="1"/>
  <c r="A61" i="45" s="1"/>
  <c r="I15" i="50" l="1"/>
  <c r="A19" i="17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12" i="17"/>
  <c r="A11" i="17"/>
  <c r="A10" i="17"/>
  <c r="A9" i="17"/>
  <c r="A8" i="17"/>
  <c r="A7" i="17"/>
  <c r="A6" i="17"/>
  <c r="A2" i="17"/>
  <c r="A32" i="17" l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K44" i="45"/>
  <c r="L44" i="45"/>
  <c r="L153" i="15"/>
  <c r="K153" i="15"/>
  <c r="J153" i="15"/>
  <c r="I153" i="15"/>
  <c r="H153" i="15"/>
  <c r="G153" i="15"/>
  <c r="F153" i="15"/>
  <c r="M152" i="15"/>
  <c r="M149" i="15"/>
  <c r="M148" i="15"/>
  <c r="M147" i="15"/>
  <c r="M146" i="15"/>
  <c r="M145" i="15"/>
  <c r="M144" i="15"/>
  <c r="M143" i="15"/>
  <c r="M142" i="15"/>
  <c r="M141" i="15"/>
  <c r="M140" i="15"/>
  <c r="M139" i="15"/>
  <c r="M138" i="15"/>
  <c r="M137" i="15"/>
  <c r="M136" i="15"/>
  <c r="M135" i="15"/>
  <c r="M134" i="15"/>
  <c r="M133" i="15"/>
  <c r="M132" i="15"/>
  <c r="M131" i="15"/>
  <c r="M130" i="15"/>
  <c r="M129" i="15"/>
  <c r="M128" i="15"/>
  <c r="M127" i="15"/>
  <c r="M126" i="15"/>
  <c r="M125" i="15"/>
  <c r="M124" i="15"/>
  <c r="M123" i="15"/>
  <c r="M122" i="15"/>
  <c r="M121" i="15"/>
  <c r="M120" i="15"/>
  <c r="M119" i="15"/>
  <c r="M118" i="15"/>
  <c r="M117" i="15"/>
  <c r="M116" i="15"/>
  <c r="M115" i="15"/>
  <c r="M114" i="15"/>
  <c r="M113" i="15"/>
  <c r="M112" i="15"/>
  <c r="M111" i="15"/>
  <c r="M110" i="15"/>
  <c r="M109" i="15"/>
  <c r="M108" i="15"/>
  <c r="M107" i="15"/>
  <c r="M106" i="15"/>
  <c r="M105" i="15"/>
  <c r="M104" i="15"/>
  <c r="M103" i="15"/>
  <c r="M102" i="15"/>
  <c r="M101" i="15"/>
  <c r="M100" i="15"/>
  <c r="M99" i="15"/>
  <c r="M98" i="15"/>
  <c r="M97" i="15"/>
  <c r="M96" i="15"/>
  <c r="M95" i="15"/>
  <c r="M94" i="15"/>
  <c r="M93" i="15"/>
  <c r="M92" i="15"/>
  <c r="M91" i="15"/>
  <c r="M90" i="15"/>
  <c r="M89" i="15"/>
  <c r="M88" i="15"/>
  <c r="M87" i="15"/>
  <c r="M86" i="15"/>
  <c r="M85" i="15"/>
  <c r="M84" i="15"/>
  <c r="M83" i="15"/>
  <c r="M82" i="15"/>
  <c r="M81" i="15"/>
  <c r="M80" i="15"/>
  <c r="M79" i="15"/>
  <c r="M78" i="15"/>
  <c r="M77" i="15"/>
  <c r="M76" i="15"/>
  <c r="M75" i="15"/>
  <c r="M74" i="15"/>
  <c r="M73" i="15"/>
  <c r="M72" i="15"/>
  <c r="M71" i="15"/>
  <c r="M70" i="15"/>
  <c r="M69" i="15"/>
  <c r="M68" i="15"/>
  <c r="M67" i="15"/>
  <c r="M66" i="15"/>
  <c r="M65" i="15"/>
  <c r="M64" i="15"/>
  <c r="M63" i="15"/>
  <c r="M62" i="15"/>
  <c r="M61" i="15"/>
  <c r="M60" i="15"/>
  <c r="M59" i="15"/>
  <c r="M58" i="15"/>
  <c r="M57" i="15"/>
  <c r="M56" i="15"/>
  <c r="M55" i="15"/>
  <c r="M54" i="15"/>
  <c r="M53" i="15"/>
  <c r="M52" i="15"/>
  <c r="M51" i="15"/>
  <c r="M50" i="15"/>
  <c r="M49" i="15"/>
  <c r="M48" i="15"/>
  <c r="M47" i="15"/>
  <c r="M46" i="15"/>
  <c r="M45" i="15"/>
  <c r="M44" i="15"/>
  <c r="M43" i="15"/>
  <c r="M42" i="15"/>
  <c r="M41" i="15"/>
  <c r="M40" i="15"/>
  <c r="M39" i="15"/>
  <c r="M38" i="15"/>
  <c r="M37" i="15"/>
  <c r="M36" i="15"/>
  <c r="M35" i="15"/>
  <c r="M34" i="15"/>
  <c r="M33" i="15"/>
  <c r="M32" i="15"/>
  <c r="M31" i="15"/>
  <c r="M30" i="15"/>
  <c r="M29" i="15"/>
  <c r="M28" i="15"/>
  <c r="M27" i="15"/>
  <c r="M26" i="15"/>
  <c r="M25" i="15"/>
  <c r="M24" i="15"/>
  <c r="M23" i="15"/>
  <c r="M22" i="15"/>
  <c r="M21" i="15"/>
  <c r="M20" i="15"/>
  <c r="M19" i="15"/>
  <c r="M18" i="15"/>
  <c r="M17" i="15"/>
  <c r="M16" i="15"/>
  <c r="M15" i="15"/>
  <c r="M14" i="15"/>
  <c r="M13" i="15"/>
  <c r="M12" i="15"/>
  <c r="M11" i="15"/>
  <c r="M10" i="15"/>
  <c r="M9" i="15"/>
  <c r="E34" i="14"/>
  <c r="D34" i="14"/>
  <c r="B34" i="14"/>
  <c r="A34" i="14"/>
  <c r="C34" i="14" s="1"/>
  <c r="E33" i="14"/>
  <c r="D33" i="14"/>
  <c r="B33" i="14"/>
  <c r="A33" i="14"/>
  <c r="C33" i="14" s="1"/>
  <c r="E32" i="14"/>
  <c r="D32" i="14"/>
  <c r="B32" i="14"/>
  <c r="A32" i="14"/>
  <c r="C32" i="14" s="1"/>
  <c r="E31" i="14"/>
  <c r="D31" i="14"/>
  <c r="C31" i="14"/>
  <c r="B31" i="14"/>
  <c r="A31" i="14"/>
  <c r="E30" i="14"/>
  <c r="D30" i="14"/>
  <c r="C30" i="14"/>
  <c r="B30" i="14"/>
  <c r="A30" i="14"/>
  <c r="E29" i="14"/>
  <c r="D29" i="14"/>
  <c r="B29" i="14"/>
  <c r="A29" i="14"/>
  <c r="C29" i="14" s="1"/>
  <c r="E28" i="14"/>
  <c r="D28" i="14"/>
  <c r="B28" i="14"/>
  <c r="A28" i="14"/>
  <c r="C28" i="14" s="1"/>
  <c r="E27" i="14"/>
  <c r="D27" i="14"/>
  <c r="B27" i="14"/>
  <c r="A27" i="14"/>
  <c r="C27" i="14" s="1"/>
  <c r="E26" i="14"/>
  <c r="D26" i="14"/>
  <c r="B26" i="14"/>
  <c r="A26" i="14"/>
  <c r="C26" i="14" s="1"/>
  <c r="E25" i="14"/>
  <c r="D25" i="14"/>
  <c r="B25" i="14"/>
  <c r="A25" i="14"/>
  <c r="C25" i="14" s="1"/>
  <c r="E24" i="14"/>
  <c r="D24" i="14"/>
  <c r="B24" i="14"/>
  <c r="A24" i="14"/>
  <c r="C24" i="14" s="1"/>
  <c r="E23" i="14"/>
  <c r="D23" i="14"/>
  <c r="C23" i="14"/>
  <c r="B23" i="14"/>
  <c r="A23" i="14"/>
  <c r="E22" i="14"/>
  <c r="D22" i="14"/>
  <c r="C22" i="14"/>
  <c r="B22" i="14"/>
  <c r="A22" i="14"/>
  <c r="E21" i="14"/>
  <c r="D21" i="14"/>
  <c r="B21" i="14"/>
  <c r="A21" i="14"/>
  <c r="C21" i="14" s="1"/>
  <c r="E20" i="14"/>
  <c r="D20" i="14"/>
  <c r="B20" i="14"/>
  <c r="A20" i="14"/>
  <c r="C20" i="14" s="1"/>
  <c r="E19" i="14"/>
  <c r="D19" i="14"/>
  <c r="B19" i="14"/>
  <c r="A19" i="14"/>
  <c r="C19" i="14" s="1"/>
  <c r="E18" i="14"/>
  <c r="D18" i="14"/>
  <c r="B18" i="14"/>
  <c r="A18" i="14"/>
  <c r="C18" i="14" s="1"/>
  <c r="E17" i="14"/>
  <c r="D17" i="14"/>
  <c r="B17" i="14"/>
  <c r="A17" i="14"/>
  <c r="C17" i="14" s="1"/>
  <c r="E16" i="14"/>
  <c r="D16" i="14"/>
  <c r="B16" i="14"/>
  <c r="A16" i="14"/>
  <c r="C16" i="14" s="1"/>
  <c r="E15" i="14"/>
  <c r="D15" i="14"/>
  <c r="C15" i="14"/>
  <c r="B15" i="14"/>
  <c r="A15" i="14"/>
  <c r="E14" i="14"/>
  <c r="D14" i="14"/>
  <c r="C14" i="14"/>
  <c r="B14" i="14"/>
  <c r="A14" i="14"/>
  <c r="E13" i="14"/>
  <c r="D13" i="14"/>
  <c r="B13" i="14"/>
  <c r="A13" i="14"/>
  <c r="C13" i="14" s="1"/>
  <c r="E12" i="14"/>
  <c r="D12" i="14"/>
  <c r="B12" i="14"/>
  <c r="A12" i="14"/>
  <c r="C12" i="14" s="1"/>
  <c r="E11" i="14"/>
  <c r="D11" i="14"/>
  <c r="B11" i="14"/>
  <c r="A11" i="14"/>
  <c r="C11" i="14" s="1"/>
  <c r="E10" i="14"/>
  <c r="D10" i="14"/>
  <c r="B10" i="14"/>
  <c r="A10" i="14"/>
  <c r="C10" i="14" s="1"/>
  <c r="E9" i="14"/>
  <c r="D9" i="14"/>
  <c r="B9" i="14"/>
  <c r="A9" i="14"/>
  <c r="C9" i="14" s="1"/>
  <c r="E32" i="13"/>
  <c r="D32" i="13"/>
  <c r="E35" i="14" l="1"/>
  <c r="D35" i="14"/>
  <c r="E61" i="14"/>
  <c r="D60" i="14"/>
  <c r="E57" i="14"/>
  <c r="D56" i="14"/>
  <c r="F56" i="14" s="1"/>
  <c r="E53" i="14"/>
  <c r="D52" i="14"/>
  <c r="E49" i="14"/>
  <c r="D48" i="14"/>
  <c r="D54" i="14"/>
  <c r="F54" i="14" s="1"/>
  <c r="E60" i="14"/>
  <c r="D55" i="14"/>
  <c r="E48" i="14"/>
  <c r="D61" i="14"/>
  <c r="F61" i="14" s="1"/>
  <c r="E58" i="14"/>
  <c r="D57" i="14"/>
  <c r="F57" i="14" s="1"/>
  <c r="E54" i="14"/>
  <c r="D53" i="14"/>
  <c r="F53" i="14" s="1"/>
  <c r="E50" i="14"/>
  <c r="D49" i="14"/>
  <c r="F49" i="14" s="1"/>
  <c r="E47" i="14"/>
  <c r="D50" i="14"/>
  <c r="F50" i="14" s="1"/>
  <c r="E56" i="14"/>
  <c r="D51" i="14"/>
  <c r="F51" i="14" s="1"/>
  <c r="N22" i="15" s="1"/>
  <c r="P22" i="15" s="1"/>
  <c r="E59" i="14"/>
  <c r="D58" i="14"/>
  <c r="F58" i="14" s="1"/>
  <c r="E55" i="14"/>
  <c r="E51" i="14"/>
  <c r="D47" i="14"/>
  <c r="D59" i="14"/>
  <c r="F59" i="14" s="1"/>
  <c r="E52" i="14"/>
  <c r="H594" i="1"/>
  <c r="J9" i="11"/>
  <c r="K9" i="11" s="1"/>
  <c r="J10" i="11"/>
  <c r="K10" i="11" s="1"/>
  <c r="J11" i="11"/>
  <c r="K11" i="11" s="1"/>
  <c r="J12" i="11"/>
  <c r="K12" i="11" s="1"/>
  <c r="J13" i="11"/>
  <c r="K13" i="11" s="1"/>
  <c r="J14" i="11"/>
  <c r="K14" i="11" s="1"/>
  <c r="J15" i="11"/>
  <c r="K15" i="11" s="1"/>
  <c r="J16" i="11"/>
  <c r="K16" i="11" s="1"/>
  <c r="J17" i="11"/>
  <c r="K17" i="11" s="1"/>
  <c r="J18" i="11"/>
  <c r="K18" i="11" s="1"/>
  <c r="J19" i="11"/>
  <c r="K19" i="11" s="1"/>
  <c r="J20" i="11"/>
  <c r="K20" i="11" s="1"/>
  <c r="J21" i="11"/>
  <c r="K21" i="11" s="1"/>
  <c r="J22" i="11"/>
  <c r="K22" i="11" s="1"/>
  <c r="J23" i="11"/>
  <c r="K23" i="11" s="1"/>
  <c r="J24" i="11"/>
  <c r="K24" i="11" s="1"/>
  <c r="J25" i="11"/>
  <c r="K25" i="11" s="1"/>
  <c r="J26" i="11"/>
  <c r="K26" i="11" s="1"/>
  <c r="J27" i="11"/>
  <c r="K27" i="11" s="1"/>
  <c r="J28" i="11"/>
  <c r="K28" i="11" s="1"/>
  <c r="J29" i="11"/>
  <c r="K29" i="11" s="1"/>
  <c r="J30" i="11"/>
  <c r="K30" i="11" s="1"/>
  <c r="J31" i="11"/>
  <c r="K31" i="11" s="1"/>
  <c r="J32" i="11"/>
  <c r="K32" i="11" s="1"/>
  <c r="J33" i="11"/>
  <c r="K33" i="11" s="1"/>
  <c r="J34" i="11"/>
  <c r="K34" i="11" s="1"/>
  <c r="J35" i="11"/>
  <c r="K35" i="11" s="1"/>
  <c r="J36" i="11"/>
  <c r="K36" i="11" s="1"/>
  <c r="J37" i="11"/>
  <c r="K37" i="11" s="1"/>
  <c r="J38" i="11"/>
  <c r="K38" i="11" s="1"/>
  <c r="J39" i="11"/>
  <c r="K39" i="11" s="1"/>
  <c r="J40" i="11"/>
  <c r="K40" i="11" s="1"/>
  <c r="J41" i="11"/>
  <c r="K41" i="11" s="1"/>
  <c r="J42" i="11"/>
  <c r="K42" i="11" s="1"/>
  <c r="J43" i="11"/>
  <c r="K43" i="11" s="1"/>
  <c r="J44" i="11"/>
  <c r="K44" i="11" s="1"/>
  <c r="J45" i="11"/>
  <c r="K45" i="11" s="1"/>
  <c r="J46" i="11"/>
  <c r="K46" i="11" s="1"/>
  <c r="J47" i="11"/>
  <c r="K47" i="11" s="1"/>
  <c r="J48" i="11"/>
  <c r="K48" i="11" s="1"/>
  <c r="J49" i="11"/>
  <c r="K49" i="11" s="1"/>
  <c r="J50" i="11"/>
  <c r="K50" i="11" s="1"/>
  <c r="J51" i="11"/>
  <c r="K51" i="11" s="1"/>
  <c r="J52" i="11"/>
  <c r="K52" i="11" s="1"/>
  <c r="J53" i="11"/>
  <c r="K53" i="11" s="1"/>
  <c r="J54" i="11"/>
  <c r="K54" i="11" s="1"/>
  <c r="J55" i="11"/>
  <c r="K55" i="11" s="1"/>
  <c r="J56" i="11"/>
  <c r="K56" i="11" s="1"/>
  <c r="J57" i="11"/>
  <c r="K57" i="11" s="1"/>
  <c r="J58" i="11"/>
  <c r="K58" i="11" s="1"/>
  <c r="J59" i="11"/>
  <c r="K59" i="11" s="1"/>
  <c r="J60" i="11"/>
  <c r="K60" i="11" s="1"/>
  <c r="J61" i="11"/>
  <c r="K61" i="11" s="1"/>
  <c r="J62" i="11"/>
  <c r="K62" i="11" s="1"/>
  <c r="J63" i="11"/>
  <c r="K63" i="11" s="1"/>
  <c r="J64" i="11"/>
  <c r="K64" i="11" s="1"/>
  <c r="J65" i="11"/>
  <c r="K65" i="11" s="1"/>
  <c r="J66" i="11"/>
  <c r="K66" i="11" s="1"/>
  <c r="J67" i="11"/>
  <c r="K67" i="11" s="1"/>
  <c r="J68" i="11"/>
  <c r="K68" i="11" s="1"/>
  <c r="J69" i="11"/>
  <c r="K69" i="11" s="1"/>
  <c r="J70" i="11"/>
  <c r="K70" i="11" s="1"/>
  <c r="J71" i="11"/>
  <c r="K71" i="11" s="1"/>
  <c r="J72" i="11"/>
  <c r="K72" i="11" s="1"/>
  <c r="J73" i="11"/>
  <c r="K73" i="11" s="1"/>
  <c r="J74" i="11"/>
  <c r="K74" i="11" s="1"/>
  <c r="J75" i="11"/>
  <c r="K75" i="11" s="1"/>
  <c r="J76" i="11"/>
  <c r="K76" i="11" s="1"/>
  <c r="J77" i="11"/>
  <c r="K77" i="11" s="1"/>
  <c r="J78" i="11"/>
  <c r="K78" i="11" s="1"/>
  <c r="J79" i="11"/>
  <c r="K79" i="11" s="1"/>
  <c r="J80" i="11"/>
  <c r="K80" i="11" s="1"/>
  <c r="J81" i="11"/>
  <c r="K81" i="11" s="1"/>
  <c r="J82" i="11"/>
  <c r="K82" i="11" s="1"/>
  <c r="J83" i="11"/>
  <c r="K83" i="11" s="1"/>
  <c r="J84" i="11"/>
  <c r="K84" i="11" s="1"/>
  <c r="J85" i="11"/>
  <c r="K85" i="11" s="1"/>
  <c r="J86" i="11"/>
  <c r="K86" i="11" s="1"/>
  <c r="J87" i="11"/>
  <c r="K87" i="11" s="1"/>
  <c r="J88" i="11"/>
  <c r="K88" i="11" s="1"/>
  <c r="J89" i="11"/>
  <c r="K89" i="11" s="1"/>
  <c r="J90" i="11"/>
  <c r="K90" i="11" s="1"/>
  <c r="J91" i="11"/>
  <c r="K91" i="11" s="1"/>
  <c r="J92" i="11"/>
  <c r="K92" i="11" s="1"/>
  <c r="J93" i="11"/>
  <c r="K93" i="11" s="1"/>
  <c r="J94" i="11"/>
  <c r="K94" i="11" s="1"/>
  <c r="J95" i="11"/>
  <c r="K95" i="11" s="1"/>
  <c r="J96" i="11"/>
  <c r="K96" i="11" s="1"/>
  <c r="J97" i="11"/>
  <c r="K97" i="11" s="1"/>
  <c r="J98" i="11"/>
  <c r="K98" i="11" s="1"/>
  <c r="J99" i="11"/>
  <c r="K99" i="11" s="1"/>
  <c r="J100" i="11"/>
  <c r="K100" i="11" s="1"/>
  <c r="J101" i="11"/>
  <c r="K101" i="11" s="1"/>
  <c r="J102" i="11"/>
  <c r="K102" i="11" s="1"/>
  <c r="J103" i="11"/>
  <c r="K103" i="11" s="1"/>
  <c r="J104" i="11"/>
  <c r="K104" i="11" s="1"/>
  <c r="J105" i="11"/>
  <c r="K105" i="11" s="1"/>
  <c r="J106" i="11"/>
  <c r="K106" i="11" s="1"/>
  <c r="J107" i="11"/>
  <c r="K107" i="11" s="1"/>
  <c r="J108" i="11"/>
  <c r="K108" i="11" s="1"/>
  <c r="J109" i="11"/>
  <c r="K109" i="11" s="1"/>
  <c r="J110" i="11"/>
  <c r="K110" i="11" s="1"/>
  <c r="J111" i="11"/>
  <c r="K111" i="11" s="1"/>
  <c r="J112" i="11"/>
  <c r="K112" i="11" s="1"/>
  <c r="J113" i="11"/>
  <c r="K113" i="11" s="1"/>
  <c r="J114" i="11"/>
  <c r="K114" i="11" s="1"/>
  <c r="J115" i="11"/>
  <c r="K115" i="11" s="1"/>
  <c r="J116" i="11"/>
  <c r="K116" i="11" s="1"/>
  <c r="J117" i="11"/>
  <c r="K117" i="11" s="1"/>
  <c r="J118" i="11"/>
  <c r="K118" i="11" s="1"/>
  <c r="J119" i="11"/>
  <c r="K119" i="11" s="1"/>
  <c r="J120" i="11"/>
  <c r="K120" i="11" s="1"/>
  <c r="J121" i="11"/>
  <c r="K121" i="11" s="1"/>
  <c r="J122" i="11"/>
  <c r="K122" i="11" s="1"/>
  <c r="J123" i="11"/>
  <c r="K123" i="11" s="1"/>
  <c r="J124" i="11"/>
  <c r="K124" i="11" s="1"/>
  <c r="J125" i="11"/>
  <c r="K125" i="11" s="1"/>
  <c r="J126" i="11"/>
  <c r="K126" i="11" s="1"/>
  <c r="J127" i="11"/>
  <c r="K127" i="11" s="1"/>
  <c r="J128" i="11"/>
  <c r="K128" i="11" s="1"/>
  <c r="J129" i="11"/>
  <c r="K129" i="11" s="1"/>
  <c r="J130" i="11"/>
  <c r="K130" i="11" s="1"/>
  <c r="J131" i="11"/>
  <c r="K131" i="11" s="1"/>
  <c r="J132" i="11"/>
  <c r="K132" i="11" s="1"/>
  <c r="J8" i="11"/>
  <c r="K8" i="11" s="1"/>
  <c r="F23" i="50" l="1"/>
  <c r="G23" i="61"/>
  <c r="G23" i="60"/>
  <c r="G23" i="59"/>
  <c r="E145" i="11"/>
  <c r="D62" i="14"/>
  <c r="D65" i="14" s="1"/>
  <c r="E62" i="14"/>
  <c r="E65" i="14" s="1"/>
  <c r="F48" i="14"/>
  <c r="N125" i="15"/>
  <c r="P125" i="15" s="1"/>
  <c r="N130" i="15"/>
  <c r="N100" i="15"/>
  <c r="N94" i="15"/>
  <c r="P94" i="15" s="1"/>
  <c r="N66" i="15"/>
  <c r="N132" i="15"/>
  <c r="P132" i="15" s="1"/>
  <c r="N108" i="15"/>
  <c r="N142" i="15"/>
  <c r="P142" i="15" s="1"/>
  <c r="N118" i="15"/>
  <c r="N79" i="15"/>
  <c r="P79" i="15" s="1"/>
  <c r="N57" i="15"/>
  <c r="N39" i="15"/>
  <c r="N29" i="15"/>
  <c r="N21" i="15"/>
  <c r="N133" i="15"/>
  <c r="P133" i="15" s="1"/>
  <c r="N111" i="15"/>
  <c r="N62" i="15"/>
  <c r="N60" i="15"/>
  <c r="N97" i="15"/>
  <c r="P97" i="15" s="1"/>
  <c r="N63" i="15"/>
  <c r="N25" i="15"/>
  <c r="P25" i="15" s="1"/>
  <c r="F55" i="14"/>
  <c r="F52" i="14"/>
  <c r="F60" i="14"/>
  <c r="N143" i="15"/>
  <c r="P143" i="15" s="1"/>
  <c r="N81" i="15"/>
  <c r="P81" i="15" s="1"/>
  <c r="N41" i="15"/>
  <c r="N24" i="15"/>
  <c r="E144" i="11" l="1"/>
  <c r="J594" i="1" s="1"/>
  <c r="P41" i="15"/>
  <c r="P62" i="15"/>
  <c r="P29" i="15"/>
  <c r="P66" i="15"/>
  <c r="P63" i="15"/>
  <c r="P111" i="15"/>
  <c r="P39" i="15"/>
  <c r="P108" i="15"/>
  <c r="P100" i="15"/>
  <c r="P24" i="15"/>
  <c r="P60" i="15"/>
  <c r="P21" i="15"/>
  <c r="P130" i="15"/>
  <c r="N119" i="15"/>
  <c r="N109" i="15"/>
  <c r="P109" i="15" s="1"/>
  <c r="N80" i="15"/>
  <c r="P80" i="15" s="1"/>
  <c r="N58" i="15"/>
  <c r="N40" i="15"/>
  <c r="N152" i="15"/>
  <c r="N126" i="15"/>
  <c r="P126" i="15" s="1"/>
  <c r="N95" i="15"/>
  <c r="N67" i="15"/>
  <c r="N23" i="15"/>
  <c r="N149" i="15"/>
  <c r="N147" i="15"/>
  <c r="P147" i="15" s="1"/>
  <c r="N145" i="15"/>
  <c r="P145" i="15" s="1"/>
  <c r="N141" i="15"/>
  <c r="P141" i="15" s="1"/>
  <c r="N139" i="15"/>
  <c r="P139" i="15" s="1"/>
  <c r="N137" i="15"/>
  <c r="P137" i="15" s="1"/>
  <c r="N135" i="15"/>
  <c r="N131" i="15"/>
  <c r="N129" i="15"/>
  <c r="N127" i="15"/>
  <c r="N123" i="15"/>
  <c r="P123" i="15" s="1"/>
  <c r="N121" i="15"/>
  <c r="P121" i="15" s="1"/>
  <c r="N117" i="15"/>
  <c r="N113" i="15"/>
  <c r="N107" i="15"/>
  <c r="P107" i="15" s="1"/>
  <c r="N146" i="15"/>
  <c r="P146" i="15" s="1"/>
  <c r="N138" i="15"/>
  <c r="P138" i="15" s="1"/>
  <c r="N122" i="15"/>
  <c r="P122" i="15" s="1"/>
  <c r="N106" i="15"/>
  <c r="P106" i="15" s="1"/>
  <c r="N104" i="15"/>
  <c r="N102" i="15"/>
  <c r="N98" i="15"/>
  <c r="P98" i="15" s="1"/>
  <c r="N92" i="15"/>
  <c r="P92" i="15" s="1"/>
  <c r="N90" i="15"/>
  <c r="P90" i="15" s="1"/>
  <c r="N88" i="15"/>
  <c r="P88" i="15" s="1"/>
  <c r="N86" i="15"/>
  <c r="N84" i="15"/>
  <c r="N78" i="15"/>
  <c r="P78" i="15" s="1"/>
  <c r="N76" i="15"/>
  <c r="P76" i="15" s="1"/>
  <c r="N74" i="15"/>
  <c r="P74" i="15" s="1"/>
  <c r="N72" i="15"/>
  <c r="N70" i="15"/>
  <c r="P70" i="15" s="1"/>
  <c r="N64" i="15"/>
  <c r="N148" i="15"/>
  <c r="N140" i="15"/>
  <c r="P140" i="15" s="1"/>
  <c r="N124" i="15"/>
  <c r="P124" i="15" s="1"/>
  <c r="N116" i="15"/>
  <c r="N54" i="15"/>
  <c r="N48" i="15"/>
  <c r="N44" i="15"/>
  <c r="P44" i="15" s="1"/>
  <c r="N34" i="15"/>
  <c r="P34" i="15" s="1"/>
  <c r="N28" i="15"/>
  <c r="P28" i="15" s="1"/>
  <c r="N14" i="15"/>
  <c r="P14" i="15" s="1"/>
  <c r="N134" i="15"/>
  <c r="P134" i="15" s="1"/>
  <c r="N105" i="15"/>
  <c r="P105" i="15" s="1"/>
  <c r="N103" i="15"/>
  <c r="P103" i="15" s="1"/>
  <c r="N101" i="15"/>
  <c r="N99" i="15"/>
  <c r="P99" i="15" s="1"/>
  <c r="N93" i="15"/>
  <c r="P93" i="15" s="1"/>
  <c r="N91" i="15"/>
  <c r="N89" i="15"/>
  <c r="P89" i="15" s="1"/>
  <c r="N87" i="15"/>
  <c r="N85" i="15"/>
  <c r="N83" i="15"/>
  <c r="P83" i="15" s="1"/>
  <c r="N77" i="15"/>
  <c r="P77" i="15" s="1"/>
  <c r="N75" i="15"/>
  <c r="P75" i="15" s="1"/>
  <c r="N73" i="15"/>
  <c r="N71" i="15"/>
  <c r="N69" i="15"/>
  <c r="N65" i="15"/>
  <c r="N55" i="15"/>
  <c r="N53" i="15"/>
  <c r="N51" i="15"/>
  <c r="N49" i="15"/>
  <c r="N47" i="15"/>
  <c r="P47" i="15" s="1"/>
  <c r="N45" i="15"/>
  <c r="P45" i="15" s="1"/>
  <c r="N43" i="15"/>
  <c r="P43" i="15" s="1"/>
  <c r="N37" i="15"/>
  <c r="P37" i="15" s="1"/>
  <c r="N35" i="15"/>
  <c r="P35" i="15" s="1"/>
  <c r="N33" i="15"/>
  <c r="P33" i="15" s="1"/>
  <c r="N31" i="15"/>
  <c r="P31" i="15" s="1"/>
  <c r="N27" i="15"/>
  <c r="P27" i="15" s="1"/>
  <c r="N19" i="15"/>
  <c r="P19" i="15" s="1"/>
  <c r="N17" i="15"/>
  <c r="P17" i="15" s="1"/>
  <c r="N15" i="15"/>
  <c r="P15" i="15" s="1"/>
  <c r="N13" i="15"/>
  <c r="P13" i="15" s="1"/>
  <c r="N11" i="15"/>
  <c r="P11" i="15" s="1"/>
  <c r="N9" i="15"/>
  <c r="N52" i="15"/>
  <c r="N36" i="15"/>
  <c r="P36" i="15" s="1"/>
  <c r="N30" i="15"/>
  <c r="N18" i="15"/>
  <c r="P18" i="15" s="1"/>
  <c r="N12" i="15"/>
  <c r="N144" i="15"/>
  <c r="P144" i="15" s="1"/>
  <c r="N136" i="15"/>
  <c r="P136" i="15" s="1"/>
  <c r="N128" i="15"/>
  <c r="P128" i="15" s="1"/>
  <c r="N120" i="15"/>
  <c r="P120" i="15" s="1"/>
  <c r="N112" i="15"/>
  <c r="N56" i="15"/>
  <c r="N50" i="15"/>
  <c r="N46" i="15"/>
  <c r="N42" i="15"/>
  <c r="N38" i="15"/>
  <c r="P38" i="15" s="1"/>
  <c r="N32" i="15"/>
  <c r="P32" i="15" s="1"/>
  <c r="N26" i="15"/>
  <c r="N20" i="15"/>
  <c r="P20" i="15" s="1"/>
  <c r="N16" i="15"/>
  <c r="P16" i="15" s="1"/>
  <c r="N10" i="15"/>
  <c r="P10" i="15" s="1"/>
  <c r="N115" i="15"/>
  <c r="N114" i="15"/>
  <c r="N96" i="15"/>
  <c r="N82" i="15"/>
  <c r="P82" i="15" s="1"/>
  <c r="N68" i="15"/>
  <c r="N110" i="15"/>
  <c r="P110" i="15" s="1"/>
  <c r="N61" i="15"/>
  <c r="N59" i="15"/>
  <c r="E146" i="11"/>
  <c r="K594" i="1"/>
  <c r="G594" i="1"/>
  <c r="F594" i="1"/>
  <c r="I594" i="1"/>
  <c r="G23" i="50" l="1"/>
  <c r="H23" i="61"/>
  <c r="H23" i="59"/>
  <c r="H23" i="60"/>
  <c r="I23" i="50"/>
  <c r="J23" i="61"/>
  <c r="J23" i="59"/>
  <c r="J23" i="60"/>
  <c r="D23" i="50"/>
  <c r="E23" i="61"/>
  <c r="E23" i="59"/>
  <c r="E23" i="60"/>
  <c r="E23" i="50"/>
  <c r="F23" i="61"/>
  <c r="F23" i="59"/>
  <c r="F23" i="60"/>
  <c r="H23" i="50"/>
  <c r="I23" i="61"/>
  <c r="I23" i="59"/>
  <c r="I23" i="60"/>
  <c r="P96" i="15"/>
  <c r="P49" i="15"/>
  <c r="P104" i="15"/>
  <c r="P131" i="15"/>
  <c r="P95" i="15"/>
  <c r="P68" i="15"/>
  <c r="P61" i="15"/>
  <c r="P42" i="15"/>
  <c r="P65" i="15"/>
  <c r="P87" i="15"/>
  <c r="P26" i="15"/>
  <c r="P46" i="15"/>
  <c r="P12" i="15"/>
  <c r="P52" i="15"/>
  <c r="P51" i="15"/>
  <c r="P69" i="15"/>
  <c r="P101" i="15"/>
  <c r="P48" i="15"/>
  <c r="P72" i="15"/>
  <c r="P84" i="15"/>
  <c r="P135" i="15"/>
  <c r="P50" i="15"/>
  <c r="P71" i="15"/>
  <c r="P148" i="15"/>
  <c r="P86" i="15"/>
  <c r="P127" i="15"/>
  <c r="P23" i="15"/>
  <c r="P152" i="15"/>
  <c r="O160" i="15" s="1"/>
  <c r="P9" i="15"/>
  <c r="P53" i="15"/>
  <c r="P91" i="15"/>
  <c r="P30" i="15"/>
  <c r="P73" i="15"/>
  <c r="P85" i="15"/>
  <c r="P64" i="15"/>
  <c r="P102" i="15"/>
  <c r="P129" i="15"/>
  <c r="P149" i="15"/>
  <c r="P67" i="15"/>
  <c r="P40" i="15"/>
  <c r="F136" i="11"/>
  <c r="O159" i="15" l="1"/>
  <c r="O164" i="15"/>
  <c r="O158" i="15"/>
  <c r="P154" i="15"/>
  <c r="O157" i="15"/>
  <c r="F144" i="11"/>
  <c r="E594" i="1"/>
  <c r="C23" i="50" l="1"/>
  <c r="L23" i="50" s="1"/>
  <c r="O23" i="50" s="1"/>
  <c r="D23" i="61"/>
  <c r="M23" i="61" s="1"/>
  <c r="D23" i="59"/>
  <c r="M23" i="59" s="1"/>
  <c r="D23" i="60"/>
  <c r="M23" i="60" s="1"/>
  <c r="O163" i="15"/>
  <c r="D278" i="1"/>
  <c r="D283" i="1"/>
  <c r="D434" i="1"/>
  <c r="E592" i="52" s="1"/>
  <c r="A50" i="10"/>
  <c r="A51" i="10" s="1"/>
  <c r="A52" i="10" s="1"/>
  <c r="A53" i="10" s="1"/>
  <c r="A54" i="10" s="1"/>
  <c r="A55" i="10" s="1"/>
  <c r="A56" i="10" s="1"/>
  <c r="A57" i="10" s="1"/>
  <c r="A58" i="10" s="1"/>
  <c r="A14" i="10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C18" i="9"/>
  <c r="C19" i="9"/>
  <c r="C25" i="9"/>
  <c r="E53" i="10" s="1"/>
  <c r="C9" i="9"/>
  <c r="C32" i="9"/>
  <c r="C33" i="9"/>
  <c r="C34" i="9"/>
  <c r="C35" i="9"/>
  <c r="C36" i="9"/>
  <c r="C37" i="9"/>
  <c r="C44" i="9"/>
  <c r="C31" i="9"/>
  <c r="H94" i="2"/>
  <c r="H92" i="2"/>
  <c r="H46" i="2"/>
  <c r="H44" i="2"/>
  <c r="D22" i="8"/>
  <c r="D37" i="8"/>
  <c r="E22" i="8"/>
  <c r="E37" i="8"/>
  <c r="F22" i="8"/>
  <c r="F37" i="8"/>
  <c r="H22" i="8"/>
  <c r="H37" i="8"/>
  <c r="B31" i="3"/>
  <c r="C107" i="1"/>
  <c r="D161" i="52" s="1"/>
  <c r="D74" i="2"/>
  <c r="D90" i="2" s="1"/>
  <c r="G22" i="8"/>
  <c r="G37" i="8"/>
  <c r="I22" i="8"/>
  <c r="I37" i="8"/>
  <c r="J22" i="8"/>
  <c r="J37" i="8"/>
  <c r="D88" i="2"/>
  <c r="D91" i="2" s="1"/>
  <c r="C91" i="2" s="1"/>
  <c r="E92" i="2"/>
  <c r="G386" i="45" s="1"/>
  <c r="E94" i="2"/>
  <c r="E88" i="2"/>
  <c r="F74" i="2"/>
  <c r="F88" i="2"/>
  <c r="H386" i="45"/>
  <c r="G88" i="2"/>
  <c r="I386" i="45"/>
  <c r="G74" i="2"/>
  <c r="G94" i="2" s="1"/>
  <c r="H88" i="2"/>
  <c r="J386" i="45"/>
  <c r="D126" i="2"/>
  <c r="D148" i="2" s="1"/>
  <c r="D146" i="2"/>
  <c r="E126" i="2"/>
  <c r="E146" i="2"/>
  <c r="F126" i="2"/>
  <c r="F146" i="2"/>
  <c r="G146" i="2"/>
  <c r="G147" i="2" s="1"/>
  <c r="H325" i="1" s="1"/>
  <c r="H126" i="2"/>
  <c r="H146" i="2"/>
  <c r="C167" i="1"/>
  <c r="D243" i="52" s="1"/>
  <c r="C26" i="7"/>
  <c r="C31" i="7"/>
  <c r="J15" i="6" s="1"/>
  <c r="C43" i="7"/>
  <c r="D26" i="7"/>
  <c r="D31" i="7" s="1"/>
  <c r="J17" i="6" s="1"/>
  <c r="D43" i="7"/>
  <c r="E26" i="7"/>
  <c r="E31" i="7" s="1"/>
  <c r="E43" i="7"/>
  <c r="F43" i="7"/>
  <c r="F45" i="7"/>
  <c r="H59" i="1"/>
  <c r="G26" i="7"/>
  <c r="G31" i="7" s="1"/>
  <c r="J21" i="6" s="1"/>
  <c r="J59" i="1"/>
  <c r="K59" i="1"/>
  <c r="D26" i="2"/>
  <c r="D40" i="2"/>
  <c r="D43" i="2" s="1"/>
  <c r="C43" i="2" s="1"/>
  <c r="E26" i="2"/>
  <c r="E40" i="2"/>
  <c r="F26" i="2"/>
  <c r="F40" i="2"/>
  <c r="H26" i="2"/>
  <c r="H40" i="2"/>
  <c r="J57" i="1"/>
  <c r="K57" i="1"/>
  <c r="C96" i="1"/>
  <c r="D149" i="52" s="1"/>
  <c r="C97" i="1"/>
  <c r="D150" i="52" s="1"/>
  <c r="C98" i="1"/>
  <c r="D151" i="52" s="1"/>
  <c r="C99" i="1"/>
  <c r="D152" i="52" s="1"/>
  <c r="C100" i="1"/>
  <c r="D153" i="52" s="1"/>
  <c r="C101" i="1"/>
  <c r="D154" i="52" s="1"/>
  <c r="C102" i="1"/>
  <c r="D155" i="52" s="1"/>
  <c r="C106" i="1"/>
  <c r="D160" i="52" s="1"/>
  <c r="C108" i="1"/>
  <c r="D163" i="52" s="1"/>
  <c r="C109" i="1"/>
  <c r="D164" i="52" s="1"/>
  <c r="C110" i="1"/>
  <c r="D165" i="52" s="1"/>
  <c r="C111" i="1"/>
  <c r="D166" i="52" s="1"/>
  <c r="C156" i="1"/>
  <c r="D231" i="52" s="1"/>
  <c r="C157" i="1"/>
  <c r="D232" i="52" s="1"/>
  <c r="C158" i="1"/>
  <c r="D233" i="52" s="1"/>
  <c r="C159" i="1"/>
  <c r="D234" i="52" s="1"/>
  <c r="C160" i="1"/>
  <c r="D235" i="52" s="1"/>
  <c r="C161" i="1"/>
  <c r="D236" i="52" s="1"/>
  <c r="C162" i="1"/>
  <c r="D237" i="52" s="1"/>
  <c r="C166" i="1"/>
  <c r="D242" i="52" s="1"/>
  <c r="C168" i="1"/>
  <c r="D245" i="52" s="1"/>
  <c r="C169" i="1"/>
  <c r="D246" i="52" s="1"/>
  <c r="C170" i="1"/>
  <c r="D247" i="52" s="1"/>
  <c r="C171" i="1"/>
  <c r="D248" i="52" s="1"/>
  <c r="E3" i="2"/>
  <c r="B10" i="7"/>
  <c r="B11" i="7"/>
  <c r="B12" i="7"/>
  <c r="B13" i="7"/>
  <c r="F26" i="7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30" i="3"/>
  <c r="C19" i="6"/>
  <c r="C21" i="6" s="1"/>
  <c r="C18" i="6"/>
  <c r="C22" i="6"/>
  <c r="C25" i="6"/>
  <c r="B484" i="1"/>
  <c r="E439" i="1"/>
  <c r="E385" i="1"/>
  <c r="E349" i="1"/>
  <c r="E358" i="1"/>
  <c r="E369" i="1"/>
  <c r="E380" i="1"/>
  <c r="H45" i="2"/>
  <c r="G49" i="2"/>
  <c r="E44" i="2"/>
  <c r="C44" i="2" s="1"/>
  <c r="E45" i="2"/>
  <c r="C45" i="2" s="1"/>
  <c r="E46" i="2"/>
  <c r="E47" i="2"/>
  <c r="C11" i="8"/>
  <c r="C12" i="8"/>
  <c r="C13" i="8"/>
  <c r="C14" i="8"/>
  <c r="C15" i="8"/>
  <c r="C16" i="8"/>
  <c r="C17" i="8"/>
  <c r="C18" i="8"/>
  <c r="C19" i="8"/>
  <c r="C20" i="8"/>
  <c r="C21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146" i="1"/>
  <c r="D215" i="54" s="1"/>
  <c r="D301" i="54" s="1"/>
  <c r="C147" i="1"/>
  <c r="D216" i="54" s="1"/>
  <c r="D302" i="54" s="1"/>
  <c r="C148" i="1"/>
  <c r="D217" i="54" s="1"/>
  <c r="D303" i="54" s="1"/>
  <c r="C149" i="1"/>
  <c r="D218" i="54" s="1"/>
  <c r="D304" i="54" s="1"/>
  <c r="C150" i="1"/>
  <c r="D219" i="54" s="1"/>
  <c r="D305" i="54" s="1"/>
  <c r="C152" i="1"/>
  <c r="D224" i="52" s="1"/>
  <c r="C153" i="1"/>
  <c r="D225" i="52" s="1"/>
  <c r="C154" i="1"/>
  <c r="D226" i="52" s="1"/>
  <c r="C163" i="1"/>
  <c r="D239" i="52" s="1"/>
  <c r="C164" i="1"/>
  <c r="D240" i="54" s="1"/>
  <c r="D326" i="54" s="1"/>
  <c r="C165" i="1"/>
  <c r="D241" i="54" s="1"/>
  <c r="D327" i="54" s="1"/>
  <c r="C172" i="1"/>
  <c r="D249" i="52" s="1"/>
  <c r="C173" i="1"/>
  <c r="D259" i="52" s="1"/>
  <c r="D344" i="52" s="1"/>
  <c r="C174" i="1"/>
  <c r="D260" i="52" s="1"/>
  <c r="C175" i="1"/>
  <c r="D261" i="52" s="1"/>
  <c r="C176" i="1"/>
  <c r="D262" i="52" s="1"/>
  <c r="C177" i="1"/>
  <c r="D263" i="52" s="1"/>
  <c r="C178" i="1"/>
  <c r="D265" i="54" s="1"/>
  <c r="D350" i="54" s="1"/>
  <c r="C179" i="1"/>
  <c r="D266" i="54" s="1"/>
  <c r="D351" i="54" s="1"/>
  <c r="C180" i="1"/>
  <c r="D267" i="54" s="1"/>
  <c r="D352" i="54" s="1"/>
  <c r="C181" i="1"/>
  <c r="D268" i="54" s="1"/>
  <c r="D353" i="54" s="1"/>
  <c r="C182" i="1"/>
  <c r="D269" i="54" s="1"/>
  <c r="D354" i="54" s="1"/>
  <c r="C183" i="1"/>
  <c r="D270" i="54" s="1"/>
  <c r="D355" i="54" s="1"/>
  <c r="C187" i="1"/>
  <c r="D275" i="54" s="1"/>
  <c r="D360" i="54" s="1"/>
  <c r="C188" i="1"/>
  <c r="C189" i="1"/>
  <c r="D277" i="54" s="1"/>
  <c r="D362" i="54" s="1"/>
  <c r="C190" i="1"/>
  <c r="D278" i="54" s="1"/>
  <c r="D363" i="54" s="1"/>
  <c r="C191" i="1"/>
  <c r="D279" i="54" s="1"/>
  <c r="D364" i="54" s="1"/>
  <c r="C192" i="1"/>
  <c r="D280" i="54" s="1"/>
  <c r="D365" i="54" s="1"/>
  <c r="C193" i="1"/>
  <c r="D281" i="54" s="1"/>
  <c r="D366" i="54" s="1"/>
  <c r="C194" i="1"/>
  <c r="D282" i="54" s="1"/>
  <c r="D367" i="54" s="1"/>
  <c r="C195" i="1"/>
  <c r="D283" i="54" s="1"/>
  <c r="D368" i="54" s="1"/>
  <c r="C196" i="1"/>
  <c r="D284" i="54" s="1"/>
  <c r="D369" i="54" s="1"/>
  <c r="C197" i="1"/>
  <c r="D285" i="54" s="1"/>
  <c r="D370" i="54" s="1"/>
  <c r="C198" i="1"/>
  <c r="D286" i="54" s="1"/>
  <c r="D371" i="54" s="1"/>
  <c r="C199" i="1"/>
  <c r="D287" i="54" s="1"/>
  <c r="D372" i="54" s="1"/>
  <c r="C200" i="1"/>
  <c r="D288" i="54" s="1"/>
  <c r="C12" i="9"/>
  <c r="C13" i="9"/>
  <c r="C14" i="9"/>
  <c r="C22" i="9"/>
  <c r="C23" i="9"/>
  <c r="C10" i="9"/>
  <c r="C11" i="9"/>
  <c r="C15" i="9"/>
  <c r="C16" i="9"/>
  <c r="C17" i="9"/>
  <c r="C20" i="9"/>
  <c r="C21" i="9"/>
  <c r="C24" i="9"/>
  <c r="C26" i="9"/>
  <c r="C27" i="9"/>
  <c r="C28" i="9"/>
  <c r="C29" i="9"/>
  <c r="C38" i="9"/>
  <c r="C39" i="9"/>
  <c r="E57" i="10" s="1"/>
  <c r="C40" i="9"/>
  <c r="E58" i="10" s="1"/>
  <c r="C41" i="9"/>
  <c r="C42" i="9"/>
  <c r="C43" i="9"/>
  <c r="C45" i="9"/>
  <c r="C46" i="9"/>
  <c r="E61" i="10" s="1"/>
  <c r="E93" i="2"/>
  <c r="E95" i="2"/>
  <c r="C95" i="2" s="1"/>
  <c r="D149" i="2"/>
  <c r="E151" i="2"/>
  <c r="E153" i="2"/>
  <c r="H58" i="1"/>
  <c r="J58" i="1"/>
  <c r="K58" i="1"/>
  <c r="C6" i="3"/>
  <c r="D6" i="3"/>
  <c r="E6" i="3"/>
  <c r="H6" i="3"/>
  <c r="F6" i="3"/>
  <c r="D8" i="8"/>
  <c r="D113" i="2" s="1"/>
  <c r="E8" i="8"/>
  <c r="E113" i="2" s="1"/>
  <c r="F8" i="8"/>
  <c r="F113" i="2" s="1"/>
  <c r="G8" i="8"/>
  <c r="G57" i="2" s="1"/>
  <c r="H8" i="8"/>
  <c r="H113" i="2" s="1"/>
  <c r="B38" i="7"/>
  <c r="B39" i="7"/>
  <c r="B40" i="7"/>
  <c r="B41" i="7"/>
  <c r="B42" i="7"/>
  <c r="D8" i="9"/>
  <c r="E8" i="9"/>
  <c r="F8" i="9"/>
  <c r="G8" i="9"/>
  <c r="H8" i="9"/>
  <c r="I8" i="9"/>
  <c r="D30" i="9"/>
  <c r="E30" i="9"/>
  <c r="F30" i="9"/>
  <c r="F58" i="9" s="1"/>
  <c r="G30" i="9"/>
  <c r="H30" i="9"/>
  <c r="D47" i="9"/>
  <c r="E47" i="9"/>
  <c r="F47" i="9"/>
  <c r="G47" i="9"/>
  <c r="H47" i="9"/>
  <c r="I8" i="8"/>
  <c r="I8" i="2" s="1"/>
  <c r="J8" i="8"/>
  <c r="J8" i="2" s="1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G26" i="2"/>
  <c r="I26" i="2"/>
  <c r="J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G40" i="2"/>
  <c r="I40" i="2"/>
  <c r="J40" i="2"/>
  <c r="C48" i="2"/>
  <c r="E52" i="2"/>
  <c r="B54" i="2"/>
  <c r="C59" i="2"/>
  <c r="C60" i="2"/>
  <c r="E12" i="10" s="1"/>
  <c r="C61" i="2"/>
  <c r="C62" i="2"/>
  <c r="C63" i="2"/>
  <c r="C64" i="2"/>
  <c r="C65" i="2"/>
  <c r="C66" i="2"/>
  <c r="C67" i="2"/>
  <c r="E13" i="10" s="1"/>
  <c r="C68" i="2"/>
  <c r="E14" i="10" s="1"/>
  <c r="C69" i="2"/>
  <c r="C70" i="2"/>
  <c r="C71" i="2"/>
  <c r="C72" i="2"/>
  <c r="C73" i="2"/>
  <c r="E15" i="10" s="1"/>
  <c r="E74" i="2"/>
  <c r="E89" i="2" s="1"/>
  <c r="H74" i="2"/>
  <c r="I74" i="2"/>
  <c r="J74" i="2"/>
  <c r="C75" i="2"/>
  <c r="C76" i="2"/>
  <c r="E16" i="10" s="1"/>
  <c r="C77" i="2"/>
  <c r="E17" i="10" s="1"/>
  <c r="C78" i="2"/>
  <c r="E18" i="10" s="1"/>
  <c r="C79" i="2"/>
  <c r="E19" i="10" s="1"/>
  <c r="C80" i="2"/>
  <c r="E20" i="10" s="1"/>
  <c r="C81" i="2"/>
  <c r="E21" i="10" s="1"/>
  <c r="C82" i="2"/>
  <c r="E22" i="10" s="1"/>
  <c r="C83" i="2"/>
  <c r="E23" i="10" s="1"/>
  <c r="C84" i="2"/>
  <c r="E24" i="10" s="1"/>
  <c r="C85" i="2"/>
  <c r="E25" i="10" s="1"/>
  <c r="C86" i="2"/>
  <c r="E26" i="10" s="1"/>
  <c r="C87" i="2"/>
  <c r="E27" i="10" s="1"/>
  <c r="I88" i="2"/>
  <c r="J88" i="2"/>
  <c r="G89" i="2"/>
  <c r="C96" i="2"/>
  <c r="E107" i="2"/>
  <c r="C115" i="2"/>
  <c r="C116" i="2"/>
  <c r="C117" i="2"/>
  <c r="C118" i="2"/>
  <c r="C119" i="2"/>
  <c r="C120" i="2"/>
  <c r="C121" i="2"/>
  <c r="C122" i="2"/>
  <c r="C123" i="2"/>
  <c r="C124" i="2"/>
  <c r="C125" i="2"/>
  <c r="I126" i="2"/>
  <c r="J126" i="2"/>
  <c r="C127" i="2"/>
  <c r="C128" i="2"/>
  <c r="C129" i="2"/>
  <c r="C130" i="2"/>
  <c r="C131" i="2"/>
  <c r="C132" i="2"/>
  <c r="C133" i="2"/>
  <c r="C134" i="2"/>
  <c r="C135" i="2"/>
  <c r="C136" i="2"/>
  <c r="C137" i="2"/>
  <c r="C139" i="2"/>
  <c r="C140" i="2"/>
  <c r="C142" i="2"/>
  <c r="I146" i="2"/>
  <c r="J146" i="2"/>
  <c r="C154" i="2"/>
  <c r="D9" i="1"/>
  <c r="E9" i="1"/>
  <c r="E56" i="1"/>
  <c r="F56" i="1"/>
  <c r="G56" i="1"/>
  <c r="H56" i="1"/>
  <c r="I56" i="1"/>
  <c r="J56" i="1"/>
  <c r="K56" i="1"/>
  <c r="E67" i="1"/>
  <c r="F67" i="1"/>
  <c r="G67" i="1"/>
  <c r="H67" i="1"/>
  <c r="I67" i="1"/>
  <c r="J67" i="1"/>
  <c r="K67" i="1"/>
  <c r="G84" i="1"/>
  <c r="H84" i="1"/>
  <c r="I84" i="1"/>
  <c r="J84" i="1"/>
  <c r="K84" i="1"/>
  <c r="L84" i="1"/>
  <c r="M84" i="1"/>
  <c r="E139" i="1"/>
  <c r="G139" i="1"/>
  <c r="H139" i="1"/>
  <c r="I139" i="1"/>
  <c r="J139" i="1"/>
  <c r="K139" i="1"/>
  <c r="L139" i="1"/>
  <c r="M139" i="1"/>
  <c r="G144" i="1"/>
  <c r="H144" i="1"/>
  <c r="I144" i="1"/>
  <c r="J144" i="1"/>
  <c r="K144" i="1"/>
  <c r="L144" i="1"/>
  <c r="M144" i="1"/>
  <c r="A145" i="1"/>
  <c r="A146" i="1"/>
  <c r="B146" i="1"/>
  <c r="A147" i="1"/>
  <c r="B147" i="1"/>
  <c r="A148" i="1"/>
  <c r="B148" i="1"/>
  <c r="A149" i="1"/>
  <c r="B149" i="1"/>
  <c r="A150" i="1"/>
  <c r="B150" i="1"/>
  <c r="A151" i="1"/>
  <c r="A152" i="1"/>
  <c r="B152" i="1"/>
  <c r="A153" i="1"/>
  <c r="B153" i="1"/>
  <c r="B217" i="1" s="1"/>
  <c r="A154" i="1"/>
  <c r="B154" i="1"/>
  <c r="A155" i="1"/>
  <c r="A156" i="1"/>
  <c r="A220" i="1" s="1"/>
  <c r="B156" i="1"/>
  <c r="A157" i="1"/>
  <c r="B157" i="1"/>
  <c r="A158" i="1"/>
  <c r="A222" i="1" s="1"/>
  <c r="B158" i="1"/>
  <c r="B222" i="1" s="1"/>
  <c r="A159" i="1"/>
  <c r="B159" i="1"/>
  <c r="A160" i="1"/>
  <c r="A224" i="1" s="1"/>
  <c r="B160" i="1"/>
  <c r="A161" i="1"/>
  <c r="B161" i="1"/>
  <c r="A162" i="1"/>
  <c r="B162" i="1"/>
  <c r="C238" i="45" s="1"/>
  <c r="A163" i="1"/>
  <c r="B163" i="1"/>
  <c r="A164" i="1"/>
  <c r="A228" i="1" s="1"/>
  <c r="B164" i="1"/>
  <c r="A165" i="1"/>
  <c r="A229" i="1" s="1"/>
  <c r="B165" i="1"/>
  <c r="A166" i="1"/>
  <c r="B166" i="1"/>
  <c r="A167" i="1"/>
  <c r="B167" i="1"/>
  <c r="A168" i="1"/>
  <c r="A232" i="1" s="1"/>
  <c r="B168" i="1"/>
  <c r="A169" i="1"/>
  <c r="B169" i="1"/>
  <c r="A170" i="1"/>
  <c r="B170" i="1"/>
  <c r="A171" i="1"/>
  <c r="B171" i="1"/>
  <c r="A172" i="1"/>
  <c r="A236" i="1" s="1"/>
  <c r="B172" i="1"/>
  <c r="A173" i="1"/>
  <c r="B173" i="1"/>
  <c r="A174" i="1"/>
  <c r="B174" i="1"/>
  <c r="A175" i="1"/>
  <c r="A239" i="1" s="1"/>
  <c r="B175" i="1"/>
  <c r="A176" i="1"/>
  <c r="B176" i="1"/>
  <c r="A177" i="1"/>
  <c r="B177" i="1"/>
  <c r="A178" i="1"/>
  <c r="B178" i="1"/>
  <c r="A179" i="1"/>
  <c r="A243" i="1" s="1"/>
  <c r="B179" i="1"/>
  <c r="A180" i="1"/>
  <c r="B180" i="1"/>
  <c r="A181" i="1"/>
  <c r="B181" i="1"/>
  <c r="A182" i="1"/>
  <c r="B182" i="1"/>
  <c r="A183" i="1"/>
  <c r="A247" i="1" s="1"/>
  <c r="B183" i="1"/>
  <c r="A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B257" i="1" s="1"/>
  <c r="A196" i="1"/>
  <c r="B196" i="1"/>
  <c r="A197" i="1"/>
  <c r="B197" i="1"/>
  <c r="A198" i="1"/>
  <c r="B198" i="1"/>
  <c r="A200" i="1"/>
  <c r="B200" i="1"/>
  <c r="B262" i="1" s="1"/>
  <c r="E202" i="1"/>
  <c r="G214" i="1"/>
  <c r="H214" i="1"/>
  <c r="I214" i="1"/>
  <c r="J214" i="1"/>
  <c r="K214" i="1"/>
  <c r="L214" i="1"/>
  <c r="M214" i="1"/>
  <c r="C220" i="1"/>
  <c r="C221" i="1"/>
  <c r="C222" i="1"/>
  <c r="C223" i="1"/>
  <c r="C224" i="1"/>
  <c r="C225" i="1"/>
  <c r="C226" i="1"/>
  <c r="C230" i="1"/>
  <c r="C231" i="1"/>
  <c r="C232" i="1"/>
  <c r="C233" i="1"/>
  <c r="C234" i="1"/>
  <c r="C235" i="1"/>
  <c r="B261" i="1"/>
  <c r="E272" i="1"/>
  <c r="F272" i="1"/>
  <c r="G272" i="1"/>
  <c r="H272" i="1"/>
  <c r="I272" i="1"/>
  <c r="J272" i="1"/>
  <c r="K272" i="1"/>
  <c r="E336" i="1"/>
  <c r="F336" i="1"/>
  <c r="G336" i="1"/>
  <c r="H336" i="1"/>
  <c r="I336" i="1"/>
  <c r="J336" i="1"/>
  <c r="K336" i="1"/>
  <c r="D387" i="1"/>
  <c r="A393" i="1"/>
  <c r="A396" i="1"/>
  <c r="B396" i="1"/>
  <c r="A397" i="1"/>
  <c r="B397" i="1"/>
  <c r="A398" i="1"/>
  <c r="B398" i="1"/>
  <c r="A399" i="1"/>
  <c r="B399" i="1"/>
  <c r="A400" i="1"/>
  <c r="B400" i="1"/>
  <c r="A401" i="1"/>
  <c r="B401" i="1"/>
  <c r="A402" i="1"/>
  <c r="B402" i="1"/>
  <c r="A403" i="1"/>
  <c r="B403" i="1"/>
  <c r="A404" i="1"/>
  <c r="B404" i="1"/>
  <c r="E404" i="1"/>
  <c r="A405" i="1"/>
  <c r="A406" i="1"/>
  <c r="B406" i="1"/>
  <c r="A407" i="1"/>
  <c r="B407" i="1"/>
  <c r="A408" i="1"/>
  <c r="B408" i="1"/>
  <c r="A409" i="1"/>
  <c r="B409" i="1"/>
  <c r="A410" i="1"/>
  <c r="B410" i="1"/>
  <c r="A411" i="1"/>
  <c r="B411" i="1"/>
  <c r="A412" i="1"/>
  <c r="B412" i="1"/>
  <c r="A413" i="1"/>
  <c r="B413" i="1"/>
  <c r="E413" i="1"/>
  <c r="A414" i="1"/>
  <c r="A415" i="1"/>
  <c r="B415" i="1"/>
  <c r="A416" i="1"/>
  <c r="B416" i="1"/>
  <c r="A417" i="1"/>
  <c r="B417" i="1"/>
  <c r="A418" i="1"/>
  <c r="B418" i="1"/>
  <c r="A419" i="1"/>
  <c r="B419" i="1"/>
  <c r="A420" i="1"/>
  <c r="B420" i="1"/>
  <c r="A421" i="1"/>
  <c r="B421" i="1"/>
  <c r="A422" i="1"/>
  <c r="B422" i="1"/>
  <c r="A423" i="1"/>
  <c r="B423" i="1"/>
  <c r="A424" i="1"/>
  <c r="B424" i="1"/>
  <c r="E424" i="1"/>
  <c r="A425" i="1"/>
  <c r="A426" i="1"/>
  <c r="B426" i="1"/>
  <c r="A427" i="1"/>
  <c r="B427" i="1"/>
  <c r="A428" i="1"/>
  <c r="B428" i="1"/>
  <c r="A429" i="1"/>
  <c r="B429" i="1"/>
  <c r="A430" i="1"/>
  <c r="B430" i="1"/>
  <c r="A431" i="1"/>
  <c r="B431" i="1"/>
  <c r="A432" i="1"/>
  <c r="B432" i="1"/>
  <c r="A433" i="1"/>
  <c r="B433" i="1"/>
  <c r="A434" i="1"/>
  <c r="B434" i="1"/>
  <c r="A435" i="1"/>
  <c r="B435" i="1"/>
  <c r="A436" i="1"/>
  <c r="A437" i="1"/>
  <c r="B437" i="1"/>
  <c r="A438" i="1"/>
  <c r="B438" i="1"/>
  <c r="A439" i="1"/>
  <c r="B439" i="1"/>
  <c r="A440" i="1"/>
  <c r="B440" i="1"/>
  <c r="D442" i="1"/>
  <c r="E449" i="1"/>
  <c r="F449" i="1"/>
  <c r="G449" i="1"/>
  <c r="I449" i="1"/>
  <c r="J449" i="1"/>
  <c r="K449" i="1"/>
  <c r="D468" i="1"/>
  <c r="E468" i="1"/>
  <c r="A474" i="1"/>
  <c r="A475" i="1"/>
  <c r="B475" i="1"/>
  <c r="A476" i="1"/>
  <c r="B476" i="1"/>
  <c r="A477" i="1"/>
  <c r="B477" i="1"/>
  <c r="A478" i="1"/>
  <c r="B478" i="1"/>
  <c r="A479" i="1"/>
  <c r="B479" i="1"/>
  <c r="A480" i="1"/>
  <c r="B480" i="1"/>
  <c r="A481" i="1"/>
  <c r="B481" i="1"/>
  <c r="A483" i="1"/>
  <c r="B483" i="1"/>
  <c r="A485" i="1"/>
  <c r="B485" i="1"/>
  <c r="A486" i="1"/>
  <c r="B486" i="1"/>
  <c r="A487" i="1"/>
  <c r="B487" i="1"/>
  <c r="A488" i="1"/>
  <c r="B488" i="1"/>
  <c r="A489" i="1"/>
  <c r="B489" i="1"/>
  <c r="B490" i="1"/>
  <c r="A491" i="1"/>
  <c r="B491" i="1"/>
  <c r="E548" i="1"/>
  <c r="F548" i="1"/>
  <c r="G548" i="1"/>
  <c r="H548" i="1"/>
  <c r="I548" i="1"/>
  <c r="J548" i="1"/>
  <c r="K548" i="1"/>
  <c r="E75" i="52"/>
  <c r="AB1034" i="1"/>
  <c r="B8" i="3"/>
  <c r="C32" i="3"/>
  <c r="C47" i="2"/>
  <c r="G43" i="7"/>
  <c r="B43" i="7" s="1"/>
  <c r="D594" i="1"/>
  <c r="E52" i="10" l="1"/>
  <c r="E50" i="10"/>
  <c r="E51" i="10"/>
  <c r="A64" i="10"/>
  <c r="A66" i="10" s="1"/>
  <c r="A67" i="10" s="1"/>
  <c r="A68" i="10" s="1"/>
  <c r="A69" i="10" s="1"/>
  <c r="A70" i="10" s="1"/>
  <c r="A71" i="10" s="1"/>
  <c r="A59" i="10"/>
  <c r="C259" i="1"/>
  <c r="D552" i="1"/>
  <c r="A27" i="10"/>
  <c r="A28" i="10" s="1"/>
  <c r="A30" i="10" s="1"/>
  <c r="A32" i="10" s="1"/>
  <c r="A33" i="10" s="1"/>
  <c r="A34" i="10" s="1"/>
  <c r="A35" i="10" s="1"/>
  <c r="A36" i="10" s="1"/>
  <c r="A37" i="10" s="1"/>
  <c r="H48" i="9"/>
  <c r="H50" i="9" s="1"/>
  <c r="C30" i="9"/>
  <c r="C92" i="2"/>
  <c r="C212" i="1"/>
  <c r="F59" i="9"/>
  <c r="G551" i="1"/>
  <c r="G48" i="9"/>
  <c r="G50" i="9" s="1"/>
  <c r="F48" i="9"/>
  <c r="C58" i="9"/>
  <c r="C59" i="9" s="1"/>
  <c r="C66" i="9" s="1"/>
  <c r="C47" i="9"/>
  <c r="C48" i="9" s="1"/>
  <c r="D550" i="1"/>
  <c r="E48" i="9"/>
  <c r="D48" i="9"/>
  <c r="C249" i="1"/>
  <c r="C218" i="1"/>
  <c r="D312" i="55" s="1"/>
  <c r="C213" i="1"/>
  <c r="D549" i="1"/>
  <c r="D325" i="52"/>
  <c r="G239" i="52"/>
  <c r="E239" i="54" s="1"/>
  <c r="H239" i="52"/>
  <c r="F239" i="52"/>
  <c r="I7" i="61"/>
  <c r="I7" i="60"/>
  <c r="I7" i="59"/>
  <c r="J8" i="61"/>
  <c r="J8" i="60"/>
  <c r="J8" i="59"/>
  <c r="G7" i="61"/>
  <c r="G7" i="59"/>
  <c r="G7" i="60"/>
  <c r="C250" i="1"/>
  <c r="D276" i="54"/>
  <c r="D361" i="54" s="1"/>
  <c r="D348" i="52"/>
  <c r="D264" i="52"/>
  <c r="G263" i="52"/>
  <c r="E263" i="54" s="1"/>
  <c r="F263" i="52"/>
  <c r="H263" i="52"/>
  <c r="I8" i="61"/>
  <c r="I8" i="59"/>
  <c r="I8" i="60"/>
  <c r="G592" i="52"/>
  <c r="E592" i="54" s="1"/>
  <c r="E594" i="54" s="1"/>
  <c r="E658" i="54" s="1"/>
  <c r="F592" i="52"/>
  <c r="H592" i="52"/>
  <c r="T23" i="59"/>
  <c r="L830" i="53" s="1"/>
  <c r="Q23" i="59"/>
  <c r="I830" i="53" s="1"/>
  <c r="S23" i="59"/>
  <c r="K830" i="53" s="1"/>
  <c r="O23" i="59"/>
  <c r="P23" i="59"/>
  <c r="H830" i="53" s="1"/>
  <c r="R23" i="59"/>
  <c r="J830" i="53" s="1"/>
  <c r="D345" i="52"/>
  <c r="F260" i="52"/>
  <c r="G260" i="52"/>
  <c r="E260" i="54" s="1"/>
  <c r="H260" i="52"/>
  <c r="T23" i="60"/>
  <c r="P23" i="60"/>
  <c r="R23" i="60"/>
  <c r="S23" i="60"/>
  <c r="Q23" i="60"/>
  <c r="O23" i="60"/>
  <c r="G830" i="54" s="1"/>
  <c r="D347" i="52"/>
  <c r="G262" i="52"/>
  <c r="E262" i="54" s="1"/>
  <c r="F262" i="52"/>
  <c r="H262" i="52"/>
  <c r="D335" i="52"/>
  <c r="D250" i="52"/>
  <c r="H249" i="52"/>
  <c r="F249" i="52"/>
  <c r="G249" i="52"/>
  <c r="E249" i="54" s="1"/>
  <c r="D312" i="52"/>
  <c r="H226" i="52"/>
  <c r="G226" i="52"/>
  <c r="E226" i="54" s="1"/>
  <c r="F226" i="52"/>
  <c r="J10" i="61"/>
  <c r="J10" i="60"/>
  <c r="J10" i="59"/>
  <c r="T23" i="61"/>
  <c r="L830" i="55" s="1"/>
  <c r="O23" i="61"/>
  <c r="G830" i="55" s="1"/>
  <c r="P23" i="61"/>
  <c r="H830" i="55" s="1"/>
  <c r="S23" i="61"/>
  <c r="K830" i="55" s="1"/>
  <c r="Q23" i="61"/>
  <c r="I830" i="55" s="1"/>
  <c r="R23" i="61"/>
  <c r="J830" i="55" s="1"/>
  <c r="G224" i="52"/>
  <c r="D310" i="52"/>
  <c r="F224" i="52"/>
  <c r="H224" i="52"/>
  <c r="C264" i="45"/>
  <c r="C349" i="45"/>
  <c r="J7" i="61"/>
  <c r="J7" i="60"/>
  <c r="J7" i="59"/>
  <c r="D346" i="52"/>
  <c r="F261" i="52"/>
  <c r="G261" i="52"/>
  <c r="E261" i="54" s="1"/>
  <c r="H261" i="52"/>
  <c r="H225" i="52"/>
  <c r="G225" i="52"/>
  <c r="E225" i="54" s="1"/>
  <c r="F225" i="52"/>
  <c r="D311" i="52"/>
  <c r="I10" i="61"/>
  <c r="I10" i="59"/>
  <c r="I10" i="60"/>
  <c r="G8" i="61"/>
  <c r="G8" i="59"/>
  <c r="G8" i="60"/>
  <c r="H236" i="52"/>
  <c r="D322" i="52"/>
  <c r="G236" i="52"/>
  <c r="E236" i="54" s="1"/>
  <c r="F236" i="52"/>
  <c r="H164" i="52"/>
  <c r="F164" i="52"/>
  <c r="G164" i="52"/>
  <c r="F154" i="52"/>
  <c r="G154" i="52"/>
  <c r="H154" i="52"/>
  <c r="H150" i="52"/>
  <c r="F150" i="52"/>
  <c r="G150" i="52"/>
  <c r="D162" i="52"/>
  <c r="D331" i="52"/>
  <c r="F245" i="52"/>
  <c r="G245" i="52"/>
  <c r="E245" i="54" s="1"/>
  <c r="H245" i="52"/>
  <c r="H235" i="52"/>
  <c r="D321" i="52"/>
  <c r="F235" i="52"/>
  <c r="G235" i="52"/>
  <c r="E235" i="54" s="1"/>
  <c r="H231" i="52"/>
  <c r="G231" i="52"/>
  <c r="D317" i="52"/>
  <c r="F231" i="52"/>
  <c r="F153" i="52"/>
  <c r="G153" i="52"/>
  <c r="H153" i="52"/>
  <c r="H149" i="52"/>
  <c r="G149" i="52"/>
  <c r="F149" i="52"/>
  <c r="H243" i="52"/>
  <c r="G243" i="52"/>
  <c r="E243" i="54" s="1"/>
  <c r="D244" i="52"/>
  <c r="F243" i="52"/>
  <c r="D329" i="52"/>
  <c r="H232" i="52"/>
  <c r="D318" i="52"/>
  <c r="G232" i="52"/>
  <c r="E232" i="54" s="1"/>
  <c r="F232" i="52"/>
  <c r="H248" i="52"/>
  <c r="G248" i="52"/>
  <c r="E248" i="54" s="1"/>
  <c r="D334" i="52"/>
  <c r="F248" i="52"/>
  <c r="G242" i="52"/>
  <c r="E242" i="54" s="1"/>
  <c r="D328" i="52"/>
  <c r="H242" i="52"/>
  <c r="F242" i="52"/>
  <c r="G234" i="52"/>
  <c r="E234" i="54" s="1"/>
  <c r="H234" i="52"/>
  <c r="F234" i="52"/>
  <c r="D320" i="52"/>
  <c r="F166" i="52"/>
  <c r="G166" i="52"/>
  <c r="H166" i="52"/>
  <c r="H160" i="52"/>
  <c r="F160" i="52"/>
  <c r="G160" i="52"/>
  <c r="G246" i="52"/>
  <c r="E246" i="54" s="1"/>
  <c r="D332" i="52"/>
  <c r="H246" i="52"/>
  <c r="F246" i="52"/>
  <c r="H247" i="52"/>
  <c r="F247" i="52"/>
  <c r="D333" i="52"/>
  <c r="G247" i="52"/>
  <c r="E247" i="54" s="1"/>
  <c r="D323" i="52"/>
  <c r="F237" i="52"/>
  <c r="D238" i="52"/>
  <c r="H237" i="52"/>
  <c r="G237" i="52"/>
  <c r="E237" i="54" s="1"/>
  <c r="D319" i="52"/>
  <c r="F233" i="52"/>
  <c r="G233" i="52"/>
  <c r="E233" i="54" s="1"/>
  <c r="H233" i="52"/>
  <c r="G155" i="52"/>
  <c r="H155" i="52"/>
  <c r="F155" i="52"/>
  <c r="G151" i="52"/>
  <c r="H151" i="52"/>
  <c r="F151" i="52"/>
  <c r="D156" i="52"/>
  <c r="G38" i="8"/>
  <c r="G39" i="8" s="1"/>
  <c r="H60" i="1" s="1"/>
  <c r="F12" i="50" s="1"/>
  <c r="G15" i="56" s="1"/>
  <c r="H38" i="8"/>
  <c r="H39" i="8" s="1"/>
  <c r="G21" i="6" s="1"/>
  <c r="E38" i="8"/>
  <c r="E39" i="8" s="1"/>
  <c r="G17" i="6" s="1"/>
  <c r="C37" i="8"/>
  <c r="J38" i="8"/>
  <c r="J39" i="8" s="1"/>
  <c r="K60" i="1" s="1"/>
  <c r="I12" i="50" s="1"/>
  <c r="I38" i="8"/>
  <c r="I39" i="8" s="1"/>
  <c r="J60" i="1" s="1"/>
  <c r="H12" i="50" s="1"/>
  <c r="F38" i="8"/>
  <c r="F39" i="8" s="1"/>
  <c r="G19" i="6" s="1"/>
  <c r="C22" i="8"/>
  <c r="D38" i="8"/>
  <c r="D39" i="8" s="1"/>
  <c r="C148" i="2"/>
  <c r="E11" i="10"/>
  <c r="F147" i="2"/>
  <c r="G325" i="1" s="1"/>
  <c r="G557" i="1" s="1"/>
  <c r="E155" i="2"/>
  <c r="H89" i="2"/>
  <c r="C149" i="2"/>
  <c r="E147" i="2"/>
  <c r="F325" i="1" s="1"/>
  <c r="C74" i="2"/>
  <c r="D89" i="2"/>
  <c r="I89" i="2"/>
  <c r="C151" i="2"/>
  <c r="C146" i="2"/>
  <c r="G155" i="2"/>
  <c r="C153" i="2"/>
  <c r="G97" i="2"/>
  <c r="I147" i="2"/>
  <c r="D155" i="2"/>
  <c r="H97" i="2"/>
  <c r="G41" i="2"/>
  <c r="E97" i="2"/>
  <c r="E50" i="9" s="1"/>
  <c r="F41" i="2"/>
  <c r="F46" i="2" s="1"/>
  <c r="H147" i="2"/>
  <c r="I325" i="1" s="1"/>
  <c r="C126" i="2"/>
  <c r="C88" i="2"/>
  <c r="H155" i="2"/>
  <c r="C150" i="2"/>
  <c r="D147" i="2"/>
  <c r="E325" i="1" s="1"/>
  <c r="F89" i="2"/>
  <c r="F94" i="2" s="1"/>
  <c r="C94" i="2" s="1"/>
  <c r="H49" i="2"/>
  <c r="H41" i="2"/>
  <c r="I57" i="1" s="1"/>
  <c r="E41" i="2"/>
  <c r="F57" i="1" s="1"/>
  <c r="C40" i="2"/>
  <c r="D41" i="2"/>
  <c r="E57" i="1" s="1"/>
  <c r="C26" i="2"/>
  <c r="D42" i="2"/>
  <c r="J19" i="6"/>
  <c r="J23" i="6" s="1"/>
  <c r="G58" i="1"/>
  <c r="E7" i="50" s="1"/>
  <c r="E45" i="7"/>
  <c r="G59" i="1" s="1"/>
  <c r="E8" i="50" s="1"/>
  <c r="G45" i="7"/>
  <c r="I59" i="1" s="1"/>
  <c r="I58" i="1"/>
  <c r="F58" i="1"/>
  <c r="D7" i="50" s="1"/>
  <c r="B26" i="7"/>
  <c r="D28" i="7" s="1"/>
  <c r="D45" i="7"/>
  <c r="F59" i="1" s="1"/>
  <c r="B31" i="7"/>
  <c r="E58" i="1"/>
  <c r="C45" i="7"/>
  <c r="E59" i="1" s="1"/>
  <c r="C8" i="50" s="1"/>
  <c r="P161" i="15"/>
  <c r="J592" i="1" s="1"/>
  <c r="I21" i="61" s="1"/>
  <c r="P162" i="15"/>
  <c r="K592" i="1" s="1"/>
  <c r="J21" i="61" s="1"/>
  <c r="O165" i="15"/>
  <c r="O166" i="15" s="1"/>
  <c r="P159" i="15"/>
  <c r="P160" i="15"/>
  <c r="P158" i="15"/>
  <c r="F592" i="1" s="1"/>
  <c r="E21" i="61" s="1"/>
  <c r="B9" i="3"/>
  <c r="B32" i="3" s="1"/>
  <c r="C24" i="6"/>
  <c r="C27" i="6" s="1"/>
  <c r="C625" i="54"/>
  <c r="C625" i="55"/>
  <c r="C625" i="53"/>
  <c r="C615" i="55"/>
  <c r="C615" i="54"/>
  <c r="C615" i="53"/>
  <c r="B593" i="55"/>
  <c r="B593" i="54"/>
  <c r="B593" i="53"/>
  <c r="B580" i="55"/>
  <c r="B580" i="54"/>
  <c r="B580" i="53"/>
  <c r="B575" i="55"/>
  <c r="B575" i="54"/>
  <c r="B575" i="53"/>
  <c r="B560" i="55"/>
  <c r="B560" i="54"/>
  <c r="B560" i="53"/>
  <c r="B547" i="55"/>
  <c r="B547" i="54"/>
  <c r="B547" i="53"/>
  <c r="D333" i="55"/>
  <c r="D333" i="54"/>
  <c r="D333" i="53"/>
  <c r="D329" i="55"/>
  <c r="D329" i="54"/>
  <c r="D329" i="53"/>
  <c r="D322" i="55"/>
  <c r="D322" i="54"/>
  <c r="D322" i="53"/>
  <c r="B286" i="55"/>
  <c r="B286" i="54"/>
  <c r="B286" i="53"/>
  <c r="A254" i="1"/>
  <c r="B365" i="45" s="1"/>
  <c r="B280" i="55"/>
  <c r="B280" i="54"/>
  <c r="B280" i="53"/>
  <c r="B276" i="55"/>
  <c r="B276" i="54"/>
  <c r="B276" i="53"/>
  <c r="C270" i="55"/>
  <c r="C270" i="54"/>
  <c r="C270" i="53"/>
  <c r="C263" i="55"/>
  <c r="C264" i="55"/>
  <c r="C263" i="54"/>
  <c r="C264" i="54"/>
  <c r="C263" i="53"/>
  <c r="C264" i="53"/>
  <c r="C261" i="52"/>
  <c r="C261" i="55"/>
  <c r="C261" i="54"/>
  <c r="C261" i="53"/>
  <c r="C259" i="52"/>
  <c r="C259" i="55"/>
  <c r="C259" i="54"/>
  <c r="C259" i="53"/>
  <c r="C244" i="55"/>
  <c r="C243" i="55"/>
  <c r="C243" i="54"/>
  <c r="C244" i="54"/>
  <c r="C243" i="53"/>
  <c r="C244" i="53"/>
  <c r="C239" i="54"/>
  <c r="C239" i="55"/>
  <c r="C239" i="53"/>
  <c r="A219" i="1"/>
  <c r="C315" i="45" s="1"/>
  <c r="C229" i="54"/>
  <c r="C229" i="55"/>
  <c r="C229" i="53"/>
  <c r="C217" i="55"/>
  <c r="C217" i="54"/>
  <c r="C217" i="53"/>
  <c r="C623" i="55"/>
  <c r="C623" i="54"/>
  <c r="C623" i="53"/>
  <c r="D247" i="54"/>
  <c r="D247" i="55"/>
  <c r="D247" i="53"/>
  <c r="D233" i="55"/>
  <c r="D233" i="54"/>
  <c r="D233" i="53"/>
  <c r="D151" i="55"/>
  <c r="D151" i="54"/>
  <c r="D151" i="53"/>
  <c r="B326" i="55"/>
  <c r="B326" i="54"/>
  <c r="B326" i="53"/>
  <c r="C629" i="55"/>
  <c r="C629" i="54"/>
  <c r="C629" i="53"/>
  <c r="B627" i="55"/>
  <c r="B627" i="54"/>
  <c r="B627" i="53"/>
  <c r="B625" i="55"/>
  <c r="B625" i="54"/>
  <c r="B625" i="53"/>
  <c r="B622" i="55"/>
  <c r="B622" i="54"/>
  <c r="B622" i="53"/>
  <c r="B619" i="55"/>
  <c r="B619" i="54"/>
  <c r="B619" i="53"/>
  <c r="B617" i="54"/>
  <c r="B617" i="55"/>
  <c r="B617" i="53"/>
  <c r="B615" i="55"/>
  <c r="B615" i="54"/>
  <c r="B615" i="53"/>
  <c r="B606" i="54"/>
  <c r="B606" i="55"/>
  <c r="B606" i="53"/>
  <c r="B604" i="55"/>
  <c r="B604" i="54"/>
  <c r="B604" i="53"/>
  <c r="C592" i="54"/>
  <c r="C592" i="55"/>
  <c r="C592" i="53"/>
  <c r="C590" i="55"/>
  <c r="C590" i="54"/>
  <c r="C590" i="53"/>
  <c r="C588" i="54"/>
  <c r="C588" i="55"/>
  <c r="C588" i="53"/>
  <c r="C587" i="55"/>
  <c r="C587" i="54"/>
  <c r="C587" i="53"/>
  <c r="C586" i="55"/>
  <c r="C586" i="54"/>
  <c r="C586" i="53"/>
  <c r="C581" i="55"/>
  <c r="C581" i="54"/>
  <c r="C581" i="53"/>
  <c r="C579" i="55"/>
  <c r="C579" i="54"/>
  <c r="C579" i="53"/>
  <c r="C577" i="55"/>
  <c r="C577" i="54"/>
  <c r="C577" i="53"/>
  <c r="C574" i="55"/>
  <c r="C574" i="54"/>
  <c r="C574" i="53"/>
  <c r="C571" i="55"/>
  <c r="C571" i="54"/>
  <c r="C571" i="53"/>
  <c r="C561" i="55"/>
  <c r="C561" i="54"/>
  <c r="C561" i="53"/>
  <c r="C559" i="55"/>
  <c r="C559" i="54"/>
  <c r="C559" i="53"/>
  <c r="C557" i="55"/>
  <c r="C557" i="54"/>
  <c r="C557" i="53"/>
  <c r="C555" i="55"/>
  <c r="C555" i="54"/>
  <c r="C555" i="53"/>
  <c r="C550" i="55"/>
  <c r="C550" i="54"/>
  <c r="C550" i="53"/>
  <c r="C548" i="55"/>
  <c r="C548" i="54"/>
  <c r="C548" i="53"/>
  <c r="C546" i="55"/>
  <c r="C546" i="54"/>
  <c r="C546" i="53"/>
  <c r="C544" i="55"/>
  <c r="C544" i="54"/>
  <c r="C544" i="53"/>
  <c r="C542" i="55"/>
  <c r="C542" i="54"/>
  <c r="C542" i="53"/>
  <c r="C368" i="55"/>
  <c r="C368" i="54"/>
  <c r="C368" i="53"/>
  <c r="D332" i="55"/>
  <c r="D332" i="54"/>
  <c r="D332" i="53"/>
  <c r="D328" i="55"/>
  <c r="D328" i="54"/>
  <c r="D328" i="53"/>
  <c r="D321" i="55"/>
  <c r="D321" i="54"/>
  <c r="D321" i="53"/>
  <c r="D318" i="54"/>
  <c r="D318" i="55"/>
  <c r="D318" i="53"/>
  <c r="C288" i="55"/>
  <c r="C288" i="54"/>
  <c r="C288" i="53"/>
  <c r="C285" i="55"/>
  <c r="C285" i="54"/>
  <c r="C285" i="53"/>
  <c r="C283" i="55"/>
  <c r="C283" i="54"/>
  <c r="C283" i="53"/>
  <c r="C281" i="55"/>
  <c r="C281" i="54"/>
  <c r="C281" i="53"/>
  <c r="B253" i="1"/>
  <c r="C364" i="52" s="1"/>
  <c r="C279" i="55"/>
  <c r="C279" i="54"/>
  <c r="C279" i="53"/>
  <c r="C277" i="55"/>
  <c r="C277" i="54"/>
  <c r="C277" i="53"/>
  <c r="B249" i="1"/>
  <c r="C360" i="45" s="1"/>
  <c r="C275" i="55"/>
  <c r="C275" i="54"/>
  <c r="C275" i="53"/>
  <c r="B270" i="55"/>
  <c r="B270" i="54"/>
  <c r="B270" i="53"/>
  <c r="A245" i="1"/>
  <c r="B268" i="55"/>
  <c r="B268" i="54"/>
  <c r="B268" i="53"/>
  <c r="B266" i="55"/>
  <c r="B266" i="54"/>
  <c r="B266" i="53"/>
  <c r="B264" i="55"/>
  <c r="B263" i="55"/>
  <c r="B263" i="54"/>
  <c r="B264" i="54"/>
  <c r="B263" i="53"/>
  <c r="B264" i="53"/>
  <c r="B261" i="52"/>
  <c r="B261" i="54"/>
  <c r="B261" i="55"/>
  <c r="B261" i="53"/>
  <c r="B259" i="52"/>
  <c r="B259" i="55"/>
  <c r="B259" i="54"/>
  <c r="B259" i="53"/>
  <c r="A235" i="1"/>
  <c r="B334" i="52" s="1"/>
  <c r="B248" i="55"/>
  <c r="B248" i="54"/>
  <c r="B248" i="53"/>
  <c r="A233" i="1"/>
  <c r="B332" i="45" s="1"/>
  <c r="B246" i="55"/>
  <c r="B246" i="54"/>
  <c r="B246" i="53"/>
  <c r="B243" i="55"/>
  <c r="B244" i="55"/>
  <c r="B243" i="54"/>
  <c r="B244" i="54"/>
  <c r="B243" i="53"/>
  <c r="B244" i="53"/>
  <c r="B241" i="55"/>
  <c r="B241" i="54"/>
  <c r="B241" i="53"/>
  <c r="A227" i="1"/>
  <c r="B325" i="45" s="1"/>
  <c r="B239" i="55"/>
  <c r="B239" i="54"/>
  <c r="B239" i="53"/>
  <c r="B236" i="54"/>
  <c r="B236" i="55"/>
  <c r="B236" i="53"/>
  <c r="B234" i="55"/>
  <c r="B234" i="54"/>
  <c r="B234" i="53"/>
  <c r="B232" i="55"/>
  <c r="B232" i="54"/>
  <c r="B232" i="53"/>
  <c r="C226" i="55"/>
  <c r="C226" i="54"/>
  <c r="C226" i="53"/>
  <c r="B216" i="1"/>
  <c r="C310" i="45" s="1"/>
  <c r="C224" i="54"/>
  <c r="C224" i="55"/>
  <c r="C224" i="53"/>
  <c r="B219" i="52"/>
  <c r="B219" i="55"/>
  <c r="B219" i="54"/>
  <c r="B219" i="53"/>
  <c r="B217" i="55"/>
  <c r="B217" i="54"/>
  <c r="B217" i="53"/>
  <c r="A210" i="1"/>
  <c r="B301" i="45" s="1"/>
  <c r="B215" i="54"/>
  <c r="B215" i="55"/>
  <c r="B215" i="53"/>
  <c r="C258" i="1"/>
  <c r="C254" i="1"/>
  <c r="C245" i="1"/>
  <c r="C241" i="1"/>
  <c r="D263" i="55"/>
  <c r="D263" i="54"/>
  <c r="D263" i="53"/>
  <c r="D259" i="55"/>
  <c r="D259" i="54"/>
  <c r="D259" i="53"/>
  <c r="C227" i="1"/>
  <c r="D239" i="54"/>
  <c r="D239" i="55"/>
  <c r="D239" i="53"/>
  <c r="C210" i="1"/>
  <c r="D246" i="55"/>
  <c r="D246" i="54"/>
  <c r="D246" i="53"/>
  <c r="D236" i="55"/>
  <c r="D236" i="54"/>
  <c r="D236" i="53"/>
  <c r="D232" i="55"/>
  <c r="D232" i="54"/>
  <c r="D232" i="53"/>
  <c r="D164" i="55"/>
  <c r="D164" i="54"/>
  <c r="D164" i="53"/>
  <c r="D154" i="55"/>
  <c r="D154" i="54"/>
  <c r="D154" i="53"/>
  <c r="D150" i="55"/>
  <c r="D150" i="54"/>
  <c r="D150" i="53"/>
  <c r="B321" i="55"/>
  <c r="B321" i="54"/>
  <c r="B321" i="53"/>
  <c r="B630" i="54"/>
  <c r="B630" i="55"/>
  <c r="B630" i="53"/>
  <c r="C622" i="55"/>
  <c r="C622" i="54"/>
  <c r="C622" i="53"/>
  <c r="C617" i="55"/>
  <c r="C617" i="54"/>
  <c r="C617" i="53"/>
  <c r="C606" i="55"/>
  <c r="C606" i="54"/>
  <c r="C606" i="53"/>
  <c r="C604" i="55"/>
  <c r="C604" i="54"/>
  <c r="C604" i="53"/>
  <c r="B591" i="55"/>
  <c r="B591" i="54"/>
  <c r="B591" i="53"/>
  <c r="B578" i="55"/>
  <c r="B578" i="54"/>
  <c r="B578" i="53"/>
  <c r="B573" i="55"/>
  <c r="B573" i="54"/>
  <c r="B573" i="53"/>
  <c r="B558" i="55"/>
  <c r="B558" i="54"/>
  <c r="B558" i="53"/>
  <c r="B545" i="55"/>
  <c r="B545" i="54"/>
  <c r="B545" i="53"/>
  <c r="B282" i="55"/>
  <c r="B282" i="54"/>
  <c r="B282" i="53"/>
  <c r="C268" i="55"/>
  <c r="C268" i="54"/>
  <c r="C268" i="53"/>
  <c r="B233" i="1"/>
  <c r="C332" i="45" s="1"/>
  <c r="C246" i="54"/>
  <c r="C246" i="55"/>
  <c r="C246" i="53"/>
  <c r="B225" i="1"/>
  <c r="C322" i="52" s="1"/>
  <c r="C236" i="55"/>
  <c r="C236" i="54"/>
  <c r="C236" i="53"/>
  <c r="B221" i="1"/>
  <c r="C318" i="45" s="1"/>
  <c r="C232" i="55"/>
  <c r="C232" i="54"/>
  <c r="C232" i="53"/>
  <c r="A217" i="1"/>
  <c r="B311" i="52" s="1"/>
  <c r="B225" i="55"/>
  <c r="B225" i="54"/>
  <c r="B225" i="53"/>
  <c r="C215" i="54"/>
  <c r="C215" i="55"/>
  <c r="C215" i="53"/>
  <c r="C251" i="1"/>
  <c r="C242" i="1"/>
  <c r="C228" i="1"/>
  <c r="C211" i="1"/>
  <c r="D237" i="55"/>
  <c r="D237" i="54"/>
  <c r="D237" i="53"/>
  <c r="D165" i="55"/>
  <c r="D165" i="54"/>
  <c r="D165" i="53"/>
  <c r="D243" i="55"/>
  <c r="D243" i="54"/>
  <c r="D243" i="53"/>
  <c r="B319" i="55"/>
  <c r="B319" i="54"/>
  <c r="B319" i="53"/>
  <c r="C628" i="54"/>
  <c r="C628" i="55"/>
  <c r="C628" i="53"/>
  <c r="C626" i="55"/>
  <c r="C626" i="54"/>
  <c r="C626" i="53"/>
  <c r="C624" i="54"/>
  <c r="C624" i="55"/>
  <c r="C624" i="53"/>
  <c r="C620" i="55"/>
  <c r="C620" i="54"/>
  <c r="C620" i="53"/>
  <c r="C618" i="55"/>
  <c r="C618" i="54"/>
  <c r="C618" i="53"/>
  <c r="C616" i="55"/>
  <c r="C616" i="54"/>
  <c r="C616" i="53"/>
  <c r="C614" i="55"/>
  <c r="C614" i="54"/>
  <c r="C614" i="53"/>
  <c r="C607" i="54"/>
  <c r="C607" i="55"/>
  <c r="C607" i="53"/>
  <c r="C605" i="55"/>
  <c r="C605" i="54"/>
  <c r="C605" i="53"/>
  <c r="C602" i="54"/>
  <c r="C602" i="55"/>
  <c r="C602" i="53"/>
  <c r="B592" i="55"/>
  <c r="B592" i="54"/>
  <c r="B592" i="53"/>
  <c r="B590" i="55"/>
  <c r="B590" i="54"/>
  <c r="B590" i="53"/>
  <c r="B588" i="54"/>
  <c r="B588" i="55"/>
  <c r="B588" i="53"/>
  <c r="B587" i="55"/>
  <c r="B587" i="54"/>
  <c r="B587" i="53"/>
  <c r="B586" i="55"/>
  <c r="B586" i="54"/>
  <c r="B586" i="53"/>
  <c r="B581" i="55"/>
  <c r="B581" i="54"/>
  <c r="B581" i="53"/>
  <c r="B579" i="55"/>
  <c r="B579" i="54"/>
  <c r="B579" i="53"/>
  <c r="B577" i="54"/>
  <c r="B577" i="55"/>
  <c r="B577" i="53"/>
  <c r="B574" i="55"/>
  <c r="B574" i="54"/>
  <c r="B574" i="53"/>
  <c r="B561" i="55"/>
  <c r="B561" i="54"/>
  <c r="B561" i="53"/>
  <c r="B559" i="55"/>
  <c r="B559" i="54"/>
  <c r="B559" i="53"/>
  <c r="B557" i="55"/>
  <c r="B557" i="54"/>
  <c r="B557" i="53"/>
  <c r="B555" i="55"/>
  <c r="B555" i="54"/>
  <c r="B555" i="53"/>
  <c r="B550" i="55"/>
  <c r="B550" i="54"/>
  <c r="B550" i="53"/>
  <c r="B548" i="54"/>
  <c r="B548" i="55"/>
  <c r="B548" i="53"/>
  <c r="B546" i="55"/>
  <c r="B546" i="54"/>
  <c r="B546" i="53"/>
  <c r="B544" i="55"/>
  <c r="B544" i="54"/>
  <c r="B544" i="53"/>
  <c r="B542" i="55"/>
  <c r="B542" i="54"/>
  <c r="B542" i="53"/>
  <c r="D331" i="55"/>
  <c r="D331" i="54"/>
  <c r="D331" i="53"/>
  <c r="B327" i="55"/>
  <c r="B327" i="54"/>
  <c r="B327" i="53"/>
  <c r="D320" i="55"/>
  <c r="D320" i="54"/>
  <c r="D320" i="53"/>
  <c r="D317" i="55"/>
  <c r="D317" i="54"/>
  <c r="D317" i="53"/>
  <c r="B288" i="55"/>
  <c r="B288" i="54"/>
  <c r="B288" i="53"/>
  <c r="B285" i="55"/>
  <c r="B285" i="54"/>
  <c r="B285" i="53"/>
  <c r="B283" i="55"/>
  <c r="B283" i="54"/>
  <c r="B283" i="53"/>
  <c r="A255" i="1"/>
  <c r="B366" i="45" s="1"/>
  <c r="B281" i="54"/>
  <c r="B281" i="55"/>
  <c r="B281" i="53"/>
  <c r="B279" i="55"/>
  <c r="B279" i="54"/>
  <c r="B279" i="53"/>
  <c r="B277" i="55"/>
  <c r="B277" i="54"/>
  <c r="B277" i="53"/>
  <c r="B275" i="55"/>
  <c r="B275" i="54"/>
  <c r="B275" i="53"/>
  <c r="B246" i="1"/>
  <c r="C354" i="45" s="1"/>
  <c r="C269" i="55"/>
  <c r="C269" i="54"/>
  <c r="C269" i="53"/>
  <c r="C267" i="55"/>
  <c r="C267" i="54"/>
  <c r="C267" i="53"/>
  <c r="C265" i="55"/>
  <c r="C265" i="54"/>
  <c r="C265" i="53"/>
  <c r="C262" i="52"/>
  <c r="C262" i="55"/>
  <c r="C262" i="54"/>
  <c r="C262" i="53"/>
  <c r="C260" i="55"/>
  <c r="C260" i="54"/>
  <c r="C260" i="53"/>
  <c r="C249" i="55"/>
  <c r="C250" i="54"/>
  <c r="C250" i="55"/>
  <c r="C249" i="54"/>
  <c r="C249" i="53"/>
  <c r="C250" i="53"/>
  <c r="C247" i="55"/>
  <c r="C247" i="54"/>
  <c r="C247" i="53"/>
  <c r="C245" i="55"/>
  <c r="C245" i="54"/>
  <c r="C245" i="53"/>
  <c r="C242" i="54"/>
  <c r="C242" i="55"/>
  <c r="C242" i="53"/>
  <c r="C240" i="55"/>
  <c r="C240" i="54"/>
  <c r="C240" i="53"/>
  <c r="C237" i="55"/>
  <c r="C237" i="54"/>
  <c r="C237" i="53"/>
  <c r="C235" i="55"/>
  <c r="C235" i="54"/>
  <c r="C235" i="53"/>
  <c r="C233" i="54"/>
  <c r="C233" i="55"/>
  <c r="C233" i="53"/>
  <c r="C231" i="55"/>
  <c r="C231" i="54"/>
  <c r="C231" i="53"/>
  <c r="B226" i="55"/>
  <c r="B226" i="54"/>
  <c r="B226" i="53"/>
  <c r="B224" i="55"/>
  <c r="B224" i="54"/>
  <c r="B224" i="53"/>
  <c r="C218" i="55"/>
  <c r="C218" i="54"/>
  <c r="C218" i="53"/>
  <c r="C216" i="55"/>
  <c r="C216" i="54"/>
  <c r="C216" i="53"/>
  <c r="C213" i="55"/>
  <c r="C213" i="54"/>
  <c r="C213" i="53"/>
  <c r="C261" i="1"/>
  <c r="C257" i="1"/>
  <c r="C253" i="1"/>
  <c r="C244" i="1"/>
  <c r="C240" i="1"/>
  <c r="D262" i="55"/>
  <c r="D262" i="54"/>
  <c r="D262" i="53"/>
  <c r="C236" i="1"/>
  <c r="D249" i="55"/>
  <c r="D249" i="54"/>
  <c r="D249" i="53"/>
  <c r="D226" i="55"/>
  <c r="D226" i="54"/>
  <c r="D226" i="53"/>
  <c r="D245" i="55"/>
  <c r="D245" i="54"/>
  <c r="D245" i="53"/>
  <c r="D235" i="54"/>
  <c r="D235" i="55"/>
  <c r="D235" i="53"/>
  <c r="D231" i="55"/>
  <c r="D231" i="54"/>
  <c r="D231" i="53"/>
  <c r="D163" i="55"/>
  <c r="D163" i="54"/>
  <c r="D163" i="53"/>
  <c r="D153" i="55"/>
  <c r="D153" i="54"/>
  <c r="D153" i="53"/>
  <c r="D149" i="54"/>
  <c r="D149" i="55"/>
  <c r="D149" i="53"/>
  <c r="B355" i="55"/>
  <c r="B355" i="54"/>
  <c r="B355" i="53"/>
  <c r="C627" i="55"/>
  <c r="C627" i="54"/>
  <c r="C627" i="53"/>
  <c r="C619" i="54"/>
  <c r="C619" i="55"/>
  <c r="C619" i="53"/>
  <c r="C612" i="55"/>
  <c r="C612" i="54"/>
  <c r="C612" i="53"/>
  <c r="B589" i="55"/>
  <c r="B589" i="54"/>
  <c r="B589" i="53"/>
  <c r="B576" i="55"/>
  <c r="B576" i="54"/>
  <c r="B576" i="53"/>
  <c r="B562" i="54"/>
  <c r="B562" i="55"/>
  <c r="B562" i="53"/>
  <c r="B556" i="55"/>
  <c r="B556" i="54"/>
  <c r="B556" i="53"/>
  <c r="B549" i="55"/>
  <c r="B549" i="54"/>
  <c r="B549" i="53"/>
  <c r="B543" i="55"/>
  <c r="B543" i="54"/>
  <c r="B543" i="53"/>
  <c r="C319" i="55"/>
  <c r="C319" i="54"/>
  <c r="C319" i="53"/>
  <c r="B284" i="55"/>
  <c r="B284" i="54"/>
  <c r="B284" i="53"/>
  <c r="B278" i="55"/>
  <c r="B278" i="54"/>
  <c r="B278" i="53"/>
  <c r="C266" i="55"/>
  <c r="C266" i="54"/>
  <c r="C266" i="53"/>
  <c r="C248" i="55"/>
  <c r="C248" i="54"/>
  <c r="C248" i="53"/>
  <c r="C241" i="55"/>
  <c r="C241" i="54"/>
  <c r="C241" i="53"/>
  <c r="C234" i="55"/>
  <c r="C234" i="54"/>
  <c r="C234" i="53"/>
  <c r="B214" i="1"/>
  <c r="C305" i="45" s="1"/>
  <c r="C219" i="55"/>
  <c r="C219" i="54"/>
  <c r="C219" i="53"/>
  <c r="C255" i="1"/>
  <c r="C246" i="1"/>
  <c r="C238" i="1"/>
  <c r="D260" i="55"/>
  <c r="D260" i="54"/>
  <c r="D260" i="53"/>
  <c r="C216" i="1"/>
  <c r="D224" i="55"/>
  <c r="D224" i="54"/>
  <c r="D224" i="53"/>
  <c r="D155" i="55"/>
  <c r="D155" i="54"/>
  <c r="D155" i="53"/>
  <c r="B317" i="55"/>
  <c r="B317" i="54"/>
  <c r="B317" i="53"/>
  <c r="B351" i="55"/>
  <c r="B351" i="54"/>
  <c r="B351" i="53"/>
  <c r="C372" i="54"/>
  <c r="C372" i="55"/>
  <c r="C372" i="53"/>
  <c r="B346" i="55"/>
  <c r="B346" i="54"/>
  <c r="B346" i="53"/>
  <c r="B335" i="55"/>
  <c r="B336" i="55"/>
  <c r="B335" i="54"/>
  <c r="B336" i="54"/>
  <c r="B335" i="53"/>
  <c r="B336" i="53"/>
  <c r="C630" i="54"/>
  <c r="C630" i="55"/>
  <c r="C630" i="53"/>
  <c r="B628" i="54"/>
  <c r="B628" i="55"/>
  <c r="B628" i="53"/>
  <c r="B626" i="55"/>
  <c r="B626" i="54"/>
  <c r="B626" i="53"/>
  <c r="B624" i="54"/>
  <c r="B624" i="55"/>
  <c r="B624" i="53"/>
  <c r="B620" i="55"/>
  <c r="B620" i="54"/>
  <c r="B620" i="53"/>
  <c r="B618" i="55"/>
  <c r="B618" i="54"/>
  <c r="B618" i="53"/>
  <c r="B616" i="55"/>
  <c r="B616" i="54"/>
  <c r="B616" i="53"/>
  <c r="B614" i="55"/>
  <c r="B614" i="54"/>
  <c r="B614" i="53"/>
  <c r="B607" i="55"/>
  <c r="B607" i="54"/>
  <c r="B607" i="53"/>
  <c r="B605" i="55"/>
  <c r="B605" i="54"/>
  <c r="B605" i="53"/>
  <c r="C593" i="55"/>
  <c r="C593" i="54"/>
  <c r="C593" i="53"/>
  <c r="C591" i="55"/>
  <c r="C591" i="54"/>
  <c r="C591" i="53"/>
  <c r="C589" i="55"/>
  <c r="C589" i="54"/>
  <c r="C589" i="53"/>
  <c r="C584" i="54"/>
  <c r="C584" i="55"/>
  <c r="C584" i="53"/>
  <c r="C580" i="55"/>
  <c r="C580" i="54"/>
  <c r="C580" i="53"/>
  <c r="C578" i="55"/>
  <c r="C578" i="54"/>
  <c r="C578" i="53"/>
  <c r="C576" i="55"/>
  <c r="C576" i="54"/>
  <c r="C576" i="53"/>
  <c r="C575" i="55"/>
  <c r="C575" i="54"/>
  <c r="C575" i="53"/>
  <c r="C573" i="54"/>
  <c r="C573" i="55"/>
  <c r="C573" i="53"/>
  <c r="C562" i="54"/>
  <c r="C562" i="55"/>
  <c r="C562" i="53"/>
  <c r="C560" i="55"/>
  <c r="C560" i="54"/>
  <c r="C560" i="53"/>
  <c r="C558" i="55"/>
  <c r="C558" i="54"/>
  <c r="C558" i="53"/>
  <c r="C556" i="55"/>
  <c r="C556" i="54"/>
  <c r="C556" i="53"/>
  <c r="C553" i="55"/>
  <c r="C553" i="54"/>
  <c r="C553" i="53"/>
  <c r="C549" i="55"/>
  <c r="C549" i="54"/>
  <c r="C549" i="53"/>
  <c r="C547" i="55"/>
  <c r="C547" i="54"/>
  <c r="C547" i="53"/>
  <c r="C545" i="55"/>
  <c r="C545" i="54"/>
  <c r="C545" i="53"/>
  <c r="C543" i="55"/>
  <c r="C543" i="54"/>
  <c r="C543" i="53"/>
  <c r="C540" i="55"/>
  <c r="C540" i="54"/>
  <c r="C540" i="53"/>
  <c r="D334" i="55"/>
  <c r="D334" i="54"/>
  <c r="D334" i="53"/>
  <c r="B331" i="55"/>
  <c r="B331" i="54"/>
  <c r="B331" i="53"/>
  <c r="D323" i="55"/>
  <c r="D323" i="54"/>
  <c r="D323" i="53"/>
  <c r="D319" i="55"/>
  <c r="D319" i="54"/>
  <c r="D319" i="53"/>
  <c r="C311" i="54"/>
  <c r="C311" i="55"/>
  <c r="C311" i="53"/>
  <c r="C286" i="54"/>
  <c r="C286" i="55"/>
  <c r="C286" i="53"/>
  <c r="C284" i="55"/>
  <c r="C284" i="54"/>
  <c r="C284" i="53"/>
  <c r="C282" i="55"/>
  <c r="C282" i="54"/>
  <c r="C282" i="53"/>
  <c r="C280" i="55"/>
  <c r="C280" i="54"/>
  <c r="C280" i="53"/>
  <c r="C278" i="55"/>
  <c r="C278" i="54"/>
  <c r="C278" i="53"/>
  <c r="C276" i="55"/>
  <c r="C276" i="54"/>
  <c r="C276" i="53"/>
  <c r="C273" i="55"/>
  <c r="C273" i="54"/>
  <c r="C273" i="53"/>
  <c r="A246" i="1"/>
  <c r="B354" i="52" s="1"/>
  <c r="B269" i="55"/>
  <c r="B269" i="54"/>
  <c r="B269" i="53"/>
  <c r="B267" i="55"/>
  <c r="B267" i="54"/>
  <c r="B267" i="53"/>
  <c r="B265" i="55"/>
  <c r="B265" i="54"/>
  <c r="B265" i="53"/>
  <c r="B262" i="55"/>
  <c r="B262" i="54"/>
  <c r="B262" i="53"/>
  <c r="B260" i="52"/>
  <c r="B260" i="55"/>
  <c r="B260" i="54"/>
  <c r="B260" i="53"/>
  <c r="B250" i="55"/>
  <c r="B249" i="54"/>
  <c r="B249" i="55"/>
  <c r="B250" i="54"/>
  <c r="B249" i="53"/>
  <c r="B250" i="53"/>
  <c r="B247" i="55"/>
  <c r="B247" i="54"/>
  <c r="B247" i="53"/>
  <c r="B245" i="54"/>
  <c r="B245" i="55"/>
  <c r="B245" i="53"/>
  <c r="B242" i="54"/>
  <c r="B242" i="55"/>
  <c r="B242" i="53"/>
  <c r="B240" i="55"/>
  <c r="B240" i="54"/>
  <c r="B240" i="53"/>
  <c r="B237" i="55"/>
  <c r="B238" i="55" s="1"/>
  <c r="B237" i="54"/>
  <c r="B238" i="54" s="1"/>
  <c r="B237" i="53"/>
  <c r="B238" i="53" s="1"/>
  <c r="B235" i="55"/>
  <c r="B235" i="54"/>
  <c r="B235" i="53"/>
  <c r="B233" i="54"/>
  <c r="B233" i="55"/>
  <c r="B233" i="53"/>
  <c r="B231" i="55"/>
  <c r="B231" i="54"/>
  <c r="B231" i="53"/>
  <c r="C225" i="55"/>
  <c r="C225" i="54"/>
  <c r="C225" i="53"/>
  <c r="C222" i="55"/>
  <c r="C222" i="54"/>
  <c r="C222" i="53"/>
  <c r="B218" i="55"/>
  <c r="B218" i="54"/>
  <c r="B218" i="53"/>
  <c r="B216" i="55"/>
  <c r="B216" i="54"/>
  <c r="B216" i="53"/>
  <c r="D261" i="55"/>
  <c r="D261" i="54"/>
  <c r="D261" i="53"/>
  <c r="D225" i="55"/>
  <c r="D225" i="54"/>
  <c r="D225" i="53"/>
  <c r="D248" i="55"/>
  <c r="D248" i="54"/>
  <c r="D248" i="53"/>
  <c r="D242" i="55"/>
  <c r="D242" i="54"/>
  <c r="D242" i="53"/>
  <c r="D234" i="55"/>
  <c r="D234" i="54"/>
  <c r="D234" i="53"/>
  <c r="D166" i="55"/>
  <c r="D166" i="54"/>
  <c r="D166" i="53"/>
  <c r="D160" i="55"/>
  <c r="D160" i="54"/>
  <c r="D160" i="53"/>
  <c r="D152" i="55"/>
  <c r="D152" i="54"/>
  <c r="D152" i="53"/>
  <c r="D161" i="54"/>
  <c r="D161" i="55"/>
  <c r="D161" i="53"/>
  <c r="E387" i="1"/>
  <c r="B239" i="1"/>
  <c r="A238" i="1"/>
  <c r="A237" i="1"/>
  <c r="B240" i="1"/>
  <c r="C347" i="45" s="1"/>
  <c r="E435" i="1"/>
  <c r="E442" i="1" s="1"/>
  <c r="C626" i="45"/>
  <c r="C626" i="52"/>
  <c r="C616" i="45"/>
  <c r="C616" i="52"/>
  <c r="C602" i="45"/>
  <c r="C602" i="52"/>
  <c r="C588" i="45"/>
  <c r="C588" i="52"/>
  <c r="C581" i="45"/>
  <c r="C581" i="52"/>
  <c r="C577" i="45"/>
  <c r="C577" i="52"/>
  <c r="C571" i="45"/>
  <c r="C571" i="52"/>
  <c r="C557" i="45"/>
  <c r="C557" i="52"/>
  <c r="C548" i="45"/>
  <c r="C548" i="52"/>
  <c r="C542" i="45"/>
  <c r="C542" i="52"/>
  <c r="B331" i="45"/>
  <c r="B331" i="52"/>
  <c r="C284" i="45"/>
  <c r="C284" i="52"/>
  <c r="C278" i="45"/>
  <c r="C278" i="52"/>
  <c r="B269" i="45"/>
  <c r="B269" i="52"/>
  <c r="C250" i="52"/>
  <c r="C249" i="52"/>
  <c r="C242" i="45"/>
  <c r="C242" i="52"/>
  <c r="C233" i="45"/>
  <c r="C233" i="52"/>
  <c r="C218" i="45"/>
  <c r="C218" i="52"/>
  <c r="E158" i="45"/>
  <c r="E158" i="52"/>
  <c r="E354" i="45"/>
  <c r="E354" i="52"/>
  <c r="E391" i="45"/>
  <c r="E391" i="52"/>
  <c r="B317" i="45"/>
  <c r="B317" i="52"/>
  <c r="C214" i="1"/>
  <c r="B351" i="45"/>
  <c r="B351" i="52"/>
  <c r="C630" i="45"/>
  <c r="C630" i="52"/>
  <c r="B628" i="45"/>
  <c r="B628" i="52"/>
  <c r="B626" i="45"/>
  <c r="B626" i="52"/>
  <c r="B624" i="45"/>
  <c r="B624" i="52"/>
  <c r="B620" i="45"/>
  <c r="B620" i="52"/>
  <c r="B618" i="45"/>
  <c r="B618" i="52"/>
  <c r="B616" i="45"/>
  <c r="B616" i="52"/>
  <c r="B614" i="45"/>
  <c r="B614" i="52"/>
  <c r="B607" i="45"/>
  <c r="B607" i="52"/>
  <c r="B605" i="45"/>
  <c r="B605" i="52"/>
  <c r="B592" i="45"/>
  <c r="B592" i="52"/>
  <c r="B590" i="45"/>
  <c r="B590" i="52"/>
  <c r="B588" i="45"/>
  <c r="B588" i="52"/>
  <c r="B587" i="45"/>
  <c r="B587" i="52"/>
  <c r="B586" i="45"/>
  <c r="B586" i="52"/>
  <c r="B581" i="45"/>
  <c r="B581" i="52"/>
  <c r="B579" i="45"/>
  <c r="B579" i="52"/>
  <c r="B577" i="45"/>
  <c r="B577" i="52"/>
  <c r="B574" i="45"/>
  <c r="B574" i="52"/>
  <c r="B561" i="45"/>
  <c r="B561" i="52"/>
  <c r="B559" i="45"/>
  <c r="B559" i="52"/>
  <c r="B557" i="45"/>
  <c r="B557" i="52"/>
  <c r="B555" i="45"/>
  <c r="B555" i="52"/>
  <c r="B550" i="45"/>
  <c r="B550" i="52"/>
  <c r="B548" i="45"/>
  <c r="B548" i="52"/>
  <c r="B546" i="45"/>
  <c r="B546" i="52"/>
  <c r="B544" i="45"/>
  <c r="B544" i="52"/>
  <c r="B542" i="45"/>
  <c r="B542" i="52"/>
  <c r="B286" i="45"/>
  <c r="B286" i="52"/>
  <c r="B284" i="45"/>
  <c r="B284" i="52"/>
  <c r="B282" i="45"/>
  <c r="B282" i="52"/>
  <c r="B280" i="45"/>
  <c r="B280" i="52"/>
  <c r="B278" i="45"/>
  <c r="B278" i="52"/>
  <c r="B276" i="45"/>
  <c r="B276" i="52"/>
  <c r="C270" i="45"/>
  <c r="C270" i="52"/>
  <c r="C268" i="45"/>
  <c r="C268" i="52"/>
  <c r="C266" i="45"/>
  <c r="C266" i="52"/>
  <c r="C264" i="52"/>
  <c r="C263" i="52"/>
  <c r="B250" i="52"/>
  <c r="B249" i="52"/>
  <c r="B247" i="45"/>
  <c r="B247" i="52"/>
  <c r="B245" i="45"/>
  <c r="B245" i="52"/>
  <c r="B242" i="45"/>
  <c r="B242" i="52"/>
  <c r="B240" i="45"/>
  <c r="B240" i="52"/>
  <c r="B237" i="45"/>
  <c r="B238" i="45" s="1"/>
  <c r="B237" i="52"/>
  <c r="B238" i="52" s="1"/>
  <c r="B235" i="45"/>
  <c r="B235" i="52"/>
  <c r="B233" i="45"/>
  <c r="B233" i="52"/>
  <c r="B231" i="45"/>
  <c r="B231" i="52"/>
  <c r="C225" i="45"/>
  <c r="C225" i="52"/>
  <c r="C222" i="45"/>
  <c r="C222" i="52"/>
  <c r="B218" i="45"/>
  <c r="B218" i="52"/>
  <c r="B216" i="45"/>
  <c r="B216" i="52"/>
  <c r="F8" i="2"/>
  <c r="E259" i="45"/>
  <c r="E259" i="52"/>
  <c r="E345" i="45"/>
  <c r="E345" i="52"/>
  <c r="E165" i="45"/>
  <c r="E165" i="52"/>
  <c r="F165" i="52" s="1"/>
  <c r="E152" i="45"/>
  <c r="E152" i="52"/>
  <c r="F152" i="52" s="1"/>
  <c r="E329" i="45"/>
  <c r="E329" i="52"/>
  <c r="E594" i="52"/>
  <c r="C624" i="45"/>
  <c r="C624" i="52"/>
  <c r="C618" i="45"/>
  <c r="C618" i="52"/>
  <c r="C605" i="45"/>
  <c r="C605" i="52"/>
  <c r="C590" i="45"/>
  <c r="C590" i="52"/>
  <c r="C586" i="45"/>
  <c r="C586" i="52"/>
  <c r="C561" i="45"/>
  <c r="C561" i="52"/>
  <c r="C555" i="45"/>
  <c r="C555" i="52"/>
  <c r="C546" i="45"/>
  <c r="C546" i="52"/>
  <c r="C319" i="45"/>
  <c r="C319" i="52"/>
  <c r="C282" i="45"/>
  <c r="C282" i="52"/>
  <c r="C276" i="45"/>
  <c r="C276" i="52"/>
  <c r="B267" i="45"/>
  <c r="B267" i="52"/>
  <c r="B262" i="45"/>
  <c r="B262" i="52"/>
  <c r="C247" i="45"/>
  <c r="C247" i="52"/>
  <c r="C240" i="45"/>
  <c r="C240" i="52"/>
  <c r="C235" i="45"/>
  <c r="C235" i="52"/>
  <c r="B226" i="45"/>
  <c r="B226" i="52"/>
  <c r="C216" i="45"/>
  <c r="C216" i="52"/>
  <c r="E677" i="45"/>
  <c r="E677" i="52"/>
  <c r="B321" i="45"/>
  <c r="B321" i="52"/>
  <c r="B355" i="45"/>
  <c r="B355" i="52"/>
  <c r="B319" i="45"/>
  <c r="B319" i="52"/>
  <c r="B335" i="45"/>
  <c r="B336" i="45"/>
  <c r="B336" i="52"/>
  <c r="B335" i="52"/>
  <c r="E501" i="1"/>
  <c r="B630" i="45"/>
  <c r="B630" i="52"/>
  <c r="C627" i="45"/>
  <c r="C627" i="52"/>
  <c r="C625" i="45"/>
  <c r="C625" i="52"/>
  <c r="C622" i="45"/>
  <c r="C622" i="52"/>
  <c r="C619" i="45"/>
  <c r="C619" i="52"/>
  <c r="C617" i="45"/>
  <c r="C617" i="52"/>
  <c r="C615" i="45"/>
  <c r="C615" i="52"/>
  <c r="C612" i="45"/>
  <c r="C612" i="52"/>
  <c r="C606" i="45"/>
  <c r="C606" i="52"/>
  <c r="C604" i="45"/>
  <c r="C604" i="52"/>
  <c r="C593" i="45"/>
  <c r="C593" i="52"/>
  <c r="C591" i="45"/>
  <c r="C591" i="52"/>
  <c r="C589" i="45"/>
  <c r="C589" i="52"/>
  <c r="C584" i="45"/>
  <c r="C584" i="52"/>
  <c r="C580" i="45"/>
  <c r="C580" i="52"/>
  <c r="C578" i="45"/>
  <c r="C578" i="52"/>
  <c r="C576" i="45"/>
  <c r="C576" i="52"/>
  <c r="C575" i="45"/>
  <c r="C575" i="52"/>
  <c r="C573" i="45"/>
  <c r="C573" i="52"/>
  <c r="C562" i="45"/>
  <c r="C562" i="52"/>
  <c r="C560" i="45"/>
  <c r="C560" i="52"/>
  <c r="C558" i="45"/>
  <c r="C558" i="52"/>
  <c r="C556" i="45"/>
  <c r="C556" i="52"/>
  <c r="C553" i="45"/>
  <c r="C553" i="52"/>
  <c r="C549" i="45"/>
  <c r="C549" i="52"/>
  <c r="C547" i="45"/>
  <c r="C547" i="52"/>
  <c r="C545" i="45"/>
  <c r="C545" i="52"/>
  <c r="C543" i="45"/>
  <c r="C543" i="52"/>
  <c r="C540" i="45"/>
  <c r="C540" i="52"/>
  <c r="C262" i="1"/>
  <c r="C368" i="45"/>
  <c r="C368" i="52"/>
  <c r="C288" i="45"/>
  <c r="C288" i="52"/>
  <c r="C285" i="45"/>
  <c r="C285" i="52"/>
  <c r="C283" i="45"/>
  <c r="C283" i="52"/>
  <c r="C281" i="45"/>
  <c r="C281" i="52"/>
  <c r="C279" i="45"/>
  <c r="C279" i="52"/>
  <c r="C277" i="45"/>
  <c r="C277" i="52"/>
  <c r="C275" i="45"/>
  <c r="C275" i="52"/>
  <c r="B270" i="45"/>
  <c r="B270" i="52"/>
  <c r="B268" i="45"/>
  <c r="B268" i="52"/>
  <c r="B266" i="45"/>
  <c r="B266" i="52"/>
  <c r="B263" i="52"/>
  <c r="B264" i="52"/>
  <c r="C248" i="45"/>
  <c r="C248" i="52"/>
  <c r="C246" i="45"/>
  <c r="C246" i="52"/>
  <c r="C244" i="52"/>
  <c r="C243" i="52"/>
  <c r="C241" i="45"/>
  <c r="C241" i="52"/>
  <c r="C239" i="45"/>
  <c r="C239" i="52"/>
  <c r="C236" i="45"/>
  <c r="C236" i="52"/>
  <c r="C234" i="45"/>
  <c r="C234" i="52"/>
  <c r="C232" i="45"/>
  <c r="C232" i="52"/>
  <c r="C229" i="45"/>
  <c r="C229" i="52"/>
  <c r="B225" i="45"/>
  <c r="B225" i="52"/>
  <c r="C219" i="45"/>
  <c r="C219" i="52"/>
  <c r="C217" i="45"/>
  <c r="C217" i="52"/>
  <c r="C215" i="45"/>
  <c r="C215" i="52"/>
  <c r="E332" i="45"/>
  <c r="E332" i="52"/>
  <c r="E346" i="45"/>
  <c r="E346" i="52"/>
  <c r="E178" i="45"/>
  <c r="E178" i="52"/>
  <c r="E163" i="45"/>
  <c r="E163" i="52"/>
  <c r="G163" i="52" s="1"/>
  <c r="C628" i="45"/>
  <c r="C628" i="52"/>
  <c r="C620" i="45"/>
  <c r="C620" i="52"/>
  <c r="C614" i="45"/>
  <c r="C614" i="52"/>
  <c r="C607" i="45"/>
  <c r="C607" i="52"/>
  <c r="C592" i="45"/>
  <c r="C592" i="52"/>
  <c r="C587" i="45"/>
  <c r="C587" i="52"/>
  <c r="C579" i="45"/>
  <c r="C579" i="52"/>
  <c r="C574" i="45"/>
  <c r="C574" i="52"/>
  <c r="C559" i="45"/>
  <c r="C559" i="52"/>
  <c r="C550" i="45"/>
  <c r="C550" i="52"/>
  <c r="C544" i="45"/>
  <c r="C544" i="52"/>
  <c r="C311" i="45"/>
  <c r="C311" i="52"/>
  <c r="C286" i="45"/>
  <c r="C286" i="52"/>
  <c r="C280" i="45"/>
  <c r="C280" i="52"/>
  <c r="C273" i="45"/>
  <c r="C273" i="52"/>
  <c r="B265" i="45"/>
  <c r="B265" i="52"/>
  <c r="C245" i="45"/>
  <c r="C245" i="52"/>
  <c r="C237" i="45"/>
  <c r="C237" i="52"/>
  <c r="C231" i="45"/>
  <c r="C231" i="52"/>
  <c r="B224" i="45"/>
  <c r="B224" i="52"/>
  <c r="C213" i="45"/>
  <c r="C213" i="52"/>
  <c r="E344" i="45"/>
  <c r="E344" i="52"/>
  <c r="H344" i="52" s="1"/>
  <c r="E167" i="45"/>
  <c r="E167" i="52"/>
  <c r="E429" i="45"/>
  <c r="E429" i="52"/>
  <c r="B326" i="45"/>
  <c r="B326" i="52"/>
  <c r="C372" i="45"/>
  <c r="C372" i="52"/>
  <c r="B346" i="45"/>
  <c r="B346" i="52"/>
  <c r="C629" i="45"/>
  <c r="C629" i="52"/>
  <c r="B627" i="45"/>
  <c r="B627" i="52"/>
  <c r="B625" i="45"/>
  <c r="B625" i="52"/>
  <c r="B622" i="45"/>
  <c r="B622" i="52"/>
  <c r="B619" i="45"/>
  <c r="B619" i="52"/>
  <c r="B617" i="45"/>
  <c r="B617" i="52"/>
  <c r="B615" i="45"/>
  <c r="B615" i="52"/>
  <c r="B606" i="45"/>
  <c r="B606" i="52"/>
  <c r="B604" i="45"/>
  <c r="B604" i="52"/>
  <c r="B593" i="45"/>
  <c r="B593" i="52"/>
  <c r="B591" i="45"/>
  <c r="B591" i="52"/>
  <c r="B589" i="45"/>
  <c r="B589" i="52"/>
  <c r="B580" i="45"/>
  <c r="B580" i="52"/>
  <c r="B578" i="45"/>
  <c r="B578" i="52"/>
  <c r="B576" i="45"/>
  <c r="B576" i="52"/>
  <c r="B575" i="45"/>
  <c r="B575" i="52"/>
  <c r="B573" i="45"/>
  <c r="B573" i="52"/>
  <c r="B562" i="45"/>
  <c r="B562" i="52"/>
  <c r="B560" i="45"/>
  <c r="B560" i="52"/>
  <c r="B558" i="45"/>
  <c r="B558" i="52"/>
  <c r="B556" i="45"/>
  <c r="B556" i="52"/>
  <c r="B549" i="45"/>
  <c r="B549" i="52"/>
  <c r="B547" i="45"/>
  <c r="B547" i="52"/>
  <c r="B545" i="45"/>
  <c r="B545" i="52"/>
  <c r="B543" i="45"/>
  <c r="B543" i="52"/>
  <c r="C364" i="45"/>
  <c r="A248" i="1"/>
  <c r="C237" i="1"/>
  <c r="B327" i="45"/>
  <c r="B327" i="52"/>
  <c r="B288" i="45"/>
  <c r="B288" i="52"/>
  <c r="B285" i="45"/>
  <c r="B285" i="52"/>
  <c r="B283" i="45"/>
  <c r="B283" i="52"/>
  <c r="B281" i="45"/>
  <c r="B281" i="52"/>
  <c r="B279" i="45"/>
  <c r="B279" i="52"/>
  <c r="B277" i="45"/>
  <c r="B277" i="52"/>
  <c r="B275" i="45"/>
  <c r="B275" i="52"/>
  <c r="C269" i="45"/>
  <c r="C269" i="52"/>
  <c r="C267" i="45"/>
  <c r="C267" i="52"/>
  <c r="C265" i="45"/>
  <c r="C265" i="52"/>
  <c r="C260" i="45"/>
  <c r="C260" i="52"/>
  <c r="B248" i="45"/>
  <c r="B248" i="52"/>
  <c r="B246" i="45"/>
  <c r="B246" i="52"/>
  <c r="B244" i="52"/>
  <c r="B243" i="52"/>
  <c r="B241" i="45"/>
  <c r="B241" i="52"/>
  <c r="B239" i="45"/>
  <c r="B239" i="52"/>
  <c r="B236" i="45"/>
  <c r="B236" i="52"/>
  <c r="B234" i="45"/>
  <c r="B234" i="52"/>
  <c r="B232" i="45"/>
  <c r="B232" i="52"/>
  <c r="C226" i="45"/>
  <c r="C226" i="52"/>
  <c r="C224" i="45"/>
  <c r="C224" i="52"/>
  <c r="B217" i="45"/>
  <c r="B217" i="52"/>
  <c r="B215" i="45"/>
  <c r="B215" i="52"/>
  <c r="E335" i="52"/>
  <c r="E335" i="45"/>
  <c r="C623" i="45"/>
  <c r="C623" i="52"/>
  <c r="E177" i="45"/>
  <c r="E177" i="52"/>
  <c r="E161" i="45"/>
  <c r="E161" i="52"/>
  <c r="E393" i="45"/>
  <c r="E393" i="52"/>
  <c r="N23" i="50"/>
  <c r="Q23" i="50"/>
  <c r="S23" i="50"/>
  <c r="B236" i="1"/>
  <c r="C249" i="45"/>
  <c r="C250" i="45"/>
  <c r="B241" i="1"/>
  <c r="C263" i="45"/>
  <c r="C261" i="45"/>
  <c r="B260" i="45"/>
  <c r="B249" i="45"/>
  <c r="B250" i="45"/>
  <c r="D554" i="1"/>
  <c r="R23" i="50"/>
  <c r="B263" i="45"/>
  <c r="B264" i="45"/>
  <c r="B261" i="45"/>
  <c r="C259" i="45"/>
  <c r="B231" i="1"/>
  <c r="C243" i="45"/>
  <c r="C244" i="45"/>
  <c r="E592" i="45"/>
  <c r="P23" i="50"/>
  <c r="C262" i="45"/>
  <c r="B259" i="45"/>
  <c r="B243" i="45"/>
  <c r="B244" i="45"/>
  <c r="B219" i="45"/>
  <c r="G57" i="1"/>
  <c r="C90" i="2"/>
  <c r="E273" i="1" s="1"/>
  <c r="F385" i="45" s="1"/>
  <c r="D97" i="2"/>
  <c r="E49" i="2"/>
  <c r="F152" i="2"/>
  <c r="C93" i="2"/>
  <c r="G60" i="1"/>
  <c r="G15" i="6"/>
  <c r="E60" i="1"/>
  <c r="I60" i="1"/>
  <c r="F60" i="1"/>
  <c r="C260" i="1"/>
  <c r="D279" i="1"/>
  <c r="E392" i="52" s="1"/>
  <c r="B260" i="1"/>
  <c r="B256" i="1"/>
  <c r="B254" i="1"/>
  <c r="B250" i="1"/>
  <c r="C247" i="1"/>
  <c r="C229" i="1"/>
  <c r="B211" i="1"/>
  <c r="B242" i="1"/>
  <c r="A209" i="1"/>
  <c r="B220" i="1"/>
  <c r="A250" i="1"/>
  <c r="B232" i="1"/>
  <c r="B213" i="1"/>
  <c r="B251" i="1"/>
  <c r="B245" i="1"/>
  <c r="A234" i="1"/>
  <c r="A230" i="1"/>
  <c r="B212" i="1"/>
  <c r="B210" i="1"/>
  <c r="H7" i="50"/>
  <c r="H10" i="50"/>
  <c r="H8" i="50"/>
  <c r="H22" i="50"/>
  <c r="B247" i="1"/>
  <c r="B218" i="1"/>
  <c r="B243" i="1"/>
  <c r="B234" i="1"/>
  <c r="B228" i="1"/>
  <c r="B226" i="1"/>
  <c r="F7" i="50"/>
  <c r="A260" i="1"/>
  <c r="A221" i="1"/>
  <c r="A223" i="1"/>
  <c r="I7" i="50"/>
  <c r="I10" i="50"/>
  <c r="I8" i="50"/>
  <c r="F8" i="50"/>
  <c r="B227" i="1"/>
  <c r="B229" i="1"/>
  <c r="A257" i="1"/>
  <c r="A212" i="1"/>
  <c r="A214" i="1"/>
  <c r="D274" i="1"/>
  <c r="E386" i="52" s="1"/>
  <c r="A262" i="1"/>
  <c r="C256" i="1"/>
  <c r="A253" i="1"/>
  <c r="C239" i="1"/>
  <c r="A216" i="1"/>
  <c r="B238" i="1"/>
  <c r="A231" i="1"/>
  <c r="A225" i="1"/>
  <c r="A215" i="1"/>
  <c r="D202" i="1"/>
  <c r="B235" i="1"/>
  <c r="A218" i="1"/>
  <c r="D264" i="1"/>
  <c r="D139" i="1"/>
  <c r="A241" i="1"/>
  <c r="A259" i="1"/>
  <c r="C252" i="1"/>
  <c r="A251" i="1"/>
  <c r="A249" i="1"/>
  <c r="B244" i="1"/>
  <c r="C217" i="1"/>
  <c r="A258" i="1"/>
  <c r="A256" i="1"/>
  <c r="A240" i="1"/>
  <c r="B230" i="1"/>
  <c r="A213" i="1"/>
  <c r="A211" i="1"/>
  <c r="A252" i="1"/>
  <c r="C243" i="1"/>
  <c r="B259" i="1"/>
  <c r="B255" i="1"/>
  <c r="A226" i="1"/>
  <c r="B224" i="1"/>
  <c r="H557" i="1"/>
  <c r="E8" i="7"/>
  <c r="F57" i="2"/>
  <c r="D8" i="7"/>
  <c r="E57" i="2"/>
  <c r="E8" i="2"/>
  <c r="G8" i="7"/>
  <c r="D57" i="2"/>
  <c r="H8" i="2"/>
  <c r="C8" i="7"/>
  <c r="H57" i="2"/>
  <c r="I57" i="2"/>
  <c r="B237" i="1"/>
  <c r="B252" i="1"/>
  <c r="G113" i="2"/>
  <c r="I113" i="2"/>
  <c r="B258" i="1"/>
  <c r="A244" i="1"/>
  <c r="A242" i="1"/>
  <c r="B223" i="1"/>
  <c r="J113" i="2"/>
  <c r="J57" i="2"/>
  <c r="D8" i="2"/>
  <c r="G8" i="2"/>
  <c r="F8" i="7"/>
  <c r="E62" i="10" l="1"/>
  <c r="F56" i="10" s="1"/>
  <c r="D50" i="9"/>
  <c r="B354" i="45"/>
  <c r="J180" i="54"/>
  <c r="H14" i="60" s="1"/>
  <c r="J830" i="54"/>
  <c r="H180" i="54"/>
  <c r="F14" i="60" s="1"/>
  <c r="H830" i="54"/>
  <c r="I180" i="54"/>
  <c r="G14" i="60" s="1"/>
  <c r="I830" i="54"/>
  <c r="L180" i="54"/>
  <c r="J14" i="60" s="1"/>
  <c r="L830" i="54"/>
  <c r="C305" i="52"/>
  <c r="K180" i="54"/>
  <c r="I14" i="60" s="1"/>
  <c r="K830" i="54"/>
  <c r="N23" i="59"/>
  <c r="F830" i="53" s="1"/>
  <c r="G830" i="53"/>
  <c r="C315" i="52"/>
  <c r="C354" i="52"/>
  <c r="F97" i="2"/>
  <c r="F50" i="9" s="1"/>
  <c r="C89" i="2"/>
  <c r="D551" i="1"/>
  <c r="D312" i="53"/>
  <c r="D312" i="54"/>
  <c r="B311" i="45"/>
  <c r="I557" i="1"/>
  <c r="J427" i="54" s="1"/>
  <c r="J427" i="45" s="1"/>
  <c r="H15" i="60" s="1"/>
  <c r="E557" i="1"/>
  <c r="B365" i="52"/>
  <c r="E239" i="53"/>
  <c r="E239" i="55"/>
  <c r="C318" i="52"/>
  <c r="B334" i="45"/>
  <c r="C322" i="45"/>
  <c r="B366" i="52"/>
  <c r="H325" i="52"/>
  <c r="G325" i="52"/>
  <c r="E325" i="54" s="1"/>
  <c r="F325" i="52"/>
  <c r="B332" i="52"/>
  <c r="C360" i="52"/>
  <c r="C332" i="52"/>
  <c r="B301" i="52"/>
  <c r="F557" i="1"/>
  <c r="E592" i="55"/>
  <c r="C7" i="50"/>
  <c r="D7" i="61"/>
  <c r="D7" i="59"/>
  <c r="D7" i="60"/>
  <c r="E7" i="61"/>
  <c r="E7" i="60"/>
  <c r="E7" i="59"/>
  <c r="F7" i="61"/>
  <c r="F7" i="60"/>
  <c r="F7" i="59"/>
  <c r="F346" i="52"/>
  <c r="E346" i="53" s="1"/>
  <c r="H346" i="52"/>
  <c r="G346" i="52"/>
  <c r="C349" i="55"/>
  <c r="C349" i="53"/>
  <c r="C349" i="54"/>
  <c r="C349" i="52"/>
  <c r="E224" i="53"/>
  <c r="E224" i="55"/>
  <c r="F227" i="52"/>
  <c r="E226" i="53"/>
  <c r="E226" i="55"/>
  <c r="F335" i="52"/>
  <c r="E335" i="53" s="1"/>
  <c r="G335" i="52"/>
  <c r="E335" i="54" s="1"/>
  <c r="H335" i="52"/>
  <c r="H347" i="52"/>
  <c r="F347" i="52"/>
  <c r="G347" i="52"/>
  <c r="E347" i="54" s="1"/>
  <c r="G348" i="52"/>
  <c r="E348" i="54" s="1"/>
  <c r="H348" i="52"/>
  <c r="F348" i="52"/>
  <c r="J63" i="53"/>
  <c r="H12" i="61"/>
  <c r="H12" i="60"/>
  <c r="H12" i="59"/>
  <c r="G429" i="52"/>
  <c r="E429" i="54" s="1"/>
  <c r="E654" i="54" s="1"/>
  <c r="H429" i="52"/>
  <c r="F429" i="52"/>
  <c r="E429" i="53" s="1"/>
  <c r="E654" i="53" s="1"/>
  <c r="G7" i="50"/>
  <c r="H7" i="61"/>
  <c r="H7" i="60"/>
  <c r="H7" i="59"/>
  <c r="D10" i="50"/>
  <c r="E10" i="61"/>
  <c r="E10" i="59"/>
  <c r="E10" i="60"/>
  <c r="K63" i="53"/>
  <c r="K64" i="53" s="1"/>
  <c r="I12" i="61"/>
  <c r="I12" i="60"/>
  <c r="I12" i="59"/>
  <c r="H311" i="52"/>
  <c r="G311" i="52"/>
  <c r="E311" i="54" s="1"/>
  <c r="F311" i="52"/>
  <c r="G310" i="52"/>
  <c r="F310" i="52"/>
  <c r="H310" i="52"/>
  <c r="E249" i="53"/>
  <c r="E249" i="55"/>
  <c r="N23" i="60"/>
  <c r="G180" i="54"/>
  <c r="E260" i="55"/>
  <c r="E260" i="53"/>
  <c r="G344" i="52"/>
  <c r="E344" i="54" s="1"/>
  <c r="E263" i="55"/>
  <c r="E263" i="53"/>
  <c r="L263" i="53" s="1"/>
  <c r="E10" i="50"/>
  <c r="F10" i="61"/>
  <c r="F10" i="59"/>
  <c r="F10" i="60"/>
  <c r="C310" i="52"/>
  <c r="B325" i="52"/>
  <c r="D8" i="50"/>
  <c r="E8" i="61"/>
  <c r="E8" i="59"/>
  <c r="E8" i="60"/>
  <c r="G8" i="50"/>
  <c r="H8" i="61"/>
  <c r="H8" i="59"/>
  <c r="H8" i="60"/>
  <c r="G10" i="50"/>
  <c r="H10" i="61"/>
  <c r="H10" i="60"/>
  <c r="H10" i="59"/>
  <c r="L63" i="53"/>
  <c r="L64" i="53" s="1"/>
  <c r="J12" i="61"/>
  <c r="J12" i="59"/>
  <c r="J12" i="60"/>
  <c r="I63" i="53"/>
  <c r="G12" i="61"/>
  <c r="G12" i="59"/>
  <c r="G12" i="60"/>
  <c r="G165" i="52"/>
  <c r="E165" i="54" s="1"/>
  <c r="E225" i="53"/>
  <c r="E225" i="55"/>
  <c r="E224" i="54"/>
  <c r="E227" i="54" s="1"/>
  <c r="G227" i="52"/>
  <c r="E262" i="55"/>
  <c r="E262" i="53"/>
  <c r="H345" i="52"/>
  <c r="G345" i="52"/>
  <c r="E345" i="54" s="1"/>
  <c r="F345" i="52"/>
  <c r="E345" i="53" s="1"/>
  <c r="F344" i="52"/>
  <c r="H63" i="53"/>
  <c r="F12" i="61"/>
  <c r="F12" i="59"/>
  <c r="F12" i="60"/>
  <c r="G63" i="53"/>
  <c r="E12" i="61"/>
  <c r="E12" i="60"/>
  <c r="E12" i="59"/>
  <c r="F63" i="53"/>
  <c r="D12" i="61"/>
  <c r="D12" i="60"/>
  <c r="D12" i="59"/>
  <c r="D8" i="61"/>
  <c r="D8" i="59"/>
  <c r="D8" i="60"/>
  <c r="F8" i="61"/>
  <c r="F8" i="60"/>
  <c r="F8" i="59"/>
  <c r="C10" i="50"/>
  <c r="D10" i="61"/>
  <c r="D10" i="60"/>
  <c r="D10" i="59"/>
  <c r="E261" i="55"/>
  <c r="E261" i="53"/>
  <c r="H227" i="52"/>
  <c r="N23" i="61"/>
  <c r="F830" i="55" s="1"/>
  <c r="H312" i="52"/>
  <c r="G312" i="52"/>
  <c r="E312" i="54" s="1"/>
  <c r="F312" i="52"/>
  <c r="H250" i="52"/>
  <c r="D336" i="52"/>
  <c r="F250" i="52"/>
  <c r="G250" i="52"/>
  <c r="E250" i="54" s="1"/>
  <c r="I250" i="54" s="1"/>
  <c r="D349" i="52"/>
  <c r="G264" i="52"/>
  <c r="E264" i="54" s="1"/>
  <c r="F264" i="52"/>
  <c r="H264" i="52"/>
  <c r="J37" i="57"/>
  <c r="J29" i="57"/>
  <c r="I37" i="57"/>
  <c r="I30" i="57"/>
  <c r="G31" i="57"/>
  <c r="J35" i="57"/>
  <c r="I36" i="57"/>
  <c r="I29" i="57"/>
  <c r="G37" i="57"/>
  <c r="C37" i="57" s="1"/>
  <c r="F845" i="52" s="1"/>
  <c r="G30" i="57"/>
  <c r="J30" i="57"/>
  <c r="I35" i="57"/>
  <c r="G36" i="57"/>
  <c r="G29" i="57"/>
  <c r="C29" i="57" s="1"/>
  <c r="F837" i="52" s="1"/>
  <c r="J36" i="57"/>
  <c r="J31" i="57"/>
  <c r="I31" i="57"/>
  <c r="G35" i="57"/>
  <c r="C35" i="57" s="1"/>
  <c r="F843" i="52" s="1"/>
  <c r="H259" i="52"/>
  <c r="F259" i="52"/>
  <c r="G259" i="52"/>
  <c r="E259" i="54" s="1"/>
  <c r="H165" i="52"/>
  <c r="G152" i="52"/>
  <c r="E152" i="55" s="1"/>
  <c r="F163" i="52"/>
  <c r="E163" i="53" s="1"/>
  <c r="G161" i="52"/>
  <c r="H163" i="52"/>
  <c r="F161" i="52"/>
  <c r="G13" i="57"/>
  <c r="G14" i="57"/>
  <c r="G12" i="57"/>
  <c r="F167" i="52"/>
  <c r="E167" i="53" s="1"/>
  <c r="G167" i="52"/>
  <c r="E167" i="54" s="1"/>
  <c r="H167" i="52"/>
  <c r="I14" i="57"/>
  <c r="I12" i="57"/>
  <c r="J14" i="57"/>
  <c r="J12" i="57"/>
  <c r="I13" i="57"/>
  <c r="J13" i="57"/>
  <c r="H152" i="52"/>
  <c r="F177" i="52"/>
  <c r="H177" i="52"/>
  <c r="G177" i="52"/>
  <c r="E177" i="54" s="1"/>
  <c r="H178" i="52"/>
  <c r="G178" i="52"/>
  <c r="E178" i="54" s="1"/>
  <c r="F178" i="52"/>
  <c r="E178" i="53" s="1"/>
  <c r="H161" i="52"/>
  <c r="E163" i="55"/>
  <c r="E160" i="55"/>
  <c r="E166" i="55"/>
  <c r="E150" i="55"/>
  <c r="E164" i="55"/>
  <c r="E154" i="55"/>
  <c r="E155" i="55"/>
  <c r="E149" i="55"/>
  <c r="E246" i="53"/>
  <c r="E246" i="55"/>
  <c r="E235" i="53"/>
  <c r="E235" i="55"/>
  <c r="E236" i="53"/>
  <c r="E236" i="55"/>
  <c r="E233" i="53"/>
  <c r="E233" i="55"/>
  <c r="E242" i="53"/>
  <c r="E242" i="55"/>
  <c r="E248" i="53"/>
  <c r="E248" i="55"/>
  <c r="E232" i="53"/>
  <c r="E232" i="55"/>
  <c r="E245" i="53"/>
  <c r="E245" i="55"/>
  <c r="E151" i="55"/>
  <c r="E237" i="53"/>
  <c r="E237" i="55"/>
  <c r="E247" i="53"/>
  <c r="E247" i="55"/>
  <c r="E234" i="53"/>
  <c r="E234" i="55"/>
  <c r="E243" i="55"/>
  <c r="E153" i="55"/>
  <c r="E231" i="53"/>
  <c r="E231" i="55"/>
  <c r="I21" i="59"/>
  <c r="I21" i="60"/>
  <c r="E21" i="59"/>
  <c r="E21" i="60"/>
  <c r="J21" i="59"/>
  <c r="J21" i="60"/>
  <c r="G317" i="52"/>
  <c r="F317" i="52"/>
  <c r="H317" i="52"/>
  <c r="H156" i="52"/>
  <c r="F156" i="52"/>
  <c r="G156" i="52"/>
  <c r="E156" i="54" s="1"/>
  <c r="I156" i="54" s="1"/>
  <c r="G238" i="52"/>
  <c r="E238" i="54" s="1"/>
  <c r="I238" i="54" s="1"/>
  <c r="H238" i="52"/>
  <c r="F238" i="52"/>
  <c r="D324" i="52"/>
  <c r="G333" i="52"/>
  <c r="E333" i="54" s="1"/>
  <c r="H333" i="52"/>
  <c r="F333" i="52"/>
  <c r="F320" i="52"/>
  <c r="H320" i="52"/>
  <c r="G320" i="52"/>
  <c r="E320" i="54" s="1"/>
  <c r="G329" i="52"/>
  <c r="E329" i="54" s="1"/>
  <c r="F329" i="52"/>
  <c r="H329" i="52"/>
  <c r="E231" i="54"/>
  <c r="G321" i="52"/>
  <c r="E321" i="54" s="1"/>
  <c r="H321" i="52"/>
  <c r="F321" i="52"/>
  <c r="F319" i="52"/>
  <c r="H319" i="52"/>
  <c r="G319" i="52"/>
  <c r="E319" i="54" s="1"/>
  <c r="F332" i="52"/>
  <c r="H332" i="52"/>
  <c r="G332" i="52"/>
  <c r="E332" i="54" s="1"/>
  <c r="H334" i="52"/>
  <c r="G334" i="52"/>
  <c r="E334" i="54" s="1"/>
  <c r="F334" i="52"/>
  <c r="F331" i="52"/>
  <c r="H331" i="52"/>
  <c r="G331" i="52"/>
  <c r="E331" i="54" s="1"/>
  <c r="F162" i="52"/>
  <c r="G162" i="52"/>
  <c r="E162" i="54" s="1"/>
  <c r="I162" i="54" s="1"/>
  <c r="H162" i="52"/>
  <c r="H322" i="52"/>
  <c r="G322" i="52"/>
  <c r="E322" i="54" s="1"/>
  <c r="F322" i="52"/>
  <c r="H323" i="52"/>
  <c r="G323" i="52"/>
  <c r="E323" i="54" s="1"/>
  <c r="F323" i="52"/>
  <c r="F328" i="52"/>
  <c r="H328" i="52"/>
  <c r="G328" i="52"/>
  <c r="E328" i="54" s="1"/>
  <c r="H318" i="52"/>
  <c r="G318" i="52"/>
  <c r="E318" i="54" s="1"/>
  <c r="F318" i="52"/>
  <c r="H244" i="52"/>
  <c r="G244" i="52"/>
  <c r="E244" i="54" s="1"/>
  <c r="I244" i="54" s="1"/>
  <c r="F244" i="52"/>
  <c r="D330" i="52"/>
  <c r="E163" i="54"/>
  <c r="E165" i="53"/>
  <c r="E177" i="53"/>
  <c r="E164" i="53"/>
  <c r="E164" i="54"/>
  <c r="E166" i="54"/>
  <c r="E166" i="53"/>
  <c r="E151" i="54"/>
  <c r="E151" i="53"/>
  <c r="E153" i="53"/>
  <c r="E153" i="54"/>
  <c r="E154" i="54"/>
  <c r="E154" i="53"/>
  <c r="E152" i="53"/>
  <c r="E150" i="54"/>
  <c r="E150" i="53"/>
  <c r="E149" i="53"/>
  <c r="E149" i="54"/>
  <c r="E155" i="54"/>
  <c r="E155" i="53"/>
  <c r="E160" i="53"/>
  <c r="E160" i="54"/>
  <c r="M23" i="50"/>
  <c r="C38" i="8"/>
  <c r="C39" i="8" s="1"/>
  <c r="D325" i="1"/>
  <c r="C41" i="2"/>
  <c r="E28" i="10"/>
  <c r="F11" i="10" s="1"/>
  <c r="C147" i="2"/>
  <c r="C42" i="2"/>
  <c r="D49" i="2"/>
  <c r="D59" i="1"/>
  <c r="D58" i="1"/>
  <c r="K23" i="6"/>
  <c r="G28" i="7"/>
  <c r="E28" i="7"/>
  <c r="F28" i="7"/>
  <c r="F33" i="7"/>
  <c r="G33" i="7"/>
  <c r="B45" i="7"/>
  <c r="D33" i="7"/>
  <c r="E33" i="7"/>
  <c r="I592" i="1"/>
  <c r="H21" i="61" s="1"/>
  <c r="H21" i="50"/>
  <c r="I21" i="50"/>
  <c r="G592" i="1"/>
  <c r="F21" i="61" s="1"/>
  <c r="F21" i="50"/>
  <c r="P157" i="15"/>
  <c r="P163" i="15" s="1"/>
  <c r="C34" i="3"/>
  <c r="E34" i="3"/>
  <c r="G593" i="1" s="1"/>
  <c r="H593" i="1"/>
  <c r="F34" i="3"/>
  <c r="I593" i="1" s="1"/>
  <c r="D34" i="3"/>
  <c r="F593" i="1" s="1"/>
  <c r="C28" i="6"/>
  <c r="E243" i="53"/>
  <c r="C347" i="52"/>
  <c r="C352" i="55"/>
  <c r="C352" i="54"/>
  <c r="C352" i="53"/>
  <c r="B322" i="55"/>
  <c r="B322" i="54"/>
  <c r="B322" i="53"/>
  <c r="D346" i="55"/>
  <c r="D346" i="54"/>
  <c r="D346" i="53"/>
  <c r="C326" i="55"/>
  <c r="C326" i="54"/>
  <c r="C326" i="53"/>
  <c r="C353" i="55"/>
  <c r="C353" i="54"/>
  <c r="C353" i="53"/>
  <c r="C361" i="55"/>
  <c r="C361" i="54"/>
  <c r="C361" i="53"/>
  <c r="D344" i="55"/>
  <c r="D344" i="54"/>
  <c r="D344" i="53"/>
  <c r="D335" i="55"/>
  <c r="D335" i="54"/>
  <c r="D335" i="53"/>
  <c r="B353" i="55"/>
  <c r="B353" i="54"/>
  <c r="B353" i="53"/>
  <c r="C369" i="55"/>
  <c r="C369" i="54"/>
  <c r="C369" i="53"/>
  <c r="C344" i="55"/>
  <c r="C344" i="54"/>
  <c r="C344" i="53"/>
  <c r="C366" i="55"/>
  <c r="C366" i="54"/>
  <c r="C366" i="53"/>
  <c r="B302" i="55"/>
  <c r="B302" i="54"/>
  <c r="B302" i="53"/>
  <c r="B367" i="55"/>
  <c r="B367" i="54"/>
  <c r="B367" i="53"/>
  <c r="B360" i="55"/>
  <c r="B360" i="54"/>
  <c r="B360" i="53"/>
  <c r="B348" i="55"/>
  <c r="B348" i="54"/>
  <c r="B348" i="53"/>
  <c r="C334" i="55"/>
  <c r="C334" i="54"/>
  <c r="C334" i="53"/>
  <c r="B330" i="55"/>
  <c r="B329" i="55"/>
  <c r="B329" i="54"/>
  <c r="B330" i="54"/>
  <c r="B330" i="53"/>
  <c r="B329" i="53"/>
  <c r="B364" i="55"/>
  <c r="B364" i="54"/>
  <c r="B364" i="53"/>
  <c r="B305" i="55"/>
  <c r="B305" i="54"/>
  <c r="B305" i="53"/>
  <c r="C325" i="55"/>
  <c r="C325" i="54"/>
  <c r="C325" i="53"/>
  <c r="B318" i="55"/>
  <c r="B318" i="54"/>
  <c r="B318" i="53"/>
  <c r="C333" i="55"/>
  <c r="C333" i="54"/>
  <c r="C333" i="53"/>
  <c r="C303" i="55"/>
  <c r="C303" i="54"/>
  <c r="C303" i="53"/>
  <c r="C362" i="55"/>
  <c r="C362" i="54"/>
  <c r="C362" i="53"/>
  <c r="C317" i="55"/>
  <c r="C317" i="54"/>
  <c r="C317" i="53"/>
  <c r="C302" i="55"/>
  <c r="C302" i="54"/>
  <c r="C302" i="53"/>
  <c r="C365" i="54"/>
  <c r="C365" i="55"/>
  <c r="C365" i="53"/>
  <c r="C329" i="55"/>
  <c r="C330" i="54"/>
  <c r="C329" i="54"/>
  <c r="C330" i="55"/>
  <c r="C329" i="53"/>
  <c r="C330" i="53"/>
  <c r="C346" i="45"/>
  <c r="C346" i="55"/>
  <c r="C346" i="54"/>
  <c r="C346" i="53"/>
  <c r="D310" i="55"/>
  <c r="D310" i="54"/>
  <c r="D310" i="53"/>
  <c r="D345" i="55"/>
  <c r="D345" i="54"/>
  <c r="D345" i="53"/>
  <c r="C305" i="55"/>
  <c r="C305" i="54"/>
  <c r="C305" i="53"/>
  <c r="C354" i="55"/>
  <c r="C354" i="54"/>
  <c r="C354" i="53"/>
  <c r="D348" i="55"/>
  <c r="D348" i="54"/>
  <c r="D348" i="53"/>
  <c r="B352" i="55"/>
  <c r="B352" i="54"/>
  <c r="B352" i="53"/>
  <c r="B363" i="55"/>
  <c r="B363" i="54"/>
  <c r="B363" i="53"/>
  <c r="B370" i="55"/>
  <c r="B370" i="54"/>
  <c r="B370" i="53"/>
  <c r="C327" i="55"/>
  <c r="C327" i="54"/>
  <c r="C327" i="53"/>
  <c r="C350" i="55"/>
  <c r="C350" i="54"/>
  <c r="C350" i="53"/>
  <c r="B345" i="45"/>
  <c r="B345" i="55"/>
  <c r="B345" i="54"/>
  <c r="B345" i="53"/>
  <c r="D347" i="55"/>
  <c r="D347" i="54"/>
  <c r="D347" i="53"/>
  <c r="C320" i="55"/>
  <c r="C320" i="54"/>
  <c r="C320" i="53"/>
  <c r="C370" i="55"/>
  <c r="C370" i="54"/>
  <c r="C370" i="53"/>
  <c r="B304" i="55"/>
  <c r="B304" i="54"/>
  <c r="B304" i="53"/>
  <c r="B369" i="55"/>
  <c r="B369" i="54"/>
  <c r="B369" i="53"/>
  <c r="B362" i="55"/>
  <c r="B362" i="54"/>
  <c r="B362" i="53"/>
  <c r="C345" i="55"/>
  <c r="C345" i="54"/>
  <c r="C345" i="53"/>
  <c r="B303" i="55"/>
  <c r="B303" i="54"/>
  <c r="B303" i="53"/>
  <c r="B371" i="55"/>
  <c r="B371" i="54"/>
  <c r="B371" i="53"/>
  <c r="C351" i="55"/>
  <c r="C351" i="54"/>
  <c r="C351" i="53"/>
  <c r="C312" i="55"/>
  <c r="C312" i="54"/>
  <c r="C312" i="53"/>
  <c r="B328" i="55"/>
  <c r="B328" i="54"/>
  <c r="B328" i="53"/>
  <c r="C304" i="55"/>
  <c r="C304" i="54"/>
  <c r="C304" i="53"/>
  <c r="C299" i="55"/>
  <c r="C299" i="54"/>
  <c r="C299" i="53"/>
  <c r="C367" i="55"/>
  <c r="C367" i="54"/>
  <c r="C367" i="53"/>
  <c r="C348" i="55"/>
  <c r="C348" i="54"/>
  <c r="C348" i="53"/>
  <c r="C358" i="55"/>
  <c r="C358" i="54"/>
  <c r="C358" i="53"/>
  <c r="B353" i="52"/>
  <c r="C347" i="55"/>
  <c r="C347" i="54"/>
  <c r="C347" i="53"/>
  <c r="B354" i="55"/>
  <c r="B354" i="54"/>
  <c r="B354" i="53"/>
  <c r="B366" i="55"/>
  <c r="B366" i="54"/>
  <c r="B366" i="53"/>
  <c r="B311" i="55"/>
  <c r="B311" i="54"/>
  <c r="B311" i="53"/>
  <c r="C318" i="55"/>
  <c r="C318" i="54"/>
  <c r="C318" i="53"/>
  <c r="C322" i="55"/>
  <c r="C322" i="54"/>
  <c r="C322" i="53"/>
  <c r="C332" i="55"/>
  <c r="C332" i="54"/>
  <c r="C332" i="53"/>
  <c r="D325" i="55"/>
  <c r="D325" i="54"/>
  <c r="D325" i="53"/>
  <c r="C310" i="55"/>
  <c r="C310" i="54"/>
  <c r="C310" i="53"/>
  <c r="B325" i="54"/>
  <c r="B325" i="55"/>
  <c r="B325" i="53"/>
  <c r="C364" i="55"/>
  <c r="C364" i="54"/>
  <c r="C364" i="53"/>
  <c r="C315" i="55"/>
  <c r="C315" i="54"/>
  <c r="C315" i="53"/>
  <c r="C363" i="55"/>
  <c r="C363" i="54"/>
  <c r="C363" i="53"/>
  <c r="B323" i="55"/>
  <c r="B324" i="55" s="1"/>
  <c r="B323" i="54"/>
  <c r="B324" i="54" s="1"/>
  <c r="B323" i="53"/>
  <c r="B324" i="53" s="1"/>
  <c r="B347" i="55"/>
  <c r="B347" i="54"/>
  <c r="B347" i="53"/>
  <c r="B312" i="55"/>
  <c r="B312" i="54"/>
  <c r="B312" i="53"/>
  <c r="B320" i="55"/>
  <c r="B320" i="54"/>
  <c r="B320" i="53"/>
  <c r="C301" i="55"/>
  <c r="C301" i="54"/>
  <c r="C301" i="53"/>
  <c r="B361" i="55"/>
  <c r="B361" i="54"/>
  <c r="B361" i="53"/>
  <c r="B350" i="55"/>
  <c r="B350" i="54"/>
  <c r="B350" i="53"/>
  <c r="C321" i="54"/>
  <c r="C321" i="55"/>
  <c r="C321" i="53"/>
  <c r="C328" i="55"/>
  <c r="C328" i="54"/>
  <c r="C328" i="53"/>
  <c r="D311" i="55"/>
  <c r="D311" i="54"/>
  <c r="D311" i="53"/>
  <c r="C308" i="54"/>
  <c r="C308" i="55"/>
  <c r="C308" i="53"/>
  <c r="B310" i="55"/>
  <c r="B310" i="54"/>
  <c r="B310" i="53"/>
  <c r="B372" i="55"/>
  <c r="B372" i="54"/>
  <c r="B372" i="53"/>
  <c r="B368" i="55"/>
  <c r="B368" i="54"/>
  <c r="B368" i="53"/>
  <c r="C323" i="55"/>
  <c r="C324" i="55" s="1"/>
  <c r="C323" i="54"/>
  <c r="C324" i="54" s="1"/>
  <c r="C323" i="53"/>
  <c r="C324" i="53" s="1"/>
  <c r="C355" i="55"/>
  <c r="C355" i="54"/>
  <c r="C355" i="53"/>
  <c r="B333" i="55"/>
  <c r="B333" i="54"/>
  <c r="B333" i="53"/>
  <c r="C331" i="55"/>
  <c r="C331" i="54"/>
  <c r="C331" i="53"/>
  <c r="C371" i="55"/>
  <c r="C371" i="54"/>
  <c r="C371" i="53"/>
  <c r="C335" i="55"/>
  <c r="C335" i="54"/>
  <c r="C335" i="53"/>
  <c r="B353" i="45"/>
  <c r="B344" i="52"/>
  <c r="B344" i="55"/>
  <c r="B344" i="54"/>
  <c r="B344" i="53"/>
  <c r="B301" i="55"/>
  <c r="B301" i="54"/>
  <c r="B301" i="53"/>
  <c r="B332" i="55"/>
  <c r="B332" i="54"/>
  <c r="B332" i="53"/>
  <c r="B334" i="55"/>
  <c r="B334" i="54"/>
  <c r="B334" i="53"/>
  <c r="C360" i="55"/>
  <c r="C360" i="54"/>
  <c r="C360" i="53"/>
  <c r="B365" i="55"/>
  <c r="B365" i="54"/>
  <c r="B365" i="53"/>
  <c r="E592" i="53"/>
  <c r="I427" i="54"/>
  <c r="I427" i="45" s="1"/>
  <c r="G15" i="60" s="1"/>
  <c r="H427" i="54"/>
  <c r="H427" i="45" s="1"/>
  <c r="E15" i="50" s="1"/>
  <c r="E594" i="45"/>
  <c r="E610" i="45" s="1"/>
  <c r="E654" i="45"/>
  <c r="E679" i="45"/>
  <c r="E104" i="45" s="1"/>
  <c r="B344" i="45"/>
  <c r="E679" i="52"/>
  <c r="E104" i="52" s="1"/>
  <c r="J388" i="45"/>
  <c r="C12" i="50"/>
  <c r="C346" i="52"/>
  <c r="B345" i="52"/>
  <c r="D57" i="1"/>
  <c r="D12" i="50"/>
  <c r="G388" i="45"/>
  <c r="E392" i="45"/>
  <c r="E386" i="45"/>
  <c r="C363" i="45"/>
  <c r="C363" i="52"/>
  <c r="B330" i="52"/>
  <c r="B329" i="52"/>
  <c r="C327" i="45"/>
  <c r="C327" i="52"/>
  <c r="C312" i="45"/>
  <c r="C312" i="52"/>
  <c r="C350" i="45"/>
  <c r="C350" i="52"/>
  <c r="C329" i="52"/>
  <c r="C330" i="52"/>
  <c r="E188" i="52"/>
  <c r="E205" i="52" s="1"/>
  <c r="C366" i="45"/>
  <c r="C366" i="52"/>
  <c r="B347" i="45"/>
  <c r="B347" i="52"/>
  <c r="B370" i="45"/>
  <c r="B370" i="52"/>
  <c r="C308" i="45"/>
  <c r="C308" i="52"/>
  <c r="B364" i="45"/>
  <c r="B364" i="52"/>
  <c r="B305" i="45"/>
  <c r="B305" i="52"/>
  <c r="C325" i="45"/>
  <c r="C325" i="52"/>
  <c r="C323" i="45"/>
  <c r="C324" i="45" s="1"/>
  <c r="C323" i="52"/>
  <c r="C324" i="52" s="1"/>
  <c r="C355" i="45"/>
  <c r="C355" i="52"/>
  <c r="C303" i="45"/>
  <c r="C303" i="52"/>
  <c r="C362" i="45"/>
  <c r="C362" i="52"/>
  <c r="C317" i="45"/>
  <c r="C317" i="52"/>
  <c r="C302" i="45"/>
  <c r="C302" i="52"/>
  <c r="C365" i="45"/>
  <c r="C365" i="52"/>
  <c r="C358" i="45"/>
  <c r="C358" i="52"/>
  <c r="B352" i="45"/>
  <c r="B352" i="52"/>
  <c r="B302" i="45"/>
  <c r="B302" i="52"/>
  <c r="B312" i="45"/>
  <c r="B312" i="52"/>
  <c r="C351" i="45"/>
  <c r="C351" i="52"/>
  <c r="C353" i="45"/>
  <c r="C353" i="52"/>
  <c r="C361" i="45"/>
  <c r="C361" i="52"/>
  <c r="E180" i="53"/>
  <c r="C344" i="45"/>
  <c r="C344" i="52"/>
  <c r="C352" i="45"/>
  <c r="C352" i="52"/>
  <c r="B323" i="45"/>
  <c r="B324" i="45" s="1"/>
  <c r="B323" i="52"/>
  <c r="B324" i="52" s="1"/>
  <c r="C334" i="45"/>
  <c r="C334" i="52"/>
  <c r="B322" i="45"/>
  <c r="B322" i="52"/>
  <c r="B303" i="45"/>
  <c r="B303" i="52"/>
  <c r="C326" i="45"/>
  <c r="C326" i="52"/>
  <c r="B328" i="45"/>
  <c r="B328" i="52"/>
  <c r="C304" i="45"/>
  <c r="C304" i="52"/>
  <c r="C299" i="45"/>
  <c r="C299" i="52"/>
  <c r="C367" i="45"/>
  <c r="C367" i="52"/>
  <c r="C335" i="45"/>
  <c r="C335" i="52"/>
  <c r="E654" i="52"/>
  <c r="C9" i="65" s="1"/>
  <c r="E658" i="52"/>
  <c r="E610" i="52"/>
  <c r="B363" i="45"/>
  <c r="B363" i="52"/>
  <c r="B371" i="45"/>
  <c r="B371" i="52"/>
  <c r="C301" i="45"/>
  <c r="C301" i="52"/>
  <c r="B361" i="45"/>
  <c r="B361" i="52"/>
  <c r="E356" i="52"/>
  <c r="E375" i="52" s="1"/>
  <c r="C369" i="45"/>
  <c r="C369" i="52"/>
  <c r="C321" i="45"/>
  <c r="C321" i="52"/>
  <c r="B304" i="45"/>
  <c r="B304" i="52"/>
  <c r="C320" i="45"/>
  <c r="C320" i="52"/>
  <c r="C370" i="45"/>
  <c r="C370" i="52"/>
  <c r="C328" i="45"/>
  <c r="C328" i="52"/>
  <c r="B367" i="45"/>
  <c r="B367" i="52"/>
  <c r="B360" i="45"/>
  <c r="B360" i="52"/>
  <c r="C345" i="45"/>
  <c r="C345" i="52"/>
  <c r="B320" i="45"/>
  <c r="B320" i="52"/>
  <c r="B350" i="45"/>
  <c r="B350" i="52"/>
  <c r="B369" i="45"/>
  <c r="B369" i="52"/>
  <c r="B362" i="45"/>
  <c r="B362" i="52"/>
  <c r="B348" i="45"/>
  <c r="B349" i="45" s="1"/>
  <c r="B348" i="52"/>
  <c r="B310" i="45"/>
  <c r="B310" i="52"/>
  <c r="B372" i="45"/>
  <c r="B372" i="52"/>
  <c r="B368" i="45"/>
  <c r="B368" i="52"/>
  <c r="B318" i="45"/>
  <c r="B318" i="52"/>
  <c r="C333" i="45"/>
  <c r="C333" i="52"/>
  <c r="B333" i="45"/>
  <c r="B333" i="52"/>
  <c r="C331" i="45"/>
  <c r="C331" i="52"/>
  <c r="C371" i="45"/>
  <c r="C371" i="52"/>
  <c r="C348" i="45"/>
  <c r="C348" i="52"/>
  <c r="B329" i="45"/>
  <c r="B330" i="45"/>
  <c r="C329" i="45"/>
  <c r="C330" i="45"/>
  <c r="C97" i="2"/>
  <c r="C50" i="9" s="1"/>
  <c r="C54" i="9" s="1"/>
  <c r="C152" i="2"/>
  <c r="F155" i="2"/>
  <c r="C155" i="2" s="1"/>
  <c r="D273" i="1"/>
  <c r="E385" i="52" s="1"/>
  <c r="F49" i="2"/>
  <c r="C46" i="2"/>
  <c r="G12" i="50"/>
  <c r="H15" i="56" s="1"/>
  <c r="D60" i="1"/>
  <c r="E63" i="53" s="1"/>
  <c r="E12" i="50"/>
  <c r="F15" i="56" s="1"/>
  <c r="G23" i="6"/>
  <c r="I21" i="6" s="1"/>
  <c r="F15" i="50" l="1"/>
  <c r="F50" i="10"/>
  <c r="F58" i="10"/>
  <c r="F53" i="10"/>
  <c r="F68" i="10" s="1"/>
  <c r="G553" i="1" s="1"/>
  <c r="F57" i="10"/>
  <c r="F59" i="10"/>
  <c r="F69" i="10" s="1"/>
  <c r="H553" i="1" s="1"/>
  <c r="F52" i="10"/>
  <c r="F51" i="10"/>
  <c r="F60" i="10"/>
  <c r="F54" i="10"/>
  <c r="F55" i="10"/>
  <c r="G15" i="50"/>
  <c r="J99" i="45"/>
  <c r="I99" i="45"/>
  <c r="I44" i="45" s="1"/>
  <c r="F180" i="54"/>
  <c r="D14" i="60" s="1"/>
  <c r="F830" i="54"/>
  <c r="C13" i="65"/>
  <c r="E14" i="60"/>
  <c r="D275" i="1"/>
  <c r="E387" i="52" s="1"/>
  <c r="L7" i="50"/>
  <c r="H388" i="45"/>
  <c r="F427" i="54"/>
  <c r="F427" i="45" s="1"/>
  <c r="G427" i="54"/>
  <c r="G427" i="45" s="1"/>
  <c r="H99" i="45"/>
  <c r="H44" i="45" s="1"/>
  <c r="F15" i="60"/>
  <c r="E658" i="45"/>
  <c r="L8" i="50"/>
  <c r="R8" i="50" s="1"/>
  <c r="L10" i="50"/>
  <c r="M10" i="60"/>
  <c r="R10" i="60" s="1"/>
  <c r="J817" i="54" s="1"/>
  <c r="I263" i="53"/>
  <c r="G263" i="53"/>
  <c r="E165" i="55"/>
  <c r="F263" i="53"/>
  <c r="E348" i="55"/>
  <c r="H263" i="53"/>
  <c r="K263" i="53"/>
  <c r="J263" i="53"/>
  <c r="E161" i="55"/>
  <c r="E152" i="54"/>
  <c r="E335" i="55"/>
  <c r="E177" i="55"/>
  <c r="M10" i="59"/>
  <c r="O10" i="59" s="1"/>
  <c r="G817" i="53" s="1"/>
  <c r="E325" i="55"/>
  <c r="E325" i="53"/>
  <c r="M12" i="59"/>
  <c r="R12" i="59" s="1"/>
  <c r="J819" i="53" s="1"/>
  <c r="E344" i="55"/>
  <c r="E348" i="53"/>
  <c r="G348" i="53" s="1"/>
  <c r="H30" i="57"/>
  <c r="D30" i="57" s="1"/>
  <c r="G838" i="52" s="1"/>
  <c r="M10" i="61"/>
  <c r="P10" i="61" s="1"/>
  <c r="H817" i="55" s="1"/>
  <c r="E345" i="55"/>
  <c r="E167" i="55"/>
  <c r="H36" i="57"/>
  <c r="D36" i="57" s="1"/>
  <c r="G844" i="52" s="1"/>
  <c r="E37" i="57"/>
  <c r="H845" i="52" s="1"/>
  <c r="M12" i="60"/>
  <c r="T12" i="60" s="1"/>
  <c r="L819" i="54" s="1"/>
  <c r="E178" i="55"/>
  <c r="M8" i="60"/>
  <c r="O8" i="60" s="1"/>
  <c r="G815" i="54" s="1"/>
  <c r="J28" i="57"/>
  <c r="J26" i="57"/>
  <c r="J27" i="57"/>
  <c r="D22" i="50"/>
  <c r="E22" i="61"/>
  <c r="E22" i="60"/>
  <c r="E22" i="59"/>
  <c r="G22" i="50"/>
  <c r="H22" i="61"/>
  <c r="H22" i="59"/>
  <c r="H22" i="60"/>
  <c r="G348" i="54"/>
  <c r="L348" i="54"/>
  <c r="J348" i="54"/>
  <c r="H348" i="54"/>
  <c r="F348" i="54"/>
  <c r="K348" i="54"/>
  <c r="I348" i="54"/>
  <c r="F22" i="50"/>
  <c r="G22" i="61"/>
  <c r="G22" i="59"/>
  <c r="G22" i="60"/>
  <c r="D329" i="1"/>
  <c r="E427" i="52"/>
  <c r="E22" i="50"/>
  <c r="F22" i="61"/>
  <c r="F22" i="60"/>
  <c r="F22" i="59"/>
  <c r="E259" i="55"/>
  <c r="H31" i="57"/>
  <c r="D31" i="57" s="1"/>
  <c r="G839" i="52" s="1"/>
  <c r="E35" i="57"/>
  <c r="E29" i="57"/>
  <c r="E312" i="53"/>
  <c r="E312" i="55"/>
  <c r="M8" i="61"/>
  <c r="M12" i="61"/>
  <c r="E310" i="54"/>
  <c r="E313" i="54" s="1"/>
  <c r="G313" i="52"/>
  <c r="E429" i="55"/>
  <c r="L429" i="55" s="1"/>
  <c r="E346" i="55"/>
  <c r="E346" i="54"/>
  <c r="E264" i="53"/>
  <c r="I264" i="53" s="1"/>
  <c r="E264" i="55"/>
  <c r="I264" i="55" s="1"/>
  <c r="E250" i="55"/>
  <c r="I250" i="55" s="1"/>
  <c r="E250" i="53"/>
  <c r="I250" i="53" s="1"/>
  <c r="E311" i="53"/>
  <c r="E311" i="55"/>
  <c r="M7" i="60"/>
  <c r="F336" i="52"/>
  <c r="G336" i="52"/>
  <c r="E336" i="54" s="1"/>
  <c r="I336" i="54" s="1"/>
  <c r="H336" i="52"/>
  <c r="H313" i="52"/>
  <c r="E347" i="55"/>
  <c r="E347" i="53"/>
  <c r="E227" i="55"/>
  <c r="M7" i="59"/>
  <c r="H349" i="52"/>
  <c r="G349" i="52"/>
  <c r="E349" i="54" s="1"/>
  <c r="I349" i="54" s="1"/>
  <c r="F349" i="52"/>
  <c r="M8" i="59"/>
  <c r="E310" i="53"/>
  <c r="E310" i="55"/>
  <c r="F313" i="52"/>
  <c r="E227" i="53"/>
  <c r="M7" i="61"/>
  <c r="E30" i="57"/>
  <c r="H838" i="52" s="1"/>
  <c r="E36" i="57"/>
  <c r="H844" i="52" s="1"/>
  <c r="J39" i="57"/>
  <c r="J40" i="57"/>
  <c r="J38" i="57"/>
  <c r="F557" i="52"/>
  <c r="F558" i="52"/>
  <c r="E558" i="53" s="1"/>
  <c r="F556" i="52"/>
  <c r="E556" i="53" s="1"/>
  <c r="F545" i="52"/>
  <c r="E545" i="53" s="1"/>
  <c r="F458" i="52"/>
  <c r="F459" i="52"/>
  <c r="E459" i="53" s="1"/>
  <c r="F446" i="52"/>
  <c r="E446" i="53" s="1"/>
  <c r="F457" i="52"/>
  <c r="E457" i="53" s="1"/>
  <c r="G17" i="57"/>
  <c r="G20" i="57"/>
  <c r="C30" i="57"/>
  <c r="F838" i="52" s="1"/>
  <c r="H35" i="57"/>
  <c r="D35" i="57" s="1"/>
  <c r="G843" i="52" s="1"/>
  <c r="H29" i="57"/>
  <c r="D29" i="57" s="1"/>
  <c r="G837" i="52" s="1"/>
  <c r="E17" i="52"/>
  <c r="C17" i="65" s="1"/>
  <c r="E49" i="52"/>
  <c r="E31" i="57"/>
  <c r="H839" i="52" s="1"/>
  <c r="C36" i="57"/>
  <c r="F844" i="52" s="1"/>
  <c r="C31" i="57"/>
  <c r="F839" i="52" s="1"/>
  <c r="H37" i="57"/>
  <c r="D37" i="57" s="1"/>
  <c r="G845" i="52" s="1"/>
  <c r="E238" i="55"/>
  <c r="I238" i="55" s="1"/>
  <c r="E323" i="53"/>
  <c r="E323" i="55"/>
  <c r="E319" i="53"/>
  <c r="E319" i="55"/>
  <c r="E332" i="53"/>
  <c r="E332" i="55"/>
  <c r="E321" i="53"/>
  <c r="E321" i="55"/>
  <c r="E334" i="53"/>
  <c r="E334" i="55"/>
  <c r="E318" i="53"/>
  <c r="E318" i="55"/>
  <c r="E329" i="53"/>
  <c r="E329" i="55"/>
  <c r="E320" i="53"/>
  <c r="E320" i="55"/>
  <c r="E317" i="53"/>
  <c r="E317" i="55"/>
  <c r="E162" i="53"/>
  <c r="I162" i="53" s="1"/>
  <c r="E162" i="55"/>
  <c r="I162" i="55" s="1"/>
  <c r="E244" i="53"/>
  <c r="I244" i="53" s="1"/>
  <c r="E244" i="55"/>
  <c r="I244" i="55" s="1"/>
  <c r="E328" i="53"/>
  <c r="E328" i="55"/>
  <c r="E322" i="53"/>
  <c r="E322" i="55"/>
  <c r="E331" i="53"/>
  <c r="E331" i="55"/>
  <c r="E333" i="53"/>
  <c r="E333" i="55"/>
  <c r="E156" i="53"/>
  <c r="I156" i="53" s="1"/>
  <c r="E156" i="55"/>
  <c r="I156" i="55" s="1"/>
  <c r="I180" i="53"/>
  <c r="L180" i="53"/>
  <c r="G180" i="53"/>
  <c r="E14" i="59" s="1"/>
  <c r="H180" i="53"/>
  <c r="K180" i="53"/>
  <c r="J180" i="53"/>
  <c r="F180" i="53"/>
  <c r="D14" i="59" s="1"/>
  <c r="H21" i="59"/>
  <c r="H21" i="60"/>
  <c r="F21" i="59"/>
  <c r="F21" i="60"/>
  <c r="G21" i="50"/>
  <c r="F324" i="52"/>
  <c r="G324" i="52"/>
  <c r="E324" i="54" s="1"/>
  <c r="I324" i="54" s="1"/>
  <c r="H324" i="52"/>
  <c r="E238" i="53"/>
  <c r="H330" i="52"/>
  <c r="G330" i="52"/>
  <c r="E330" i="54" s="1"/>
  <c r="I330" i="54" s="1"/>
  <c r="F330" i="52"/>
  <c r="E317" i="54"/>
  <c r="E161" i="54"/>
  <c r="E15" i="56"/>
  <c r="C15" i="56" s="1"/>
  <c r="H18" i="56" s="1"/>
  <c r="H20" i="56" s="1"/>
  <c r="D14" i="56"/>
  <c r="I388" i="45"/>
  <c r="F32" i="10"/>
  <c r="F18" i="10"/>
  <c r="F13" i="10"/>
  <c r="F24" i="10"/>
  <c r="F12" i="10"/>
  <c r="F17" i="10"/>
  <c r="F25" i="10"/>
  <c r="F22" i="10"/>
  <c r="F15" i="10"/>
  <c r="F34" i="10" s="1"/>
  <c r="F14" i="10"/>
  <c r="F19" i="10"/>
  <c r="F16" i="10"/>
  <c r="F23" i="10"/>
  <c r="F20" i="10"/>
  <c r="F26" i="10"/>
  <c r="F21" i="10"/>
  <c r="C49" i="2"/>
  <c r="B349" i="55"/>
  <c r="B349" i="52"/>
  <c r="B349" i="54"/>
  <c r="B349" i="53"/>
  <c r="E161" i="53"/>
  <c r="C28" i="7"/>
  <c r="B28" i="7" s="1"/>
  <c r="E47" i="7"/>
  <c r="G47" i="7"/>
  <c r="D47" i="7"/>
  <c r="F47" i="7"/>
  <c r="C33" i="7"/>
  <c r="B33" i="7" s="1"/>
  <c r="I15" i="6"/>
  <c r="I19" i="6"/>
  <c r="M19" i="6" s="1"/>
  <c r="G595" i="1" s="1"/>
  <c r="E592" i="1"/>
  <c r="D21" i="61" s="1"/>
  <c r="M21" i="61" s="1"/>
  <c r="D21" i="50"/>
  <c r="E21" i="50"/>
  <c r="B34" i="3"/>
  <c r="E593" i="1"/>
  <c r="M21" i="6"/>
  <c r="I595" i="1" s="1"/>
  <c r="J44" i="45"/>
  <c r="E344" i="53"/>
  <c r="E594" i="53"/>
  <c r="E658" i="53" s="1"/>
  <c r="J99" i="54"/>
  <c r="J12" i="54" s="1"/>
  <c r="E259" i="53"/>
  <c r="H99" i="54"/>
  <c r="H12" i="54" s="1"/>
  <c r="I99" i="54"/>
  <c r="I12" i="54" s="1"/>
  <c r="E779" i="52"/>
  <c r="L12" i="50"/>
  <c r="E387" i="45"/>
  <c r="E739" i="52"/>
  <c r="E101" i="52"/>
  <c r="E385" i="45"/>
  <c r="F388" i="45"/>
  <c r="H23" i="6"/>
  <c r="I17" i="6"/>
  <c r="R7" i="50"/>
  <c r="F66" i="10" l="1"/>
  <c r="E553" i="1" s="1"/>
  <c r="F61" i="10"/>
  <c r="F70" i="10" s="1"/>
  <c r="I553" i="1" s="1"/>
  <c r="F67" i="10"/>
  <c r="F553" i="1" s="1"/>
  <c r="N8" i="50"/>
  <c r="O8" i="50"/>
  <c r="E427" i="45"/>
  <c r="E431" i="45" s="1"/>
  <c r="E433" i="45" s="1"/>
  <c r="Q8" i="50"/>
  <c r="P8" i="50"/>
  <c r="Q10" i="59"/>
  <c r="I817" i="53" s="1"/>
  <c r="S8" i="50"/>
  <c r="F99" i="54"/>
  <c r="F12" i="54" s="1"/>
  <c r="F445" i="52"/>
  <c r="D15" i="50"/>
  <c r="E15" i="60"/>
  <c r="G99" i="45"/>
  <c r="G44" i="45" s="1"/>
  <c r="F544" i="52"/>
  <c r="D15" i="60"/>
  <c r="F99" i="45"/>
  <c r="F44" i="45" s="1"/>
  <c r="C15" i="50"/>
  <c r="H458" i="52"/>
  <c r="H843" i="52"/>
  <c r="H445" i="52"/>
  <c r="H837" i="52"/>
  <c r="M14" i="60"/>
  <c r="S14" i="60" s="1"/>
  <c r="I156" i="45"/>
  <c r="I162" i="45"/>
  <c r="J14" i="59"/>
  <c r="I14" i="59"/>
  <c r="G14" i="59"/>
  <c r="I244" i="45"/>
  <c r="E244" i="45" s="1"/>
  <c r="H14" i="59"/>
  <c r="F14" i="59"/>
  <c r="I250" i="45"/>
  <c r="E250" i="45" s="1"/>
  <c r="S7" i="50"/>
  <c r="P7" i="50"/>
  <c r="Q7" i="50"/>
  <c r="N7" i="50"/>
  <c r="O7" i="50"/>
  <c r="E427" i="54"/>
  <c r="E99" i="54" s="1"/>
  <c r="S10" i="50"/>
  <c r="O10" i="60"/>
  <c r="G444" i="54" s="1"/>
  <c r="N10" i="50"/>
  <c r="G99" i="54"/>
  <c r="G44" i="54" s="1"/>
  <c r="Q10" i="60"/>
  <c r="I817" i="54" s="1"/>
  <c r="P10" i="60"/>
  <c r="H817" i="54" s="1"/>
  <c r="S10" i="60"/>
  <c r="Q10" i="50"/>
  <c r="P10" i="50"/>
  <c r="O10" i="50"/>
  <c r="R10" i="50"/>
  <c r="H11" i="50" s="1"/>
  <c r="T10" i="60"/>
  <c r="L817" i="54" s="1"/>
  <c r="H544" i="52"/>
  <c r="H557" i="52"/>
  <c r="H545" i="52"/>
  <c r="Q8" i="60"/>
  <c r="I411" i="54" s="1"/>
  <c r="H348" i="53"/>
  <c r="F37" i="57"/>
  <c r="H446" i="52"/>
  <c r="H457" i="52"/>
  <c r="H556" i="52"/>
  <c r="H459" i="52"/>
  <c r="H558" i="52"/>
  <c r="O12" i="59"/>
  <c r="G481" i="53" s="1"/>
  <c r="S10" i="61"/>
  <c r="L348" i="53"/>
  <c r="R10" i="59"/>
  <c r="S12" i="60"/>
  <c r="T10" i="59"/>
  <c r="P8" i="60"/>
  <c r="H408" i="54" s="1"/>
  <c r="S8" i="60"/>
  <c r="T8" i="60"/>
  <c r="R8" i="60"/>
  <c r="J592" i="53"/>
  <c r="T10" i="61"/>
  <c r="O10" i="61"/>
  <c r="Q10" i="61"/>
  <c r="R10" i="61"/>
  <c r="S12" i="59"/>
  <c r="Q12" i="59"/>
  <c r="P12" i="59"/>
  <c r="T12" i="59"/>
  <c r="L590" i="53" s="1"/>
  <c r="S10" i="59"/>
  <c r="P10" i="59"/>
  <c r="J429" i="55"/>
  <c r="K429" i="55"/>
  <c r="G429" i="55"/>
  <c r="E654" i="55"/>
  <c r="F429" i="55"/>
  <c r="I429" i="55"/>
  <c r="H429" i="55"/>
  <c r="K348" i="53"/>
  <c r="F29" i="57"/>
  <c r="I20" i="57"/>
  <c r="E20" i="57" s="1"/>
  <c r="R12" i="60"/>
  <c r="F348" i="53"/>
  <c r="I348" i="53"/>
  <c r="I17" i="57"/>
  <c r="E17" i="57" s="1"/>
  <c r="O12" i="60"/>
  <c r="P12" i="60"/>
  <c r="J348" i="53"/>
  <c r="Q12" i="60"/>
  <c r="E313" i="55"/>
  <c r="F36" i="57"/>
  <c r="E313" i="53"/>
  <c r="G9" i="50"/>
  <c r="H9" i="61"/>
  <c r="H9" i="59"/>
  <c r="H9" i="60"/>
  <c r="H543" i="55"/>
  <c r="H444" i="55"/>
  <c r="D22" i="61"/>
  <c r="M22" i="61" s="1"/>
  <c r="D22" i="59"/>
  <c r="M22" i="59" s="1"/>
  <c r="D22" i="60"/>
  <c r="M22" i="60" s="1"/>
  <c r="L505" i="54"/>
  <c r="L574" i="54"/>
  <c r="L578" i="54"/>
  <c r="L482" i="54"/>
  <c r="L593" i="54"/>
  <c r="L476" i="54"/>
  <c r="L488" i="54"/>
  <c r="L591" i="54"/>
  <c r="L475" i="54"/>
  <c r="L491" i="54"/>
  <c r="L604" i="54"/>
  <c r="L577" i="54"/>
  <c r="L480" i="54"/>
  <c r="L587" i="54"/>
  <c r="L478" i="54"/>
  <c r="L494" i="54"/>
  <c r="L590" i="54"/>
  <c r="L492" i="54"/>
  <c r="L506" i="54"/>
  <c r="L579" i="54"/>
  <c r="L581" i="54"/>
  <c r="L607" i="54"/>
  <c r="L479" i="54"/>
  <c r="L487" i="54"/>
  <c r="L586" i="54"/>
  <c r="L508" i="54"/>
  <c r="L575" i="54"/>
  <c r="L474" i="54"/>
  <c r="L490" i="54"/>
  <c r="L589" i="54"/>
  <c r="L493" i="54"/>
  <c r="L580" i="54"/>
  <c r="L573" i="54"/>
  <c r="L489" i="54"/>
  <c r="L606" i="54"/>
  <c r="L481" i="54"/>
  <c r="L588" i="54"/>
  <c r="L592" i="54"/>
  <c r="L605" i="54"/>
  <c r="L507" i="54"/>
  <c r="E349" i="53"/>
  <c r="I349" i="53" s="1"/>
  <c r="E349" i="55"/>
  <c r="I349" i="55" s="1"/>
  <c r="E336" i="55"/>
  <c r="I336" i="55" s="1"/>
  <c r="E336" i="53"/>
  <c r="I336" i="53" s="1"/>
  <c r="J444" i="54"/>
  <c r="J543" i="54"/>
  <c r="E9" i="50"/>
  <c r="F9" i="61"/>
  <c r="F9" i="60"/>
  <c r="F9" i="59"/>
  <c r="O8" i="59"/>
  <c r="G815" i="53" s="1"/>
  <c r="R8" i="59"/>
  <c r="J815" i="53" s="1"/>
  <c r="T8" i="59"/>
  <c r="L815" i="53" s="1"/>
  <c r="Q8" i="59"/>
  <c r="I815" i="53" s="1"/>
  <c r="S8" i="59"/>
  <c r="K815" i="53" s="1"/>
  <c r="P8" i="59"/>
  <c r="H815" i="53" s="1"/>
  <c r="Q7" i="59"/>
  <c r="I814" i="53" s="1"/>
  <c r="P7" i="59"/>
  <c r="H814" i="53" s="1"/>
  <c r="O7" i="59"/>
  <c r="G814" i="53" s="1"/>
  <c r="R7" i="59"/>
  <c r="J814" i="53" s="1"/>
  <c r="T7" i="59"/>
  <c r="L814" i="53" s="1"/>
  <c r="S7" i="59"/>
  <c r="K814" i="53" s="1"/>
  <c r="T7" i="60"/>
  <c r="P7" i="60"/>
  <c r="R7" i="60"/>
  <c r="S7" i="60"/>
  <c r="K814" i="54" s="1"/>
  <c r="Q7" i="60"/>
  <c r="I814" i="54" s="1"/>
  <c r="O7" i="60"/>
  <c r="G814" i="54" s="1"/>
  <c r="P12" i="61"/>
  <c r="O12" i="61"/>
  <c r="G819" i="55" s="1"/>
  <c r="T12" i="61"/>
  <c r="L819" i="55" s="1"/>
  <c r="S12" i="61"/>
  <c r="R12" i="61"/>
  <c r="J819" i="55" s="1"/>
  <c r="Q12" i="61"/>
  <c r="I819" i="55" s="1"/>
  <c r="P7" i="61"/>
  <c r="S7" i="61"/>
  <c r="K814" i="55" s="1"/>
  <c r="Q7" i="61"/>
  <c r="I814" i="55" s="1"/>
  <c r="O7" i="61"/>
  <c r="G814" i="55" s="1"/>
  <c r="R7" i="61"/>
  <c r="J814" i="55" s="1"/>
  <c r="T7" i="61"/>
  <c r="L814" i="55" s="1"/>
  <c r="G444" i="53"/>
  <c r="G543" i="53"/>
  <c r="J581" i="53"/>
  <c r="J593" i="53"/>
  <c r="J573" i="53"/>
  <c r="J481" i="53"/>
  <c r="J480" i="53"/>
  <c r="J578" i="53"/>
  <c r="J590" i="53"/>
  <c r="J591" i="53"/>
  <c r="J482" i="53"/>
  <c r="J508" i="53"/>
  <c r="J587" i="53"/>
  <c r="J579" i="53"/>
  <c r="J488" i="53"/>
  <c r="J589" i="53"/>
  <c r="J575" i="53"/>
  <c r="J476" i="53"/>
  <c r="J478" i="53"/>
  <c r="J505" i="53"/>
  <c r="J580" i="53"/>
  <c r="J493" i="53"/>
  <c r="J487" i="53"/>
  <c r="J506" i="53"/>
  <c r="J577" i="53"/>
  <c r="J489" i="53"/>
  <c r="J490" i="53"/>
  <c r="J492" i="53"/>
  <c r="J475" i="53"/>
  <c r="J474" i="53"/>
  <c r="J606" i="53"/>
  <c r="J574" i="53"/>
  <c r="J507" i="53"/>
  <c r="J494" i="53"/>
  <c r="J479" i="53"/>
  <c r="J491" i="53"/>
  <c r="J607" i="53"/>
  <c r="J586" i="53"/>
  <c r="J588" i="53"/>
  <c r="J604" i="53"/>
  <c r="J605" i="53"/>
  <c r="G411" i="54"/>
  <c r="G144" i="54"/>
  <c r="G416" i="54"/>
  <c r="G418" i="54"/>
  <c r="G419" i="54"/>
  <c r="G408" i="54"/>
  <c r="G143" i="54"/>
  <c r="G142" i="54"/>
  <c r="G410" i="54"/>
  <c r="G417" i="54"/>
  <c r="G409" i="54"/>
  <c r="G799" i="54"/>
  <c r="G796" i="54"/>
  <c r="G225" i="54"/>
  <c r="G226" i="54"/>
  <c r="G312" i="54"/>
  <c r="G224" i="54"/>
  <c r="O8" i="61"/>
  <c r="G815" i="55" s="1"/>
  <c r="R8" i="61"/>
  <c r="J815" i="55" s="1"/>
  <c r="T8" i="61"/>
  <c r="L815" i="55" s="1"/>
  <c r="Q8" i="61"/>
  <c r="I815" i="55" s="1"/>
  <c r="P8" i="61"/>
  <c r="H815" i="55" s="1"/>
  <c r="S8" i="61"/>
  <c r="K815" i="55" s="1"/>
  <c r="G427" i="52"/>
  <c r="H427" i="52"/>
  <c r="F427" i="52"/>
  <c r="G310" i="54"/>
  <c r="G311" i="54"/>
  <c r="I19" i="57"/>
  <c r="E19" i="57" s="1"/>
  <c r="I22" i="57"/>
  <c r="E22" i="57" s="1"/>
  <c r="G558" i="52"/>
  <c r="G545" i="52"/>
  <c r="G556" i="52"/>
  <c r="G457" i="52"/>
  <c r="G446" i="52"/>
  <c r="G557" i="52"/>
  <c r="G458" i="52"/>
  <c r="G459" i="52"/>
  <c r="F31" i="57"/>
  <c r="G19" i="57"/>
  <c r="G22" i="57"/>
  <c r="F30" i="57"/>
  <c r="G18" i="57"/>
  <c r="G21" i="57"/>
  <c r="C20" i="57"/>
  <c r="F828" i="52" s="1"/>
  <c r="G544" i="52"/>
  <c r="E544" i="54" s="1"/>
  <c r="G445" i="52"/>
  <c r="E445" i="54" s="1"/>
  <c r="C17" i="57"/>
  <c r="F825" i="52" s="1"/>
  <c r="F35" i="57"/>
  <c r="I18" i="57"/>
  <c r="E18" i="57" s="1"/>
  <c r="I21" i="57"/>
  <c r="E21" i="57" s="1"/>
  <c r="E330" i="53"/>
  <c r="I330" i="53" s="1"/>
  <c r="E330" i="55"/>
  <c r="I330" i="55" s="1"/>
  <c r="E324" i="53"/>
  <c r="I324" i="53" s="1"/>
  <c r="E324" i="55"/>
  <c r="I324" i="55" s="1"/>
  <c r="H27" i="61"/>
  <c r="H27" i="60"/>
  <c r="H27" i="59"/>
  <c r="E594" i="55"/>
  <c r="E658" i="55" s="1"/>
  <c r="L348" i="55"/>
  <c r="H348" i="55"/>
  <c r="K348" i="55"/>
  <c r="G348" i="55"/>
  <c r="G348" i="45" s="1"/>
  <c r="J348" i="55"/>
  <c r="F348" i="55"/>
  <c r="I348" i="55"/>
  <c r="R21" i="61"/>
  <c r="Q21" i="61"/>
  <c r="P21" i="61"/>
  <c r="S21" i="61"/>
  <c r="O21" i="61"/>
  <c r="T21" i="61"/>
  <c r="I238" i="53"/>
  <c r="I238" i="45" s="1"/>
  <c r="E238" i="45" s="1"/>
  <c r="D21" i="59"/>
  <c r="M21" i="59" s="1"/>
  <c r="D21" i="60"/>
  <c r="M21" i="60" s="1"/>
  <c r="C21" i="50"/>
  <c r="C14" i="56"/>
  <c r="D17" i="56" s="1"/>
  <c r="G27" i="50"/>
  <c r="F18" i="56"/>
  <c r="F20" i="56" s="1"/>
  <c r="E18" i="56"/>
  <c r="G18" i="56"/>
  <c r="G20" i="56" s="1"/>
  <c r="F100" i="2"/>
  <c r="G277" i="1" s="1"/>
  <c r="F33" i="10"/>
  <c r="F27" i="10"/>
  <c r="D100" i="2"/>
  <c r="E277" i="1" s="1"/>
  <c r="F390" i="45" s="1"/>
  <c r="I23" i="6"/>
  <c r="M23" i="6" s="1"/>
  <c r="E46" i="52"/>
  <c r="E14" i="52"/>
  <c r="C16" i="65" s="1"/>
  <c r="M17" i="6"/>
  <c r="F595" i="1" s="1"/>
  <c r="C47" i="7"/>
  <c r="B47" i="7" s="1"/>
  <c r="M15" i="6"/>
  <c r="E595" i="1" s="1"/>
  <c r="F9" i="50"/>
  <c r="D592" i="1"/>
  <c r="C22" i="50"/>
  <c r="D593" i="1"/>
  <c r="E557" i="53"/>
  <c r="E458" i="53"/>
  <c r="S12" i="50"/>
  <c r="I44" i="54"/>
  <c r="J44" i="54"/>
  <c r="H44" i="54"/>
  <c r="N12" i="50"/>
  <c r="O12" i="50"/>
  <c r="Q12" i="50"/>
  <c r="R12" i="50"/>
  <c r="P12" i="50"/>
  <c r="E388" i="45"/>
  <c r="E694" i="52"/>
  <c r="E693" i="52" s="1"/>
  <c r="E738" i="52"/>
  <c r="E11" i="50"/>
  <c r="D553" i="1" l="1"/>
  <c r="E10" i="52" s="1"/>
  <c r="F71" i="10"/>
  <c r="H390" i="45"/>
  <c r="H390" i="54"/>
  <c r="F44" i="54"/>
  <c r="E805" i="45"/>
  <c r="E99" i="45"/>
  <c r="E44" i="45" s="1"/>
  <c r="I11" i="50"/>
  <c r="G12" i="54"/>
  <c r="L607" i="53"/>
  <c r="H543" i="54"/>
  <c r="L490" i="53"/>
  <c r="M8" i="50"/>
  <c r="E805" i="54"/>
  <c r="L543" i="54"/>
  <c r="G580" i="53"/>
  <c r="H444" i="54"/>
  <c r="I543" i="53"/>
  <c r="G505" i="53"/>
  <c r="I444" i="53"/>
  <c r="L15" i="50"/>
  <c r="I543" i="54"/>
  <c r="G11" i="50"/>
  <c r="M15" i="60"/>
  <c r="Q15" i="60" s="1"/>
  <c r="H592" i="55"/>
  <c r="H819" i="55"/>
  <c r="H283" i="1"/>
  <c r="I393" i="45" s="1"/>
  <c r="H278" i="1"/>
  <c r="I391" i="45" s="1"/>
  <c r="F278" i="1"/>
  <c r="F283" i="1"/>
  <c r="K592" i="55"/>
  <c r="K819" i="55"/>
  <c r="F11" i="60"/>
  <c r="H814" i="54"/>
  <c r="L444" i="54"/>
  <c r="G605" i="53"/>
  <c r="G590" i="53"/>
  <c r="G589" i="53"/>
  <c r="G586" i="54"/>
  <c r="G819" i="54"/>
  <c r="J475" i="54"/>
  <c r="J819" i="54"/>
  <c r="K444" i="53"/>
  <c r="K817" i="53"/>
  <c r="K593" i="53"/>
  <c r="K819" i="53"/>
  <c r="L444" i="55"/>
  <c r="L817" i="55"/>
  <c r="K416" i="54"/>
  <c r="K815" i="54"/>
  <c r="J543" i="53"/>
  <c r="J817" i="53"/>
  <c r="K444" i="54"/>
  <c r="K817" i="54"/>
  <c r="G278" i="1"/>
  <c r="H391" i="45" s="1"/>
  <c r="G283" i="1"/>
  <c r="H393" i="45" s="1"/>
  <c r="H543" i="53"/>
  <c r="H817" i="53"/>
  <c r="G543" i="55"/>
  <c r="G817" i="55"/>
  <c r="L311" i="54"/>
  <c r="L815" i="54"/>
  <c r="K590" i="54"/>
  <c r="K819" i="54"/>
  <c r="I144" i="54"/>
  <c r="I815" i="54"/>
  <c r="J11" i="60"/>
  <c r="L814" i="54"/>
  <c r="G494" i="53"/>
  <c r="I604" i="54"/>
  <c r="I819" i="54"/>
  <c r="L577" i="53"/>
  <c r="L819" i="53"/>
  <c r="J543" i="55"/>
  <c r="J817" i="55"/>
  <c r="H411" i="54"/>
  <c r="H815" i="54"/>
  <c r="F11" i="61"/>
  <c r="H814" i="55"/>
  <c r="H11" i="60"/>
  <c r="J814" i="54"/>
  <c r="H607" i="54"/>
  <c r="H819" i="54"/>
  <c r="I489" i="53"/>
  <c r="I819" i="53"/>
  <c r="G581" i="53"/>
  <c r="G819" i="53"/>
  <c r="I283" i="1"/>
  <c r="J393" i="45" s="1"/>
  <c r="I278" i="1"/>
  <c r="J391" i="45" s="1"/>
  <c r="G479" i="53"/>
  <c r="G480" i="53"/>
  <c r="H587" i="53"/>
  <c r="H819" i="53"/>
  <c r="I444" i="55"/>
  <c r="I817" i="55"/>
  <c r="J410" i="54"/>
  <c r="J815" i="54"/>
  <c r="L543" i="53"/>
  <c r="L817" i="53"/>
  <c r="K543" i="55"/>
  <c r="K817" i="55"/>
  <c r="G543" i="54"/>
  <c r="G817" i="54"/>
  <c r="K559" i="54"/>
  <c r="K821" i="54"/>
  <c r="H560" i="55"/>
  <c r="H828" i="55"/>
  <c r="K560" i="55"/>
  <c r="K828" i="55"/>
  <c r="L560" i="55"/>
  <c r="L828" i="55"/>
  <c r="I560" i="55"/>
  <c r="I828" i="55"/>
  <c r="G560" i="55"/>
  <c r="G828" i="55"/>
  <c r="J560" i="55"/>
  <c r="J828" i="55"/>
  <c r="I24" i="57"/>
  <c r="E24" i="57" s="1"/>
  <c r="H832" i="52" s="1"/>
  <c r="H826" i="52"/>
  <c r="I27" i="57"/>
  <c r="E27" i="57" s="1"/>
  <c r="H835" i="52" s="1"/>
  <c r="H829" i="52"/>
  <c r="H443" i="52"/>
  <c r="H825" i="52"/>
  <c r="H549" i="52"/>
  <c r="H828" i="52"/>
  <c r="I25" i="57"/>
  <c r="E25" i="57" s="1"/>
  <c r="H833" i="52" s="1"/>
  <c r="H827" i="52"/>
  <c r="I28" i="57"/>
  <c r="E28" i="57" s="1"/>
  <c r="H836" i="52" s="1"/>
  <c r="H830" i="52"/>
  <c r="K546" i="54"/>
  <c r="K325" i="54"/>
  <c r="T14" i="60"/>
  <c r="K239" i="54"/>
  <c r="K460" i="54"/>
  <c r="K447" i="54"/>
  <c r="K157" i="54"/>
  <c r="R14" i="60"/>
  <c r="N14" i="60"/>
  <c r="F460" i="54" s="1"/>
  <c r="P14" i="60"/>
  <c r="H460" i="54" s="1"/>
  <c r="Q14" i="60"/>
  <c r="I26" i="57"/>
  <c r="E26" i="57" s="1"/>
  <c r="H456" i="52"/>
  <c r="H348" i="45"/>
  <c r="F348" i="45"/>
  <c r="K348" i="45"/>
  <c r="M14" i="59"/>
  <c r="Q14" i="59" s="1"/>
  <c r="I821" i="53" s="1"/>
  <c r="I349" i="45"/>
  <c r="E349" i="45" s="1"/>
  <c r="J348" i="45"/>
  <c r="I348" i="45"/>
  <c r="L348" i="45"/>
  <c r="I324" i="45"/>
  <c r="E324" i="45" s="1"/>
  <c r="I336" i="45"/>
  <c r="E336" i="45" s="1"/>
  <c r="I330" i="45"/>
  <c r="E330" i="45" s="1"/>
  <c r="D11" i="50"/>
  <c r="I419" i="54"/>
  <c r="M7" i="50"/>
  <c r="F11" i="50"/>
  <c r="H578" i="53"/>
  <c r="I225" i="54"/>
  <c r="I543" i="55"/>
  <c r="I409" i="54"/>
  <c r="E431" i="54"/>
  <c r="E433" i="54" s="1"/>
  <c r="I482" i="54"/>
  <c r="K226" i="54"/>
  <c r="I607" i="54"/>
  <c r="J444" i="53"/>
  <c r="K411" i="54"/>
  <c r="I11" i="60"/>
  <c r="K408" i="54"/>
  <c r="K543" i="54"/>
  <c r="N10" i="60"/>
  <c r="F543" i="54" s="1"/>
  <c r="J482" i="54"/>
  <c r="K310" i="54"/>
  <c r="I474" i="54"/>
  <c r="K589" i="53"/>
  <c r="M10" i="50"/>
  <c r="I444" i="54"/>
  <c r="I311" i="54"/>
  <c r="K796" i="54"/>
  <c r="I226" i="54"/>
  <c r="I417" i="54"/>
  <c r="I416" i="54"/>
  <c r="I143" i="54"/>
  <c r="G11" i="60"/>
  <c r="K489" i="54"/>
  <c r="I224" i="54"/>
  <c r="I796" i="54"/>
  <c r="I410" i="54"/>
  <c r="I408" i="54"/>
  <c r="I418" i="54"/>
  <c r="H507" i="53"/>
  <c r="I310" i="54"/>
  <c r="I312" i="54"/>
  <c r="I799" i="54"/>
  <c r="I142" i="54"/>
  <c r="K590" i="53"/>
  <c r="G606" i="54"/>
  <c r="K604" i="53"/>
  <c r="K587" i="53"/>
  <c r="K577" i="53"/>
  <c r="G506" i="54"/>
  <c r="L543" i="55"/>
  <c r="L796" i="54"/>
  <c r="K606" i="53"/>
  <c r="K489" i="53"/>
  <c r="J588" i="54"/>
  <c r="K507" i="53"/>
  <c r="K591" i="53"/>
  <c r="L588" i="53"/>
  <c r="L493" i="53"/>
  <c r="L573" i="53"/>
  <c r="K444" i="55"/>
  <c r="K225" i="54"/>
  <c r="K409" i="54"/>
  <c r="K143" i="54"/>
  <c r="K419" i="54"/>
  <c r="I490" i="54"/>
  <c r="I475" i="54"/>
  <c r="I494" i="54"/>
  <c r="L474" i="53"/>
  <c r="L575" i="53"/>
  <c r="I11" i="61"/>
  <c r="K224" i="54"/>
  <c r="K417" i="54"/>
  <c r="K410" i="54"/>
  <c r="K418" i="54"/>
  <c r="I489" i="54"/>
  <c r="I590" i="54"/>
  <c r="H451" i="52"/>
  <c r="H555" i="52"/>
  <c r="L574" i="53"/>
  <c r="L480" i="53"/>
  <c r="K311" i="54"/>
  <c r="K312" i="54"/>
  <c r="K799" i="54"/>
  <c r="K144" i="54"/>
  <c r="K142" i="54"/>
  <c r="I575" i="54"/>
  <c r="I506" i="54"/>
  <c r="K491" i="54"/>
  <c r="K506" i="54"/>
  <c r="K589" i="54"/>
  <c r="K578" i="54"/>
  <c r="K475" i="54"/>
  <c r="I606" i="53"/>
  <c r="J144" i="54"/>
  <c r="K588" i="54"/>
  <c r="K492" i="54"/>
  <c r="K593" i="54"/>
  <c r="K494" i="54"/>
  <c r="J489" i="54"/>
  <c r="J604" i="54"/>
  <c r="J11" i="61"/>
  <c r="L312" i="54"/>
  <c r="L411" i="54"/>
  <c r="K605" i="53"/>
  <c r="K574" i="53"/>
  <c r="K491" i="53"/>
  <c r="K579" i="53"/>
  <c r="K481" i="53"/>
  <c r="K482" i="53"/>
  <c r="K492" i="53"/>
  <c r="K490" i="53"/>
  <c r="K575" i="53"/>
  <c r="K581" i="53"/>
  <c r="G588" i="54"/>
  <c r="G494" i="54"/>
  <c r="J474" i="54"/>
  <c r="J492" i="54"/>
  <c r="L408" i="54"/>
  <c r="K543" i="53"/>
  <c r="K586" i="53"/>
  <c r="K588" i="53"/>
  <c r="K475" i="53"/>
  <c r="K494" i="53"/>
  <c r="K578" i="53"/>
  <c r="K508" i="53"/>
  <c r="K493" i="53"/>
  <c r="K478" i="53"/>
  <c r="K487" i="53"/>
  <c r="K573" i="53"/>
  <c r="G591" i="54"/>
  <c r="G604" i="54"/>
  <c r="J590" i="54"/>
  <c r="L144" i="54"/>
  <c r="I11" i="59"/>
  <c r="K607" i="53"/>
  <c r="K479" i="53"/>
  <c r="K506" i="53"/>
  <c r="K474" i="53"/>
  <c r="K480" i="53"/>
  <c r="K488" i="53"/>
  <c r="K505" i="53"/>
  <c r="K476" i="53"/>
  <c r="K580" i="53"/>
  <c r="G493" i="54"/>
  <c r="G444" i="55"/>
  <c r="G444" i="45" s="1"/>
  <c r="J312" i="54"/>
  <c r="K573" i="54"/>
  <c r="K490" i="54"/>
  <c r="K481" i="54"/>
  <c r="K482" i="54"/>
  <c r="K591" i="54"/>
  <c r="K505" i="54"/>
  <c r="K586" i="54"/>
  <c r="K478" i="54"/>
  <c r="K476" i="54"/>
  <c r="K607" i="54"/>
  <c r="I590" i="53"/>
  <c r="J796" i="54"/>
  <c r="K606" i="54"/>
  <c r="K507" i="54"/>
  <c r="K474" i="54"/>
  <c r="K605" i="54"/>
  <c r="K604" i="54"/>
  <c r="K488" i="54"/>
  <c r="K487" i="54"/>
  <c r="K479" i="54"/>
  <c r="K587" i="54"/>
  <c r="K577" i="54"/>
  <c r="J142" i="54"/>
  <c r="K580" i="54"/>
  <c r="K493" i="54"/>
  <c r="K592" i="54"/>
  <c r="K480" i="54"/>
  <c r="K574" i="54"/>
  <c r="K508" i="54"/>
  <c r="K575" i="54"/>
  <c r="K581" i="54"/>
  <c r="K579" i="54"/>
  <c r="H444" i="53"/>
  <c r="H225" i="54"/>
  <c r="G586" i="53"/>
  <c r="G604" i="53"/>
  <c r="G474" i="53"/>
  <c r="G574" i="53"/>
  <c r="G482" i="53"/>
  <c r="G490" i="53"/>
  <c r="G506" i="53"/>
  <c r="G489" i="53"/>
  <c r="G492" i="53"/>
  <c r="G573" i="53"/>
  <c r="I586" i="53"/>
  <c r="I505" i="53"/>
  <c r="I506" i="53"/>
  <c r="H605" i="54"/>
  <c r="H417" i="54"/>
  <c r="G588" i="53"/>
  <c r="G475" i="53"/>
  <c r="G491" i="53"/>
  <c r="G587" i="53"/>
  <c r="G476" i="53"/>
  <c r="G578" i="53"/>
  <c r="G487" i="53"/>
  <c r="G488" i="53"/>
  <c r="G579" i="53"/>
  <c r="G593" i="53"/>
  <c r="I588" i="53"/>
  <c r="I589" i="53"/>
  <c r="I573" i="53"/>
  <c r="L444" i="53"/>
  <c r="H586" i="54"/>
  <c r="G592" i="53"/>
  <c r="H143" i="54"/>
  <c r="G607" i="53"/>
  <c r="G507" i="53"/>
  <c r="G606" i="53"/>
  <c r="G508" i="53"/>
  <c r="G591" i="53"/>
  <c r="G577" i="53"/>
  <c r="G575" i="53"/>
  <c r="G493" i="53"/>
  <c r="G478" i="53"/>
  <c r="I475" i="53"/>
  <c r="I587" i="53"/>
  <c r="L225" i="54"/>
  <c r="L799" i="54"/>
  <c r="L416" i="54"/>
  <c r="L143" i="54"/>
  <c r="I607" i="53"/>
  <c r="I507" i="53"/>
  <c r="I494" i="53"/>
  <c r="I487" i="53"/>
  <c r="I591" i="53"/>
  <c r="I492" i="53"/>
  <c r="I508" i="53"/>
  <c r="I578" i="53"/>
  <c r="I476" i="53"/>
  <c r="I581" i="53"/>
  <c r="H592" i="54"/>
  <c r="H494" i="54"/>
  <c r="H506" i="54"/>
  <c r="L310" i="54"/>
  <c r="L224" i="54"/>
  <c r="L417" i="54"/>
  <c r="L419" i="54"/>
  <c r="L410" i="54"/>
  <c r="I605" i="53"/>
  <c r="I574" i="53"/>
  <c r="I491" i="53"/>
  <c r="I488" i="53"/>
  <c r="I478" i="53"/>
  <c r="I579" i="53"/>
  <c r="I580" i="53"/>
  <c r="I577" i="53"/>
  <c r="I490" i="53"/>
  <c r="I593" i="53"/>
  <c r="H489" i="54"/>
  <c r="H577" i="54"/>
  <c r="H487" i="54"/>
  <c r="N8" i="60"/>
  <c r="F408" i="54" s="1"/>
  <c r="L226" i="54"/>
  <c r="L409" i="54"/>
  <c r="L418" i="54"/>
  <c r="L142" i="54"/>
  <c r="I604" i="53"/>
  <c r="I474" i="53"/>
  <c r="I479" i="53"/>
  <c r="I493" i="53"/>
  <c r="I575" i="53"/>
  <c r="I480" i="53"/>
  <c r="I482" i="53"/>
  <c r="I481" i="53"/>
  <c r="H589" i="54"/>
  <c r="H593" i="54"/>
  <c r="H17" i="57"/>
  <c r="D17" i="57" s="1"/>
  <c r="H20" i="57"/>
  <c r="D20" i="57" s="1"/>
  <c r="H463" i="52"/>
  <c r="H562" i="52"/>
  <c r="L604" i="53"/>
  <c r="L491" i="53"/>
  <c r="L479" i="53"/>
  <c r="L506" i="53"/>
  <c r="L489" i="53"/>
  <c r="L492" i="53"/>
  <c r="L487" i="53"/>
  <c r="L508" i="53"/>
  <c r="L578" i="53"/>
  <c r="L593" i="53"/>
  <c r="N10" i="59"/>
  <c r="H310" i="54"/>
  <c r="H226" i="54"/>
  <c r="H799" i="54"/>
  <c r="H416" i="54"/>
  <c r="H410" i="54"/>
  <c r="H144" i="54"/>
  <c r="I606" i="54"/>
  <c r="I605" i="54"/>
  <c r="I591" i="54"/>
  <c r="I592" i="54"/>
  <c r="I492" i="54"/>
  <c r="I578" i="54"/>
  <c r="I579" i="54"/>
  <c r="I586" i="54"/>
  <c r="I476" i="54"/>
  <c r="I478" i="54"/>
  <c r="H450" i="52"/>
  <c r="H542" i="52"/>
  <c r="L586" i="53"/>
  <c r="L475" i="53"/>
  <c r="L606" i="53"/>
  <c r="L587" i="53"/>
  <c r="L481" i="53"/>
  <c r="L482" i="53"/>
  <c r="L478" i="53"/>
  <c r="L580" i="53"/>
  <c r="L589" i="53"/>
  <c r="L581" i="53"/>
  <c r="H224" i="54"/>
  <c r="H796" i="54"/>
  <c r="H419" i="54"/>
  <c r="H142" i="54"/>
  <c r="I589" i="54"/>
  <c r="I580" i="54"/>
  <c r="I588" i="54"/>
  <c r="I481" i="54"/>
  <c r="I488" i="54"/>
  <c r="I505" i="54"/>
  <c r="I593" i="54"/>
  <c r="I479" i="54"/>
  <c r="I574" i="54"/>
  <c r="I480" i="54"/>
  <c r="J444" i="55"/>
  <c r="I23" i="57"/>
  <c r="E23" i="57" s="1"/>
  <c r="H550" i="52"/>
  <c r="L605" i="53"/>
  <c r="L507" i="53"/>
  <c r="L494" i="53"/>
  <c r="L505" i="53"/>
  <c r="L488" i="53"/>
  <c r="L579" i="53"/>
  <c r="L476" i="53"/>
  <c r="L591" i="53"/>
  <c r="J11" i="59"/>
  <c r="H311" i="54"/>
  <c r="H312" i="54"/>
  <c r="H409" i="54"/>
  <c r="H418" i="54"/>
  <c r="I573" i="54"/>
  <c r="I493" i="54"/>
  <c r="I507" i="54"/>
  <c r="I587" i="54"/>
  <c r="I577" i="54"/>
  <c r="I491" i="54"/>
  <c r="I508" i="54"/>
  <c r="I581" i="54"/>
  <c r="I487" i="54"/>
  <c r="J311" i="54"/>
  <c r="J224" i="54"/>
  <c r="J417" i="54"/>
  <c r="J419" i="54"/>
  <c r="J411" i="54"/>
  <c r="H605" i="53"/>
  <c r="H490" i="53"/>
  <c r="H482" i="53"/>
  <c r="H588" i="54"/>
  <c r="H573" i="54"/>
  <c r="H490" i="54"/>
  <c r="H579" i="54"/>
  <c r="H478" i="54"/>
  <c r="H491" i="54"/>
  <c r="H482" i="54"/>
  <c r="H574" i="54"/>
  <c r="H488" i="54"/>
  <c r="H479" i="54"/>
  <c r="J226" i="54"/>
  <c r="J409" i="54"/>
  <c r="J418" i="54"/>
  <c r="J143" i="54"/>
  <c r="H474" i="53"/>
  <c r="H580" i="53"/>
  <c r="H593" i="53"/>
  <c r="H481" i="54"/>
  <c r="H580" i="54"/>
  <c r="H474" i="54"/>
  <c r="H492" i="54"/>
  <c r="H587" i="54"/>
  <c r="H475" i="54"/>
  <c r="H604" i="54"/>
  <c r="H505" i="54"/>
  <c r="H508" i="54"/>
  <c r="H581" i="54"/>
  <c r="J310" i="54"/>
  <c r="G11" i="61"/>
  <c r="J225" i="54"/>
  <c r="J799" i="54"/>
  <c r="J408" i="54"/>
  <c r="J416" i="54"/>
  <c r="H494" i="53"/>
  <c r="H606" i="54"/>
  <c r="H493" i="54"/>
  <c r="H507" i="54"/>
  <c r="H480" i="54"/>
  <c r="H476" i="54"/>
  <c r="H591" i="54"/>
  <c r="H590" i="54"/>
  <c r="H575" i="54"/>
  <c r="H578" i="54"/>
  <c r="I592" i="55"/>
  <c r="G592" i="55"/>
  <c r="G487" i="54"/>
  <c r="J505" i="54"/>
  <c r="I592" i="53"/>
  <c r="J592" i="55"/>
  <c r="K592" i="53"/>
  <c r="L592" i="53"/>
  <c r="L592" i="55"/>
  <c r="H592" i="53"/>
  <c r="N10" i="61"/>
  <c r="F543" i="55" s="1"/>
  <c r="H11" i="61"/>
  <c r="G578" i="54"/>
  <c r="G581" i="54"/>
  <c r="H588" i="53"/>
  <c r="H604" i="53"/>
  <c r="H606" i="53"/>
  <c r="H479" i="53"/>
  <c r="H478" i="53"/>
  <c r="H508" i="53"/>
  <c r="H481" i="53"/>
  <c r="H590" i="53"/>
  <c r="H505" i="53"/>
  <c r="H573" i="53"/>
  <c r="N12" i="59"/>
  <c r="H586" i="53"/>
  <c r="H491" i="53"/>
  <c r="H574" i="53"/>
  <c r="H493" i="53"/>
  <c r="H577" i="53"/>
  <c r="H476" i="53"/>
  <c r="H591" i="53"/>
  <c r="H589" i="53"/>
  <c r="H575" i="53"/>
  <c r="H581" i="53"/>
  <c r="H607" i="53"/>
  <c r="H475" i="53"/>
  <c r="H506" i="53"/>
  <c r="H492" i="53"/>
  <c r="H487" i="53"/>
  <c r="H489" i="53"/>
  <c r="H579" i="53"/>
  <c r="H488" i="53"/>
  <c r="H480" i="53"/>
  <c r="E427" i="55"/>
  <c r="D595" i="1"/>
  <c r="J481" i="54"/>
  <c r="J606" i="54"/>
  <c r="J507" i="54"/>
  <c r="J605" i="54"/>
  <c r="J586" i="54"/>
  <c r="J587" i="54"/>
  <c r="J574" i="54"/>
  <c r="J488" i="54"/>
  <c r="J578" i="54"/>
  <c r="J593" i="54"/>
  <c r="J494" i="54"/>
  <c r="G490" i="54"/>
  <c r="G481" i="54"/>
  <c r="G580" i="54"/>
  <c r="G488" i="54"/>
  <c r="G575" i="54"/>
  <c r="G505" i="54"/>
  <c r="G478" i="54"/>
  <c r="G476" i="54"/>
  <c r="G574" i="54"/>
  <c r="N12" i="60"/>
  <c r="J490" i="54"/>
  <c r="J592" i="54"/>
  <c r="J493" i="54"/>
  <c r="J591" i="54"/>
  <c r="J479" i="54"/>
  <c r="J506" i="54"/>
  <c r="J487" i="54"/>
  <c r="J480" i="54"/>
  <c r="J491" i="54"/>
  <c r="J508" i="54"/>
  <c r="J478" i="54"/>
  <c r="G474" i="54"/>
  <c r="G589" i="54"/>
  <c r="G489" i="54"/>
  <c r="G577" i="54"/>
  <c r="G492" i="54"/>
  <c r="G475" i="54"/>
  <c r="G587" i="54"/>
  <c r="G590" i="54"/>
  <c r="G480" i="54"/>
  <c r="G491" i="54"/>
  <c r="J580" i="54"/>
  <c r="J573" i="54"/>
  <c r="J589" i="54"/>
  <c r="J579" i="54"/>
  <c r="J581" i="54"/>
  <c r="J476" i="54"/>
  <c r="J607" i="54"/>
  <c r="J577" i="54"/>
  <c r="J575" i="54"/>
  <c r="G507" i="54"/>
  <c r="G592" i="54"/>
  <c r="G605" i="54"/>
  <c r="G573" i="54"/>
  <c r="G508" i="54"/>
  <c r="G593" i="54"/>
  <c r="G607" i="54"/>
  <c r="G579" i="54"/>
  <c r="G479" i="54"/>
  <c r="G482" i="54"/>
  <c r="H418" i="55"/>
  <c r="H410" i="55"/>
  <c r="H796" i="55"/>
  <c r="H142" i="55"/>
  <c r="H417" i="55"/>
  <c r="H409" i="55"/>
  <c r="H143" i="55"/>
  <c r="H799" i="55"/>
  <c r="H144" i="55"/>
  <c r="H419" i="55"/>
  <c r="H416" i="55"/>
  <c r="H411" i="55"/>
  <c r="H408" i="55"/>
  <c r="H225" i="55"/>
  <c r="H312" i="55"/>
  <c r="H226" i="55"/>
  <c r="H224" i="55"/>
  <c r="H310" i="55"/>
  <c r="H311" i="55"/>
  <c r="N8" i="61"/>
  <c r="F815" i="55" s="1"/>
  <c r="G142" i="55"/>
  <c r="G799" i="55"/>
  <c r="G416" i="55"/>
  <c r="G410" i="55"/>
  <c r="G408" i="55"/>
  <c r="G143" i="55"/>
  <c r="G419" i="55"/>
  <c r="G418" i="55"/>
  <c r="G411" i="55"/>
  <c r="G796" i="55"/>
  <c r="G144" i="55"/>
  <c r="G417" i="55"/>
  <c r="G409" i="55"/>
  <c r="G225" i="55"/>
  <c r="G226" i="55"/>
  <c r="G312" i="55"/>
  <c r="G224" i="55"/>
  <c r="G311" i="55"/>
  <c r="G310" i="55"/>
  <c r="J593" i="55"/>
  <c r="J573" i="55"/>
  <c r="J578" i="55"/>
  <c r="J581" i="55"/>
  <c r="J491" i="55"/>
  <c r="J580" i="55"/>
  <c r="J474" i="55"/>
  <c r="J508" i="55"/>
  <c r="J480" i="55"/>
  <c r="J489" i="55"/>
  <c r="J488" i="55"/>
  <c r="J475" i="55"/>
  <c r="J475" i="45" s="1"/>
  <c r="J476" i="55"/>
  <c r="J487" i="55"/>
  <c r="J494" i="55"/>
  <c r="J575" i="55"/>
  <c r="J605" i="55"/>
  <c r="J479" i="55"/>
  <c r="J482" i="55"/>
  <c r="J589" i="55"/>
  <c r="J587" i="55"/>
  <c r="J574" i="55"/>
  <c r="J492" i="55"/>
  <c r="J590" i="55"/>
  <c r="J579" i="55"/>
  <c r="J506" i="55"/>
  <c r="J505" i="55"/>
  <c r="J481" i="55"/>
  <c r="J591" i="55"/>
  <c r="J577" i="55"/>
  <c r="J507" i="55"/>
  <c r="J490" i="55"/>
  <c r="J493" i="55"/>
  <c r="J478" i="55"/>
  <c r="J606" i="55"/>
  <c r="J607" i="55"/>
  <c r="J586" i="55"/>
  <c r="J588" i="55"/>
  <c r="J604" i="55"/>
  <c r="H593" i="55"/>
  <c r="H578" i="55"/>
  <c r="H573" i="55"/>
  <c r="H581" i="55"/>
  <c r="H491" i="55"/>
  <c r="H492" i="55"/>
  <c r="H580" i="55"/>
  <c r="H590" i="55"/>
  <c r="H579" i="55"/>
  <c r="H506" i="55"/>
  <c r="H481" i="55"/>
  <c r="H508" i="55"/>
  <c r="H591" i="55"/>
  <c r="H507" i="55"/>
  <c r="H489" i="55"/>
  <c r="H493" i="55"/>
  <c r="H487" i="55"/>
  <c r="H494" i="55"/>
  <c r="H474" i="55"/>
  <c r="H575" i="55"/>
  <c r="H480" i="55"/>
  <c r="H488" i="55"/>
  <c r="H475" i="55"/>
  <c r="H605" i="55"/>
  <c r="H479" i="55"/>
  <c r="H482" i="55"/>
  <c r="H589" i="55"/>
  <c r="H577" i="55"/>
  <c r="H476" i="55"/>
  <c r="H478" i="55"/>
  <c r="H505" i="55"/>
  <c r="H587" i="55"/>
  <c r="H490" i="55"/>
  <c r="H574" i="55"/>
  <c r="H606" i="55"/>
  <c r="H604" i="55"/>
  <c r="H588" i="55"/>
  <c r="H586" i="55"/>
  <c r="H607" i="55"/>
  <c r="N7" i="59"/>
  <c r="F814" i="53" s="1"/>
  <c r="E11" i="59"/>
  <c r="I417" i="53"/>
  <c r="I418" i="53"/>
  <c r="I142" i="53"/>
  <c r="I410" i="53"/>
  <c r="I408" i="53"/>
  <c r="I143" i="53"/>
  <c r="I411" i="53"/>
  <c r="I409" i="53"/>
  <c r="I416" i="53"/>
  <c r="I144" i="53"/>
  <c r="I419" i="53"/>
  <c r="I796" i="53"/>
  <c r="I799" i="53"/>
  <c r="I225" i="53"/>
  <c r="I224" i="53"/>
  <c r="I312" i="53"/>
  <c r="I226" i="53"/>
  <c r="I311" i="53"/>
  <c r="I310" i="53"/>
  <c r="O22" i="59"/>
  <c r="G829" i="53" s="1"/>
  <c r="S22" i="59"/>
  <c r="K829" i="53" s="1"/>
  <c r="T22" i="59"/>
  <c r="L829" i="53" s="1"/>
  <c r="R22" i="59"/>
  <c r="J829" i="53" s="1"/>
  <c r="P22" i="59"/>
  <c r="H829" i="53" s="1"/>
  <c r="Q22" i="59"/>
  <c r="I829" i="53" s="1"/>
  <c r="D9" i="50"/>
  <c r="E9" i="61"/>
  <c r="E9" i="60"/>
  <c r="E9" i="59"/>
  <c r="E427" i="53"/>
  <c r="F99" i="52"/>
  <c r="I416" i="55"/>
  <c r="I408" i="55"/>
  <c r="I799" i="55"/>
  <c r="I419" i="55"/>
  <c r="I411" i="55"/>
  <c r="I796" i="55"/>
  <c r="I144" i="55"/>
  <c r="I418" i="55"/>
  <c r="I410" i="55"/>
  <c r="I143" i="55"/>
  <c r="I142" i="55"/>
  <c r="I417" i="55"/>
  <c r="I409" i="55"/>
  <c r="I226" i="55"/>
  <c r="I312" i="55"/>
  <c r="I225" i="55"/>
  <c r="I224" i="55"/>
  <c r="I310" i="55"/>
  <c r="I311" i="55"/>
  <c r="K573" i="55"/>
  <c r="K581" i="55"/>
  <c r="K593" i="55"/>
  <c r="K491" i="55"/>
  <c r="K479" i="55"/>
  <c r="K589" i="55"/>
  <c r="K587" i="55"/>
  <c r="K490" i="55"/>
  <c r="K475" i="55"/>
  <c r="K574" i="55"/>
  <c r="K606" i="55"/>
  <c r="K492" i="55"/>
  <c r="K580" i="55"/>
  <c r="K590" i="55"/>
  <c r="K579" i="55"/>
  <c r="K506" i="55"/>
  <c r="K505" i="55"/>
  <c r="K481" i="55"/>
  <c r="K591" i="55"/>
  <c r="K577" i="55"/>
  <c r="K507" i="55"/>
  <c r="K489" i="55"/>
  <c r="K493" i="55"/>
  <c r="K476" i="55"/>
  <c r="K494" i="55"/>
  <c r="K474" i="55"/>
  <c r="K575" i="55"/>
  <c r="K508" i="55"/>
  <c r="K480" i="55"/>
  <c r="K488" i="55"/>
  <c r="K605" i="55"/>
  <c r="K478" i="55"/>
  <c r="K487" i="55"/>
  <c r="K578" i="55"/>
  <c r="K482" i="55"/>
  <c r="K588" i="55"/>
  <c r="K604" i="55"/>
  <c r="K607" i="55"/>
  <c r="K586" i="55"/>
  <c r="F11" i="59"/>
  <c r="L419" i="53"/>
  <c r="L418" i="53"/>
  <c r="L411" i="53"/>
  <c r="L417" i="53"/>
  <c r="L416" i="53"/>
  <c r="L144" i="53"/>
  <c r="L410" i="53"/>
  <c r="L408" i="53"/>
  <c r="L143" i="53"/>
  <c r="L409" i="53"/>
  <c r="L142" i="53"/>
  <c r="L796" i="53"/>
  <c r="L799" i="53"/>
  <c r="L312" i="53"/>
  <c r="L224" i="53"/>
  <c r="L226" i="53"/>
  <c r="L225" i="53"/>
  <c r="L310" i="53"/>
  <c r="L311" i="53"/>
  <c r="Q22" i="61"/>
  <c r="R22" i="61"/>
  <c r="S22" i="61"/>
  <c r="P22" i="61"/>
  <c r="T22" i="61"/>
  <c r="O22" i="61"/>
  <c r="L796" i="55"/>
  <c r="L142" i="55"/>
  <c r="L417" i="55"/>
  <c r="L409" i="55"/>
  <c r="L144" i="55"/>
  <c r="L143" i="55"/>
  <c r="L799" i="55"/>
  <c r="L419" i="55"/>
  <c r="L416" i="55"/>
  <c r="L411" i="55"/>
  <c r="L408" i="55"/>
  <c r="L418" i="55"/>
  <c r="L410" i="55"/>
  <c r="L224" i="55"/>
  <c r="L226" i="55"/>
  <c r="L312" i="55"/>
  <c r="L225" i="55"/>
  <c r="L311" i="55"/>
  <c r="L310" i="55"/>
  <c r="F224" i="54"/>
  <c r="E11" i="61"/>
  <c r="N7" i="61"/>
  <c r="F814" i="55" s="1"/>
  <c r="L578" i="55"/>
  <c r="L573" i="55"/>
  <c r="L581" i="55"/>
  <c r="L593" i="55"/>
  <c r="L491" i="55"/>
  <c r="L494" i="55"/>
  <c r="L474" i="55"/>
  <c r="L575" i="55"/>
  <c r="L480" i="55"/>
  <c r="L488" i="55"/>
  <c r="L605" i="55"/>
  <c r="L479" i="55"/>
  <c r="L482" i="55"/>
  <c r="L589" i="55"/>
  <c r="L478" i="55"/>
  <c r="L505" i="55"/>
  <c r="L587" i="55"/>
  <c r="L490" i="55"/>
  <c r="L475" i="55"/>
  <c r="L574" i="55"/>
  <c r="L606" i="55"/>
  <c r="L492" i="55"/>
  <c r="L580" i="55"/>
  <c r="L590" i="55"/>
  <c r="L590" i="45" s="1"/>
  <c r="L579" i="55"/>
  <c r="L506" i="55"/>
  <c r="L481" i="55"/>
  <c r="L508" i="55"/>
  <c r="L591" i="55"/>
  <c r="L577" i="55"/>
  <c r="L507" i="55"/>
  <c r="L489" i="55"/>
  <c r="L493" i="55"/>
  <c r="L476" i="55"/>
  <c r="L487" i="55"/>
  <c r="L607" i="55"/>
  <c r="L588" i="55"/>
  <c r="L586" i="55"/>
  <c r="L604" i="55"/>
  <c r="G11" i="59"/>
  <c r="H144" i="53"/>
  <c r="H408" i="53"/>
  <c r="H419" i="53"/>
  <c r="H143" i="53"/>
  <c r="H409" i="53"/>
  <c r="H416" i="53"/>
  <c r="H410" i="53"/>
  <c r="H417" i="53"/>
  <c r="H142" i="53"/>
  <c r="H418" i="53"/>
  <c r="H411" i="53"/>
  <c r="H796" i="53"/>
  <c r="H799" i="53"/>
  <c r="H312" i="53"/>
  <c r="H226" i="53"/>
  <c r="H224" i="53"/>
  <c r="H225" i="53"/>
  <c r="H311" i="53"/>
  <c r="H310" i="53"/>
  <c r="J143" i="53"/>
  <c r="J409" i="53"/>
  <c r="J408" i="53"/>
  <c r="J417" i="53"/>
  <c r="J144" i="53"/>
  <c r="J142" i="53"/>
  <c r="J411" i="53"/>
  <c r="J416" i="53"/>
  <c r="J418" i="53"/>
  <c r="J419" i="53"/>
  <c r="J410" i="53"/>
  <c r="J796" i="53"/>
  <c r="J799" i="53"/>
  <c r="J226" i="53"/>
  <c r="J312" i="53"/>
  <c r="J224" i="53"/>
  <c r="J225" i="53"/>
  <c r="J310" i="53"/>
  <c r="J311" i="53"/>
  <c r="C9" i="50"/>
  <c r="D9" i="61"/>
  <c r="D9" i="59"/>
  <c r="D9" i="60"/>
  <c r="K799" i="55"/>
  <c r="K143" i="55"/>
  <c r="K416" i="55"/>
  <c r="K408" i="55"/>
  <c r="K419" i="55"/>
  <c r="K418" i="55"/>
  <c r="K411" i="55"/>
  <c r="K796" i="55"/>
  <c r="K144" i="55"/>
  <c r="K417" i="55"/>
  <c r="K410" i="55"/>
  <c r="K409" i="55"/>
  <c r="K142" i="55"/>
  <c r="K312" i="55"/>
  <c r="K224" i="55"/>
  <c r="K225" i="55"/>
  <c r="K226" i="55"/>
  <c r="K311" i="55"/>
  <c r="K310" i="55"/>
  <c r="J796" i="55"/>
  <c r="J144" i="55"/>
  <c r="J143" i="55"/>
  <c r="J418" i="55"/>
  <c r="J417" i="55"/>
  <c r="J410" i="55"/>
  <c r="J409" i="55"/>
  <c r="J142" i="55"/>
  <c r="J799" i="55"/>
  <c r="J416" i="55"/>
  <c r="J408" i="55"/>
  <c r="J419" i="55"/>
  <c r="J411" i="55"/>
  <c r="J225" i="55"/>
  <c r="J226" i="55"/>
  <c r="J224" i="55"/>
  <c r="J312" i="55"/>
  <c r="J310" i="55"/>
  <c r="J311" i="55"/>
  <c r="I573" i="55"/>
  <c r="I581" i="55"/>
  <c r="I593" i="55"/>
  <c r="I491" i="55"/>
  <c r="I479" i="55"/>
  <c r="I482" i="55"/>
  <c r="I589" i="55"/>
  <c r="I574" i="55"/>
  <c r="I478" i="55"/>
  <c r="I492" i="55"/>
  <c r="I590" i="55"/>
  <c r="I506" i="55"/>
  <c r="I505" i="55"/>
  <c r="I474" i="55"/>
  <c r="I587" i="55"/>
  <c r="I577" i="55"/>
  <c r="I490" i="55"/>
  <c r="I606" i="55"/>
  <c r="I578" i="55"/>
  <c r="I580" i="55"/>
  <c r="I579" i="55"/>
  <c r="I481" i="55"/>
  <c r="I508" i="55"/>
  <c r="I591" i="55"/>
  <c r="I480" i="55"/>
  <c r="I507" i="55"/>
  <c r="I489" i="55"/>
  <c r="I488" i="55"/>
  <c r="I493" i="55"/>
  <c r="I476" i="55"/>
  <c r="I487" i="55"/>
  <c r="I494" i="55"/>
  <c r="I575" i="55"/>
  <c r="I475" i="55"/>
  <c r="I605" i="55"/>
  <c r="I588" i="55"/>
  <c r="I607" i="55"/>
  <c r="I604" i="55"/>
  <c r="I586" i="55"/>
  <c r="N12" i="61"/>
  <c r="F819" i="55" s="1"/>
  <c r="G573" i="55"/>
  <c r="G578" i="55"/>
  <c r="G581" i="55"/>
  <c r="G593" i="55"/>
  <c r="G491" i="55"/>
  <c r="G482" i="55"/>
  <c r="G476" i="55"/>
  <c r="G479" i="55"/>
  <c r="G589" i="55"/>
  <c r="G587" i="55"/>
  <c r="G508" i="55"/>
  <c r="G490" i="55"/>
  <c r="G574" i="55"/>
  <c r="G478" i="55"/>
  <c r="G606" i="55"/>
  <c r="G492" i="55"/>
  <c r="G580" i="55"/>
  <c r="G590" i="55"/>
  <c r="G579" i="55"/>
  <c r="G506" i="55"/>
  <c r="G505" i="55"/>
  <c r="G474" i="55"/>
  <c r="G481" i="55"/>
  <c r="G591" i="55"/>
  <c r="G577" i="55"/>
  <c r="G507" i="55"/>
  <c r="G489" i="55"/>
  <c r="G493" i="55"/>
  <c r="G494" i="55"/>
  <c r="G575" i="55"/>
  <c r="G480" i="55"/>
  <c r="G488" i="55"/>
  <c r="G475" i="55"/>
  <c r="G605" i="55"/>
  <c r="G487" i="55"/>
  <c r="G586" i="55"/>
  <c r="G588" i="55"/>
  <c r="G607" i="55"/>
  <c r="G604" i="55"/>
  <c r="E11" i="60"/>
  <c r="N7" i="60"/>
  <c r="H11" i="59"/>
  <c r="K410" i="53"/>
  <c r="K418" i="53"/>
  <c r="K417" i="53"/>
  <c r="K144" i="53"/>
  <c r="K408" i="53"/>
  <c r="K419" i="53"/>
  <c r="K143" i="53"/>
  <c r="K409" i="53"/>
  <c r="K142" i="53"/>
  <c r="K411" i="53"/>
  <c r="K416" i="53"/>
  <c r="K796" i="53"/>
  <c r="K799" i="53"/>
  <c r="K226" i="53"/>
  <c r="K312" i="53"/>
  <c r="K224" i="53"/>
  <c r="K225" i="53"/>
  <c r="K310" i="53"/>
  <c r="K311" i="53"/>
  <c r="N8" i="59"/>
  <c r="F815" i="53" s="1"/>
  <c r="G416" i="53"/>
  <c r="G410" i="53"/>
  <c r="G411" i="53"/>
  <c r="G143" i="53"/>
  <c r="G142" i="53"/>
  <c r="G419" i="53"/>
  <c r="G409" i="53"/>
  <c r="G144" i="53"/>
  <c r="G417" i="53"/>
  <c r="G418" i="53"/>
  <c r="G408" i="53"/>
  <c r="G796" i="53"/>
  <c r="G799" i="53"/>
  <c r="G225" i="53"/>
  <c r="G226" i="53"/>
  <c r="G312" i="53"/>
  <c r="G224" i="53"/>
  <c r="G311" i="53"/>
  <c r="G310" i="53"/>
  <c r="R22" i="60"/>
  <c r="J829" i="54" s="1"/>
  <c r="S22" i="60"/>
  <c r="K829" i="54" s="1"/>
  <c r="Q22" i="60"/>
  <c r="I829" i="54" s="1"/>
  <c r="O22" i="60"/>
  <c r="G829" i="54" s="1"/>
  <c r="T22" i="60"/>
  <c r="L829" i="54" s="1"/>
  <c r="P22" i="60"/>
  <c r="H829" i="54" s="1"/>
  <c r="E544" i="55"/>
  <c r="C22" i="57"/>
  <c r="F830" i="52" s="1"/>
  <c r="H22" i="57"/>
  <c r="D22" i="57" s="1"/>
  <c r="G830" i="52" s="1"/>
  <c r="E557" i="55"/>
  <c r="E557" i="54"/>
  <c r="E545" i="55"/>
  <c r="E545" i="54"/>
  <c r="G23" i="57"/>
  <c r="C21" i="57"/>
  <c r="F829" i="52" s="1"/>
  <c r="H21" i="57"/>
  <c r="D21" i="57" s="1"/>
  <c r="G829" i="52" s="1"/>
  <c r="C19" i="57"/>
  <c r="F827" i="52" s="1"/>
  <c r="H19" i="57"/>
  <c r="D19" i="57" s="1"/>
  <c r="G827" i="52" s="1"/>
  <c r="E445" i="55"/>
  <c r="E446" i="55"/>
  <c r="E446" i="54"/>
  <c r="E558" i="55"/>
  <c r="E558" i="54"/>
  <c r="F555" i="52"/>
  <c r="G26" i="57"/>
  <c r="C18" i="57"/>
  <c r="F826" i="52" s="1"/>
  <c r="H18" i="57"/>
  <c r="D18" i="57" s="1"/>
  <c r="G826" i="52" s="1"/>
  <c r="E459" i="55"/>
  <c r="E459" i="54"/>
  <c r="E457" i="55"/>
  <c r="E457" i="54"/>
  <c r="E458" i="55"/>
  <c r="E458" i="54"/>
  <c r="E556" i="55"/>
  <c r="E556" i="54"/>
  <c r="F27" i="61"/>
  <c r="F27" i="60"/>
  <c r="F27" i="59"/>
  <c r="I180" i="55"/>
  <c r="L180" i="55"/>
  <c r="H180" i="55"/>
  <c r="K180" i="55"/>
  <c r="G180" i="55"/>
  <c r="J180" i="55"/>
  <c r="F180" i="55"/>
  <c r="G27" i="61"/>
  <c r="G27" i="59"/>
  <c r="G27" i="60"/>
  <c r="K335" i="55"/>
  <c r="K461" i="55"/>
  <c r="H335" i="55"/>
  <c r="H461" i="55"/>
  <c r="L335" i="55"/>
  <c r="L461" i="55"/>
  <c r="I335" i="55"/>
  <c r="I461" i="55"/>
  <c r="G335" i="55"/>
  <c r="G461" i="55"/>
  <c r="J335" i="55"/>
  <c r="J461" i="55"/>
  <c r="K167" i="55"/>
  <c r="K249" i="55"/>
  <c r="H167" i="55"/>
  <c r="H249" i="55"/>
  <c r="L167" i="55"/>
  <c r="L249" i="55"/>
  <c r="I167" i="55"/>
  <c r="I249" i="55"/>
  <c r="G167" i="55"/>
  <c r="G249" i="55"/>
  <c r="J167" i="55"/>
  <c r="J249" i="55"/>
  <c r="N21" i="61"/>
  <c r="R21" i="60"/>
  <c r="Q21" i="60"/>
  <c r="T21" i="60"/>
  <c r="P21" i="60"/>
  <c r="S21" i="60"/>
  <c r="O21" i="60"/>
  <c r="L21" i="50"/>
  <c r="T21" i="59"/>
  <c r="P21" i="59"/>
  <c r="S21" i="59"/>
  <c r="O21" i="59"/>
  <c r="R21" i="59"/>
  <c r="Q21" i="59"/>
  <c r="C17" i="56"/>
  <c r="D20" i="56"/>
  <c r="K552" i="1"/>
  <c r="L10" i="45" s="1"/>
  <c r="E20" i="56"/>
  <c r="C18" i="56"/>
  <c r="E27" i="50"/>
  <c r="F27" i="50"/>
  <c r="H100" i="2"/>
  <c r="I277" i="1" s="1"/>
  <c r="E100" i="2"/>
  <c r="F37" i="10"/>
  <c r="G100" i="2"/>
  <c r="H277" i="1" s="1"/>
  <c r="E44" i="54"/>
  <c r="E12" i="54"/>
  <c r="L22" i="50"/>
  <c r="G552" i="1"/>
  <c r="G313" i="54"/>
  <c r="G145" i="54"/>
  <c r="G412" i="54"/>
  <c r="J552" i="1"/>
  <c r="K10" i="45" s="1"/>
  <c r="E388" i="52"/>
  <c r="G420" i="54"/>
  <c r="G227" i="54"/>
  <c r="F552" i="1"/>
  <c r="I552" i="1"/>
  <c r="H552" i="1"/>
  <c r="M12" i="50"/>
  <c r="E740" i="52"/>
  <c r="E695" i="52"/>
  <c r="E445" i="53"/>
  <c r="H648" i="52"/>
  <c r="G659" i="52"/>
  <c r="H412" i="52"/>
  <c r="G594" i="52"/>
  <c r="G658" i="52" s="1"/>
  <c r="G495" i="52"/>
  <c r="G647" i="52" s="1"/>
  <c r="H420" i="52"/>
  <c r="G420" i="52"/>
  <c r="G483" i="52"/>
  <c r="G646" i="52" s="1"/>
  <c r="H594" i="52"/>
  <c r="H658" i="52" s="1"/>
  <c r="H659" i="52"/>
  <c r="H495" i="52"/>
  <c r="H647" i="52" s="1"/>
  <c r="G412" i="52"/>
  <c r="G657" i="52"/>
  <c r="G648" i="52"/>
  <c r="E14" i="65" s="1"/>
  <c r="C76" i="65" s="1"/>
  <c r="H657" i="52"/>
  <c r="H483" i="52"/>
  <c r="H646" i="52" s="1"/>
  <c r="H543" i="45" l="1"/>
  <c r="L577" i="45"/>
  <c r="L490" i="45"/>
  <c r="S15" i="60"/>
  <c r="K822" i="54" s="1"/>
  <c r="I390" i="45"/>
  <c r="I394" i="45" s="1"/>
  <c r="I396" i="45" s="1"/>
  <c r="I730" i="45" s="1"/>
  <c r="I390" i="54"/>
  <c r="K416" i="45"/>
  <c r="I144" i="45"/>
  <c r="J390" i="45"/>
  <c r="J390" i="54"/>
  <c r="L607" i="45"/>
  <c r="H411" i="45"/>
  <c r="H444" i="45"/>
  <c r="L543" i="45"/>
  <c r="R15" i="60"/>
  <c r="J430" i="54" s="1"/>
  <c r="J805" i="54" s="1"/>
  <c r="P15" i="60"/>
  <c r="H429" i="54" s="1"/>
  <c r="S15" i="50"/>
  <c r="O15" i="50"/>
  <c r="Q15" i="50"/>
  <c r="P15" i="50"/>
  <c r="R15" i="50"/>
  <c r="N15" i="50"/>
  <c r="I543" i="45"/>
  <c r="K430" i="54"/>
  <c r="K805" i="54" s="1"/>
  <c r="G543" i="45"/>
  <c r="T15" i="60"/>
  <c r="L428" i="54" s="1"/>
  <c r="L643" i="54" s="1"/>
  <c r="I430" i="54"/>
  <c r="I805" i="54" s="1"/>
  <c r="I429" i="54"/>
  <c r="H630" i="52"/>
  <c r="L430" i="54"/>
  <c r="O15" i="60"/>
  <c r="K444" i="45"/>
  <c r="F549" i="52"/>
  <c r="F799" i="54"/>
  <c r="J543" i="45"/>
  <c r="F550" i="52"/>
  <c r="E550" i="53" s="1"/>
  <c r="F144" i="54"/>
  <c r="L444" i="45"/>
  <c r="F562" i="52"/>
  <c r="F542" i="52"/>
  <c r="F463" i="52"/>
  <c r="H344" i="55"/>
  <c r="H829" i="55"/>
  <c r="F444" i="54"/>
  <c r="F817" i="54"/>
  <c r="F456" i="52"/>
  <c r="K259" i="55"/>
  <c r="K829" i="55"/>
  <c r="F574" i="54"/>
  <c r="F819" i="54"/>
  <c r="F444" i="55"/>
  <c r="F817" i="55"/>
  <c r="K429" i="54"/>
  <c r="G391" i="45"/>
  <c r="E278" i="1"/>
  <c r="F391" i="45" s="1"/>
  <c r="F450" i="52"/>
  <c r="F443" i="52"/>
  <c r="G344" i="55"/>
  <c r="G829" i="55"/>
  <c r="J259" i="55"/>
  <c r="J829" i="55"/>
  <c r="F444" i="53"/>
  <c r="F817" i="53"/>
  <c r="I444" i="45"/>
  <c r="I822" i="54"/>
  <c r="I428" i="54"/>
  <c r="I643" i="54" s="1"/>
  <c r="G393" i="45"/>
  <c r="E283" i="1"/>
  <c r="F393" i="45" s="1"/>
  <c r="H259" i="55"/>
  <c r="F451" i="52"/>
  <c r="E451" i="53" s="1"/>
  <c r="D11" i="60"/>
  <c r="M11" i="60" s="1"/>
  <c r="F814" i="54"/>
  <c r="L259" i="55"/>
  <c r="L829" i="55"/>
  <c r="I259" i="55"/>
  <c r="I829" i="55"/>
  <c r="F593" i="53"/>
  <c r="F819" i="53"/>
  <c r="F418" i="54"/>
  <c r="F815" i="54"/>
  <c r="K428" i="54"/>
  <c r="K643" i="54" s="1"/>
  <c r="H822" i="54"/>
  <c r="H430" i="54"/>
  <c r="H805" i="54" s="1"/>
  <c r="H428" i="54"/>
  <c r="G408" i="45"/>
  <c r="G409" i="45"/>
  <c r="G411" i="45"/>
  <c r="G796" i="45"/>
  <c r="G418" i="45"/>
  <c r="G410" i="45"/>
  <c r="G416" i="45"/>
  <c r="I325" i="54"/>
  <c r="I821" i="54"/>
  <c r="J559" i="54"/>
  <c r="J821" i="54"/>
  <c r="H325" i="54"/>
  <c r="H821" i="54"/>
  <c r="L157" i="54"/>
  <c r="L821" i="54"/>
  <c r="F325" i="54"/>
  <c r="F821" i="54"/>
  <c r="F560" i="55"/>
  <c r="F828" i="55"/>
  <c r="J560" i="54"/>
  <c r="J828" i="54"/>
  <c r="G560" i="54"/>
  <c r="G828" i="54"/>
  <c r="I560" i="54"/>
  <c r="I828" i="54"/>
  <c r="H560" i="54"/>
  <c r="H828" i="54"/>
  <c r="K560" i="54"/>
  <c r="K828" i="54"/>
  <c r="L560" i="54"/>
  <c r="L828" i="54"/>
  <c r="I828" i="53"/>
  <c r="H828" i="53"/>
  <c r="K828" i="53"/>
  <c r="J828" i="53"/>
  <c r="G828" i="53"/>
  <c r="J447" i="54"/>
  <c r="L560" i="53"/>
  <c r="L828" i="53"/>
  <c r="G549" i="52"/>
  <c r="E549" i="54" s="1"/>
  <c r="G828" i="52"/>
  <c r="H742" i="52"/>
  <c r="H831" i="52"/>
  <c r="H618" i="52"/>
  <c r="H834" i="52"/>
  <c r="G451" i="52"/>
  <c r="E451" i="54" s="1"/>
  <c r="G825" i="52"/>
  <c r="H616" i="52"/>
  <c r="J325" i="54"/>
  <c r="L559" i="54"/>
  <c r="F559" i="54"/>
  <c r="F157" i="54"/>
  <c r="H629" i="52"/>
  <c r="F239" i="54"/>
  <c r="I559" i="54"/>
  <c r="I546" i="54"/>
  <c r="L460" i="54"/>
  <c r="I157" i="54"/>
  <c r="J157" i="54"/>
  <c r="H239" i="54"/>
  <c r="I447" i="54"/>
  <c r="I460" i="54"/>
  <c r="I239" i="54"/>
  <c r="L325" i="54"/>
  <c r="L239" i="54"/>
  <c r="L546" i="54"/>
  <c r="L447" i="54"/>
  <c r="H559" i="54"/>
  <c r="H26" i="57"/>
  <c r="D26" i="57" s="1"/>
  <c r="G834" i="52" s="1"/>
  <c r="H625" i="52"/>
  <c r="H626" i="52"/>
  <c r="H798" i="52"/>
  <c r="J546" i="54"/>
  <c r="K543" i="45"/>
  <c r="H621" i="52"/>
  <c r="H615" i="52"/>
  <c r="H624" i="52"/>
  <c r="H619" i="52"/>
  <c r="J460" i="54"/>
  <c r="H614" i="52"/>
  <c r="H627" i="52"/>
  <c r="H617" i="52"/>
  <c r="J239" i="54"/>
  <c r="H546" i="54"/>
  <c r="H447" i="54"/>
  <c r="H157" i="54"/>
  <c r="O14" i="60"/>
  <c r="F447" i="54"/>
  <c r="F546" i="54"/>
  <c r="G456" i="52"/>
  <c r="E456" i="54" s="1"/>
  <c r="G505" i="45"/>
  <c r="G417" i="45"/>
  <c r="G312" i="45"/>
  <c r="H799" i="45"/>
  <c r="J592" i="45"/>
  <c r="H408" i="45"/>
  <c r="I592" i="45"/>
  <c r="H592" i="45"/>
  <c r="R14" i="59"/>
  <c r="F14" i="65"/>
  <c r="C107" i="65" s="1"/>
  <c r="F12" i="65"/>
  <c r="C105" i="65" s="1"/>
  <c r="S14" i="59"/>
  <c r="E13" i="65"/>
  <c r="C75" i="65" s="1"/>
  <c r="T14" i="59"/>
  <c r="P14" i="59"/>
  <c r="N14" i="59"/>
  <c r="E12" i="65"/>
  <c r="C74" i="65" s="1"/>
  <c r="F13" i="65"/>
  <c r="C106" i="65" s="1"/>
  <c r="I411" i="45"/>
  <c r="G310" i="45"/>
  <c r="G226" i="45"/>
  <c r="G494" i="45"/>
  <c r="H796" i="45"/>
  <c r="K592" i="45"/>
  <c r="G419" i="45"/>
  <c r="J578" i="45"/>
  <c r="J493" i="45"/>
  <c r="J575" i="45"/>
  <c r="J581" i="45"/>
  <c r="J580" i="45"/>
  <c r="J508" i="45"/>
  <c r="J494" i="45"/>
  <c r="J574" i="45"/>
  <c r="J507" i="45"/>
  <c r="J482" i="45"/>
  <c r="J799" i="45"/>
  <c r="L311" i="45"/>
  <c r="J506" i="45"/>
  <c r="G224" i="45"/>
  <c r="G605" i="45"/>
  <c r="J577" i="45"/>
  <c r="J579" i="45"/>
  <c r="G589" i="45"/>
  <c r="J491" i="45"/>
  <c r="J479" i="45"/>
  <c r="J490" i="45"/>
  <c r="G580" i="45"/>
  <c r="J593" i="45"/>
  <c r="J587" i="45"/>
  <c r="J606" i="45"/>
  <c r="H581" i="45"/>
  <c r="H476" i="45"/>
  <c r="H491" i="45"/>
  <c r="J416" i="45"/>
  <c r="H593" i="45"/>
  <c r="J411" i="45"/>
  <c r="J311" i="45"/>
  <c r="H312" i="45"/>
  <c r="L476" i="45"/>
  <c r="L494" i="45"/>
  <c r="L581" i="45"/>
  <c r="L482" i="45"/>
  <c r="L475" i="45"/>
  <c r="H416" i="45"/>
  <c r="L487" i="45"/>
  <c r="I604" i="45"/>
  <c r="L226" i="45"/>
  <c r="I487" i="45"/>
  <c r="G493" i="45"/>
  <c r="G508" i="45"/>
  <c r="I588" i="45"/>
  <c r="G490" i="45"/>
  <c r="G604" i="45"/>
  <c r="J312" i="45"/>
  <c r="K476" i="45"/>
  <c r="K474" i="45"/>
  <c r="J590" i="45"/>
  <c r="K487" i="45"/>
  <c r="K578" i="45"/>
  <c r="J492" i="45"/>
  <c r="K581" i="45"/>
  <c r="K593" i="45"/>
  <c r="I606" i="45"/>
  <c r="I489" i="45"/>
  <c r="I224" i="45"/>
  <c r="K589" i="45"/>
  <c r="K226" i="45"/>
  <c r="H587" i="45"/>
  <c r="G311" i="45"/>
  <c r="G225" i="45"/>
  <c r="J607" i="45"/>
  <c r="J589" i="45"/>
  <c r="G480" i="45"/>
  <c r="J480" i="45"/>
  <c r="J591" i="45"/>
  <c r="G481" i="45"/>
  <c r="J586" i="45"/>
  <c r="J481" i="45"/>
  <c r="G581" i="45"/>
  <c r="J474" i="45"/>
  <c r="J604" i="45"/>
  <c r="J505" i="45"/>
  <c r="G799" i="45"/>
  <c r="J410" i="45"/>
  <c r="L799" i="45"/>
  <c r="I796" i="45"/>
  <c r="G479" i="45"/>
  <c r="J476" i="45"/>
  <c r="J573" i="45"/>
  <c r="G590" i="45"/>
  <c r="J478" i="45"/>
  <c r="J487" i="45"/>
  <c r="J488" i="45"/>
  <c r="J605" i="45"/>
  <c r="J489" i="45"/>
  <c r="J588" i="45"/>
  <c r="I490" i="45"/>
  <c r="L224" i="45"/>
  <c r="I578" i="45"/>
  <c r="K591" i="45"/>
  <c r="I14" i="61"/>
  <c r="K180" i="45"/>
  <c r="H14" i="50" s="1"/>
  <c r="J796" i="45"/>
  <c r="I799" i="45"/>
  <c r="H480" i="45"/>
  <c r="H487" i="45"/>
  <c r="H607" i="45"/>
  <c r="H575" i="45"/>
  <c r="H577" i="45"/>
  <c r="H586" i="45"/>
  <c r="H573" i="45"/>
  <c r="H508" i="45"/>
  <c r="H604" i="45"/>
  <c r="J408" i="45"/>
  <c r="J310" i="45"/>
  <c r="H580" i="45"/>
  <c r="J409" i="45"/>
  <c r="H482" i="45"/>
  <c r="J419" i="45"/>
  <c r="H311" i="45"/>
  <c r="L579" i="45"/>
  <c r="L507" i="45"/>
  <c r="H419" i="45"/>
  <c r="L589" i="45"/>
  <c r="L481" i="45"/>
  <c r="L586" i="45"/>
  <c r="L593" i="45"/>
  <c r="L492" i="45"/>
  <c r="L491" i="45"/>
  <c r="I481" i="45"/>
  <c r="I493" i="45"/>
  <c r="I577" i="45"/>
  <c r="I488" i="45"/>
  <c r="L410" i="45"/>
  <c r="I508" i="45"/>
  <c r="I494" i="45"/>
  <c r="L416" i="45"/>
  <c r="I587" i="45"/>
  <c r="G575" i="45"/>
  <c r="G606" i="45"/>
  <c r="G593" i="45"/>
  <c r="G578" i="45"/>
  <c r="G475" i="45"/>
  <c r="I506" i="45"/>
  <c r="G492" i="45"/>
  <c r="G482" i="45"/>
  <c r="G586" i="45"/>
  <c r="I590" i="45"/>
  <c r="K505" i="45"/>
  <c r="K506" i="45"/>
  <c r="K478" i="45"/>
  <c r="K494" i="45"/>
  <c r="K575" i="45"/>
  <c r="K481" i="45"/>
  <c r="K605" i="45"/>
  <c r="K409" i="45"/>
  <c r="L573" i="45"/>
  <c r="K507" i="45"/>
  <c r="K577" i="45"/>
  <c r="I312" i="45"/>
  <c r="I416" i="45"/>
  <c r="I311" i="45"/>
  <c r="K411" i="45"/>
  <c r="G14" i="61"/>
  <c r="I180" i="45"/>
  <c r="F14" i="50" s="1"/>
  <c r="H489" i="45"/>
  <c r="H606" i="45"/>
  <c r="J418" i="45"/>
  <c r="I605" i="45"/>
  <c r="G491" i="45"/>
  <c r="K586" i="45"/>
  <c r="K482" i="45"/>
  <c r="L574" i="45"/>
  <c r="K606" i="45"/>
  <c r="D14" i="61"/>
  <c r="F180" i="45"/>
  <c r="C14" i="50" s="1"/>
  <c r="F14" i="61"/>
  <c r="H180" i="45"/>
  <c r="E14" i="50" s="1"/>
  <c r="K799" i="45"/>
  <c r="H488" i="45"/>
  <c r="H492" i="45"/>
  <c r="H589" i="45"/>
  <c r="H493" i="45"/>
  <c r="H505" i="45"/>
  <c r="H478" i="45"/>
  <c r="H588" i="45"/>
  <c r="L592" i="45"/>
  <c r="H474" i="45"/>
  <c r="J226" i="45"/>
  <c r="H490" i="45"/>
  <c r="J417" i="45"/>
  <c r="H418" i="45"/>
  <c r="L488" i="45"/>
  <c r="L605" i="45"/>
  <c r="L580" i="45"/>
  <c r="L587" i="45"/>
  <c r="H226" i="45"/>
  <c r="L578" i="45"/>
  <c r="L489" i="45"/>
  <c r="L604" i="45"/>
  <c r="I482" i="45"/>
  <c r="I479" i="45"/>
  <c r="L418" i="45"/>
  <c r="I580" i="45"/>
  <c r="I491" i="45"/>
  <c r="L419" i="45"/>
  <c r="L310" i="45"/>
  <c r="I581" i="45"/>
  <c r="I492" i="45"/>
  <c r="I507" i="45"/>
  <c r="I475" i="45"/>
  <c r="G577" i="45"/>
  <c r="G507" i="45"/>
  <c r="I573" i="45"/>
  <c r="G579" i="45"/>
  <c r="G476" i="45"/>
  <c r="G588" i="45"/>
  <c r="I505" i="45"/>
  <c r="G489" i="45"/>
  <c r="G574" i="45"/>
  <c r="H225" i="45"/>
  <c r="K488" i="45"/>
  <c r="K479" i="45"/>
  <c r="K493" i="45"/>
  <c r="K475" i="45"/>
  <c r="L408" i="45"/>
  <c r="K490" i="45"/>
  <c r="K579" i="45"/>
  <c r="L411" i="45"/>
  <c r="K311" i="45"/>
  <c r="K410" i="45"/>
  <c r="L575" i="45"/>
  <c r="K225" i="45"/>
  <c r="L493" i="45"/>
  <c r="K587" i="45"/>
  <c r="K590" i="45"/>
  <c r="I310" i="45"/>
  <c r="I410" i="45"/>
  <c r="I417" i="45"/>
  <c r="K310" i="45"/>
  <c r="K408" i="45"/>
  <c r="J444" i="45"/>
  <c r="I225" i="45"/>
  <c r="I419" i="45"/>
  <c r="E14" i="61"/>
  <c r="G180" i="45"/>
  <c r="D14" i="50" s="1"/>
  <c r="H475" i="45"/>
  <c r="H481" i="45"/>
  <c r="L479" i="45"/>
  <c r="I575" i="45"/>
  <c r="I478" i="45"/>
  <c r="G487" i="45"/>
  <c r="G573" i="45"/>
  <c r="K574" i="45"/>
  <c r="K224" i="45"/>
  <c r="I418" i="45"/>
  <c r="H14" i="61"/>
  <c r="J180" i="45"/>
  <c r="G14" i="50" s="1"/>
  <c r="J14" i="61"/>
  <c r="L180" i="45"/>
  <c r="I14" i="50" s="1"/>
  <c r="K796" i="45"/>
  <c r="L796" i="45"/>
  <c r="H579" i="45"/>
  <c r="H506" i="45"/>
  <c r="H591" i="45"/>
  <c r="H574" i="45"/>
  <c r="H590" i="45"/>
  <c r="H479" i="45"/>
  <c r="H494" i="45"/>
  <c r="J225" i="45"/>
  <c r="H605" i="45"/>
  <c r="J224" i="45"/>
  <c r="L591" i="45"/>
  <c r="L505" i="45"/>
  <c r="H224" i="45"/>
  <c r="L478" i="45"/>
  <c r="L606" i="45"/>
  <c r="H410" i="45"/>
  <c r="H310" i="45"/>
  <c r="L508" i="45"/>
  <c r="L506" i="45"/>
  <c r="I480" i="45"/>
  <c r="I474" i="45"/>
  <c r="L409" i="45"/>
  <c r="I593" i="45"/>
  <c r="I579" i="45"/>
  <c r="I574" i="45"/>
  <c r="L417" i="45"/>
  <c r="I476" i="45"/>
  <c r="I591" i="45"/>
  <c r="I607" i="45"/>
  <c r="L225" i="45"/>
  <c r="G478" i="45"/>
  <c r="G591" i="45"/>
  <c r="G607" i="45"/>
  <c r="G592" i="45"/>
  <c r="I589" i="45"/>
  <c r="G488" i="45"/>
  <c r="G587" i="45"/>
  <c r="H417" i="45"/>
  <c r="I586" i="45"/>
  <c r="G506" i="45"/>
  <c r="G474" i="45"/>
  <c r="K580" i="45"/>
  <c r="K480" i="45"/>
  <c r="K607" i="45"/>
  <c r="K573" i="45"/>
  <c r="K508" i="45"/>
  <c r="K588" i="45"/>
  <c r="K492" i="45"/>
  <c r="K491" i="45"/>
  <c r="L312" i="45"/>
  <c r="L480" i="45"/>
  <c r="K417" i="45"/>
  <c r="L474" i="45"/>
  <c r="K419" i="45"/>
  <c r="L588" i="45"/>
  <c r="K489" i="45"/>
  <c r="K604" i="45"/>
  <c r="H507" i="45"/>
  <c r="I226" i="45"/>
  <c r="I409" i="45"/>
  <c r="H578" i="45"/>
  <c r="E356" i="45"/>
  <c r="E375" i="45" s="1"/>
  <c r="K313" i="54"/>
  <c r="K312" i="45"/>
  <c r="K418" i="45"/>
  <c r="I412" i="54"/>
  <c r="I408" i="45"/>
  <c r="H412" i="54"/>
  <c r="H409" i="45"/>
  <c r="K227" i="54"/>
  <c r="G259" i="55"/>
  <c r="F311" i="54"/>
  <c r="F225" i="54"/>
  <c r="F417" i="54"/>
  <c r="F411" i="54"/>
  <c r="F142" i="54"/>
  <c r="I227" i="54"/>
  <c r="F310" i="54"/>
  <c r="F312" i="54"/>
  <c r="F409" i="54"/>
  <c r="F143" i="54"/>
  <c r="F419" i="54"/>
  <c r="C11" i="50"/>
  <c r="L11" i="50" s="1"/>
  <c r="F226" i="54"/>
  <c r="F796" i="54"/>
  <c r="F416" i="54"/>
  <c r="F410" i="54"/>
  <c r="F475" i="54"/>
  <c r="I145" i="54"/>
  <c r="I313" i="54"/>
  <c r="G555" i="52"/>
  <c r="E555" i="54" s="1"/>
  <c r="K145" i="54"/>
  <c r="I420" i="54"/>
  <c r="G10" i="45"/>
  <c r="J10" i="45"/>
  <c r="I10" i="45"/>
  <c r="H10" i="45"/>
  <c r="K412" i="54"/>
  <c r="K420" i="54"/>
  <c r="L313" i="54"/>
  <c r="J145" i="54"/>
  <c r="H516" i="52"/>
  <c r="L227" i="54"/>
  <c r="F475" i="53"/>
  <c r="F492" i="53"/>
  <c r="H675" i="52"/>
  <c r="F507" i="53"/>
  <c r="F480" i="53"/>
  <c r="F581" i="53"/>
  <c r="H524" i="52"/>
  <c r="F508" i="53"/>
  <c r="F587" i="53"/>
  <c r="H677" i="52"/>
  <c r="F607" i="53"/>
  <c r="F578" i="53"/>
  <c r="F476" i="53"/>
  <c r="H145" i="54"/>
  <c r="F17" i="57"/>
  <c r="G450" i="52"/>
  <c r="E450" i="54" s="1"/>
  <c r="G443" i="52"/>
  <c r="E443" i="54" s="1"/>
  <c r="H227" i="54"/>
  <c r="G463" i="52"/>
  <c r="J420" i="54"/>
  <c r="H529" i="52"/>
  <c r="H520" i="52"/>
  <c r="H525" i="52"/>
  <c r="H518" i="52"/>
  <c r="H523" i="52"/>
  <c r="F592" i="53"/>
  <c r="F605" i="53"/>
  <c r="F574" i="53"/>
  <c r="F491" i="53"/>
  <c r="F580" i="53"/>
  <c r="F589" i="53"/>
  <c r="F488" i="53"/>
  <c r="F575" i="53"/>
  <c r="F487" i="53"/>
  <c r="F489" i="53"/>
  <c r="F543" i="53"/>
  <c r="F543" i="45" s="1"/>
  <c r="J313" i="54"/>
  <c r="H313" i="54"/>
  <c r="H420" i="54"/>
  <c r="L145" i="54"/>
  <c r="L412" i="54"/>
  <c r="L420" i="54"/>
  <c r="H519" i="52"/>
  <c r="H528" i="52"/>
  <c r="H526" i="52"/>
  <c r="H697" i="52"/>
  <c r="H521" i="52"/>
  <c r="F604" i="53"/>
  <c r="F588" i="53"/>
  <c r="F494" i="53"/>
  <c r="F606" i="53"/>
  <c r="F482" i="53"/>
  <c r="F590" i="53"/>
  <c r="F493" i="53"/>
  <c r="F577" i="53"/>
  <c r="F579" i="53"/>
  <c r="F573" i="53"/>
  <c r="J344" i="55"/>
  <c r="H515" i="52"/>
  <c r="H517" i="52"/>
  <c r="H522" i="52"/>
  <c r="D11" i="61"/>
  <c r="M11" i="61" s="1"/>
  <c r="F586" i="53"/>
  <c r="F479" i="53"/>
  <c r="F506" i="53"/>
  <c r="F474" i="53"/>
  <c r="F591" i="53"/>
  <c r="F490" i="53"/>
  <c r="F505" i="53"/>
  <c r="F481" i="53"/>
  <c r="F478" i="53"/>
  <c r="G542" i="52"/>
  <c r="E542" i="54" s="1"/>
  <c r="G562" i="52"/>
  <c r="E562" i="54" s="1"/>
  <c r="J227" i="54"/>
  <c r="F20" i="57"/>
  <c r="G550" i="52"/>
  <c r="E550" i="54" s="1"/>
  <c r="F489" i="54"/>
  <c r="M9" i="60"/>
  <c r="O9" i="60" s="1"/>
  <c r="G816" i="54" s="1"/>
  <c r="J412" i="54"/>
  <c r="L344" i="55"/>
  <c r="L143" i="45"/>
  <c r="I344" i="55"/>
  <c r="M9" i="59"/>
  <c r="R9" i="59" s="1"/>
  <c r="J816" i="53" s="1"/>
  <c r="J394" i="45"/>
  <c r="J396" i="45" s="1"/>
  <c r="K344" i="55"/>
  <c r="F589" i="54"/>
  <c r="F586" i="54"/>
  <c r="F606" i="54"/>
  <c r="F482" i="54"/>
  <c r="F587" i="54"/>
  <c r="F492" i="54"/>
  <c r="L9" i="50"/>
  <c r="P9" i="50" s="1"/>
  <c r="G145" i="53"/>
  <c r="K412" i="53"/>
  <c r="H227" i="53"/>
  <c r="G313" i="53"/>
  <c r="K145" i="53"/>
  <c r="J313" i="53"/>
  <c r="J412" i="53"/>
  <c r="H313" i="53"/>
  <c r="H420" i="53"/>
  <c r="L313" i="53"/>
  <c r="L412" i="53"/>
  <c r="K313" i="53"/>
  <c r="J227" i="53"/>
  <c r="J420" i="53"/>
  <c r="H412" i="53"/>
  <c r="L145" i="53"/>
  <c r="I145" i="53"/>
  <c r="K227" i="53"/>
  <c r="H145" i="53"/>
  <c r="L227" i="53"/>
  <c r="L420" i="53"/>
  <c r="I420" i="53"/>
  <c r="I143" i="45"/>
  <c r="I313" i="53"/>
  <c r="I412" i="53"/>
  <c r="K420" i="53"/>
  <c r="J145" i="53"/>
  <c r="I227" i="53"/>
  <c r="G412" i="53"/>
  <c r="J143" i="45"/>
  <c r="M9" i="61"/>
  <c r="R9" i="61" s="1"/>
  <c r="J816" i="55" s="1"/>
  <c r="F573" i="54"/>
  <c r="F474" i="54"/>
  <c r="F592" i="54"/>
  <c r="F506" i="54"/>
  <c r="F487" i="54"/>
  <c r="F488" i="54"/>
  <c r="F578" i="54"/>
  <c r="F593" i="54"/>
  <c r="F494" i="54"/>
  <c r="F479" i="54"/>
  <c r="I142" i="45"/>
  <c r="J144" i="45"/>
  <c r="F588" i="54"/>
  <c r="F507" i="54"/>
  <c r="F605" i="54"/>
  <c r="F481" i="54"/>
  <c r="F476" i="54"/>
  <c r="F607" i="54"/>
  <c r="F480" i="54"/>
  <c r="F491" i="54"/>
  <c r="F508" i="54"/>
  <c r="F579" i="54"/>
  <c r="F581" i="54"/>
  <c r="G227" i="53"/>
  <c r="G420" i="53"/>
  <c r="F580" i="54"/>
  <c r="F493" i="54"/>
  <c r="F591" i="54"/>
  <c r="F490" i="54"/>
  <c r="F604" i="54"/>
  <c r="F478" i="54"/>
  <c r="F577" i="54"/>
  <c r="F575" i="54"/>
  <c r="F505" i="54"/>
  <c r="F590" i="54"/>
  <c r="L142" i="45"/>
  <c r="L144" i="45"/>
  <c r="L448" i="54"/>
  <c r="L176" i="54"/>
  <c r="L462" i="54"/>
  <c r="L449" i="54"/>
  <c r="L179" i="54"/>
  <c r="L561" i="54"/>
  <c r="L547" i="54"/>
  <c r="L548" i="54"/>
  <c r="L261" i="54"/>
  <c r="L262" i="54"/>
  <c r="L260" i="54"/>
  <c r="L178" i="54"/>
  <c r="L177" i="54"/>
  <c r="L347" i="54"/>
  <c r="L346" i="54"/>
  <c r="L345" i="54"/>
  <c r="L344" i="54"/>
  <c r="L259" i="54"/>
  <c r="J462" i="54"/>
  <c r="J449" i="54"/>
  <c r="J176" i="54"/>
  <c r="J448" i="54"/>
  <c r="J179" i="54"/>
  <c r="J548" i="54"/>
  <c r="J561" i="54"/>
  <c r="J547" i="54"/>
  <c r="J260" i="54"/>
  <c r="J261" i="54"/>
  <c r="J262" i="54"/>
  <c r="J346" i="54"/>
  <c r="J259" i="54"/>
  <c r="J347" i="54"/>
  <c r="J177" i="54"/>
  <c r="J344" i="54"/>
  <c r="J345" i="54"/>
  <c r="J178" i="54"/>
  <c r="K143" i="45"/>
  <c r="K176" i="55"/>
  <c r="K561" i="55"/>
  <c r="K449" i="55"/>
  <c r="K462" i="55"/>
  <c r="K179" i="55"/>
  <c r="K547" i="55"/>
  <c r="K448" i="55"/>
  <c r="K548" i="55"/>
  <c r="K261" i="55"/>
  <c r="K262" i="55"/>
  <c r="K260" i="55"/>
  <c r="K347" i="55"/>
  <c r="K178" i="55"/>
  <c r="K345" i="55"/>
  <c r="K177" i="55"/>
  <c r="K346" i="55"/>
  <c r="H176" i="53"/>
  <c r="H561" i="53"/>
  <c r="H547" i="53"/>
  <c r="H179" i="53"/>
  <c r="H448" i="53"/>
  <c r="H462" i="53"/>
  <c r="H449" i="53"/>
  <c r="H548" i="53"/>
  <c r="H260" i="53"/>
  <c r="H261" i="53"/>
  <c r="H262" i="53"/>
  <c r="H347" i="53"/>
  <c r="H177" i="53"/>
  <c r="H345" i="53"/>
  <c r="H178" i="53"/>
  <c r="H346" i="53"/>
  <c r="H259" i="53"/>
  <c r="H344" i="53"/>
  <c r="N22" i="59"/>
  <c r="F829" i="53" s="1"/>
  <c r="G176" i="53"/>
  <c r="G448" i="53"/>
  <c r="G179" i="53"/>
  <c r="G561" i="53"/>
  <c r="G462" i="53"/>
  <c r="G449" i="53"/>
  <c r="G547" i="53"/>
  <c r="G548" i="53"/>
  <c r="G260" i="53"/>
  <c r="G261" i="53"/>
  <c r="G262" i="53"/>
  <c r="G345" i="53"/>
  <c r="G178" i="53"/>
  <c r="G177" i="53"/>
  <c r="G346" i="53"/>
  <c r="G347" i="53"/>
  <c r="G259" i="53"/>
  <c r="G344" i="53"/>
  <c r="F419" i="55"/>
  <c r="F411" i="55"/>
  <c r="F796" i="55"/>
  <c r="F144" i="55"/>
  <c r="F143" i="55"/>
  <c r="F418" i="55"/>
  <c r="F417" i="55"/>
  <c r="F410" i="55"/>
  <c r="F409" i="55"/>
  <c r="F142" i="55"/>
  <c r="F799" i="55"/>
  <c r="F416" i="55"/>
  <c r="F408" i="55"/>
  <c r="F312" i="55"/>
  <c r="F224" i="55"/>
  <c r="F225" i="55"/>
  <c r="F226" i="55"/>
  <c r="F311" i="55"/>
  <c r="F310" i="55"/>
  <c r="H142" i="45"/>
  <c r="N22" i="60"/>
  <c r="F829" i="54" s="1"/>
  <c r="G448" i="54"/>
  <c r="G462" i="54"/>
  <c r="G179" i="54"/>
  <c r="G449" i="54"/>
  <c r="G176" i="54"/>
  <c r="G547" i="54"/>
  <c r="G561" i="54"/>
  <c r="G548" i="54"/>
  <c r="G262" i="54"/>
  <c r="G260" i="54"/>
  <c r="G261" i="54"/>
  <c r="G347" i="54"/>
  <c r="G259" i="54"/>
  <c r="G177" i="54"/>
  <c r="G344" i="54"/>
  <c r="G346" i="54"/>
  <c r="G345" i="54"/>
  <c r="G178" i="54"/>
  <c r="F409" i="53"/>
  <c r="F416" i="53"/>
  <c r="F418" i="53"/>
  <c r="F410" i="53"/>
  <c r="F408" i="53"/>
  <c r="F419" i="53"/>
  <c r="F143" i="53"/>
  <c r="F417" i="53"/>
  <c r="F144" i="53"/>
  <c r="F142" i="53"/>
  <c r="F411" i="53"/>
  <c r="F796" i="53"/>
  <c r="F799" i="53"/>
  <c r="F224" i="53"/>
  <c r="F225" i="53"/>
  <c r="F226" i="53"/>
  <c r="F312" i="53"/>
  <c r="F311" i="53"/>
  <c r="F310" i="53"/>
  <c r="K142" i="45"/>
  <c r="K144" i="45"/>
  <c r="N22" i="61"/>
  <c r="F829" i="55" s="1"/>
  <c r="G561" i="55"/>
  <c r="G176" i="55"/>
  <c r="G449" i="55"/>
  <c r="G462" i="55"/>
  <c r="G179" i="55"/>
  <c r="G547" i="55"/>
  <c r="G448" i="55"/>
  <c r="G548" i="55"/>
  <c r="G262" i="55"/>
  <c r="G261" i="55"/>
  <c r="G260" i="55"/>
  <c r="G347" i="55"/>
  <c r="G346" i="55"/>
  <c r="G178" i="55"/>
  <c r="G177" i="55"/>
  <c r="G345" i="55"/>
  <c r="J176" i="55"/>
  <c r="J561" i="55"/>
  <c r="J179" i="55"/>
  <c r="J448" i="55"/>
  <c r="J462" i="55"/>
  <c r="J547" i="55"/>
  <c r="J449" i="55"/>
  <c r="J548" i="55"/>
  <c r="J262" i="55"/>
  <c r="J260" i="55"/>
  <c r="J261" i="55"/>
  <c r="J347" i="55"/>
  <c r="J345" i="55"/>
  <c r="J177" i="55"/>
  <c r="J178" i="55"/>
  <c r="J346" i="55"/>
  <c r="F44" i="52"/>
  <c r="F12" i="52"/>
  <c r="J176" i="53"/>
  <c r="J448" i="53"/>
  <c r="J561" i="53"/>
  <c r="J449" i="53"/>
  <c r="J462" i="53"/>
  <c r="J547" i="53"/>
  <c r="J179" i="53"/>
  <c r="J548" i="53"/>
  <c r="J261" i="53"/>
  <c r="J262" i="53"/>
  <c r="J260" i="53"/>
  <c r="J347" i="53"/>
  <c r="J177" i="53"/>
  <c r="J346" i="53"/>
  <c r="J178" i="53"/>
  <c r="J345" i="53"/>
  <c r="J344" i="53"/>
  <c r="J259" i="53"/>
  <c r="G144" i="45"/>
  <c r="H143" i="45"/>
  <c r="I462" i="54"/>
  <c r="I449" i="54"/>
  <c r="I179" i="54"/>
  <c r="I448" i="54"/>
  <c r="I176" i="54"/>
  <c r="I561" i="54"/>
  <c r="I547" i="54"/>
  <c r="I548" i="54"/>
  <c r="I262" i="54"/>
  <c r="I261" i="54"/>
  <c r="I260" i="54"/>
  <c r="I347" i="54"/>
  <c r="I346" i="54"/>
  <c r="I345" i="54"/>
  <c r="I259" i="54"/>
  <c r="I178" i="54"/>
  <c r="I177" i="54"/>
  <c r="I344" i="54"/>
  <c r="F581" i="55"/>
  <c r="F593" i="55"/>
  <c r="F573" i="55"/>
  <c r="F491" i="55"/>
  <c r="F578" i="55"/>
  <c r="F492" i="55"/>
  <c r="F590" i="55"/>
  <c r="F579" i="55"/>
  <c r="F506" i="55"/>
  <c r="F505" i="55"/>
  <c r="F575" i="55"/>
  <c r="F481" i="55"/>
  <c r="F591" i="55"/>
  <c r="F577" i="55"/>
  <c r="F507" i="55"/>
  <c r="F490" i="55"/>
  <c r="F493" i="55"/>
  <c r="F605" i="55"/>
  <c r="F606" i="55"/>
  <c r="F580" i="55"/>
  <c r="F508" i="55"/>
  <c r="F480" i="55"/>
  <c r="F488" i="55"/>
  <c r="F475" i="55"/>
  <c r="F476" i="55"/>
  <c r="F487" i="55"/>
  <c r="F494" i="55"/>
  <c r="F479" i="55"/>
  <c r="F482" i="55"/>
  <c r="F589" i="55"/>
  <c r="F474" i="55"/>
  <c r="F587" i="55"/>
  <c r="F489" i="55"/>
  <c r="F574" i="55"/>
  <c r="F478" i="55"/>
  <c r="F604" i="55"/>
  <c r="F607" i="55"/>
  <c r="F586" i="55"/>
  <c r="F588" i="55"/>
  <c r="F592" i="55"/>
  <c r="L176" i="55"/>
  <c r="L561" i="55"/>
  <c r="L462" i="55"/>
  <c r="L179" i="55"/>
  <c r="L547" i="55"/>
  <c r="L448" i="55"/>
  <c r="L449" i="55"/>
  <c r="L548" i="55"/>
  <c r="L261" i="55"/>
  <c r="L262" i="55"/>
  <c r="L260" i="55"/>
  <c r="L347" i="55"/>
  <c r="L177" i="55"/>
  <c r="L345" i="55"/>
  <c r="L178" i="55"/>
  <c r="L346" i="55"/>
  <c r="I561" i="55"/>
  <c r="I176" i="55"/>
  <c r="I449" i="55"/>
  <c r="I179" i="55"/>
  <c r="I448" i="55"/>
  <c r="I462" i="55"/>
  <c r="I547" i="55"/>
  <c r="I548" i="55"/>
  <c r="I262" i="55"/>
  <c r="I260" i="55"/>
  <c r="I261" i="55"/>
  <c r="I347" i="55"/>
  <c r="I178" i="55"/>
  <c r="I346" i="55"/>
  <c r="I177" i="55"/>
  <c r="I345" i="55"/>
  <c r="L176" i="53"/>
  <c r="L449" i="53"/>
  <c r="L448" i="53"/>
  <c r="L547" i="53"/>
  <c r="L561" i="53"/>
  <c r="L179" i="53"/>
  <c r="L462" i="53"/>
  <c r="L548" i="53"/>
  <c r="L260" i="53"/>
  <c r="L262" i="53"/>
  <c r="L261" i="53"/>
  <c r="L346" i="53"/>
  <c r="L347" i="53"/>
  <c r="L177" i="53"/>
  <c r="L345" i="53"/>
  <c r="L178" i="53"/>
  <c r="L259" i="53"/>
  <c r="L344" i="53"/>
  <c r="D11" i="59"/>
  <c r="M11" i="59" s="1"/>
  <c r="G143" i="45"/>
  <c r="H179" i="54"/>
  <c r="H176" i="54"/>
  <c r="H462" i="54"/>
  <c r="H448" i="54"/>
  <c r="H449" i="54"/>
  <c r="H547" i="54"/>
  <c r="H548" i="54"/>
  <c r="H561" i="54"/>
  <c r="H261" i="54"/>
  <c r="H262" i="54"/>
  <c r="H260" i="54"/>
  <c r="H344" i="54"/>
  <c r="H178" i="54"/>
  <c r="H177" i="54"/>
  <c r="H347" i="54"/>
  <c r="H346" i="54"/>
  <c r="H345" i="54"/>
  <c r="H259" i="54"/>
  <c r="K449" i="54"/>
  <c r="K448" i="54"/>
  <c r="K179" i="54"/>
  <c r="K176" i="54"/>
  <c r="K462" i="54"/>
  <c r="K548" i="54"/>
  <c r="K561" i="54"/>
  <c r="K547" i="54"/>
  <c r="K261" i="54"/>
  <c r="K262" i="54"/>
  <c r="K260" i="54"/>
  <c r="K345" i="54"/>
  <c r="K347" i="54"/>
  <c r="K344" i="54"/>
  <c r="K346" i="54"/>
  <c r="K259" i="54"/>
  <c r="K178" i="54"/>
  <c r="K177" i="54"/>
  <c r="J142" i="45"/>
  <c r="H176" i="55"/>
  <c r="H561" i="55"/>
  <c r="H462" i="55"/>
  <c r="H179" i="55"/>
  <c r="H547" i="55"/>
  <c r="H448" i="55"/>
  <c r="H449" i="55"/>
  <c r="H548" i="55"/>
  <c r="H260" i="55"/>
  <c r="H261" i="55"/>
  <c r="H262" i="55"/>
  <c r="H347" i="55"/>
  <c r="H177" i="55"/>
  <c r="H345" i="55"/>
  <c r="H178" i="55"/>
  <c r="H346" i="55"/>
  <c r="I176" i="53"/>
  <c r="I462" i="53"/>
  <c r="I449" i="53"/>
  <c r="I547" i="53"/>
  <c r="I561" i="53"/>
  <c r="I448" i="53"/>
  <c r="I179" i="53"/>
  <c r="I548" i="53"/>
  <c r="I260" i="53"/>
  <c r="I261" i="53"/>
  <c r="I262" i="53"/>
  <c r="I178" i="53"/>
  <c r="I177" i="53"/>
  <c r="I347" i="53"/>
  <c r="I345" i="53"/>
  <c r="I346" i="53"/>
  <c r="I259" i="53"/>
  <c r="I344" i="53"/>
  <c r="K176" i="53"/>
  <c r="K179" i="53"/>
  <c r="K462" i="53"/>
  <c r="K561" i="53"/>
  <c r="K449" i="53"/>
  <c r="K448" i="53"/>
  <c r="K547" i="53"/>
  <c r="K548" i="53"/>
  <c r="K261" i="53"/>
  <c r="K260" i="53"/>
  <c r="K262" i="53"/>
  <c r="K347" i="53"/>
  <c r="K345" i="53"/>
  <c r="K178" i="53"/>
  <c r="K177" i="53"/>
  <c r="K346" i="53"/>
  <c r="K259" i="53"/>
  <c r="K344" i="53"/>
  <c r="G142" i="45"/>
  <c r="H144" i="45"/>
  <c r="F18" i="57"/>
  <c r="G24" i="57"/>
  <c r="F21" i="57"/>
  <c r="G27" i="57"/>
  <c r="C26" i="57"/>
  <c r="F834" i="52" s="1"/>
  <c r="F22" i="57"/>
  <c r="G28" i="57"/>
  <c r="G25" i="57"/>
  <c r="F19" i="57"/>
  <c r="C23" i="57"/>
  <c r="F831" i="52" s="1"/>
  <c r="H23" i="57"/>
  <c r="D23" i="57" s="1"/>
  <c r="G831" i="52" s="1"/>
  <c r="E27" i="61"/>
  <c r="E27" i="60"/>
  <c r="E27" i="59"/>
  <c r="I325" i="53"/>
  <c r="I239" i="53"/>
  <c r="I447" i="53"/>
  <c r="I559" i="53"/>
  <c r="I460" i="53"/>
  <c r="I546" i="53"/>
  <c r="I157" i="53"/>
  <c r="C27" i="50"/>
  <c r="D27" i="61"/>
  <c r="D27" i="60"/>
  <c r="D27" i="59"/>
  <c r="F335" i="55"/>
  <c r="F461" i="55"/>
  <c r="F167" i="55"/>
  <c r="F249" i="55"/>
  <c r="L335" i="54"/>
  <c r="L461" i="54"/>
  <c r="H335" i="54"/>
  <c r="H461" i="54"/>
  <c r="G335" i="54"/>
  <c r="G461" i="54"/>
  <c r="I335" i="54"/>
  <c r="I461" i="54"/>
  <c r="K335" i="54"/>
  <c r="K461" i="54"/>
  <c r="J335" i="54"/>
  <c r="J461" i="54"/>
  <c r="H167" i="54"/>
  <c r="H249" i="54"/>
  <c r="L167" i="54"/>
  <c r="L249" i="54"/>
  <c r="G167" i="54"/>
  <c r="G249" i="54"/>
  <c r="I167" i="54"/>
  <c r="I249" i="54"/>
  <c r="K167" i="54"/>
  <c r="K249" i="54"/>
  <c r="J167" i="54"/>
  <c r="J249" i="54"/>
  <c r="N21" i="60"/>
  <c r="N21" i="59"/>
  <c r="I461" i="53"/>
  <c r="I560" i="53"/>
  <c r="H461" i="53"/>
  <c r="H560" i="53"/>
  <c r="J461" i="53"/>
  <c r="J560" i="53"/>
  <c r="G461" i="53"/>
  <c r="G560" i="53"/>
  <c r="K461" i="53"/>
  <c r="K560" i="53"/>
  <c r="L167" i="53"/>
  <c r="L461" i="53"/>
  <c r="K167" i="53"/>
  <c r="I167" i="53"/>
  <c r="H167" i="53"/>
  <c r="J167" i="53"/>
  <c r="G167" i="53"/>
  <c r="K335" i="53"/>
  <c r="K249" i="53"/>
  <c r="I335" i="53"/>
  <c r="I249" i="53"/>
  <c r="H335" i="53"/>
  <c r="H249" i="53"/>
  <c r="J335" i="53"/>
  <c r="J249" i="53"/>
  <c r="L335" i="53"/>
  <c r="L249" i="53"/>
  <c r="G335" i="53"/>
  <c r="G249" i="53"/>
  <c r="P21" i="50"/>
  <c r="S21" i="50"/>
  <c r="N21" i="50"/>
  <c r="O21" i="50"/>
  <c r="Q21" i="50"/>
  <c r="R21" i="50"/>
  <c r="L394" i="45"/>
  <c r="L396" i="45" s="1"/>
  <c r="L509" i="53"/>
  <c r="L648" i="53" s="1"/>
  <c r="D27" i="50"/>
  <c r="C20" i="56"/>
  <c r="E22" i="56" s="1"/>
  <c r="L608" i="53"/>
  <c r="L659" i="53" s="1"/>
  <c r="L509" i="54"/>
  <c r="L648" i="54" s="1"/>
  <c r="L594" i="53"/>
  <c r="L658" i="53" s="1"/>
  <c r="L495" i="53"/>
  <c r="L647" i="53" s="1"/>
  <c r="L495" i="54"/>
  <c r="L647" i="54" s="1"/>
  <c r="L594" i="54"/>
  <c r="L658" i="54" s="1"/>
  <c r="H394" i="45"/>
  <c r="H396" i="45" s="1"/>
  <c r="H730" i="45" s="1"/>
  <c r="L608" i="54"/>
  <c r="L659" i="54" s="1"/>
  <c r="F277" i="1"/>
  <c r="G390" i="45" s="1"/>
  <c r="C100" i="2"/>
  <c r="G227" i="55"/>
  <c r="O22" i="50"/>
  <c r="N22" i="50"/>
  <c r="R22" i="50"/>
  <c r="S22" i="50"/>
  <c r="P22" i="50"/>
  <c r="Q22" i="50"/>
  <c r="J145" i="55"/>
  <c r="J227" i="55"/>
  <c r="H313" i="55"/>
  <c r="G313" i="55"/>
  <c r="L412" i="55"/>
  <c r="G412" i="55"/>
  <c r="K145" i="55"/>
  <c r="I412" i="55"/>
  <c r="K420" i="55"/>
  <c r="G420" i="55"/>
  <c r="J608" i="54"/>
  <c r="J659" i="54" s="1"/>
  <c r="K412" i="55"/>
  <c r="K227" i="55"/>
  <c r="H145" i="55"/>
  <c r="I227" i="55"/>
  <c r="H227" i="55"/>
  <c r="L313" i="55"/>
  <c r="J313" i="55"/>
  <c r="J420" i="55"/>
  <c r="L145" i="55"/>
  <c r="I313" i="55"/>
  <c r="E552" i="1"/>
  <c r="F10" i="45" s="1"/>
  <c r="I145" i="55"/>
  <c r="H420" i="55"/>
  <c r="K313" i="55"/>
  <c r="G495" i="53"/>
  <c r="G647" i="53" s="1"/>
  <c r="J594" i="53"/>
  <c r="J658" i="53" s="1"/>
  <c r="J495" i="54"/>
  <c r="J647" i="54" s="1"/>
  <c r="I594" i="54"/>
  <c r="I658" i="54" s="1"/>
  <c r="I509" i="54"/>
  <c r="I648" i="54" s="1"/>
  <c r="G509" i="53"/>
  <c r="G648" i="53" s="1"/>
  <c r="K509" i="53"/>
  <c r="K648" i="53" s="1"/>
  <c r="I420" i="55"/>
  <c r="G608" i="54"/>
  <c r="G659" i="54" s="1"/>
  <c r="I495" i="54"/>
  <c r="I647" i="54" s="1"/>
  <c r="G145" i="55"/>
  <c r="K608" i="53"/>
  <c r="K659" i="53" s="1"/>
  <c r="K495" i="53"/>
  <c r="K647" i="53" s="1"/>
  <c r="G495" i="54"/>
  <c r="G647" i="54" s="1"/>
  <c r="K394" i="45"/>
  <c r="K396" i="45" s="1"/>
  <c r="K730" i="45" s="1"/>
  <c r="H608" i="53"/>
  <c r="H659" i="53" s="1"/>
  <c r="H509" i="53"/>
  <c r="H648" i="53" s="1"/>
  <c r="H608" i="54"/>
  <c r="H659" i="54" s="1"/>
  <c r="I608" i="53"/>
  <c r="I659" i="53" s="1"/>
  <c r="I594" i="53"/>
  <c r="I658" i="53" s="1"/>
  <c r="J608" i="53"/>
  <c r="J659" i="53" s="1"/>
  <c r="J495" i="53"/>
  <c r="J647" i="53" s="1"/>
  <c r="J509" i="54"/>
  <c r="J648" i="54" s="1"/>
  <c r="H594" i="54"/>
  <c r="H658" i="54" s="1"/>
  <c r="H509" i="54"/>
  <c r="H648" i="54" s="1"/>
  <c r="K509" i="54"/>
  <c r="K648" i="54" s="1"/>
  <c r="K608" i="54"/>
  <c r="K659" i="54" s="1"/>
  <c r="G422" i="54"/>
  <c r="L227" i="55"/>
  <c r="G608" i="53"/>
  <c r="G659" i="53" s="1"/>
  <c r="G509" i="54"/>
  <c r="G648" i="54" s="1"/>
  <c r="J412" i="55"/>
  <c r="L420" i="55"/>
  <c r="I509" i="53"/>
  <c r="I648" i="53" s="1"/>
  <c r="I608" i="54"/>
  <c r="I659" i="54" s="1"/>
  <c r="G594" i="54"/>
  <c r="G658" i="54" s="1"/>
  <c r="H594" i="53"/>
  <c r="H658" i="53" s="1"/>
  <c r="H495" i="53"/>
  <c r="H647" i="53" s="1"/>
  <c r="H495" i="54"/>
  <c r="H647" i="54" s="1"/>
  <c r="K594" i="53"/>
  <c r="K658" i="53" s="1"/>
  <c r="K594" i="54"/>
  <c r="K658" i="54" s="1"/>
  <c r="K495" i="54"/>
  <c r="K647" i="54" s="1"/>
  <c r="I495" i="53"/>
  <c r="I647" i="53" s="1"/>
  <c r="G594" i="53"/>
  <c r="G658" i="53" s="1"/>
  <c r="J509" i="53"/>
  <c r="J648" i="53" s="1"/>
  <c r="J594" i="54"/>
  <c r="J658" i="54" s="1"/>
  <c r="H412" i="55"/>
  <c r="E544" i="53"/>
  <c r="G422" i="52"/>
  <c r="F412" i="52"/>
  <c r="F495" i="52"/>
  <c r="F647" i="52" s="1"/>
  <c r="F648" i="52"/>
  <c r="F659" i="52"/>
  <c r="F420" i="52"/>
  <c r="H422" i="52"/>
  <c r="F594" i="52"/>
  <c r="F657" i="52"/>
  <c r="F483" i="52"/>
  <c r="H654" i="52"/>
  <c r="G643" i="52"/>
  <c r="F805" i="52"/>
  <c r="H643" i="52"/>
  <c r="G654" i="52"/>
  <c r="K654" i="54" l="1"/>
  <c r="I71" i="65" s="1"/>
  <c r="N15" i="60"/>
  <c r="F822" i="54" s="1"/>
  <c r="L461" i="45"/>
  <c r="F418" i="45"/>
  <c r="F420" i="54"/>
  <c r="L429" i="54"/>
  <c r="L654" i="54" s="1"/>
  <c r="J71" i="65" s="1"/>
  <c r="J428" i="54"/>
  <c r="J822" i="54"/>
  <c r="J429" i="54"/>
  <c r="J654" i="54" s="1"/>
  <c r="I431" i="54"/>
  <c r="E463" i="55"/>
  <c r="H76" i="65"/>
  <c r="I654" i="54"/>
  <c r="G71" i="65" s="1"/>
  <c r="E563" i="54"/>
  <c r="E656" i="54" s="1"/>
  <c r="K431" i="54"/>
  <c r="L822" i="54"/>
  <c r="M15" i="50"/>
  <c r="I422" i="54"/>
  <c r="G45" i="65"/>
  <c r="H431" i="54"/>
  <c r="F444" i="45"/>
  <c r="Q9" i="50"/>
  <c r="G428" i="54"/>
  <c r="G430" i="54"/>
  <c r="G805" i="54" s="1"/>
  <c r="G822" i="54"/>
  <c r="G429" i="54"/>
  <c r="G344" i="45"/>
  <c r="H643" i="54"/>
  <c r="H654" i="54"/>
  <c r="N9" i="50"/>
  <c r="F429" i="54"/>
  <c r="O9" i="50"/>
  <c r="L560" i="45"/>
  <c r="G412" i="45"/>
  <c r="K560" i="45"/>
  <c r="J560" i="45"/>
  <c r="I560" i="45"/>
  <c r="G560" i="45"/>
  <c r="H560" i="45"/>
  <c r="G460" i="54"/>
  <c r="G821" i="54"/>
  <c r="F560" i="54"/>
  <c r="F828" i="54"/>
  <c r="F828" i="53"/>
  <c r="H259" i="45"/>
  <c r="E549" i="55"/>
  <c r="G447" i="54"/>
  <c r="J239" i="53"/>
  <c r="J821" i="53"/>
  <c r="F239" i="53"/>
  <c r="F821" i="53"/>
  <c r="K239" i="53"/>
  <c r="K821" i="53"/>
  <c r="H325" i="53"/>
  <c r="H821" i="53"/>
  <c r="L239" i="53"/>
  <c r="L821" i="53"/>
  <c r="E451" i="55"/>
  <c r="L157" i="53"/>
  <c r="E456" i="55"/>
  <c r="L325" i="53"/>
  <c r="G546" i="54"/>
  <c r="L460" i="53"/>
  <c r="G559" i="54"/>
  <c r="E555" i="55"/>
  <c r="G239" i="54"/>
  <c r="G157" i="54"/>
  <c r="G325" i="54"/>
  <c r="J447" i="53"/>
  <c r="J157" i="53"/>
  <c r="J546" i="53"/>
  <c r="J460" i="53"/>
  <c r="J325" i="53"/>
  <c r="J559" i="53"/>
  <c r="H167" i="45"/>
  <c r="H412" i="45"/>
  <c r="L447" i="53"/>
  <c r="G420" i="45"/>
  <c r="G422" i="45" s="1"/>
  <c r="H45" i="65"/>
  <c r="F44" i="65"/>
  <c r="H44" i="65"/>
  <c r="J44" i="65"/>
  <c r="G509" i="45"/>
  <c r="G648" i="45" s="1"/>
  <c r="I75" i="65"/>
  <c r="E76" i="65"/>
  <c r="H559" i="53"/>
  <c r="G75" i="65"/>
  <c r="J45" i="65"/>
  <c r="H447" i="53"/>
  <c r="E75" i="65"/>
  <c r="G44" i="65"/>
  <c r="I45" i="65"/>
  <c r="G76" i="65"/>
  <c r="E44" i="65"/>
  <c r="J76" i="65"/>
  <c r="F75" i="65"/>
  <c r="F76" i="65"/>
  <c r="F45" i="65"/>
  <c r="I44" i="65"/>
  <c r="J75" i="65"/>
  <c r="K559" i="53"/>
  <c r="F559" i="53"/>
  <c r="E45" i="65"/>
  <c r="H75" i="65"/>
  <c r="K546" i="53"/>
  <c r="F460" i="53"/>
  <c r="I76" i="65"/>
  <c r="K325" i="53"/>
  <c r="F325" i="53"/>
  <c r="K157" i="53"/>
  <c r="K460" i="53"/>
  <c r="F157" i="53"/>
  <c r="F447" i="53"/>
  <c r="L448" i="45"/>
  <c r="F799" i="45"/>
  <c r="K447" i="53"/>
  <c r="F546" i="53"/>
  <c r="L546" i="53"/>
  <c r="L559" i="53"/>
  <c r="K548" i="45"/>
  <c r="I448" i="45"/>
  <c r="I462" i="45"/>
  <c r="L561" i="45"/>
  <c r="G259" i="45"/>
  <c r="K547" i="45"/>
  <c r="K462" i="45"/>
  <c r="J448" i="45"/>
  <c r="F224" i="45"/>
  <c r="L608" i="45"/>
  <c r="L659" i="45" s="1"/>
  <c r="J509" i="45"/>
  <c r="J648" i="45" s="1"/>
  <c r="H157" i="53"/>
  <c r="H239" i="53"/>
  <c r="H546" i="53"/>
  <c r="O14" i="59"/>
  <c r="H460" i="53"/>
  <c r="G313" i="45"/>
  <c r="F9" i="65"/>
  <c r="K422" i="54"/>
  <c r="I227" i="45"/>
  <c r="I594" i="45"/>
  <c r="I658" i="45" s="1"/>
  <c r="I509" i="45"/>
  <c r="I648" i="45" s="1"/>
  <c r="H594" i="45"/>
  <c r="H658" i="45" s="1"/>
  <c r="D14" i="65"/>
  <c r="C45" i="65" s="1"/>
  <c r="H420" i="45"/>
  <c r="J227" i="45"/>
  <c r="K412" i="45"/>
  <c r="H422" i="54"/>
  <c r="L594" i="45"/>
  <c r="L658" i="45" s="1"/>
  <c r="E9" i="65"/>
  <c r="J594" i="45"/>
  <c r="J658" i="45" s="1"/>
  <c r="G227" i="45"/>
  <c r="E463" i="54"/>
  <c r="E464" i="54" s="1"/>
  <c r="E645" i="54" s="1"/>
  <c r="F408" i="45"/>
  <c r="L227" i="45"/>
  <c r="L509" i="45"/>
  <c r="L648" i="45" s="1"/>
  <c r="I412" i="45"/>
  <c r="K313" i="45"/>
  <c r="K608" i="45"/>
  <c r="K659" i="45" s="1"/>
  <c r="G608" i="45"/>
  <c r="G659" i="45" s="1"/>
  <c r="J547" i="45"/>
  <c r="K420" i="45"/>
  <c r="F593" i="45"/>
  <c r="H509" i="45"/>
  <c r="H648" i="45" s="1"/>
  <c r="G495" i="45"/>
  <c r="G647" i="45" s="1"/>
  <c r="H495" i="45"/>
  <c r="H647" i="45" s="1"/>
  <c r="K509" i="45"/>
  <c r="K648" i="45" s="1"/>
  <c r="H608" i="45"/>
  <c r="H659" i="45" s="1"/>
  <c r="F145" i="54"/>
  <c r="J608" i="45"/>
  <c r="J659" i="45" s="1"/>
  <c r="I608" i="45"/>
  <c r="I659" i="45" s="1"/>
  <c r="J495" i="45"/>
  <c r="J647" i="45" s="1"/>
  <c r="L449" i="45"/>
  <c r="J449" i="45"/>
  <c r="G594" i="45"/>
  <c r="G658" i="45" s="1"/>
  <c r="L420" i="45"/>
  <c r="L412" i="45"/>
  <c r="K495" i="45"/>
  <c r="K647" i="45" s="1"/>
  <c r="I495" i="45"/>
  <c r="I647" i="45" s="1"/>
  <c r="I561" i="45"/>
  <c r="K178" i="45"/>
  <c r="K347" i="45"/>
  <c r="K261" i="45"/>
  <c r="H347" i="45"/>
  <c r="L548" i="45"/>
  <c r="L547" i="45"/>
  <c r="I344" i="45"/>
  <c r="I261" i="45"/>
  <c r="G346" i="45"/>
  <c r="G547" i="45"/>
  <c r="H561" i="45"/>
  <c r="J345" i="45"/>
  <c r="J260" i="45"/>
  <c r="J179" i="45"/>
  <c r="L260" i="45"/>
  <c r="F482" i="45"/>
  <c r="F488" i="45"/>
  <c r="F574" i="45"/>
  <c r="F480" i="45"/>
  <c r="F225" i="45"/>
  <c r="H313" i="45"/>
  <c r="H227" i="45"/>
  <c r="K227" i="45"/>
  <c r="M14" i="61"/>
  <c r="S14" i="61" s="1"/>
  <c r="K821" i="55" s="1"/>
  <c r="K448" i="45"/>
  <c r="I547" i="45"/>
  <c r="L495" i="45"/>
  <c r="L647" i="45" s="1"/>
  <c r="J420" i="45"/>
  <c r="K594" i="45"/>
  <c r="K658" i="45" s="1"/>
  <c r="J313" i="45"/>
  <c r="J259" i="45"/>
  <c r="L346" i="45"/>
  <c r="F490" i="45"/>
  <c r="F579" i="45"/>
  <c r="F604" i="45"/>
  <c r="F475" i="45"/>
  <c r="F227" i="54"/>
  <c r="I548" i="45"/>
  <c r="K259" i="45"/>
  <c r="K345" i="45"/>
  <c r="K176" i="45"/>
  <c r="H177" i="45"/>
  <c r="H262" i="45"/>
  <c r="H176" i="45"/>
  <c r="L462" i="45"/>
  <c r="I177" i="45"/>
  <c r="I346" i="45"/>
  <c r="I262" i="45"/>
  <c r="I176" i="45"/>
  <c r="J462" i="45"/>
  <c r="G261" i="45"/>
  <c r="G179" i="45"/>
  <c r="G449" i="45"/>
  <c r="G448" i="45"/>
  <c r="H448" i="45"/>
  <c r="J344" i="45"/>
  <c r="J346" i="45"/>
  <c r="L259" i="45"/>
  <c r="L347" i="45"/>
  <c r="L262" i="45"/>
  <c r="L176" i="45"/>
  <c r="F478" i="45"/>
  <c r="F591" i="45"/>
  <c r="F586" i="45"/>
  <c r="F577" i="45"/>
  <c r="F606" i="45"/>
  <c r="F489" i="45"/>
  <c r="F589" i="45"/>
  <c r="F605" i="45"/>
  <c r="F578" i="45"/>
  <c r="F508" i="45"/>
  <c r="F507" i="45"/>
  <c r="F226" i="45"/>
  <c r="F409" i="45"/>
  <c r="F311" i="45"/>
  <c r="I313" i="45"/>
  <c r="I345" i="45"/>
  <c r="G347" i="45"/>
  <c r="F587" i="45"/>
  <c r="K449" i="45"/>
  <c r="I449" i="45"/>
  <c r="K346" i="45"/>
  <c r="K260" i="45"/>
  <c r="K179" i="45"/>
  <c r="H345" i="45"/>
  <c r="H178" i="45"/>
  <c r="H261" i="45"/>
  <c r="H179" i="45"/>
  <c r="I178" i="45"/>
  <c r="I347" i="45"/>
  <c r="J548" i="45"/>
  <c r="F796" i="45"/>
  <c r="G178" i="45"/>
  <c r="G177" i="45"/>
  <c r="G260" i="45"/>
  <c r="G462" i="45"/>
  <c r="H548" i="45"/>
  <c r="J177" i="45"/>
  <c r="J262" i="45"/>
  <c r="J176" i="45"/>
  <c r="L344" i="45"/>
  <c r="L177" i="45"/>
  <c r="L261" i="45"/>
  <c r="L179" i="45"/>
  <c r="F481" i="45"/>
  <c r="F474" i="45"/>
  <c r="F493" i="45"/>
  <c r="F494" i="45"/>
  <c r="F487" i="45"/>
  <c r="F580" i="45"/>
  <c r="F592" i="45"/>
  <c r="F607" i="45"/>
  <c r="F410" i="45"/>
  <c r="F312" i="45"/>
  <c r="F411" i="45"/>
  <c r="H260" i="45"/>
  <c r="H462" i="45"/>
  <c r="F479" i="45"/>
  <c r="F476" i="45"/>
  <c r="L14" i="50"/>
  <c r="K561" i="45"/>
  <c r="K177" i="45"/>
  <c r="K344" i="45"/>
  <c r="K262" i="45"/>
  <c r="H346" i="45"/>
  <c r="H344" i="45"/>
  <c r="I259" i="45"/>
  <c r="I260" i="45"/>
  <c r="I179" i="45"/>
  <c r="J561" i="45"/>
  <c r="G345" i="45"/>
  <c r="G262" i="45"/>
  <c r="G176" i="45"/>
  <c r="G548" i="45"/>
  <c r="G561" i="45"/>
  <c r="H449" i="45"/>
  <c r="H547" i="45"/>
  <c r="J178" i="45"/>
  <c r="J347" i="45"/>
  <c r="J261" i="45"/>
  <c r="L345" i="45"/>
  <c r="L178" i="45"/>
  <c r="F505" i="45"/>
  <c r="F506" i="45"/>
  <c r="F573" i="45"/>
  <c r="F590" i="45"/>
  <c r="F588" i="45"/>
  <c r="F575" i="45"/>
  <c r="F491" i="45"/>
  <c r="F581" i="45"/>
  <c r="F492" i="45"/>
  <c r="F416" i="45"/>
  <c r="F419" i="45"/>
  <c r="F417" i="45"/>
  <c r="E739" i="45"/>
  <c r="E101" i="45"/>
  <c r="E46" i="45" s="1"/>
  <c r="L313" i="45"/>
  <c r="I420" i="45"/>
  <c r="J412" i="45"/>
  <c r="J461" i="45"/>
  <c r="H461" i="45"/>
  <c r="K461" i="45"/>
  <c r="I461" i="45"/>
  <c r="G461" i="45"/>
  <c r="F313" i="54"/>
  <c r="F310" i="45"/>
  <c r="F412" i="54"/>
  <c r="L167" i="45"/>
  <c r="H335" i="45"/>
  <c r="I167" i="45"/>
  <c r="J335" i="45"/>
  <c r="I335" i="45"/>
  <c r="J167" i="45"/>
  <c r="L335" i="45"/>
  <c r="K335" i="45"/>
  <c r="G335" i="45"/>
  <c r="H249" i="45"/>
  <c r="K249" i="45"/>
  <c r="G249" i="45"/>
  <c r="L249" i="45"/>
  <c r="J249" i="45"/>
  <c r="I249" i="45"/>
  <c r="G167" i="45"/>
  <c r="K167" i="45"/>
  <c r="Q9" i="60"/>
  <c r="I816" i="54" s="1"/>
  <c r="M27" i="60"/>
  <c r="Q27" i="60" s="1"/>
  <c r="I834" i="54" s="1"/>
  <c r="E450" i="55"/>
  <c r="J422" i="54"/>
  <c r="E452" i="54"/>
  <c r="E644" i="54" s="1"/>
  <c r="E550" i="55"/>
  <c r="P9" i="59"/>
  <c r="H816" i="53" s="1"/>
  <c r="G422" i="53"/>
  <c r="E551" i="54"/>
  <c r="T9" i="59"/>
  <c r="E443" i="55"/>
  <c r="L422" i="54"/>
  <c r="Q11" i="61"/>
  <c r="I818" i="55" s="1"/>
  <c r="O11" i="61"/>
  <c r="G818" i="55" s="1"/>
  <c r="T11" i="61"/>
  <c r="L818" i="55" s="1"/>
  <c r="P9" i="60"/>
  <c r="S9" i="60"/>
  <c r="T9" i="60"/>
  <c r="R9" i="60"/>
  <c r="J816" i="54" s="1"/>
  <c r="S11" i="61"/>
  <c r="K818" i="55" s="1"/>
  <c r="R11" i="61"/>
  <c r="M27" i="61"/>
  <c r="S27" i="61" s="1"/>
  <c r="K834" i="55" s="1"/>
  <c r="P11" i="61"/>
  <c r="H818" i="55" s="1"/>
  <c r="E562" i="55"/>
  <c r="E542" i="55"/>
  <c r="O9" i="59"/>
  <c r="Q9" i="59"/>
  <c r="S9" i="59"/>
  <c r="G394" i="45"/>
  <c r="G396" i="45" s="1"/>
  <c r="P9" i="61"/>
  <c r="M27" i="59"/>
  <c r="S27" i="59" s="1"/>
  <c r="K834" i="53" s="1"/>
  <c r="K422" i="53"/>
  <c r="I422" i="53"/>
  <c r="J422" i="53"/>
  <c r="S9" i="50"/>
  <c r="T9" i="61"/>
  <c r="R9" i="50"/>
  <c r="O9" i="61"/>
  <c r="H422" i="53"/>
  <c r="G145" i="45"/>
  <c r="Q9" i="61"/>
  <c r="S9" i="61"/>
  <c r="F313" i="53"/>
  <c r="L422" i="53"/>
  <c r="I145" i="45"/>
  <c r="F420" i="53"/>
  <c r="F412" i="53"/>
  <c r="K145" i="45"/>
  <c r="F227" i="53"/>
  <c r="F145" i="53"/>
  <c r="L27" i="50"/>
  <c r="P27" i="50" s="1"/>
  <c r="J145" i="45"/>
  <c r="L145" i="45"/>
  <c r="P11" i="60"/>
  <c r="R11" i="60"/>
  <c r="S11" i="60"/>
  <c r="K818" i="54" s="1"/>
  <c r="Q11" i="60"/>
  <c r="O11" i="60"/>
  <c r="T11" i="60"/>
  <c r="L818" i="54" s="1"/>
  <c r="F176" i="55"/>
  <c r="F561" i="55"/>
  <c r="F179" i="55"/>
  <c r="F448" i="55"/>
  <c r="F462" i="55"/>
  <c r="F547" i="55"/>
  <c r="F449" i="55"/>
  <c r="F548" i="55"/>
  <c r="F261" i="55"/>
  <c r="F262" i="55"/>
  <c r="F260" i="55"/>
  <c r="F347" i="55"/>
  <c r="F345" i="55"/>
  <c r="F177" i="55"/>
  <c r="F178" i="55"/>
  <c r="F346" i="55"/>
  <c r="F344" i="55"/>
  <c r="F259" i="55"/>
  <c r="H145" i="45"/>
  <c r="F144" i="45"/>
  <c r="F142" i="45"/>
  <c r="P11" i="59"/>
  <c r="H818" i="53" s="1"/>
  <c r="S11" i="59"/>
  <c r="K818" i="53" s="1"/>
  <c r="R11" i="59"/>
  <c r="J818" i="53" s="1"/>
  <c r="O11" i="59"/>
  <c r="G818" i="53" s="1"/>
  <c r="T11" i="59"/>
  <c r="Q11" i="59"/>
  <c r="I818" i="53" s="1"/>
  <c r="F179" i="54"/>
  <c r="F448" i="54"/>
  <c r="F462" i="54"/>
  <c r="F176" i="54"/>
  <c r="F449" i="54"/>
  <c r="F547" i="54"/>
  <c r="F548" i="54"/>
  <c r="F561" i="54"/>
  <c r="F260" i="54"/>
  <c r="F262" i="54"/>
  <c r="F261" i="54"/>
  <c r="F178" i="54"/>
  <c r="F344" i="54"/>
  <c r="F345" i="54"/>
  <c r="F346" i="54"/>
  <c r="F177" i="54"/>
  <c r="F347" i="54"/>
  <c r="F259" i="54"/>
  <c r="F143" i="45"/>
  <c r="F176" i="53"/>
  <c r="F448" i="53"/>
  <c r="F179" i="53"/>
  <c r="F462" i="53"/>
  <c r="F561" i="53"/>
  <c r="F449" i="53"/>
  <c r="F547" i="53"/>
  <c r="F548" i="53"/>
  <c r="F261" i="53"/>
  <c r="F262" i="53"/>
  <c r="F260" i="53"/>
  <c r="F345" i="53"/>
  <c r="F346" i="53"/>
  <c r="F347" i="53"/>
  <c r="F178" i="53"/>
  <c r="F177" i="53"/>
  <c r="F259" i="53"/>
  <c r="F344" i="53"/>
  <c r="F23" i="57"/>
  <c r="C27" i="57"/>
  <c r="F835" i="52" s="1"/>
  <c r="H27" i="57"/>
  <c r="D27" i="57" s="1"/>
  <c r="G835" i="52" s="1"/>
  <c r="F26" i="57"/>
  <c r="C28" i="57"/>
  <c r="F836" i="52" s="1"/>
  <c r="H28" i="57"/>
  <c r="D28" i="57" s="1"/>
  <c r="G836" i="52" s="1"/>
  <c r="C24" i="57"/>
  <c r="F832" i="52" s="1"/>
  <c r="H24" i="57"/>
  <c r="D24" i="57" s="1"/>
  <c r="G832" i="52" s="1"/>
  <c r="C25" i="57"/>
  <c r="F833" i="52" s="1"/>
  <c r="H25" i="57"/>
  <c r="D25" i="57" s="1"/>
  <c r="G833" i="52" s="1"/>
  <c r="P27" i="60"/>
  <c r="H834" i="54" s="1"/>
  <c r="T27" i="60"/>
  <c r="L834" i="54" s="1"/>
  <c r="F335" i="54"/>
  <c r="F461" i="54"/>
  <c r="F167" i="54"/>
  <c r="F249" i="54"/>
  <c r="F461" i="53"/>
  <c r="F560" i="53"/>
  <c r="L509" i="55"/>
  <c r="L648" i="55" s="1"/>
  <c r="F167" i="53"/>
  <c r="F335" i="53"/>
  <c r="F249" i="53"/>
  <c r="M21" i="50"/>
  <c r="L97" i="45"/>
  <c r="L8" i="45" s="1"/>
  <c r="L9" i="45" s="1"/>
  <c r="L730" i="45"/>
  <c r="J97" i="45"/>
  <c r="J8" i="45" s="1"/>
  <c r="J9" i="45" s="1"/>
  <c r="J730" i="45"/>
  <c r="D22" i="56"/>
  <c r="H22" i="56"/>
  <c r="G22" i="56"/>
  <c r="F22" i="56"/>
  <c r="H97" i="45"/>
  <c r="H8" i="45" s="1"/>
  <c r="H9" i="45" s="1"/>
  <c r="L594" i="55"/>
  <c r="L658" i="55" s="1"/>
  <c r="L495" i="55"/>
  <c r="L647" i="55" s="1"/>
  <c r="L608" i="55"/>
  <c r="L659" i="55" s="1"/>
  <c r="D277" i="1"/>
  <c r="C103" i="2"/>
  <c r="C105" i="2" s="1"/>
  <c r="M22" i="50"/>
  <c r="I422" i="55"/>
  <c r="K97" i="45"/>
  <c r="J422" i="55"/>
  <c r="F394" i="45"/>
  <c r="F396" i="45" s="1"/>
  <c r="F97" i="45" s="1"/>
  <c r="G608" i="55"/>
  <c r="G659" i="55" s="1"/>
  <c r="I594" i="55"/>
  <c r="I658" i="55" s="1"/>
  <c r="G422" i="55"/>
  <c r="J509" i="55"/>
  <c r="J648" i="55" s="1"/>
  <c r="L422" i="55"/>
  <c r="J608" i="55"/>
  <c r="J659" i="55" s="1"/>
  <c r="K422" i="55"/>
  <c r="I97" i="45"/>
  <c r="F227" i="55"/>
  <c r="H608" i="55"/>
  <c r="H659" i="55" s="1"/>
  <c r="H422" i="55"/>
  <c r="F145" i="55"/>
  <c r="H509" i="55"/>
  <c r="H648" i="55" s="1"/>
  <c r="F313" i="55"/>
  <c r="H594" i="55"/>
  <c r="H658" i="55" s="1"/>
  <c r="G509" i="55"/>
  <c r="G648" i="55" s="1"/>
  <c r="K594" i="55"/>
  <c r="K658" i="55" s="1"/>
  <c r="G495" i="55"/>
  <c r="G647" i="55" s="1"/>
  <c r="H495" i="55"/>
  <c r="H647" i="55" s="1"/>
  <c r="K509" i="55"/>
  <c r="K648" i="55" s="1"/>
  <c r="I495" i="55"/>
  <c r="I647" i="55" s="1"/>
  <c r="F420" i="55"/>
  <c r="J495" i="55"/>
  <c r="J647" i="55" s="1"/>
  <c r="K608" i="55"/>
  <c r="K659" i="55" s="1"/>
  <c r="I509" i="55"/>
  <c r="I648" i="55" s="1"/>
  <c r="G594" i="55"/>
  <c r="G658" i="55" s="1"/>
  <c r="F608" i="53"/>
  <c r="F659" i="53" s="1"/>
  <c r="F509" i="53"/>
  <c r="F648" i="53" s="1"/>
  <c r="F646" i="52"/>
  <c r="D12" i="65" s="1"/>
  <c r="C43" i="65" s="1"/>
  <c r="F594" i="54"/>
  <c r="F658" i="54" s="1"/>
  <c r="F608" i="54"/>
  <c r="F659" i="54" s="1"/>
  <c r="F495" i="54"/>
  <c r="F647" i="54" s="1"/>
  <c r="J594" i="55"/>
  <c r="J658" i="55" s="1"/>
  <c r="F495" i="53"/>
  <c r="F647" i="53" s="1"/>
  <c r="F509" i="54"/>
  <c r="F648" i="54" s="1"/>
  <c r="F412" i="55"/>
  <c r="F594" i="53"/>
  <c r="F658" i="53" s="1"/>
  <c r="K495" i="55"/>
  <c r="K647" i="55" s="1"/>
  <c r="I608" i="55"/>
  <c r="I659" i="55" s="1"/>
  <c r="F658" i="52"/>
  <c r="D13" i="65" s="1"/>
  <c r="C44" i="65" s="1"/>
  <c r="F422" i="52"/>
  <c r="F654" i="52"/>
  <c r="F431" i="52"/>
  <c r="F643" i="52"/>
  <c r="P11" i="50"/>
  <c r="N11" i="50"/>
  <c r="S11" i="50"/>
  <c r="Q11" i="50"/>
  <c r="O11" i="50"/>
  <c r="R11" i="50"/>
  <c r="E107" i="65" l="1"/>
  <c r="G106" i="65"/>
  <c r="F430" i="54"/>
  <c r="F805" i="54" s="1"/>
  <c r="F428" i="54"/>
  <c r="F643" i="54" s="1"/>
  <c r="I433" i="54"/>
  <c r="S27" i="60"/>
  <c r="K834" i="54" s="1"/>
  <c r="R27" i="61"/>
  <c r="J834" i="55" s="1"/>
  <c r="R27" i="60"/>
  <c r="J834" i="54" s="1"/>
  <c r="O27" i="60"/>
  <c r="G834" i="54" s="1"/>
  <c r="F449" i="45"/>
  <c r="F71" i="65"/>
  <c r="F422" i="54"/>
  <c r="H433" i="54"/>
  <c r="G654" i="54"/>
  <c r="E610" i="54"/>
  <c r="K433" i="54"/>
  <c r="L431" i="54"/>
  <c r="L433" i="54" s="1"/>
  <c r="P27" i="59"/>
  <c r="H834" i="53" s="1"/>
  <c r="F561" i="45"/>
  <c r="Q27" i="50"/>
  <c r="J431" i="54"/>
  <c r="J433" i="54" s="1"/>
  <c r="J643" i="54"/>
  <c r="H71" i="65" s="1"/>
  <c r="G643" i="54"/>
  <c r="G431" i="54"/>
  <c r="G433" i="54" s="1"/>
  <c r="G675" i="52"/>
  <c r="E675" i="54" s="1"/>
  <c r="G516" i="52"/>
  <c r="E516" i="54" s="1"/>
  <c r="G518" i="52"/>
  <c r="E518" i="54" s="1"/>
  <c r="F462" i="45"/>
  <c r="G523" i="52"/>
  <c r="E523" i="54" s="1"/>
  <c r="G529" i="52"/>
  <c r="E529" i="54" s="1"/>
  <c r="G524" i="52"/>
  <c r="E524" i="54" s="1"/>
  <c r="G697" i="52"/>
  <c r="F615" i="52"/>
  <c r="F624" i="52"/>
  <c r="F618" i="52"/>
  <c r="F625" i="52"/>
  <c r="G621" i="52"/>
  <c r="E621" i="54" s="1"/>
  <c r="I621" i="54" s="1"/>
  <c r="G630" i="52"/>
  <c r="E630" i="54" s="1"/>
  <c r="G624" i="52"/>
  <c r="E624" i="54" s="1"/>
  <c r="G619" i="52"/>
  <c r="E619" i="54" s="1"/>
  <c r="F524" i="52"/>
  <c r="F525" i="52"/>
  <c r="F528" i="52"/>
  <c r="F520" i="52"/>
  <c r="F675" i="52"/>
  <c r="E675" i="53" s="1"/>
  <c r="H26" i="60"/>
  <c r="J818" i="54"/>
  <c r="G520" i="52"/>
  <c r="E520" i="54" s="1"/>
  <c r="G519" i="52"/>
  <c r="E519" i="54" s="1"/>
  <c r="G677" i="52"/>
  <c r="E677" i="54" s="1"/>
  <c r="F627" i="52"/>
  <c r="F630" i="52"/>
  <c r="F626" i="52"/>
  <c r="F619" i="52"/>
  <c r="G616" i="52"/>
  <c r="E616" i="54" s="1"/>
  <c r="G618" i="52"/>
  <c r="E618" i="54" s="1"/>
  <c r="G626" i="52"/>
  <c r="E626" i="54" s="1"/>
  <c r="G617" i="52"/>
  <c r="E617" i="54" s="1"/>
  <c r="F697" i="52"/>
  <c r="F522" i="52"/>
  <c r="F529" i="52"/>
  <c r="F519" i="52"/>
  <c r="E26" i="60"/>
  <c r="G818" i="54"/>
  <c r="F26" i="60"/>
  <c r="H818" i="54"/>
  <c r="G515" i="52"/>
  <c r="E515" i="54" s="1"/>
  <c r="G526" i="52"/>
  <c r="E526" i="54" s="1"/>
  <c r="G521" i="52"/>
  <c r="E521" i="54" s="1"/>
  <c r="G522" i="52"/>
  <c r="E522" i="54" s="1"/>
  <c r="F616" i="52"/>
  <c r="E616" i="55" s="1"/>
  <c r="F798" i="52"/>
  <c r="E798" i="53" s="1"/>
  <c r="F629" i="52"/>
  <c r="G615" i="52"/>
  <c r="E615" i="54" s="1"/>
  <c r="G625" i="52"/>
  <c r="E625" i="54" s="1"/>
  <c r="G629" i="52"/>
  <c r="E629" i="54" s="1"/>
  <c r="F518" i="52"/>
  <c r="F526" i="52"/>
  <c r="F515" i="52"/>
  <c r="E515" i="55" s="1"/>
  <c r="F677" i="52"/>
  <c r="E677" i="53" s="1"/>
  <c r="F516" i="52"/>
  <c r="J26" i="59"/>
  <c r="L818" i="53"/>
  <c r="G26" i="60"/>
  <c r="I818" i="54"/>
  <c r="H26" i="61"/>
  <c r="J818" i="55"/>
  <c r="G528" i="52"/>
  <c r="E528" i="54" s="1"/>
  <c r="G525" i="52"/>
  <c r="E525" i="54" s="1"/>
  <c r="G517" i="52"/>
  <c r="E517" i="54" s="1"/>
  <c r="G742" i="52"/>
  <c r="F621" i="52"/>
  <c r="F614" i="52"/>
  <c r="F617" i="52"/>
  <c r="E617" i="55" s="1"/>
  <c r="G614" i="52"/>
  <c r="E614" i="54" s="1"/>
  <c r="G627" i="52"/>
  <c r="E627" i="54" s="1"/>
  <c r="G798" i="52"/>
  <c r="E798" i="54" s="1"/>
  <c r="F517" i="52"/>
  <c r="E517" i="55" s="1"/>
  <c r="F521" i="52"/>
  <c r="F523" i="52"/>
  <c r="F742" i="52"/>
  <c r="L816" i="55"/>
  <c r="K816" i="53"/>
  <c r="H816" i="54"/>
  <c r="I816" i="53"/>
  <c r="K816" i="55"/>
  <c r="G816" i="55"/>
  <c r="H816" i="55"/>
  <c r="G816" i="53"/>
  <c r="L816" i="54"/>
  <c r="L816" i="53"/>
  <c r="J422" i="45"/>
  <c r="I816" i="55"/>
  <c r="K816" i="54"/>
  <c r="F106" i="65"/>
  <c r="F560" i="45"/>
  <c r="G559" i="53"/>
  <c r="G821" i="53"/>
  <c r="H422" i="45"/>
  <c r="F548" i="45"/>
  <c r="Q14" i="61"/>
  <c r="T14" i="61"/>
  <c r="I107" i="65"/>
  <c r="P14" i="61"/>
  <c r="R14" i="61"/>
  <c r="N14" i="61"/>
  <c r="I106" i="65"/>
  <c r="G107" i="65"/>
  <c r="F107" i="65"/>
  <c r="J106" i="65"/>
  <c r="H106" i="65"/>
  <c r="H107" i="65"/>
  <c r="J107" i="65"/>
  <c r="E106" i="65"/>
  <c r="D76" i="65"/>
  <c r="D44" i="65"/>
  <c r="G460" i="53"/>
  <c r="D75" i="65"/>
  <c r="F227" i="45"/>
  <c r="G325" i="53"/>
  <c r="G157" i="53"/>
  <c r="D45" i="65"/>
  <c r="G546" i="53"/>
  <c r="I422" i="45"/>
  <c r="K422" i="45"/>
  <c r="G447" i="53"/>
  <c r="G239" i="53"/>
  <c r="F547" i="45"/>
  <c r="F313" i="45"/>
  <c r="F420" i="45"/>
  <c r="F509" i="45"/>
  <c r="F648" i="45" s="1"/>
  <c r="F346" i="45"/>
  <c r="F261" i="45"/>
  <c r="F594" i="45"/>
  <c r="F658" i="45" s="1"/>
  <c r="D9" i="65"/>
  <c r="F495" i="45"/>
  <c r="F647" i="45" s="1"/>
  <c r="F608" i="45"/>
  <c r="F659" i="45" s="1"/>
  <c r="R14" i="50"/>
  <c r="F335" i="45"/>
  <c r="P14" i="50"/>
  <c r="O14" i="50"/>
  <c r="S14" i="50"/>
  <c r="M14" i="50"/>
  <c r="Q14" i="50"/>
  <c r="L422" i="45"/>
  <c r="F448" i="45"/>
  <c r="F177" i="45"/>
  <c r="F178" i="45"/>
  <c r="F176" i="45"/>
  <c r="F259" i="45"/>
  <c r="F345" i="45"/>
  <c r="F262" i="45"/>
  <c r="E738" i="45"/>
  <c r="E740" i="45" s="1"/>
  <c r="E694" i="45"/>
  <c r="E693" i="45" s="1"/>
  <c r="E695" i="45" s="1"/>
  <c r="F347" i="45"/>
  <c r="F344" i="45"/>
  <c r="F260" i="45"/>
  <c r="F179" i="45"/>
  <c r="F412" i="45"/>
  <c r="F461" i="45"/>
  <c r="F249" i="45"/>
  <c r="F167" i="45"/>
  <c r="E511" i="54"/>
  <c r="E655" i="54"/>
  <c r="I26" i="60"/>
  <c r="O27" i="61"/>
  <c r="G576" i="55" s="1"/>
  <c r="Q27" i="61"/>
  <c r="I576" i="55" s="1"/>
  <c r="Q27" i="59"/>
  <c r="J26" i="60"/>
  <c r="E26" i="61"/>
  <c r="T27" i="61"/>
  <c r="P27" i="61"/>
  <c r="O27" i="59"/>
  <c r="R27" i="59"/>
  <c r="T27" i="59"/>
  <c r="N9" i="59"/>
  <c r="N11" i="61"/>
  <c r="F818" i="55" s="1"/>
  <c r="N9" i="60"/>
  <c r="I26" i="59"/>
  <c r="S27" i="50"/>
  <c r="R27" i="50"/>
  <c r="N27" i="50"/>
  <c r="O27" i="50"/>
  <c r="F26" i="61"/>
  <c r="J26" i="61"/>
  <c r="M9" i="50"/>
  <c r="G26" i="61"/>
  <c r="F422" i="53"/>
  <c r="G730" i="45"/>
  <c r="G97" i="45"/>
  <c r="G8" i="45" s="1"/>
  <c r="G9" i="45" s="1"/>
  <c r="I26" i="61"/>
  <c r="N9" i="61"/>
  <c r="H26" i="59"/>
  <c r="N11" i="60"/>
  <c r="F818" i="54" s="1"/>
  <c r="N11" i="59"/>
  <c r="F818" i="53" s="1"/>
  <c r="F145" i="45"/>
  <c r="G26" i="59"/>
  <c r="F26" i="59"/>
  <c r="E26" i="59"/>
  <c r="F25" i="57"/>
  <c r="F24" i="57"/>
  <c r="F28" i="57"/>
  <c r="F27" i="57"/>
  <c r="K477" i="54"/>
  <c r="K483" i="54" s="1"/>
  <c r="K646" i="54" s="1"/>
  <c r="K576" i="54"/>
  <c r="K582" i="54" s="1"/>
  <c r="K657" i="54" s="1"/>
  <c r="H576" i="53"/>
  <c r="H477" i="53"/>
  <c r="J576" i="54"/>
  <c r="J582" i="54" s="1"/>
  <c r="J657" i="54" s="1"/>
  <c r="J477" i="54"/>
  <c r="J483" i="54" s="1"/>
  <c r="J646" i="54" s="1"/>
  <c r="K477" i="55"/>
  <c r="K576" i="55"/>
  <c r="G477" i="54"/>
  <c r="G483" i="54" s="1"/>
  <c r="G646" i="54" s="1"/>
  <c r="I576" i="54"/>
  <c r="I582" i="54" s="1"/>
  <c r="I657" i="54" s="1"/>
  <c r="I477" i="54"/>
  <c r="I483" i="54" s="1"/>
  <c r="I646" i="54" s="1"/>
  <c r="L477" i="54"/>
  <c r="L483" i="54" s="1"/>
  <c r="L646" i="54" s="1"/>
  <c r="L576" i="54"/>
  <c r="L582" i="54" s="1"/>
  <c r="L657" i="54" s="1"/>
  <c r="H477" i="54"/>
  <c r="H483" i="54" s="1"/>
  <c r="H646" i="54" s="1"/>
  <c r="H576" i="54"/>
  <c r="H582" i="54" s="1"/>
  <c r="H657" i="54" s="1"/>
  <c r="K239" i="55"/>
  <c r="K239" i="45" s="1"/>
  <c r="K325" i="55"/>
  <c r="K325" i="45" s="1"/>
  <c r="K157" i="55"/>
  <c r="K157" i="45" s="1"/>
  <c r="K460" i="55"/>
  <c r="K460" i="45" s="1"/>
  <c r="K447" i="55"/>
  <c r="K447" i="45" s="1"/>
  <c r="K546" i="55"/>
  <c r="K546" i="45" s="1"/>
  <c r="K559" i="55"/>
  <c r="K559" i="45" s="1"/>
  <c r="K477" i="53"/>
  <c r="K576" i="53"/>
  <c r="C22" i="56"/>
  <c r="E390" i="45"/>
  <c r="D284" i="1"/>
  <c r="E390" i="52"/>
  <c r="E10" i="45"/>
  <c r="I8" i="45"/>
  <c r="I9" i="45" s="1"/>
  <c r="F8" i="45"/>
  <c r="K8" i="45"/>
  <c r="K9" i="45" s="1"/>
  <c r="F730" i="45"/>
  <c r="F608" i="55"/>
  <c r="F659" i="55" s="1"/>
  <c r="F509" i="55"/>
  <c r="F648" i="55" s="1"/>
  <c r="F594" i="55"/>
  <c r="F658" i="55" s="1"/>
  <c r="F495" i="55"/>
  <c r="F647" i="55" s="1"/>
  <c r="F422" i="55"/>
  <c r="F433" i="52"/>
  <c r="E26" i="50"/>
  <c r="M11" i="50"/>
  <c r="D26" i="50"/>
  <c r="G26" i="50"/>
  <c r="F26" i="50"/>
  <c r="H26" i="50"/>
  <c r="I26" i="50"/>
  <c r="J477" i="55" l="1"/>
  <c r="J576" i="55"/>
  <c r="J582" i="55" s="1"/>
  <c r="J657" i="55" s="1"/>
  <c r="E675" i="55"/>
  <c r="E523" i="55"/>
  <c r="E621" i="55"/>
  <c r="I621" i="55" s="1"/>
  <c r="E519" i="55"/>
  <c r="F431" i="54"/>
  <c r="F433" i="54" s="1"/>
  <c r="F654" i="54"/>
  <c r="D71" i="65" s="1"/>
  <c r="E742" i="55"/>
  <c r="N27" i="60"/>
  <c r="F834" i="54" s="1"/>
  <c r="E518" i="55"/>
  <c r="E614" i="55"/>
  <c r="G576" i="54"/>
  <c r="G582" i="54" s="1"/>
  <c r="G657" i="54" s="1"/>
  <c r="E74" i="65" s="1"/>
  <c r="E524" i="55"/>
  <c r="E71" i="65"/>
  <c r="E798" i="55"/>
  <c r="E525" i="55"/>
  <c r="E624" i="55"/>
  <c r="E627" i="55"/>
  <c r="E629" i="55"/>
  <c r="E618" i="55"/>
  <c r="E615" i="55"/>
  <c r="E516" i="55"/>
  <c r="E626" i="55"/>
  <c r="E530" i="54"/>
  <c r="E649" i="54" s="1"/>
  <c r="E650" i="54" s="1"/>
  <c r="E529" i="55"/>
  <c r="E522" i="55"/>
  <c r="E630" i="55"/>
  <c r="E520" i="55"/>
  <c r="E625" i="55"/>
  <c r="E697" i="55"/>
  <c r="E677" i="55"/>
  <c r="E521" i="55"/>
  <c r="E621" i="53"/>
  <c r="I621" i="53" s="1"/>
  <c r="E526" i="55"/>
  <c r="E528" i="55"/>
  <c r="E619" i="55"/>
  <c r="H477" i="55"/>
  <c r="H477" i="45" s="1"/>
  <c r="H483" i="45" s="1"/>
  <c r="H646" i="45" s="1"/>
  <c r="H834" i="55"/>
  <c r="L576" i="55"/>
  <c r="L582" i="55" s="1"/>
  <c r="L657" i="55" s="1"/>
  <c r="L834" i="55"/>
  <c r="I477" i="53"/>
  <c r="I483" i="53" s="1"/>
  <c r="I646" i="53" s="1"/>
  <c r="I834" i="53"/>
  <c r="J576" i="53"/>
  <c r="J582" i="53" s="1"/>
  <c r="J657" i="53" s="1"/>
  <c r="J834" i="53"/>
  <c r="I477" i="55"/>
  <c r="I483" i="55" s="1"/>
  <c r="I646" i="55" s="1"/>
  <c r="I834" i="55"/>
  <c r="L576" i="53"/>
  <c r="L582" i="53" s="1"/>
  <c r="L657" i="53" s="1"/>
  <c r="L834" i="53"/>
  <c r="G477" i="53"/>
  <c r="G483" i="53" s="1"/>
  <c r="G646" i="53" s="1"/>
  <c r="G834" i="53"/>
  <c r="G477" i="55"/>
  <c r="G483" i="55" s="1"/>
  <c r="G646" i="55" s="1"/>
  <c r="G834" i="55"/>
  <c r="F816" i="55"/>
  <c r="F816" i="54"/>
  <c r="F816" i="53"/>
  <c r="F239" i="55"/>
  <c r="F239" i="45" s="1"/>
  <c r="F821" i="55"/>
  <c r="L157" i="55"/>
  <c r="L157" i="45" s="1"/>
  <c r="L821" i="55"/>
  <c r="J325" i="55"/>
  <c r="J325" i="45" s="1"/>
  <c r="J821" i="55"/>
  <c r="I460" i="55"/>
  <c r="I460" i="45" s="1"/>
  <c r="I821" i="55"/>
  <c r="H447" i="55"/>
  <c r="H447" i="45" s="1"/>
  <c r="H821" i="55"/>
  <c r="I447" i="55"/>
  <c r="I447" i="45" s="1"/>
  <c r="J447" i="55"/>
  <c r="J447" i="45" s="1"/>
  <c r="J546" i="55"/>
  <c r="J546" i="45" s="1"/>
  <c r="I325" i="55"/>
  <c r="I325" i="45" s="1"/>
  <c r="H460" i="55"/>
  <c r="H460" i="45" s="1"/>
  <c r="L239" i="55"/>
  <c r="L239" i="45" s="1"/>
  <c r="H546" i="55"/>
  <c r="H546" i="45" s="1"/>
  <c r="L559" i="55"/>
  <c r="L559" i="45" s="1"/>
  <c r="I559" i="55"/>
  <c r="I559" i="45" s="1"/>
  <c r="J559" i="55"/>
  <c r="J559" i="45" s="1"/>
  <c r="I239" i="55"/>
  <c r="I239" i="45" s="1"/>
  <c r="J239" i="55"/>
  <c r="J239" i="45" s="1"/>
  <c r="L460" i="55"/>
  <c r="L460" i="45" s="1"/>
  <c r="I546" i="55"/>
  <c r="I546" i="45" s="1"/>
  <c r="I157" i="55"/>
  <c r="I157" i="45" s="1"/>
  <c r="O14" i="61"/>
  <c r="L546" i="55"/>
  <c r="L546" i="45" s="1"/>
  <c r="L447" i="55"/>
  <c r="L447" i="45" s="1"/>
  <c r="J157" i="55"/>
  <c r="J157" i="45" s="1"/>
  <c r="L325" i="55"/>
  <c r="L325" i="45" s="1"/>
  <c r="F157" i="55"/>
  <c r="F157" i="45" s="1"/>
  <c r="J460" i="55"/>
  <c r="J460" i="45" s="1"/>
  <c r="I74" i="65"/>
  <c r="H559" i="55"/>
  <c r="H559" i="45" s="1"/>
  <c r="H325" i="55"/>
  <c r="H325" i="45" s="1"/>
  <c r="H157" i="55"/>
  <c r="H157" i="45" s="1"/>
  <c r="H239" i="55"/>
  <c r="H239" i="45" s="1"/>
  <c r="F559" i="55"/>
  <c r="F559" i="45" s="1"/>
  <c r="F460" i="55"/>
  <c r="F460" i="45" s="1"/>
  <c r="F546" i="55"/>
  <c r="F546" i="45" s="1"/>
  <c r="F325" i="55"/>
  <c r="F325" i="45" s="1"/>
  <c r="D106" i="65"/>
  <c r="F447" i="55"/>
  <c r="F447" i="45" s="1"/>
  <c r="D107" i="65"/>
  <c r="F422" i="45"/>
  <c r="F74" i="65"/>
  <c r="J74" i="65"/>
  <c r="H74" i="65"/>
  <c r="G74" i="65"/>
  <c r="N14" i="50"/>
  <c r="K477" i="45"/>
  <c r="K483" i="45" s="1"/>
  <c r="K646" i="45" s="1"/>
  <c r="K582" i="53"/>
  <c r="K657" i="53" s="1"/>
  <c r="K576" i="45"/>
  <c r="K582" i="45" s="1"/>
  <c r="K657" i="45" s="1"/>
  <c r="H582" i="53"/>
  <c r="H657" i="53" s="1"/>
  <c r="L477" i="55"/>
  <c r="L483" i="55" s="1"/>
  <c r="L646" i="55" s="1"/>
  <c r="I576" i="53"/>
  <c r="H576" i="55"/>
  <c r="H582" i="55" s="1"/>
  <c r="H657" i="55" s="1"/>
  <c r="J477" i="53"/>
  <c r="N27" i="59"/>
  <c r="F477" i="53" s="1"/>
  <c r="L477" i="53"/>
  <c r="G576" i="53"/>
  <c r="N27" i="61"/>
  <c r="D26" i="60"/>
  <c r="M26" i="60" s="1"/>
  <c r="R26" i="60" s="1"/>
  <c r="M27" i="50"/>
  <c r="D26" i="61"/>
  <c r="M26" i="61" s="1"/>
  <c r="R26" i="61" s="1"/>
  <c r="D26" i="59"/>
  <c r="M26" i="59" s="1"/>
  <c r="F477" i="54"/>
  <c r="F483" i="54" s="1"/>
  <c r="F646" i="54" s="1"/>
  <c r="F576" i="54"/>
  <c r="F582" i="54" s="1"/>
  <c r="F657" i="54" s="1"/>
  <c r="H483" i="53"/>
  <c r="H646" i="53" s="1"/>
  <c r="G582" i="55"/>
  <c r="G657" i="55" s="1"/>
  <c r="K582" i="55"/>
  <c r="K657" i="55" s="1"/>
  <c r="K483" i="55"/>
  <c r="K646" i="55" s="1"/>
  <c r="K483" i="53"/>
  <c r="K646" i="53" s="1"/>
  <c r="J483" i="55"/>
  <c r="J646" i="55" s="1"/>
  <c r="I582" i="55"/>
  <c r="I657" i="55" s="1"/>
  <c r="E394" i="52"/>
  <c r="E396" i="52" s="1"/>
  <c r="E623" i="52" s="1"/>
  <c r="E394" i="45"/>
  <c r="E396" i="45" s="1"/>
  <c r="E8" i="45"/>
  <c r="F9" i="45"/>
  <c r="E9" i="45" s="1"/>
  <c r="C26" i="50"/>
  <c r="I621" i="45" l="1"/>
  <c r="E621" i="45" s="1"/>
  <c r="E620" i="45" s="1"/>
  <c r="I477" i="45"/>
  <c r="I483" i="45" s="1"/>
  <c r="I646" i="45" s="1"/>
  <c r="H483" i="55"/>
  <c r="H646" i="55" s="1"/>
  <c r="F105" i="65" s="1"/>
  <c r="E532" i="54"/>
  <c r="G477" i="45"/>
  <c r="G483" i="45" s="1"/>
  <c r="G646" i="45" s="1"/>
  <c r="J576" i="45"/>
  <c r="J582" i="45" s="1"/>
  <c r="J657" i="45" s="1"/>
  <c r="L576" i="45"/>
  <c r="L582" i="45" s="1"/>
  <c r="L657" i="45" s="1"/>
  <c r="J833" i="55"/>
  <c r="J247" i="55"/>
  <c r="J234" i="55"/>
  <c r="J246" i="55"/>
  <c r="J154" i="55"/>
  <c r="J165" i="55"/>
  <c r="J151" i="55"/>
  <c r="J149" i="55"/>
  <c r="J163" i="55"/>
  <c r="J331" i="55"/>
  <c r="J161" i="55"/>
  <c r="J232" i="55"/>
  <c r="J245" i="55"/>
  <c r="J233" i="55"/>
  <c r="J333" i="55"/>
  <c r="J332" i="55"/>
  <c r="J323" i="55"/>
  <c r="J153" i="55"/>
  <c r="J231" i="55"/>
  <c r="J321" i="55"/>
  <c r="J317" i="55"/>
  <c r="J237" i="55"/>
  <c r="J242" i="55"/>
  <c r="J319" i="55"/>
  <c r="J155" i="55"/>
  <c r="J160" i="55"/>
  <c r="J318" i="55"/>
  <c r="J334" i="55"/>
  <c r="J166" i="55"/>
  <c r="J243" i="55"/>
  <c r="J235" i="55"/>
  <c r="J236" i="55"/>
  <c r="J248" i="55"/>
  <c r="J164" i="55"/>
  <c r="J320" i="55"/>
  <c r="J150" i="55"/>
  <c r="J328" i="55"/>
  <c r="J322" i="55"/>
  <c r="J152" i="55"/>
  <c r="J329" i="55"/>
  <c r="J833" i="54"/>
  <c r="J243" i="54"/>
  <c r="J233" i="54"/>
  <c r="J245" i="54"/>
  <c r="J152" i="54"/>
  <c r="J164" i="54"/>
  <c r="J166" i="54"/>
  <c r="J329" i="54"/>
  <c r="J322" i="54"/>
  <c r="J334" i="54"/>
  <c r="J161" i="54"/>
  <c r="J786" i="54"/>
  <c r="J246" i="54"/>
  <c r="J247" i="54"/>
  <c r="J237" i="54"/>
  <c r="J323" i="54"/>
  <c r="J319" i="54"/>
  <c r="J318" i="54"/>
  <c r="J328" i="54"/>
  <c r="J163" i="54"/>
  <c r="J321" i="54"/>
  <c r="J236" i="54"/>
  <c r="J235" i="54"/>
  <c r="J232" i="54"/>
  <c r="J333" i="54"/>
  <c r="J151" i="54"/>
  <c r="J160" i="54"/>
  <c r="J331" i="54"/>
  <c r="J150" i="54"/>
  <c r="J231" i="54"/>
  <c r="J332" i="54"/>
  <c r="J248" i="54"/>
  <c r="J242" i="54"/>
  <c r="J234" i="54"/>
  <c r="J155" i="54"/>
  <c r="J154" i="54"/>
  <c r="J165" i="54"/>
  <c r="J153" i="54"/>
  <c r="J149" i="54"/>
  <c r="J320" i="54"/>
  <c r="J317" i="54"/>
  <c r="F477" i="55"/>
  <c r="F477" i="45" s="1"/>
  <c r="F483" i="45" s="1"/>
  <c r="F646" i="45" s="1"/>
  <c r="F834" i="55"/>
  <c r="F576" i="53"/>
  <c r="F582" i="53" s="1"/>
  <c r="F657" i="53" s="1"/>
  <c r="F834" i="53"/>
  <c r="O26" i="60"/>
  <c r="G447" i="55"/>
  <c r="G447" i="45" s="1"/>
  <c r="G821" i="55"/>
  <c r="G157" i="55"/>
  <c r="G157" i="45" s="1"/>
  <c r="G546" i="55"/>
  <c r="G546" i="45" s="1"/>
  <c r="G559" i="55"/>
  <c r="G559" i="45" s="1"/>
  <c r="G460" i="55"/>
  <c r="G460" i="45" s="1"/>
  <c r="G325" i="55"/>
  <c r="G325" i="45" s="1"/>
  <c r="G239" i="55"/>
  <c r="G239" i="45" s="1"/>
  <c r="I43" i="65"/>
  <c r="F43" i="65"/>
  <c r="J105" i="65"/>
  <c r="I105" i="65"/>
  <c r="E105" i="65"/>
  <c r="G105" i="65"/>
  <c r="H105" i="65"/>
  <c r="D74" i="65"/>
  <c r="G582" i="53"/>
  <c r="G657" i="53" s="1"/>
  <c r="E43" i="65" s="1"/>
  <c r="G576" i="45"/>
  <c r="G582" i="45" s="1"/>
  <c r="G657" i="45" s="1"/>
  <c r="I582" i="53"/>
  <c r="I657" i="53" s="1"/>
  <c r="G43" i="65" s="1"/>
  <c r="I576" i="45"/>
  <c r="I582" i="45" s="1"/>
  <c r="I657" i="45" s="1"/>
  <c r="L483" i="53"/>
  <c r="L646" i="53" s="1"/>
  <c r="J43" i="65" s="1"/>
  <c r="L477" i="45"/>
  <c r="L483" i="45" s="1"/>
  <c r="L646" i="45" s="1"/>
  <c r="J483" i="53"/>
  <c r="J646" i="53" s="1"/>
  <c r="H43" i="65" s="1"/>
  <c r="J477" i="45"/>
  <c r="J483" i="45" s="1"/>
  <c r="J646" i="45" s="1"/>
  <c r="H576" i="45"/>
  <c r="H582" i="45" s="1"/>
  <c r="H657" i="45" s="1"/>
  <c r="T26" i="60"/>
  <c r="P26" i="60"/>
  <c r="F576" i="55"/>
  <c r="F582" i="55" s="1"/>
  <c r="F657" i="55" s="1"/>
  <c r="S26" i="60"/>
  <c r="Q26" i="60"/>
  <c r="O26" i="61"/>
  <c r="T26" i="61"/>
  <c r="Q26" i="61"/>
  <c r="P26" i="61"/>
  <c r="S26" i="61"/>
  <c r="T26" i="59"/>
  <c r="Q26" i="59"/>
  <c r="O26" i="59"/>
  <c r="P26" i="59"/>
  <c r="S26" i="59"/>
  <c r="R26" i="59"/>
  <c r="G623" i="52"/>
  <c r="E623" i="54" s="1"/>
  <c r="H623" i="52"/>
  <c r="F623" i="52"/>
  <c r="F483" i="53"/>
  <c r="F646" i="53" s="1"/>
  <c r="E730" i="52"/>
  <c r="E97" i="52"/>
  <c r="E8" i="52" s="1"/>
  <c r="E9" i="52" s="1"/>
  <c r="E97" i="45"/>
  <c r="E730" i="45"/>
  <c r="L26" i="50"/>
  <c r="F483" i="55" l="1"/>
  <c r="F646" i="55" s="1"/>
  <c r="D105" i="65" s="1"/>
  <c r="K833" i="55"/>
  <c r="K242" i="55"/>
  <c r="K318" i="55"/>
  <c r="K151" i="55"/>
  <c r="K243" i="55"/>
  <c r="K149" i="55"/>
  <c r="K233" i="55"/>
  <c r="K334" i="55"/>
  <c r="K323" i="55"/>
  <c r="K248" i="55"/>
  <c r="K333" i="55"/>
  <c r="K317" i="55"/>
  <c r="K164" i="55"/>
  <c r="K163" i="55"/>
  <c r="K153" i="55"/>
  <c r="K319" i="55"/>
  <c r="K245" i="55"/>
  <c r="K150" i="55"/>
  <c r="K331" i="55"/>
  <c r="K161" i="55"/>
  <c r="K165" i="55"/>
  <c r="K235" i="55"/>
  <c r="K246" i="55"/>
  <c r="K155" i="55"/>
  <c r="K320" i="55"/>
  <c r="K328" i="55"/>
  <c r="K160" i="55"/>
  <c r="K234" i="55"/>
  <c r="K321" i="55"/>
  <c r="K231" i="55"/>
  <c r="K232" i="55"/>
  <c r="K166" i="55"/>
  <c r="K154" i="55"/>
  <c r="K237" i="55"/>
  <c r="K329" i="55"/>
  <c r="K322" i="55"/>
  <c r="K247" i="55"/>
  <c r="K332" i="55"/>
  <c r="K152" i="55"/>
  <c r="K236" i="55"/>
  <c r="G833" i="53"/>
  <c r="G163" i="53"/>
  <c r="G246" i="53"/>
  <c r="G322" i="53"/>
  <c r="G150" i="53"/>
  <c r="G243" i="53"/>
  <c r="G237" i="53"/>
  <c r="G331" i="53"/>
  <c r="G231" i="53"/>
  <c r="G236" i="53"/>
  <c r="G317" i="53"/>
  <c r="G247" i="53"/>
  <c r="G232" i="53"/>
  <c r="G164" i="53"/>
  <c r="G319" i="53"/>
  <c r="G242" i="53"/>
  <c r="G152" i="53"/>
  <c r="G329" i="53"/>
  <c r="G235" i="53"/>
  <c r="G248" i="53"/>
  <c r="G323" i="53"/>
  <c r="G160" i="53"/>
  <c r="G321" i="53"/>
  <c r="G166" i="53"/>
  <c r="G161" i="53"/>
  <c r="G165" i="53"/>
  <c r="G320" i="53"/>
  <c r="G234" i="53"/>
  <c r="G328" i="53"/>
  <c r="G245" i="53"/>
  <c r="G151" i="53"/>
  <c r="G233" i="53"/>
  <c r="G318" i="53"/>
  <c r="G155" i="53"/>
  <c r="G332" i="53"/>
  <c r="G153" i="53"/>
  <c r="G333" i="53"/>
  <c r="G154" i="53"/>
  <c r="G334" i="53"/>
  <c r="G149" i="53"/>
  <c r="H833" i="55"/>
  <c r="H149" i="55"/>
  <c r="H234" i="55"/>
  <c r="H151" i="55"/>
  <c r="H329" i="55"/>
  <c r="H155" i="55"/>
  <c r="H323" i="55"/>
  <c r="H166" i="55"/>
  <c r="H164" i="55"/>
  <c r="H248" i="55"/>
  <c r="H237" i="55"/>
  <c r="H242" i="55"/>
  <c r="H331" i="55"/>
  <c r="H160" i="55"/>
  <c r="H246" i="55"/>
  <c r="H152" i="55"/>
  <c r="H332" i="55"/>
  <c r="H232" i="55"/>
  <c r="H321" i="55"/>
  <c r="H231" i="55"/>
  <c r="H163" i="55"/>
  <c r="H165" i="55"/>
  <c r="H334" i="55"/>
  <c r="H154" i="55"/>
  <c r="H328" i="55"/>
  <c r="H247" i="55"/>
  <c r="H320" i="55"/>
  <c r="H233" i="55"/>
  <c r="H150" i="55"/>
  <c r="H245" i="55"/>
  <c r="H317" i="55"/>
  <c r="H153" i="55"/>
  <c r="H161" i="55"/>
  <c r="H319" i="55"/>
  <c r="H236" i="55"/>
  <c r="H243" i="55"/>
  <c r="H322" i="55"/>
  <c r="H235" i="55"/>
  <c r="H318" i="55"/>
  <c r="H333" i="55"/>
  <c r="I833" i="53"/>
  <c r="I245" i="53"/>
  <c r="I232" i="53"/>
  <c r="I328" i="53"/>
  <c r="I233" i="53"/>
  <c r="I149" i="53"/>
  <c r="I234" i="53"/>
  <c r="I317" i="53"/>
  <c r="I246" i="53"/>
  <c r="I160" i="53"/>
  <c r="I320" i="53"/>
  <c r="I318" i="53"/>
  <c r="I235" i="53"/>
  <c r="I231" i="53"/>
  <c r="I333" i="53"/>
  <c r="I151" i="53"/>
  <c r="I329" i="53"/>
  <c r="I155" i="53"/>
  <c r="I321" i="53"/>
  <c r="I248" i="53"/>
  <c r="I319" i="53"/>
  <c r="I152" i="53"/>
  <c r="I161" i="53"/>
  <c r="I165" i="53"/>
  <c r="I164" i="53"/>
  <c r="I153" i="53"/>
  <c r="I150" i="53"/>
  <c r="I242" i="53"/>
  <c r="I323" i="53"/>
  <c r="I163" i="53"/>
  <c r="I247" i="53"/>
  <c r="I334" i="53"/>
  <c r="I237" i="53"/>
  <c r="I243" i="53"/>
  <c r="I332" i="53"/>
  <c r="I236" i="53"/>
  <c r="I331" i="53"/>
  <c r="I154" i="53"/>
  <c r="I322" i="53"/>
  <c r="I166" i="53"/>
  <c r="I833" i="54"/>
  <c r="I246" i="54"/>
  <c r="I234" i="54"/>
  <c r="I243" i="54"/>
  <c r="I154" i="54"/>
  <c r="I321" i="54"/>
  <c r="I166" i="54"/>
  <c r="I165" i="54"/>
  <c r="I152" i="54"/>
  <c r="I322" i="54"/>
  <c r="I149" i="54"/>
  <c r="I235" i="54"/>
  <c r="I237" i="54"/>
  <c r="I232" i="54"/>
  <c r="I333" i="54"/>
  <c r="I160" i="54"/>
  <c r="I320" i="54"/>
  <c r="I332" i="54"/>
  <c r="I329" i="54"/>
  <c r="I153" i="54"/>
  <c r="I317" i="54"/>
  <c r="I236" i="54"/>
  <c r="I233" i="54"/>
  <c r="I245" i="54"/>
  <c r="I323" i="54"/>
  <c r="I318" i="54"/>
  <c r="I331" i="54"/>
  <c r="I151" i="54"/>
  <c r="I163" i="54"/>
  <c r="I155" i="54"/>
  <c r="I161" i="54"/>
  <c r="I786" i="54"/>
  <c r="I242" i="54"/>
  <c r="I247" i="54"/>
  <c r="I248" i="54"/>
  <c r="I231" i="54"/>
  <c r="I328" i="54"/>
  <c r="I334" i="54"/>
  <c r="I319" i="54"/>
  <c r="I150" i="54"/>
  <c r="I164" i="54"/>
  <c r="H13" i="60"/>
  <c r="H24" i="60"/>
  <c r="H20" i="60"/>
  <c r="G833" i="55"/>
  <c r="G163" i="55"/>
  <c r="G237" i="55"/>
  <c r="G247" i="55"/>
  <c r="G318" i="55"/>
  <c r="G322" i="55"/>
  <c r="G161" i="55"/>
  <c r="G233" i="55"/>
  <c r="G149" i="55"/>
  <c r="G164" i="55"/>
  <c r="G166" i="55"/>
  <c r="G319" i="55"/>
  <c r="G246" i="55"/>
  <c r="G165" i="55"/>
  <c r="G235" i="55"/>
  <c r="G231" i="55"/>
  <c r="G232" i="55"/>
  <c r="G243" i="55"/>
  <c r="G331" i="55"/>
  <c r="G248" i="55"/>
  <c r="G317" i="55"/>
  <c r="G152" i="55"/>
  <c r="G242" i="55"/>
  <c r="G329" i="55"/>
  <c r="G328" i="55"/>
  <c r="G245" i="55"/>
  <c r="G320" i="55"/>
  <c r="G334" i="55"/>
  <c r="G234" i="55"/>
  <c r="G155" i="55"/>
  <c r="G321" i="55"/>
  <c r="G236" i="55"/>
  <c r="G160" i="55"/>
  <c r="G153" i="55"/>
  <c r="G323" i="55"/>
  <c r="G151" i="55"/>
  <c r="G333" i="55"/>
  <c r="G150" i="55"/>
  <c r="G154" i="55"/>
  <c r="G332" i="55"/>
  <c r="J833" i="53"/>
  <c r="J242" i="53"/>
  <c r="J242" i="45" s="1"/>
  <c r="J153" i="53"/>
  <c r="J153" i="45" s="1"/>
  <c r="J165" i="53"/>
  <c r="J165" i="45" s="1"/>
  <c r="J235" i="53"/>
  <c r="J235" i="45" s="1"/>
  <c r="J163" i="53"/>
  <c r="J163" i="45" s="1"/>
  <c r="J150" i="53"/>
  <c r="J150" i="45" s="1"/>
  <c r="J321" i="53"/>
  <c r="J321" i="45" s="1"/>
  <c r="J329" i="53"/>
  <c r="J329" i="45" s="1"/>
  <c r="J318" i="53"/>
  <c r="J318" i="45" s="1"/>
  <c r="J161" i="53"/>
  <c r="J245" i="53"/>
  <c r="J245" i="45" s="1"/>
  <c r="J233" i="53"/>
  <c r="J233" i="45" s="1"/>
  <c r="J152" i="53"/>
  <c r="J152" i="45" s="1"/>
  <c r="J231" i="53"/>
  <c r="J231" i="45" s="1"/>
  <c r="J166" i="53"/>
  <c r="J166" i="45" s="1"/>
  <c r="J151" i="53"/>
  <c r="J151" i="45" s="1"/>
  <c r="J333" i="53"/>
  <c r="J333" i="45" s="1"/>
  <c r="J334" i="53"/>
  <c r="J334" i="45" s="1"/>
  <c r="J332" i="53"/>
  <c r="J332" i="45" s="1"/>
  <c r="J154" i="53"/>
  <c r="J154" i="45" s="1"/>
  <c r="J234" i="53"/>
  <c r="J234" i="45" s="1"/>
  <c r="J246" i="53"/>
  <c r="J246" i="45" s="1"/>
  <c r="J237" i="53"/>
  <c r="J237" i="45" s="1"/>
  <c r="J248" i="53"/>
  <c r="J248" i="45" s="1"/>
  <c r="J236" i="53"/>
  <c r="J236" i="45" s="1"/>
  <c r="J155" i="53"/>
  <c r="J155" i="45" s="1"/>
  <c r="J328" i="53"/>
  <c r="J328" i="45" s="1"/>
  <c r="J331" i="53"/>
  <c r="J331" i="45" s="1"/>
  <c r="J317" i="53"/>
  <c r="J317" i="45" s="1"/>
  <c r="J232" i="53"/>
  <c r="J232" i="45" s="1"/>
  <c r="J149" i="53"/>
  <c r="J164" i="53"/>
  <c r="J164" i="45" s="1"/>
  <c r="J247" i="53"/>
  <c r="J247" i="45" s="1"/>
  <c r="J243" i="53"/>
  <c r="J243" i="45" s="1"/>
  <c r="J160" i="53"/>
  <c r="J160" i="45" s="1"/>
  <c r="J320" i="53"/>
  <c r="J320" i="45" s="1"/>
  <c r="J322" i="53"/>
  <c r="J322" i="45" s="1"/>
  <c r="J323" i="53"/>
  <c r="J323" i="45" s="1"/>
  <c r="J319" i="53"/>
  <c r="J319" i="45" s="1"/>
  <c r="I833" i="55"/>
  <c r="I242" i="55"/>
  <c r="I334" i="55"/>
  <c r="I332" i="55"/>
  <c r="I161" i="55"/>
  <c r="I318" i="55"/>
  <c r="I153" i="55"/>
  <c r="I166" i="55"/>
  <c r="I246" i="55"/>
  <c r="I164" i="55"/>
  <c r="I247" i="55"/>
  <c r="I160" i="55"/>
  <c r="I163" i="55"/>
  <c r="I321" i="55"/>
  <c r="I236" i="55"/>
  <c r="I165" i="55"/>
  <c r="I149" i="55"/>
  <c r="I329" i="55"/>
  <c r="I331" i="55"/>
  <c r="I248" i="55"/>
  <c r="I152" i="55"/>
  <c r="I323" i="55"/>
  <c r="I333" i="55"/>
  <c r="I245" i="55"/>
  <c r="I154" i="55"/>
  <c r="I237" i="55"/>
  <c r="I150" i="55"/>
  <c r="I231" i="55"/>
  <c r="I232" i="55"/>
  <c r="I319" i="55"/>
  <c r="I233" i="55"/>
  <c r="I233" i="45" s="1"/>
  <c r="I234" i="55"/>
  <c r="I322" i="55"/>
  <c r="I243" i="55"/>
  <c r="I151" i="55"/>
  <c r="I235" i="55"/>
  <c r="I155" i="55"/>
  <c r="I320" i="55"/>
  <c r="I317" i="55"/>
  <c r="I328" i="55"/>
  <c r="K833" i="53"/>
  <c r="K155" i="53"/>
  <c r="K245" i="53"/>
  <c r="K319" i="53"/>
  <c r="K237" i="53"/>
  <c r="K323" i="53"/>
  <c r="K166" i="53"/>
  <c r="K242" i="53"/>
  <c r="K160" i="53"/>
  <c r="K149" i="53"/>
  <c r="K153" i="53"/>
  <c r="K150" i="53"/>
  <c r="K329" i="53"/>
  <c r="K322" i="53"/>
  <c r="K318" i="53"/>
  <c r="K235" i="53"/>
  <c r="K328" i="53"/>
  <c r="K233" i="53"/>
  <c r="K236" i="53"/>
  <c r="K161" i="53"/>
  <c r="K151" i="53"/>
  <c r="K152" i="53"/>
  <c r="K232" i="53"/>
  <c r="K334" i="53"/>
  <c r="K165" i="53"/>
  <c r="K234" i="53"/>
  <c r="K331" i="53"/>
  <c r="K231" i="53"/>
  <c r="K332" i="53"/>
  <c r="K164" i="53"/>
  <c r="K154" i="53"/>
  <c r="K317" i="53"/>
  <c r="K333" i="53"/>
  <c r="K321" i="53"/>
  <c r="K248" i="53"/>
  <c r="K243" i="53"/>
  <c r="K163" i="53"/>
  <c r="K247" i="53"/>
  <c r="K320" i="53"/>
  <c r="K246" i="53"/>
  <c r="L833" i="53"/>
  <c r="L322" i="53"/>
  <c r="L232" i="53"/>
  <c r="L237" i="53"/>
  <c r="L321" i="53"/>
  <c r="L247" i="53"/>
  <c r="L320" i="53"/>
  <c r="L242" i="53"/>
  <c r="L331" i="53"/>
  <c r="L165" i="53"/>
  <c r="L323" i="53"/>
  <c r="L166" i="53"/>
  <c r="L149" i="53"/>
  <c r="L243" i="53"/>
  <c r="L332" i="53"/>
  <c r="L150" i="53"/>
  <c r="L163" i="53"/>
  <c r="L234" i="53"/>
  <c r="L317" i="53"/>
  <c r="L153" i="53"/>
  <c r="L319" i="53"/>
  <c r="L329" i="53"/>
  <c r="L152" i="53"/>
  <c r="L155" i="53"/>
  <c r="L334" i="53"/>
  <c r="L151" i="53"/>
  <c r="L154" i="53"/>
  <c r="L235" i="53"/>
  <c r="L236" i="53"/>
  <c r="L160" i="53"/>
  <c r="L246" i="53"/>
  <c r="L333" i="53"/>
  <c r="L318" i="53"/>
  <c r="L231" i="53"/>
  <c r="L248" i="53"/>
  <c r="L328" i="53"/>
  <c r="L233" i="53"/>
  <c r="L245" i="53"/>
  <c r="L161" i="53"/>
  <c r="L164" i="53"/>
  <c r="L833" i="55"/>
  <c r="L232" i="55"/>
  <c r="L149" i="55"/>
  <c r="L237" i="55"/>
  <c r="L243" i="55"/>
  <c r="L323" i="55"/>
  <c r="L151" i="55"/>
  <c r="L247" i="55"/>
  <c r="L154" i="55"/>
  <c r="L328" i="55"/>
  <c r="L246" i="55"/>
  <c r="L331" i="55"/>
  <c r="L332" i="55"/>
  <c r="L329" i="55"/>
  <c r="L322" i="55"/>
  <c r="L236" i="55"/>
  <c r="L231" i="55"/>
  <c r="L166" i="55"/>
  <c r="L318" i="55"/>
  <c r="L164" i="55"/>
  <c r="L163" i="55"/>
  <c r="L248" i="55"/>
  <c r="L320" i="55"/>
  <c r="L160" i="55"/>
  <c r="L319" i="55"/>
  <c r="L321" i="55"/>
  <c r="L245" i="55"/>
  <c r="L317" i="55"/>
  <c r="L150" i="55"/>
  <c r="L242" i="55"/>
  <c r="L152" i="55"/>
  <c r="L333" i="55"/>
  <c r="L161" i="55"/>
  <c r="L153" i="55"/>
  <c r="L235" i="55"/>
  <c r="L165" i="55"/>
  <c r="L155" i="55"/>
  <c r="L234" i="55"/>
  <c r="L334" i="55"/>
  <c r="L233" i="55"/>
  <c r="K833" i="54"/>
  <c r="K323" i="54"/>
  <c r="K245" i="54"/>
  <c r="K334" i="54"/>
  <c r="K242" i="54"/>
  <c r="K320" i="54"/>
  <c r="K152" i="54"/>
  <c r="K248" i="54"/>
  <c r="K155" i="54"/>
  <c r="K150" i="54"/>
  <c r="K318" i="54"/>
  <c r="K166" i="54"/>
  <c r="K165" i="54"/>
  <c r="K232" i="54"/>
  <c r="K163" i="54"/>
  <c r="K333" i="54"/>
  <c r="K153" i="54"/>
  <c r="K243" i="54"/>
  <c r="K161" i="54"/>
  <c r="K247" i="54"/>
  <c r="K164" i="54"/>
  <c r="K233" i="54"/>
  <c r="K322" i="54"/>
  <c r="K321" i="54"/>
  <c r="K235" i="54"/>
  <c r="K331" i="54"/>
  <c r="K329" i="54"/>
  <c r="K328" i="54"/>
  <c r="K319" i="54"/>
  <c r="K234" i="54"/>
  <c r="K317" i="54"/>
  <c r="K231" i="54"/>
  <c r="K236" i="54"/>
  <c r="K246" i="54"/>
  <c r="K786" i="54"/>
  <c r="K154" i="54"/>
  <c r="K151" i="54"/>
  <c r="K237" i="54"/>
  <c r="K332" i="54"/>
  <c r="K149" i="54"/>
  <c r="K160" i="54"/>
  <c r="H833" i="54"/>
  <c r="H786" i="54"/>
  <c r="H234" i="54"/>
  <c r="H321" i="54"/>
  <c r="H317" i="54"/>
  <c r="H164" i="54"/>
  <c r="H232" i="54"/>
  <c r="H320" i="54"/>
  <c r="H149" i="54"/>
  <c r="H246" i="54"/>
  <c r="H332" i="54"/>
  <c r="H245" i="54"/>
  <c r="H242" i="54"/>
  <c r="H150" i="54"/>
  <c r="H237" i="54"/>
  <c r="H155" i="54"/>
  <c r="H166" i="54"/>
  <c r="H233" i="54"/>
  <c r="H331" i="54"/>
  <c r="H165" i="54"/>
  <c r="H151" i="54"/>
  <c r="H334" i="54"/>
  <c r="H248" i="54"/>
  <c r="H247" i="54"/>
  <c r="H319" i="54"/>
  <c r="H333" i="54"/>
  <c r="H322" i="54"/>
  <c r="H329" i="54"/>
  <c r="H243" i="54"/>
  <c r="H152" i="54"/>
  <c r="H153" i="54"/>
  <c r="H323" i="54"/>
  <c r="H318" i="54"/>
  <c r="H328" i="54"/>
  <c r="H154" i="54"/>
  <c r="H236" i="54"/>
  <c r="H161" i="54"/>
  <c r="H231" i="54"/>
  <c r="H235" i="54"/>
  <c r="H163" i="54"/>
  <c r="H160" i="54"/>
  <c r="L833" i="54"/>
  <c r="L321" i="54"/>
  <c r="L235" i="54"/>
  <c r="L154" i="54"/>
  <c r="L333" i="54"/>
  <c r="L237" i="54"/>
  <c r="L153" i="54"/>
  <c r="L152" i="54"/>
  <c r="L248" i="54"/>
  <c r="L319" i="54"/>
  <c r="L247" i="54"/>
  <c r="L231" i="54"/>
  <c r="L246" i="54"/>
  <c r="L243" i="54"/>
  <c r="L334" i="54"/>
  <c r="L234" i="54"/>
  <c r="L150" i="54"/>
  <c r="L165" i="54"/>
  <c r="L151" i="54"/>
  <c r="L245" i="54"/>
  <c r="L317" i="54"/>
  <c r="L163" i="54"/>
  <c r="L233" i="54"/>
  <c r="L166" i="54"/>
  <c r="L161" i="54"/>
  <c r="J20" i="60" s="1"/>
  <c r="L331" i="54"/>
  <c r="L236" i="54"/>
  <c r="L318" i="54"/>
  <c r="L149" i="54"/>
  <c r="L242" i="54"/>
  <c r="L322" i="54"/>
  <c r="L332" i="54"/>
  <c r="L329" i="54"/>
  <c r="L160" i="54"/>
  <c r="L323" i="54"/>
  <c r="L232" i="54"/>
  <c r="L328" i="54"/>
  <c r="L155" i="54"/>
  <c r="L786" i="54"/>
  <c r="L164" i="54"/>
  <c r="L320" i="54"/>
  <c r="G833" i="54"/>
  <c r="G235" i="54"/>
  <c r="G246" i="54"/>
  <c r="G242" i="54"/>
  <c r="G329" i="54"/>
  <c r="G150" i="54"/>
  <c r="G318" i="54"/>
  <c r="G321" i="54"/>
  <c r="G152" i="54"/>
  <c r="G323" i="54"/>
  <c r="G322" i="54"/>
  <c r="G245" i="54"/>
  <c r="G248" i="54"/>
  <c r="G232" i="54"/>
  <c r="G164" i="54"/>
  <c r="G166" i="54"/>
  <c r="G163" i="54"/>
  <c r="G165" i="54"/>
  <c r="G332" i="54"/>
  <c r="G328" i="54"/>
  <c r="G161" i="54"/>
  <c r="G247" i="54"/>
  <c r="G243" i="54"/>
  <c r="G237" i="54"/>
  <c r="G320" i="54"/>
  <c r="G154" i="54"/>
  <c r="G333" i="54"/>
  <c r="G331" i="54"/>
  <c r="G231" i="54"/>
  <c r="G151" i="54"/>
  <c r="G317" i="54"/>
  <c r="G786" i="54"/>
  <c r="G234" i="54"/>
  <c r="G236" i="54"/>
  <c r="G233" i="54"/>
  <c r="G319" i="54"/>
  <c r="G155" i="54"/>
  <c r="G334" i="54"/>
  <c r="G160" i="54"/>
  <c r="G153" i="54"/>
  <c r="G149" i="54"/>
  <c r="H833" i="53"/>
  <c r="H246" i="53"/>
  <c r="H232" i="53"/>
  <c r="H231" i="53"/>
  <c r="H150" i="53"/>
  <c r="H235" i="53"/>
  <c r="H247" i="53"/>
  <c r="H320" i="53"/>
  <c r="H333" i="53"/>
  <c r="H321" i="53"/>
  <c r="H318" i="53"/>
  <c r="H236" i="53"/>
  <c r="H245" i="53"/>
  <c r="H243" i="53"/>
  <c r="H166" i="53"/>
  <c r="H151" i="53"/>
  <c r="H160" i="53"/>
  <c r="H323" i="53"/>
  <c r="H332" i="53"/>
  <c r="H328" i="53"/>
  <c r="H329" i="53"/>
  <c r="H329" i="45" s="1"/>
  <c r="H248" i="53"/>
  <c r="H242" i="53"/>
  <c r="H149" i="53"/>
  <c r="H165" i="53"/>
  <c r="H155" i="53"/>
  <c r="H153" i="53"/>
  <c r="H331" i="53"/>
  <c r="H317" i="53"/>
  <c r="H334" i="53"/>
  <c r="H234" i="53"/>
  <c r="H164" i="53"/>
  <c r="H233" i="53"/>
  <c r="H163" i="53"/>
  <c r="H152" i="53"/>
  <c r="H237" i="53"/>
  <c r="H154" i="53"/>
  <c r="H161" i="53"/>
  <c r="H319" i="53"/>
  <c r="H322" i="53"/>
  <c r="D43" i="65"/>
  <c r="F576" i="45"/>
  <c r="F582" i="45" s="1"/>
  <c r="F657" i="45" s="1"/>
  <c r="N26" i="60"/>
  <c r="N26" i="61"/>
  <c r="N26" i="59"/>
  <c r="E623" i="55"/>
  <c r="S26" i="50"/>
  <c r="Q26" i="50"/>
  <c r="O26" i="50"/>
  <c r="R26" i="50"/>
  <c r="P26" i="50"/>
  <c r="N26" i="50"/>
  <c r="H163" i="45" l="1"/>
  <c r="H155" i="45"/>
  <c r="H322" i="45"/>
  <c r="H331" i="45"/>
  <c r="I328" i="45"/>
  <c r="H323" i="45"/>
  <c r="H321" i="45"/>
  <c r="H246" i="45"/>
  <c r="L232" i="45"/>
  <c r="I320" i="45"/>
  <c r="H334" i="45"/>
  <c r="H237" i="45"/>
  <c r="H164" i="45"/>
  <c r="H328" i="45"/>
  <c r="H236" i="45"/>
  <c r="H320" i="45"/>
  <c r="H231" i="45"/>
  <c r="I234" i="45"/>
  <c r="H151" i="45"/>
  <c r="I245" i="45"/>
  <c r="I160" i="45"/>
  <c r="H319" i="45"/>
  <c r="H318" i="45"/>
  <c r="H247" i="45"/>
  <c r="H317" i="45"/>
  <c r="H165" i="45"/>
  <c r="H160" i="45"/>
  <c r="H245" i="45"/>
  <c r="I232" i="45"/>
  <c r="I149" i="45"/>
  <c r="I246" i="45"/>
  <c r="H152" i="45"/>
  <c r="H234" i="45"/>
  <c r="H153" i="45"/>
  <c r="H242" i="45"/>
  <c r="H332" i="45"/>
  <c r="H166" i="45"/>
  <c r="H232" i="45"/>
  <c r="J13" i="60"/>
  <c r="I317" i="45"/>
  <c r="I153" i="45"/>
  <c r="H248" i="45"/>
  <c r="H243" i="45"/>
  <c r="H235" i="45"/>
  <c r="H154" i="45"/>
  <c r="H233" i="45"/>
  <c r="H333" i="45"/>
  <c r="F833" i="55"/>
  <c r="F245" i="55"/>
  <c r="F150" i="55"/>
  <c r="F247" i="55"/>
  <c r="F334" i="55"/>
  <c r="F248" i="55"/>
  <c r="F149" i="55"/>
  <c r="F331" i="55"/>
  <c r="F332" i="55"/>
  <c r="F235" i="55"/>
  <c r="F328" i="55"/>
  <c r="F231" i="55"/>
  <c r="F161" i="55"/>
  <c r="F333" i="55"/>
  <c r="F236" i="55"/>
  <c r="F151" i="55"/>
  <c r="F166" i="55"/>
  <c r="F155" i="55"/>
  <c r="F234" i="55"/>
  <c r="F152" i="55"/>
  <c r="F317" i="55"/>
  <c r="F165" i="55"/>
  <c r="F322" i="55"/>
  <c r="F232" i="55"/>
  <c r="F153" i="55"/>
  <c r="F242" i="55"/>
  <c r="F243" i="55"/>
  <c r="F319" i="55"/>
  <c r="F320" i="55"/>
  <c r="F246" i="55"/>
  <c r="F164" i="55"/>
  <c r="F321" i="55"/>
  <c r="F318" i="55"/>
  <c r="F329" i="55"/>
  <c r="F154" i="55"/>
  <c r="F237" i="55"/>
  <c r="F323" i="55"/>
  <c r="F160" i="55"/>
  <c r="F233" i="55"/>
  <c r="F163" i="55"/>
  <c r="F13" i="59"/>
  <c r="E13" i="60"/>
  <c r="E24" i="60"/>
  <c r="E20" i="60"/>
  <c r="I13" i="60"/>
  <c r="L164" i="45"/>
  <c r="L328" i="45"/>
  <c r="L333" i="45"/>
  <c r="L235" i="45"/>
  <c r="L155" i="45"/>
  <c r="L153" i="45"/>
  <c r="L166" i="45"/>
  <c r="L242" i="45"/>
  <c r="L237" i="45"/>
  <c r="K246" i="45"/>
  <c r="K243" i="45"/>
  <c r="K317" i="45"/>
  <c r="K231" i="45"/>
  <c r="K334" i="45"/>
  <c r="I24" i="59"/>
  <c r="I20" i="59"/>
  <c r="K161" i="45"/>
  <c r="K235" i="45"/>
  <c r="K150" i="45"/>
  <c r="K242" i="45"/>
  <c r="K319" i="45"/>
  <c r="J149" i="45"/>
  <c r="H13" i="59"/>
  <c r="G151" i="45"/>
  <c r="I166" i="45"/>
  <c r="I236" i="45"/>
  <c r="I334" i="45"/>
  <c r="I242" i="45"/>
  <c r="I165" i="45"/>
  <c r="I248" i="45"/>
  <c r="I151" i="45"/>
  <c r="I318" i="45"/>
  <c r="G149" i="45"/>
  <c r="E13" i="59"/>
  <c r="G153" i="45"/>
  <c r="G233" i="45"/>
  <c r="G234" i="45"/>
  <c r="G166" i="45"/>
  <c r="G248" i="45"/>
  <c r="G242" i="45"/>
  <c r="G247" i="45"/>
  <c r="G331" i="45"/>
  <c r="F833" i="54"/>
  <c r="F232" i="54"/>
  <c r="F153" i="54"/>
  <c r="F246" i="54"/>
  <c r="F332" i="54"/>
  <c r="F334" i="54"/>
  <c r="F243" i="54"/>
  <c r="F247" i="54"/>
  <c r="F331" i="54"/>
  <c r="F165" i="54"/>
  <c r="F231" i="54"/>
  <c r="F161" i="54"/>
  <c r="F321" i="54"/>
  <c r="F319" i="54"/>
  <c r="F235" i="54"/>
  <c r="F163" i="54"/>
  <c r="F322" i="54"/>
  <c r="F233" i="54"/>
  <c r="F323" i="54"/>
  <c r="F164" i="54"/>
  <c r="F333" i="54"/>
  <c r="F149" i="54"/>
  <c r="F242" i="54"/>
  <c r="F245" i="54"/>
  <c r="F155" i="54"/>
  <c r="F317" i="54"/>
  <c r="F150" i="54"/>
  <c r="F248" i="54"/>
  <c r="F234" i="54"/>
  <c r="F160" i="54"/>
  <c r="F166" i="54"/>
  <c r="F236" i="54"/>
  <c r="F329" i="54"/>
  <c r="F151" i="54"/>
  <c r="F237" i="54"/>
  <c r="F320" i="54"/>
  <c r="F786" i="54"/>
  <c r="F152" i="54"/>
  <c r="F154" i="54"/>
  <c r="F328" i="54"/>
  <c r="F318" i="54"/>
  <c r="I20" i="60"/>
  <c r="I24" i="60"/>
  <c r="J20" i="59"/>
  <c r="L161" i="45"/>
  <c r="J24" i="60"/>
  <c r="J24" i="59"/>
  <c r="L248" i="45"/>
  <c r="L246" i="45"/>
  <c r="L154" i="45"/>
  <c r="L152" i="45"/>
  <c r="L317" i="45"/>
  <c r="L332" i="45"/>
  <c r="L323" i="45"/>
  <c r="L320" i="45"/>
  <c r="K320" i="45"/>
  <c r="K248" i="45"/>
  <c r="K154" i="45"/>
  <c r="K331" i="45"/>
  <c r="K232" i="45"/>
  <c r="K236" i="45"/>
  <c r="K318" i="45"/>
  <c r="K153" i="45"/>
  <c r="K166" i="45"/>
  <c r="K245" i="45"/>
  <c r="H24" i="59"/>
  <c r="J161" i="45"/>
  <c r="H20" i="59"/>
  <c r="G24" i="60"/>
  <c r="G20" i="60"/>
  <c r="G13" i="60"/>
  <c r="I322" i="45"/>
  <c r="I332" i="45"/>
  <c r="I247" i="45"/>
  <c r="I150" i="45"/>
  <c r="G24" i="59"/>
  <c r="I161" i="45"/>
  <c r="G20" i="59"/>
  <c r="I321" i="45"/>
  <c r="I333" i="45"/>
  <c r="G334" i="45"/>
  <c r="G332" i="45"/>
  <c r="G320" i="45"/>
  <c r="G321" i="45"/>
  <c r="G235" i="45"/>
  <c r="G319" i="45"/>
  <c r="G317" i="45"/>
  <c r="G237" i="45"/>
  <c r="F833" i="53"/>
  <c r="F322" i="53"/>
  <c r="F320" i="53"/>
  <c r="F328" i="53"/>
  <c r="F328" i="45" s="1"/>
  <c r="F318" i="53"/>
  <c r="F234" i="53"/>
  <c r="F332" i="53"/>
  <c r="F153" i="53"/>
  <c r="F235" i="53"/>
  <c r="F333" i="53"/>
  <c r="F154" i="53"/>
  <c r="F233" i="53"/>
  <c r="F149" i="53"/>
  <c r="F166" i="53"/>
  <c r="F317" i="53"/>
  <c r="F245" i="53"/>
  <c r="F152" i="53"/>
  <c r="F236" i="53"/>
  <c r="F243" i="53"/>
  <c r="F155" i="53"/>
  <c r="F161" i="53"/>
  <c r="F247" i="53"/>
  <c r="F163" i="53"/>
  <c r="F331" i="53"/>
  <c r="F160" i="53"/>
  <c r="F248" i="53"/>
  <c r="F329" i="53"/>
  <c r="F150" i="53"/>
  <c r="F164" i="53"/>
  <c r="F321" i="53"/>
  <c r="F237" i="53"/>
  <c r="F242" i="53"/>
  <c r="F151" i="53"/>
  <c r="F323" i="53"/>
  <c r="F232" i="53"/>
  <c r="F231" i="53"/>
  <c r="F246" i="53"/>
  <c r="F165" i="53"/>
  <c r="F334" i="53"/>
  <c r="F319" i="53"/>
  <c r="F24" i="59"/>
  <c r="F20" i="59"/>
  <c r="H161" i="45"/>
  <c r="F20" i="60"/>
  <c r="F24" i="60"/>
  <c r="H149" i="45"/>
  <c r="F13" i="60"/>
  <c r="L245" i="45"/>
  <c r="L231" i="45"/>
  <c r="L160" i="45"/>
  <c r="L151" i="45"/>
  <c r="L329" i="45"/>
  <c r="L234" i="45"/>
  <c r="L165" i="45"/>
  <c r="L247" i="45"/>
  <c r="L322" i="45"/>
  <c r="K247" i="45"/>
  <c r="K321" i="45"/>
  <c r="K164" i="45"/>
  <c r="K234" i="45"/>
  <c r="K152" i="45"/>
  <c r="K233" i="45"/>
  <c r="K322" i="45"/>
  <c r="K149" i="45"/>
  <c r="I13" i="59"/>
  <c r="K323" i="45"/>
  <c r="K155" i="45"/>
  <c r="G322" i="45"/>
  <c r="G163" i="45"/>
  <c r="I154" i="45"/>
  <c r="I243" i="45"/>
  <c r="I163" i="45"/>
  <c r="I152" i="45"/>
  <c r="I155" i="45"/>
  <c r="I231" i="45"/>
  <c r="G13" i="59"/>
  <c r="G154" i="45"/>
  <c r="G155" i="45"/>
  <c r="G245" i="45"/>
  <c r="G165" i="45"/>
  <c r="G160" i="45"/>
  <c r="G329" i="45"/>
  <c r="G164" i="45"/>
  <c r="G236" i="45"/>
  <c r="G243" i="45"/>
  <c r="L150" i="45"/>
  <c r="L243" i="45"/>
  <c r="L233" i="45"/>
  <c r="L318" i="45"/>
  <c r="L236" i="45"/>
  <c r="L334" i="45"/>
  <c r="L319" i="45"/>
  <c r="L163" i="45"/>
  <c r="L149" i="45"/>
  <c r="J13" i="59"/>
  <c r="L331" i="45"/>
  <c r="L321" i="45"/>
  <c r="K163" i="45"/>
  <c r="K333" i="45"/>
  <c r="K332" i="45"/>
  <c r="K165" i="45"/>
  <c r="K151" i="45"/>
  <c r="K328" i="45"/>
  <c r="K329" i="45"/>
  <c r="K160" i="45"/>
  <c r="K237" i="45"/>
  <c r="G246" i="45"/>
  <c r="I331" i="45"/>
  <c r="I237" i="45"/>
  <c r="I323" i="45"/>
  <c r="I164" i="45"/>
  <c r="I319" i="45"/>
  <c r="I329" i="45"/>
  <c r="I235" i="45"/>
  <c r="H150" i="45"/>
  <c r="G333" i="45"/>
  <c r="G318" i="45"/>
  <c r="G328" i="45"/>
  <c r="E24" i="59"/>
  <c r="G161" i="45"/>
  <c r="E20" i="59"/>
  <c r="G323" i="45"/>
  <c r="G152" i="45"/>
  <c r="G232" i="45"/>
  <c r="G231" i="45"/>
  <c r="G150" i="45"/>
  <c r="M26" i="50"/>
  <c r="F236" i="45" l="1"/>
  <c r="F164" i="45"/>
  <c r="F243" i="45"/>
  <c r="F154" i="45"/>
  <c r="F165" i="45"/>
  <c r="F323" i="45"/>
  <c r="F248" i="45"/>
  <c r="F166" i="45"/>
  <c r="F235" i="45"/>
  <c r="F246" i="45"/>
  <c r="F242" i="45"/>
  <c r="F150" i="45"/>
  <c r="F245" i="45"/>
  <c r="F233" i="45"/>
  <c r="F153" i="45"/>
  <c r="F334" i="45"/>
  <c r="F317" i="45"/>
  <c r="F151" i="45"/>
  <c r="F160" i="45"/>
  <c r="F152" i="45"/>
  <c r="F318" i="45"/>
  <c r="F319" i="45"/>
  <c r="F231" i="45"/>
  <c r="F331" i="45"/>
  <c r="F155" i="45"/>
  <c r="F232" i="45"/>
  <c r="F237" i="45"/>
  <c r="F329" i="45"/>
  <c r="F163" i="45"/>
  <c r="F332" i="45"/>
  <c r="F321" i="45"/>
  <c r="F247" i="45"/>
  <c r="F333" i="45"/>
  <c r="F234" i="45"/>
  <c r="F322" i="45"/>
  <c r="D24" i="59"/>
  <c r="M24" i="59" s="1"/>
  <c r="F161" i="45"/>
  <c r="D20" i="59"/>
  <c r="M20" i="59" s="1"/>
  <c r="F149" i="45"/>
  <c r="D13" i="59"/>
  <c r="D24" i="60"/>
  <c r="M24" i="60" s="1"/>
  <c r="D20" i="60"/>
  <c r="M20" i="60" s="1"/>
  <c r="F320" i="45"/>
  <c r="D13" i="60"/>
  <c r="M13" i="60" s="1"/>
  <c r="S20" i="60" l="1"/>
  <c r="O20" i="60"/>
  <c r="R20" i="60"/>
  <c r="T20" i="60"/>
  <c r="Q20" i="60"/>
  <c r="P20" i="60"/>
  <c r="Q20" i="59"/>
  <c r="O20" i="59"/>
  <c r="S20" i="59"/>
  <c r="T20" i="59"/>
  <c r="P20" i="59"/>
  <c r="R20" i="59"/>
  <c r="T24" i="60"/>
  <c r="S24" i="60"/>
  <c r="R24" i="60"/>
  <c r="Q24" i="60"/>
  <c r="O24" i="60"/>
  <c r="P24" i="60"/>
  <c r="P13" i="60"/>
  <c r="H820" i="54" s="1"/>
  <c r="O13" i="60"/>
  <c r="R13" i="60"/>
  <c r="J820" i="54" s="1"/>
  <c r="S13" i="60"/>
  <c r="K820" i="54" s="1"/>
  <c r="Q13" i="60"/>
  <c r="I820" i="54" s="1"/>
  <c r="T13" i="60"/>
  <c r="L820" i="54" s="1"/>
  <c r="T24" i="59"/>
  <c r="S24" i="59"/>
  <c r="P24" i="59"/>
  <c r="O24" i="59"/>
  <c r="Q24" i="59"/>
  <c r="R24" i="59"/>
  <c r="E521" i="53"/>
  <c r="E529" i="53"/>
  <c r="E528" i="53"/>
  <c r="E555" i="53"/>
  <c r="E450" i="53"/>
  <c r="E625" i="53"/>
  <c r="E626" i="53"/>
  <c r="E627" i="53"/>
  <c r="E522" i="53"/>
  <c r="E515" i="53"/>
  <c r="E523" i="53"/>
  <c r="E526" i="53"/>
  <c r="E542" i="53"/>
  <c r="E456" i="53"/>
  <c r="E618" i="53"/>
  <c r="E619" i="53"/>
  <c r="E617" i="53"/>
  <c r="E519" i="53"/>
  <c r="E524" i="53"/>
  <c r="E520" i="53"/>
  <c r="E516" i="53"/>
  <c r="E549" i="53"/>
  <c r="E463" i="53"/>
  <c r="E615" i="53"/>
  <c r="E624" i="53"/>
  <c r="E614" i="53"/>
  <c r="E525" i="53"/>
  <c r="E517" i="53"/>
  <c r="E518" i="53"/>
  <c r="E562" i="53"/>
  <c r="E443" i="53"/>
  <c r="E616" i="53"/>
  <c r="E630" i="53"/>
  <c r="E629" i="53"/>
  <c r="I831" i="53" l="1"/>
  <c r="I459" i="53"/>
  <c r="I545" i="53"/>
  <c r="I556" i="53"/>
  <c r="I446" i="53"/>
  <c r="I457" i="53"/>
  <c r="I458" i="53"/>
  <c r="I558" i="53"/>
  <c r="I557" i="53"/>
  <c r="G557" i="54"/>
  <c r="G556" i="54"/>
  <c r="G459" i="54"/>
  <c r="G545" i="54"/>
  <c r="G458" i="54"/>
  <c r="N24" i="60"/>
  <c r="G831" i="54"/>
  <c r="G558" i="54"/>
  <c r="G457" i="54"/>
  <c r="G446" i="54"/>
  <c r="K827" i="53"/>
  <c r="K544" i="53"/>
  <c r="K445" i="53"/>
  <c r="I445" i="54"/>
  <c r="I827" i="54"/>
  <c r="I544" i="54"/>
  <c r="G459" i="53"/>
  <c r="G831" i="53"/>
  <c r="G458" i="53"/>
  <c r="G457" i="53"/>
  <c r="G545" i="53"/>
  <c r="G446" i="53"/>
  <c r="N24" i="59"/>
  <c r="G558" i="53"/>
  <c r="G557" i="53"/>
  <c r="G556" i="53"/>
  <c r="G820" i="54"/>
  <c r="N13" i="60"/>
  <c r="F820" i="54" s="1"/>
  <c r="I457" i="54"/>
  <c r="I558" i="54"/>
  <c r="I556" i="54"/>
  <c r="I557" i="54"/>
  <c r="I458" i="54"/>
  <c r="I831" i="54"/>
  <c r="I446" i="54"/>
  <c r="I545" i="54"/>
  <c r="I459" i="54"/>
  <c r="J827" i="53"/>
  <c r="J445" i="53"/>
  <c r="J544" i="53"/>
  <c r="G445" i="53"/>
  <c r="G827" i="53"/>
  <c r="N20" i="59"/>
  <c r="G544" i="53"/>
  <c r="L544" i="54"/>
  <c r="L827" i="54"/>
  <c r="L445" i="54"/>
  <c r="H458" i="53"/>
  <c r="H556" i="53"/>
  <c r="H459" i="53"/>
  <c r="H558" i="53"/>
  <c r="H557" i="53"/>
  <c r="H831" i="53"/>
  <c r="H446" i="53"/>
  <c r="H457" i="53"/>
  <c r="H545" i="53"/>
  <c r="J831" i="54"/>
  <c r="J558" i="54"/>
  <c r="J459" i="54"/>
  <c r="J446" i="54"/>
  <c r="J457" i="54"/>
  <c r="J556" i="54"/>
  <c r="J545" i="54"/>
  <c r="J458" i="54"/>
  <c r="J557" i="54"/>
  <c r="H445" i="53"/>
  <c r="H827" i="53"/>
  <c r="H544" i="53"/>
  <c r="I827" i="53"/>
  <c r="I544" i="53"/>
  <c r="I445" i="53"/>
  <c r="J445" i="54"/>
  <c r="J827" i="54"/>
  <c r="J544" i="54"/>
  <c r="J557" i="53"/>
  <c r="J446" i="53"/>
  <c r="J831" i="53"/>
  <c r="J558" i="53"/>
  <c r="J459" i="53"/>
  <c r="J556" i="53"/>
  <c r="J458" i="53"/>
  <c r="J545" i="53"/>
  <c r="J457" i="53"/>
  <c r="K831" i="53"/>
  <c r="K558" i="53"/>
  <c r="K459" i="53"/>
  <c r="K556" i="53"/>
  <c r="K458" i="53"/>
  <c r="K446" i="53"/>
  <c r="K545" i="53"/>
  <c r="K457" i="53"/>
  <c r="K557" i="53"/>
  <c r="H831" i="54"/>
  <c r="H458" i="54"/>
  <c r="H558" i="54"/>
  <c r="H446" i="54"/>
  <c r="H457" i="54"/>
  <c r="H459" i="54"/>
  <c r="H557" i="54"/>
  <c r="H556" i="54"/>
  <c r="H545" i="54"/>
  <c r="K459" i="54"/>
  <c r="K446" i="54"/>
  <c r="K556" i="54"/>
  <c r="K558" i="54"/>
  <c r="K457" i="54"/>
  <c r="K831" i="54"/>
  <c r="K545" i="54"/>
  <c r="K458" i="54"/>
  <c r="K557" i="54"/>
  <c r="L445" i="53"/>
  <c r="L827" i="53"/>
  <c r="L544" i="53"/>
  <c r="H544" i="54"/>
  <c r="H445" i="54"/>
  <c r="H827" i="54"/>
  <c r="G544" i="54"/>
  <c r="G445" i="54"/>
  <c r="G827" i="54"/>
  <c r="N20" i="60"/>
  <c r="L831" i="53"/>
  <c r="L459" i="53"/>
  <c r="L458" i="53"/>
  <c r="L446" i="53"/>
  <c r="L557" i="53"/>
  <c r="L558" i="53"/>
  <c r="L545" i="53"/>
  <c r="L556" i="53"/>
  <c r="L457" i="53"/>
  <c r="L831" i="54"/>
  <c r="L557" i="54"/>
  <c r="L457" i="54"/>
  <c r="L459" i="54"/>
  <c r="L556" i="54"/>
  <c r="L558" i="54"/>
  <c r="L458" i="54"/>
  <c r="L446" i="54"/>
  <c r="L545" i="54"/>
  <c r="K445" i="54"/>
  <c r="K544" i="54"/>
  <c r="K827" i="54"/>
  <c r="E452" i="55"/>
  <c r="E644" i="55" s="1"/>
  <c r="E551" i="55"/>
  <c r="E563" i="55"/>
  <c r="E656" i="55" s="1"/>
  <c r="E464" i="55"/>
  <c r="E645" i="55" s="1"/>
  <c r="E530" i="55"/>
  <c r="E649" i="55" s="1"/>
  <c r="E786" i="53"/>
  <c r="E551" i="53"/>
  <c r="E563" i="53"/>
  <c r="E656" i="53" s="1"/>
  <c r="E464" i="53"/>
  <c r="E645" i="53" s="1"/>
  <c r="E530" i="53"/>
  <c r="E649" i="53" s="1"/>
  <c r="E452" i="53"/>
  <c r="E17" i="60" l="1"/>
  <c r="I16" i="60"/>
  <c r="G16" i="59"/>
  <c r="I17" i="60"/>
  <c r="E17" i="59"/>
  <c r="E16" i="60"/>
  <c r="H17" i="60"/>
  <c r="G17" i="59"/>
  <c r="E16" i="59"/>
  <c r="H16" i="60"/>
  <c r="F17" i="59"/>
  <c r="F16" i="60"/>
  <c r="J16" i="59"/>
  <c r="J16" i="60"/>
  <c r="F445" i="53"/>
  <c r="F827" i="53"/>
  <c r="F544" i="53"/>
  <c r="H16" i="59"/>
  <c r="F558" i="53"/>
  <c r="F545" i="53"/>
  <c r="F457" i="53"/>
  <c r="F446" i="53"/>
  <c r="F458" i="53"/>
  <c r="F831" i="53"/>
  <c r="F556" i="53"/>
  <c r="F459" i="53"/>
  <c r="F557" i="53"/>
  <c r="F17" i="60"/>
  <c r="F16" i="59"/>
  <c r="G16" i="60"/>
  <c r="F556" i="54"/>
  <c r="F459" i="54"/>
  <c r="F545" i="54"/>
  <c r="F446" i="54"/>
  <c r="F831" i="54"/>
  <c r="F458" i="54"/>
  <c r="F457" i="54"/>
  <c r="F557" i="54"/>
  <c r="F558" i="54"/>
  <c r="J17" i="59"/>
  <c r="J17" i="60"/>
  <c r="I16" i="59"/>
  <c r="F544" i="54"/>
  <c r="F827" i="54"/>
  <c r="F445" i="54"/>
  <c r="H17" i="59"/>
  <c r="G17" i="60"/>
  <c r="I17" i="59"/>
  <c r="I786" i="53"/>
  <c r="J786" i="53"/>
  <c r="L786" i="53"/>
  <c r="G786" i="53"/>
  <c r="F786" i="53"/>
  <c r="K786" i="53"/>
  <c r="H786" i="53"/>
  <c r="E650" i="55"/>
  <c r="E610" i="55"/>
  <c r="E655" i="55"/>
  <c r="E511" i="55"/>
  <c r="E532" i="55" s="1"/>
  <c r="E644" i="53"/>
  <c r="E650" i="53" s="1"/>
  <c r="E511" i="53"/>
  <c r="E532" i="53" s="1"/>
  <c r="E610" i="53"/>
  <c r="E655" i="53"/>
  <c r="D17" i="60" l="1"/>
  <c r="M17" i="60" s="1"/>
  <c r="D16" i="59"/>
  <c r="M16" i="59" s="1"/>
  <c r="D16" i="60"/>
  <c r="M16" i="60" s="1"/>
  <c r="D17" i="59"/>
  <c r="M17" i="59" s="1"/>
  <c r="K786" i="55"/>
  <c r="K786" i="45" s="1"/>
  <c r="G786" i="55"/>
  <c r="G786" i="45" s="1"/>
  <c r="J786" i="55"/>
  <c r="J786" i="45" s="1"/>
  <c r="F786" i="55"/>
  <c r="F786" i="45" s="1"/>
  <c r="I786" i="55"/>
  <c r="I786" i="45" s="1"/>
  <c r="L786" i="55"/>
  <c r="L786" i="45" s="1"/>
  <c r="H786" i="55"/>
  <c r="H786" i="45" s="1"/>
  <c r="G563" i="52"/>
  <c r="G656" i="52" s="1"/>
  <c r="H551" i="52"/>
  <c r="H655" i="52" s="1"/>
  <c r="G551" i="52"/>
  <c r="H464" i="52"/>
  <c r="H645" i="52" s="1"/>
  <c r="H452" i="52"/>
  <c r="G452" i="52"/>
  <c r="H563" i="52"/>
  <c r="H656" i="52" s="1"/>
  <c r="G464" i="52"/>
  <c r="G645" i="52" s="1"/>
  <c r="Q17" i="59" l="1"/>
  <c r="S17" i="59"/>
  <c r="O17" i="59"/>
  <c r="T17" i="59"/>
  <c r="R17" i="59"/>
  <c r="P17" i="59"/>
  <c r="P16" i="60"/>
  <c r="O16" i="60"/>
  <c r="Q16" i="60"/>
  <c r="S16" i="60"/>
  <c r="T16" i="60"/>
  <c r="R16" i="60"/>
  <c r="Q16" i="59"/>
  <c r="S16" i="59"/>
  <c r="P16" i="59"/>
  <c r="O16" i="59"/>
  <c r="T16" i="59"/>
  <c r="R16" i="59"/>
  <c r="R17" i="60"/>
  <c r="P17" i="60"/>
  <c r="S17" i="60"/>
  <c r="O17" i="60"/>
  <c r="Q17" i="60"/>
  <c r="T17" i="60"/>
  <c r="E11" i="65"/>
  <c r="C73" i="65" s="1"/>
  <c r="F11" i="65"/>
  <c r="C104" i="65" s="1"/>
  <c r="G610" i="52"/>
  <c r="H610" i="52"/>
  <c r="F551" i="52"/>
  <c r="G644" i="52"/>
  <c r="G511" i="52"/>
  <c r="G655" i="52"/>
  <c r="F452" i="52"/>
  <c r="F563" i="52"/>
  <c r="F656" i="52" s="1"/>
  <c r="F464" i="52"/>
  <c r="F645" i="52" s="1"/>
  <c r="H644" i="52"/>
  <c r="F10" i="65" s="1"/>
  <c r="C103" i="65" s="1"/>
  <c r="H511" i="52"/>
  <c r="I451" i="53" l="1"/>
  <c r="I456" i="53"/>
  <c r="I450" i="53"/>
  <c r="I823" i="53"/>
  <c r="I463" i="53"/>
  <c r="I443" i="53"/>
  <c r="L824" i="54"/>
  <c r="L555" i="54"/>
  <c r="L550" i="54"/>
  <c r="L542" i="54"/>
  <c r="L549" i="54"/>
  <c r="L562" i="54"/>
  <c r="H824" i="54"/>
  <c r="H550" i="54"/>
  <c r="H555" i="54"/>
  <c r="H562" i="54"/>
  <c r="H542" i="54"/>
  <c r="H549" i="54"/>
  <c r="G443" i="53"/>
  <c r="N16" i="59"/>
  <c r="G456" i="53"/>
  <c r="G823" i="53"/>
  <c r="G451" i="53"/>
  <c r="G450" i="53"/>
  <c r="G463" i="53"/>
  <c r="J450" i="54"/>
  <c r="J463" i="54"/>
  <c r="J443" i="54"/>
  <c r="J823" i="54"/>
  <c r="J456" i="54"/>
  <c r="J451" i="54"/>
  <c r="N16" i="60"/>
  <c r="G443" i="54"/>
  <c r="G456" i="54"/>
  <c r="G451" i="54"/>
  <c r="G823" i="54"/>
  <c r="G463" i="54"/>
  <c r="G450" i="54"/>
  <c r="L562" i="53"/>
  <c r="L555" i="53"/>
  <c r="L550" i="53"/>
  <c r="L824" i="53"/>
  <c r="L549" i="53"/>
  <c r="L823" i="53"/>
  <c r="L463" i="53"/>
  <c r="L451" i="53"/>
  <c r="L450" i="53"/>
  <c r="L456" i="53"/>
  <c r="L443" i="53"/>
  <c r="I562" i="54"/>
  <c r="I542" i="54"/>
  <c r="I555" i="54"/>
  <c r="I549" i="54"/>
  <c r="I824" i="54"/>
  <c r="I550" i="54"/>
  <c r="J550" i="54"/>
  <c r="J549" i="54"/>
  <c r="J555" i="54"/>
  <c r="J824" i="54"/>
  <c r="J562" i="54"/>
  <c r="J542" i="54"/>
  <c r="H463" i="53"/>
  <c r="H456" i="53"/>
  <c r="H443" i="53"/>
  <c r="H823" i="53"/>
  <c r="H451" i="53"/>
  <c r="H450" i="53"/>
  <c r="L443" i="54"/>
  <c r="L823" i="54"/>
  <c r="L451" i="54"/>
  <c r="L456" i="54"/>
  <c r="L463" i="54"/>
  <c r="L450" i="54"/>
  <c r="H456" i="54"/>
  <c r="H451" i="54"/>
  <c r="H823" i="54"/>
  <c r="H443" i="54"/>
  <c r="H463" i="54"/>
  <c r="H450" i="54"/>
  <c r="G562" i="53"/>
  <c r="G824" i="53"/>
  <c r="G549" i="53"/>
  <c r="N17" i="59"/>
  <c r="G550" i="53"/>
  <c r="G555" i="53"/>
  <c r="J562" i="53"/>
  <c r="J549" i="53"/>
  <c r="J824" i="53"/>
  <c r="J555" i="53"/>
  <c r="J550" i="53"/>
  <c r="G562" i="54"/>
  <c r="G542" i="54"/>
  <c r="G824" i="54"/>
  <c r="G555" i="54"/>
  <c r="G550" i="54"/>
  <c r="G549" i="54"/>
  <c r="N17" i="60"/>
  <c r="J823" i="53"/>
  <c r="J463" i="53"/>
  <c r="J450" i="53"/>
  <c r="J456" i="53"/>
  <c r="J451" i="53"/>
  <c r="J443" i="53"/>
  <c r="K451" i="53"/>
  <c r="K443" i="53"/>
  <c r="K823" i="53"/>
  <c r="K456" i="53"/>
  <c r="K450" i="53"/>
  <c r="K463" i="53"/>
  <c r="K823" i="54"/>
  <c r="K451" i="54"/>
  <c r="K456" i="54"/>
  <c r="K450" i="54"/>
  <c r="K463" i="54"/>
  <c r="K443" i="54"/>
  <c r="H562" i="53"/>
  <c r="H824" i="53"/>
  <c r="H550" i="53"/>
  <c r="H549" i="53"/>
  <c r="H555" i="53"/>
  <c r="H563" i="53" s="1"/>
  <c r="H656" i="53" s="1"/>
  <c r="K550" i="53"/>
  <c r="K824" i="53"/>
  <c r="K555" i="53"/>
  <c r="K562" i="53"/>
  <c r="K549" i="53"/>
  <c r="K542" i="54"/>
  <c r="K550" i="54"/>
  <c r="K562" i="54"/>
  <c r="K549" i="54"/>
  <c r="K824" i="54"/>
  <c r="K555" i="54"/>
  <c r="I823" i="54"/>
  <c r="I443" i="54"/>
  <c r="I451" i="54"/>
  <c r="I463" i="54"/>
  <c r="I450" i="54"/>
  <c r="I456" i="54"/>
  <c r="I824" i="53"/>
  <c r="I550" i="53"/>
  <c r="I555" i="53"/>
  <c r="I549" i="53"/>
  <c r="I562" i="53"/>
  <c r="D11" i="65"/>
  <c r="C42" i="65" s="1"/>
  <c r="E10" i="65"/>
  <c r="C72" i="65" s="1"/>
  <c r="F655" i="52"/>
  <c r="F610" i="52"/>
  <c r="F644" i="52"/>
  <c r="F511" i="52"/>
  <c r="J563" i="53" l="1"/>
  <c r="J656" i="53" s="1"/>
  <c r="K563" i="53"/>
  <c r="K656" i="53" s="1"/>
  <c r="K452" i="53"/>
  <c r="K644" i="53" s="1"/>
  <c r="G563" i="53"/>
  <c r="G656" i="53" s="1"/>
  <c r="L464" i="53"/>
  <c r="L645" i="53" s="1"/>
  <c r="L563" i="53"/>
  <c r="L656" i="53" s="1"/>
  <c r="J551" i="54"/>
  <c r="J655" i="54" s="1"/>
  <c r="H464" i="53"/>
  <c r="H645" i="53" s="1"/>
  <c r="F42" i="65" s="1"/>
  <c r="H551" i="54"/>
  <c r="H655" i="54" s="1"/>
  <c r="L551" i="54"/>
  <c r="L655" i="54" s="1"/>
  <c r="I464" i="53"/>
  <c r="I645" i="53" s="1"/>
  <c r="I563" i="53"/>
  <c r="I656" i="53" s="1"/>
  <c r="J452" i="53"/>
  <c r="J644" i="53" s="1"/>
  <c r="L452" i="54"/>
  <c r="L644" i="54" s="1"/>
  <c r="H452" i="53"/>
  <c r="H644" i="53" s="1"/>
  <c r="J563" i="54"/>
  <c r="J656" i="54" s="1"/>
  <c r="I563" i="54"/>
  <c r="I656" i="54" s="1"/>
  <c r="J452" i="54"/>
  <c r="J644" i="54" s="1"/>
  <c r="K464" i="53"/>
  <c r="K645" i="53" s="1"/>
  <c r="H452" i="54"/>
  <c r="H644" i="54" s="1"/>
  <c r="G551" i="54"/>
  <c r="G655" i="54" s="1"/>
  <c r="K551" i="54"/>
  <c r="K655" i="54" s="1"/>
  <c r="L452" i="53"/>
  <c r="L644" i="53" s="1"/>
  <c r="J464" i="54"/>
  <c r="J645" i="54" s="1"/>
  <c r="H73" i="65" s="1"/>
  <c r="I452" i="53"/>
  <c r="I644" i="53" s="1"/>
  <c r="I551" i="54"/>
  <c r="I655" i="54" s="1"/>
  <c r="L563" i="54"/>
  <c r="L656" i="54" s="1"/>
  <c r="K563" i="54"/>
  <c r="K656" i="54" s="1"/>
  <c r="L464" i="54"/>
  <c r="L645" i="54" s="1"/>
  <c r="H563" i="54"/>
  <c r="H656" i="54" s="1"/>
  <c r="I452" i="54"/>
  <c r="I644" i="54" s="1"/>
  <c r="I464" i="54"/>
  <c r="I645" i="54" s="1"/>
  <c r="K452" i="54"/>
  <c r="K644" i="54" s="1"/>
  <c r="K464" i="54"/>
  <c r="K645" i="54" s="1"/>
  <c r="F450" i="54"/>
  <c r="F443" i="54"/>
  <c r="F823" i="54"/>
  <c r="F456" i="54"/>
  <c r="F451" i="54"/>
  <c r="F463" i="54"/>
  <c r="F463" i="53"/>
  <c r="F450" i="53"/>
  <c r="F823" i="53"/>
  <c r="F456" i="53"/>
  <c r="F443" i="53"/>
  <c r="F451" i="53"/>
  <c r="F824" i="53"/>
  <c r="F562" i="53"/>
  <c r="F550" i="53"/>
  <c r="F549" i="53"/>
  <c r="F555" i="53"/>
  <c r="G452" i="53"/>
  <c r="G563" i="54"/>
  <c r="G656" i="54" s="1"/>
  <c r="E19" i="60" s="1"/>
  <c r="H464" i="54"/>
  <c r="H645" i="54" s="1"/>
  <c r="G464" i="54"/>
  <c r="G645" i="54" s="1"/>
  <c r="J464" i="53"/>
  <c r="J645" i="53" s="1"/>
  <c r="F542" i="54"/>
  <c r="F549" i="54"/>
  <c r="F550" i="54"/>
  <c r="F562" i="54"/>
  <c r="F824" i="54"/>
  <c r="F555" i="54"/>
  <c r="G452" i="54"/>
  <c r="G464" i="53"/>
  <c r="G645" i="53" s="1"/>
  <c r="E42" i="65" s="1"/>
  <c r="D10" i="65"/>
  <c r="C41" i="65" s="1"/>
  <c r="H42" i="65" l="1"/>
  <c r="J42" i="65"/>
  <c r="I42" i="65"/>
  <c r="H19" i="60"/>
  <c r="F72" i="65"/>
  <c r="F18" i="60"/>
  <c r="J610" i="54"/>
  <c r="G19" i="60"/>
  <c r="I72" i="65"/>
  <c r="G73" i="65"/>
  <c r="J19" i="60"/>
  <c r="G42" i="65"/>
  <c r="H18" i="60"/>
  <c r="I511" i="53"/>
  <c r="H72" i="65"/>
  <c r="F452" i="54"/>
  <c r="F644" i="54" s="1"/>
  <c r="J18" i="60"/>
  <c r="J72" i="65"/>
  <c r="I511" i="54"/>
  <c r="I610" i="54"/>
  <c r="K511" i="53"/>
  <c r="H511" i="53"/>
  <c r="I18" i="60"/>
  <c r="L511" i="53"/>
  <c r="J511" i="54"/>
  <c r="I19" i="60"/>
  <c r="F563" i="53"/>
  <c r="F656" i="53" s="1"/>
  <c r="L610" i="54"/>
  <c r="J73" i="65"/>
  <c r="K610" i="54"/>
  <c r="G18" i="60"/>
  <c r="G72" i="65"/>
  <c r="L511" i="54"/>
  <c r="H511" i="54"/>
  <c r="F452" i="53"/>
  <c r="F644" i="53" s="1"/>
  <c r="I73" i="65"/>
  <c r="J511" i="53"/>
  <c r="G610" i="54"/>
  <c r="E73" i="65"/>
  <c r="F551" i="54"/>
  <c r="F655" i="54" s="1"/>
  <c r="F464" i="53"/>
  <c r="F645" i="53" s="1"/>
  <c r="F73" i="65"/>
  <c r="K511" i="54"/>
  <c r="H610" i="54"/>
  <c r="F464" i="54"/>
  <c r="F645" i="54" s="1"/>
  <c r="F563" i="54"/>
  <c r="F656" i="54" s="1"/>
  <c r="G644" i="53"/>
  <c r="G511" i="53"/>
  <c r="G511" i="54"/>
  <c r="G644" i="54"/>
  <c r="F19" i="60"/>
  <c r="D72" i="65" l="1"/>
  <c r="D18" i="60"/>
  <c r="D42" i="65"/>
  <c r="F511" i="54"/>
  <c r="F511" i="53"/>
  <c r="D73" i="65"/>
  <c r="F610" i="54"/>
  <c r="E18" i="60"/>
  <c r="E72" i="65"/>
  <c r="D19" i="60"/>
  <c r="G530" i="52"/>
  <c r="G649" i="52" s="1"/>
  <c r="G650" i="52" s="1"/>
  <c r="H530" i="52"/>
  <c r="H649" i="52" s="1"/>
  <c r="H650" i="52" s="1"/>
  <c r="M18" i="60" l="1"/>
  <c r="T18" i="60" s="1"/>
  <c r="L675" i="54" s="1"/>
  <c r="E742" i="53"/>
  <c r="G532" i="52"/>
  <c r="E742" i="54"/>
  <c r="F530" i="52"/>
  <c r="F532" i="52" s="1"/>
  <c r="H532" i="52"/>
  <c r="Q18" i="60" l="1"/>
  <c r="I825" i="54" s="1"/>
  <c r="O18" i="60"/>
  <c r="G675" i="54" s="1"/>
  <c r="P18" i="60"/>
  <c r="H677" i="54" s="1"/>
  <c r="S18" i="60"/>
  <c r="K825" i="54" s="1"/>
  <c r="R18" i="60"/>
  <c r="J529" i="54" s="1"/>
  <c r="L825" i="54"/>
  <c r="L519" i="54"/>
  <c r="L523" i="54"/>
  <c r="L520" i="54"/>
  <c r="L526" i="54"/>
  <c r="L525" i="54"/>
  <c r="L516" i="54"/>
  <c r="L517" i="54"/>
  <c r="L524" i="54"/>
  <c r="L518" i="54"/>
  <c r="L528" i="54"/>
  <c r="L677" i="54"/>
  <c r="L521" i="54"/>
  <c r="L515" i="54"/>
  <c r="L522" i="54"/>
  <c r="L529" i="54"/>
  <c r="L619" i="54"/>
  <c r="H516" i="54"/>
  <c r="L742" i="54"/>
  <c r="E697" i="54"/>
  <c r="E697" i="53"/>
  <c r="F649" i="52"/>
  <c r="F650" i="52" s="1"/>
  <c r="J521" i="54" l="1"/>
  <c r="I528" i="54"/>
  <c r="H529" i="54"/>
  <c r="H742" i="54"/>
  <c r="H522" i="54"/>
  <c r="H523" i="54"/>
  <c r="G523" i="54"/>
  <c r="G825" i="54"/>
  <c r="J523" i="54"/>
  <c r="G525" i="54"/>
  <c r="I516" i="54"/>
  <c r="G742" i="54"/>
  <c r="H526" i="54"/>
  <c r="H675" i="54"/>
  <c r="H528" i="54"/>
  <c r="H524" i="54"/>
  <c r="H518" i="54"/>
  <c r="H525" i="54"/>
  <c r="H519" i="54"/>
  <c r="H520" i="54"/>
  <c r="H825" i="54"/>
  <c r="H517" i="54"/>
  <c r="H515" i="54"/>
  <c r="H521" i="54"/>
  <c r="H619" i="54"/>
  <c r="K517" i="54"/>
  <c r="G528" i="54"/>
  <c r="J522" i="54"/>
  <c r="I619" i="54"/>
  <c r="J675" i="54"/>
  <c r="I518" i="54"/>
  <c r="I529" i="54"/>
  <c r="I742" i="54"/>
  <c r="J525" i="54"/>
  <c r="J517" i="54"/>
  <c r="I519" i="54"/>
  <c r="I677" i="54"/>
  <c r="J619" i="54"/>
  <c r="J524" i="54"/>
  <c r="J518" i="54"/>
  <c r="J516" i="54"/>
  <c r="I517" i="54"/>
  <c r="I525" i="54"/>
  <c r="I524" i="54"/>
  <c r="J520" i="54"/>
  <c r="J526" i="54"/>
  <c r="I523" i="54"/>
  <c r="I526" i="54"/>
  <c r="J742" i="54"/>
  <c r="J515" i="54"/>
  <c r="J519" i="54"/>
  <c r="J825" i="54"/>
  <c r="J677" i="54"/>
  <c r="J528" i="54"/>
  <c r="K524" i="54"/>
  <c r="K519" i="54"/>
  <c r="I675" i="54"/>
  <c r="I521" i="54"/>
  <c r="K521" i="54"/>
  <c r="I520" i="54"/>
  <c r="I515" i="54"/>
  <c r="I522" i="54"/>
  <c r="K742" i="54"/>
  <c r="K529" i="54"/>
  <c r="G677" i="54"/>
  <c r="G524" i="54"/>
  <c r="K677" i="54"/>
  <c r="K525" i="54"/>
  <c r="K516" i="54"/>
  <c r="G529" i="54"/>
  <c r="G515" i="54"/>
  <c r="K526" i="54"/>
  <c r="K528" i="54"/>
  <c r="K675" i="54"/>
  <c r="K523" i="54"/>
  <c r="G517" i="54"/>
  <c r="G619" i="54"/>
  <c r="G519" i="54"/>
  <c r="G521" i="54"/>
  <c r="G520" i="54"/>
  <c r="K520" i="54"/>
  <c r="N18" i="60"/>
  <c r="F675" i="54" s="1"/>
  <c r="K518" i="54"/>
  <c r="K619" i="54"/>
  <c r="K515" i="54"/>
  <c r="G516" i="54"/>
  <c r="G526" i="54"/>
  <c r="G522" i="54"/>
  <c r="G518" i="54"/>
  <c r="K522" i="54"/>
  <c r="L530" i="54"/>
  <c r="L649" i="54" s="1"/>
  <c r="L650" i="54" s="1"/>
  <c r="J697" i="54"/>
  <c r="L697" i="54"/>
  <c r="K697" i="54"/>
  <c r="G697" i="54"/>
  <c r="H697" i="54"/>
  <c r="I697" i="54"/>
  <c r="F825" i="54" l="1"/>
  <c r="H530" i="54"/>
  <c r="H532" i="54" s="1"/>
  <c r="F519" i="54"/>
  <c r="F515" i="54"/>
  <c r="I530" i="54"/>
  <c r="I649" i="54" s="1"/>
  <c r="I650" i="54" s="1"/>
  <c r="F529" i="54"/>
  <c r="F526" i="54"/>
  <c r="J530" i="54"/>
  <c r="J532" i="54" s="1"/>
  <c r="F522" i="54"/>
  <c r="F677" i="54"/>
  <c r="F619" i="54"/>
  <c r="F697" i="54"/>
  <c r="F523" i="54"/>
  <c r="F524" i="54"/>
  <c r="F520" i="54"/>
  <c r="F742" i="54"/>
  <c r="F528" i="54"/>
  <c r="F518" i="54"/>
  <c r="F525" i="54"/>
  <c r="F521" i="54"/>
  <c r="F517" i="54"/>
  <c r="F516" i="54"/>
  <c r="K530" i="54"/>
  <c r="K649" i="54" s="1"/>
  <c r="K650" i="54" s="1"/>
  <c r="G530" i="54"/>
  <c r="G649" i="54" s="1"/>
  <c r="G650" i="54" s="1"/>
  <c r="L532" i="54"/>
  <c r="H649" i="54"/>
  <c r="K532" i="54" l="1"/>
  <c r="I532" i="54"/>
  <c r="J649" i="54"/>
  <c r="J650" i="54" s="1"/>
  <c r="G532" i="54"/>
  <c r="F530" i="54"/>
  <c r="F649" i="54" s="1"/>
  <c r="F650" i="54" s="1"/>
  <c r="H650" i="54"/>
  <c r="F532" i="54" l="1"/>
  <c r="E271" i="52"/>
  <c r="E291" i="52" s="1"/>
  <c r="E781" i="52" s="1"/>
  <c r="E782" i="52" s="1"/>
  <c r="E790" i="52" s="1"/>
  <c r="E805" i="52" l="1"/>
  <c r="E431" i="52"/>
  <c r="E433" i="52" s="1"/>
  <c r="E99" i="52"/>
  <c r="G431" i="52"/>
  <c r="G433" i="52" s="1"/>
  <c r="E44" i="52" l="1"/>
  <c r="E12" i="52"/>
  <c r="G99" i="52"/>
  <c r="G805" i="52"/>
  <c r="G44" i="52" l="1"/>
  <c r="G12" i="52"/>
  <c r="H99" i="52"/>
  <c r="H805" i="52"/>
  <c r="H431" i="52"/>
  <c r="H433" i="52" s="1"/>
  <c r="E620" i="52"/>
  <c r="F620" i="52" l="1"/>
  <c r="H620" i="52"/>
  <c r="G620" i="52"/>
  <c r="H44" i="52"/>
  <c r="H12" i="52"/>
  <c r="E620" i="53" l="1"/>
  <c r="E620" i="55"/>
  <c r="E620" i="54"/>
  <c r="J620" i="54" l="1"/>
  <c r="H620" i="54"/>
  <c r="K620" i="54"/>
  <c r="G620" i="54"/>
  <c r="I620" i="54"/>
  <c r="L620" i="54"/>
  <c r="F620" i="54"/>
  <c r="E623" i="53"/>
  <c r="M13" i="59" l="1"/>
  <c r="T13" i="59" l="1"/>
  <c r="Q13" i="59"/>
  <c r="P13" i="59"/>
  <c r="R13" i="59"/>
  <c r="O13" i="59"/>
  <c r="S13" i="59"/>
  <c r="H820" i="53" l="1"/>
  <c r="J820" i="53"/>
  <c r="I820" i="53"/>
  <c r="K820" i="53"/>
  <c r="G820" i="53"/>
  <c r="L820" i="53"/>
  <c r="N13" i="59"/>
  <c r="F820" i="53" l="1"/>
  <c r="E99" i="53"/>
  <c r="E12" i="53" l="1"/>
  <c r="E44" i="53"/>
  <c r="E805" i="53"/>
  <c r="E431" i="53"/>
  <c r="E433" i="53" s="1"/>
  <c r="E805" i="55" l="1"/>
  <c r="E431" i="55"/>
  <c r="E433" i="55" s="1"/>
  <c r="E99" i="55"/>
  <c r="E12" i="55" l="1"/>
  <c r="E44" i="55"/>
  <c r="M15" i="59" l="1"/>
  <c r="P15" i="59" s="1"/>
  <c r="H822" i="53" s="1"/>
  <c r="O15" i="59" l="1"/>
  <c r="R15" i="59"/>
  <c r="H429" i="53"/>
  <c r="H429" i="45" s="1"/>
  <c r="H430" i="53"/>
  <c r="H430" i="45" s="1"/>
  <c r="H805" i="45" s="1"/>
  <c r="H428" i="53"/>
  <c r="H428" i="45" s="1"/>
  <c r="Q15" i="59"/>
  <c r="I822" i="53" s="1"/>
  <c r="G429" i="53"/>
  <c r="G429" i="45" s="1"/>
  <c r="G430" i="53"/>
  <c r="G430" i="45" s="1"/>
  <c r="G805" i="45" s="1"/>
  <c r="T15" i="59"/>
  <c r="L822" i="53" s="1"/>
  <c r="S15" i="59"/>
  <c r="K822" i="53" s="1"/>
  <c r="J428" i="53" l="1"/>
  <c r="J428" i="45" s="1"/>
  <c r="J643" i="45" s="1"/>
  <c r="J822" i="53"/>
  <c r="G428" i="53"/>
  <c r="G643" i="53" s="1"/>
  <c r="G822" i="53"/>
  <c r="G654" i="45"/>
  <c r="H654" i="45"/>
  <c r="H431" i="45"/>
  <c r="H433" i="45" s="1"/>
  <c r="H643" i="45"/>
  <c r="J429" i="53"/>
  <c r="J429" i="45" s="1"/>
  <c r="J430" i="53"/>
  <c r="J430" i="45" s="1"/>
  <c r="J805" i="45" s="1"/>
  <c r="G643" i="55"/>
  <c r="H643" i="53"/>
  <c r="L430" i="53"/>
  <c r="L430" i="45" s="1"/>
  <c r="L429" i="53"/>
  <c r="L429" i="45" s="1"/>
  <c r="L428" i="53"/>
  <c r="L428" i="45" s="1"/>
  <c r="G805" i="53"/>
  <c r="G99" i="53"/>
  <c r="I430" i="53"/>
  <c r="I430" i="45" s="1"/>
  <c r="I805" i="45" s="1"/>
  <c r="I429" i="53"/>
  <c r="I429" i="45" s="1"/>
  <c r="I428" i="53"/>
  <c r="I428" i="45" s="1"/>
  <c r="N15" i="59"/>
  <c r="F822" i="53" s="1"/>
  <c r="G654" i="53"/>
  <c r="J99" i="53"/>
  <c r="J643" i="55"/>
  <c r="K429" i="53"/>
  <c r="K429" i="45" s="1"/>
  <c r="K430" i="53"/>
  <c r="K430" i="45" s="1"/>
  <c r="K805" i="45" s="1"/>
  <c r="K428" i="53"/>
  <c r="K428" i="45" s="1"/>
  <c r="H805" i="53"/>
  <c r="H99" i="53"/>
  <c r="H431" i="53"/>
  <c r="H433" i="53" s="1"/>
  <c r="H654" i="53"/>
  <c r="J643" i="53" l="1"/>
  <c r="H18" i="59" s="1"/>
  <c r="G431" i="53"/>
  <c r="G433" i="53" s="1"/>
  <c r="G428" i="45"/>
  <c r="G431" i="45" s="1"/>
  <c r="G433" i="45" s="1"/>
  <c r="F18" i="59"/>
  <c r="F40" i="65"/>
  <c r="E18" i="59"/>
  <c r="E40" i="65"/>
  <c r="I654" i="45"/>
  <c r="J654" i="45"/>
  <c r="I431" i="45"/>
  <c r="I433" i="45" s="1"/>
  <c r="I643" i="45"/>
  <c r="K431" i="45"/>
  <c r="K433" i="45" s="1"/>
  <c r="K643" i="45"/>
  <c r="L431" i="45"/>
  <c r="L433" i="45" s="1"/>
  <c r="L643" i="45"/>
  <c r="K654" i="45"/>
  <c r="L654" i="45"/>
  <c r="J431" i="45"/>
  <c r="J433" i="45" s="1"/>
  <c r="J431" i="53"/>
  <c r="J433" i="53" s="1"/>
  <c r="J654" i="53"/>
  <c r="J805" i="53"/>
  <c r="J12" i="53"/>
  <c r="J44" i="53"/>
  <c r="I643" i="53"/>
  <c r="G805" i="55"/>
  <c r="G431" i="55"/>
  <c r="G433" i="55" s="1"/>
  <c r="G99" i="55"/>
  <c r="L643" i="53"/>
  <c r="K654" i="53"/>
  <c r="J805" i="55"/>
  <c r="J431" i="55"/>
  <c r="J433" i="55" s="1"/>
  <c r="J99" i="55"/>
  <c r="G654" i="55"/>
  <c r="E102" i="65" s="1"/>
  <c r="I431" i="53"/>
  <c r="I433" i="53" s="1"/>
  <c r="I805" i="53"/>
  <c r="I99" i="53"/>
  <c r="L654" i="53"/>
  <c r="K643" i="53"/>
  <c r="I654" i="53"/>
  <c r="H431" i="55"/>
  <c r="H433" i="55" s="1"/>
  <c r="H805" i="55"/>
  <c r="H99" i="55"/>
  <c r="H654" i="55"/>
  <c r="H12" i="53"/>
  <c r="H44" i="53"/>
  <c r="J654" i="55"/>
  <c r="H102" i="65" s="1"/>
  <c r="K431" i="53"/>
  <c r="K433" i="53" s="1"/>
  <c r="K805" i="53"/>
  <c r="K99" i="53"/>
  <c r="F430" i="53"/>
  <c r="F430" i="45" s="1"/>
  <c r="F805" i="45" s="1"/>
  <c r="F429" i="53"/>
  <c r="F429" i="45" s="1"/>
  <c r="F428" i="53"/>
  <c r="F428" i="45" s="1"/>
  <c r="G12" i="53"/>
  <c r="G44" i="53"/>
  <c r="L805" i="53"/>
  <c r="L431" i="53"/>
  <c r="L433" i="53" s="1"/>
  <c r="L99" i="53"/>
  <c r="H643" i="55"/>
  <c r="H40" i="65" l="1"/>
  <c r="G643" i="45"/>
  <c r="F102" i="65"/>
  <c r="I18" i="59"/>
  <c r="I40" i="65"/>
  <c r="J18" i="59"/>
  <c r="J40" i="65"/>
  <c r="G18" i="59"/>
  <c r="G40" i="65"/>
  <c r="F654" i="45"/>
  <c r="F643" i="45"/>
  <c r="F431" i="45"/>
  <c r="F433" i="45" s="1"/>
  <c r="F431" i="53"/>
  <c r="F433" i="53" s="1"/>
  <c r="F805" i="53"/>
  <c r="F99" i="53"/>
  <c r="K643" i="55"/>
  <c r="I431" i="55"/>
  <c r="I433" i="55" s="1"/>
  <c r="I805" i="55"/>
  <c r="I99" i="55"/>
  <c r="I643" i="55"/>
  <c r="L805" i="55"/>
  <c r="L431" i="55"/>
  <c r="L433" i="55" s="1"/>
  <c r="L99" i="55"/>
  <c r="F643" i="53"/>
  <c r="K805" i="55"/>
  <c r="K431" i="55"/>
  <c r="K433" i="55" s="1"/>
  <c r="K99" i="55"/>
  <c r="H44" i="55"/>
  <c r="H12" i="55"/>
  <c r="H12" i="45" s="1"/>
  <c r="J44" i="55"/>
  <c r="J12" i="55"/>
  <c r="J12" i="45" s="1"/>
  <c r="G44" i="55"/>
  <c r="G12" i="55"/>
  <c r="G12" i="45" s="1"/>
  <c r="L44" i="53"/>
  <c r="L12" i="53"/>
  <c r="F654" i="53"/>
  <c r="K12" i="53"/>
  <c r="K44" i="53"/>
  <c r="I654" i="55"/>
  <c r="K654" i="55"/>
  <c r="L643" i="55"/>
  <c r="L654" i="55"/>
  <c r="I12" i="53"/>
  <c r="I44" i="53"/>
  <c r="G102" i="65" l="1"/>
  <c r="J102" i="65"/>
  <c r="I102" i="65"/>
  <c r="D18" i="59"/>
  <c r="M18" i="59" s="1"/>
  <c r="D40" i="65"/>
  <c r="I44" i="55"/>
  <c r="I12" i="55"/>
  <c r="I12" i="45" s="1"/>
  <c r="F805" i="55"/>
  <c r="F431" i="55"/>
  <c r="F433" i="55" s="1"/>
  <c r="F99" i="55"/>
  <c r="L12" i="55"/>
  <c r="L12" i="45" s="1"/>
  <c r="L44" i="55"/>
  <c r="F44" i="53"/>
  <c r="F12" i="53"/>
  <c r="F654" i="55"/>
  <c r="K44" i="55"/>
  <c r="K12" i="55"/>
  <c r="K12" i="45" s="1"/>
  <c r="F643" i="55"/>
  <c r="D102" i="65" l="1"/>
  <c r="S18" i="59"/>
  <c r="O18" i="59"/>
  <c r="T18" i="59"/>
  <c r="Q18" i="59"/>
  <c r="R18" i="59"/>
  <c r="P18" i="59"/>
  <c r="F44" i="55"/>
  <c r="F12" i="55"/>
  <c r="F12" i="45" s="1"/>
  <c r="E12" i="45" s="1"/>
  <c r="L825" i="53" l="1"/>
  <c r="G825" i="53"/>
  <c r="K825" i="53"/>
  <c r="H825" i="53"/>
  <c r="J825" i="53"/>
  <c r="I825" i="53"/>
  <c r="I697" i="53"/>
  <c r="I742" i="53"/>
  <c r="L697" i="53"/>
  <c r="L742" i="53"/>
  <c r="H697" i="53"/>
  <c r="H742" i="53"/>
  <c r="G697" i="53"/>
  <c r="G742" i="53"/>
  <c r="J697" i="53"/>
  <c r="J742" i="53"/>
  <c r="K697" i="53"/>
  <c r="K742" i="53"/>
  <c r="I675" i="53"/>
  <c r="I677" i="53"/>
  <c r="L675" i="53"/>
  <c r="L677" i="53"/>
  <c r="G675" i="53"/>
  <c r="G677" i="53"/>
  <c r="H675" i="53"/>
  <c r="H677" i="53"/>
  <c r="J675" i="53"/>
  <c r="J677" i="53"/>
  <c r="K675" i="53"/>
  <c r="K677" i="53"/>
  <c r="I542" i="53"/>
  <c r="I619" i="53"/>
  <c r="I620" i="53"/>
  <c r="L542" i="53"/>
  <c r="L620" i="53"/>
  <c r="L619" i="53"/>
  <c r="H542" i="53"/>
  <c r="H620" i="53"/>
  <c r="H619" i="53"/>
  <c r="G542" i="53"/>
  <c r="G620" i="53"/>
  <c r="G619" i="53"/>
  <c r="J542" i="53"/>
  <c r="J619" i="53"/>
  <c r="J620" i="53"/>
  <c r="K542" i="53"/>
  <c r="K620" i="53"/>
  <c r="K619" i="53"/>
  <c r="I528" i="53"/>
  <c r="I529" i="53"/>
  <c r="L529" i="53"/>
  <c r="L528" i="53"/>
  <c r="H528" i="53"/>
  <c r="H529" i="53"/>
  <c r="G529" i="53"/>
  <c r="G528" i="53"/>
  <c r="J528" i="53"/>
  <c r="J529" i="53"/>
  <c r="K528" i="53"/>
  <c r="K529" i="53"/>
  <c r="I524" i="53"/>
  <c r="I520" i="53"/>
  <c r="I516" i="53"/>
  <c r="I525" i="53"/>
  <c r="I521" i="53"/>
  <c r="I517" i="53"/>
  <c r="I526" i="53"/>
  <c r="I522" i="53"/>
  <c r="I518" i="53"/>
  <c r="I523" i="53"/>
  <c r="I519" i="53"/>
  <c r="L515" i="53"/>
  <c r="L523" i="53"/>
  <c r="L519" i="53"/>
  <c r="L524" i="53"/>
  <c r="L520" i="53"/>
  <c r="L516" i="53"/>
  <c r="L526" i="53"/>
  <c r="L522" i="53"/>
  <c r="L518" i="53"/>
  <c r="L525" i="53"/>
  <c r="L521" i="53"/>
  <c r="L517" i="53"/>
  <c r="H523" i="53"/>
  <c r="H519" i="53"/>
  <c r="H524" i="53"/>
  <c r="H520" i="53"/>
  <c r="H516" i="53"/>
  <c r="H526" i="53"/>
  <c r="H522" i="53"/>
  <c r="H518" i="53"/>
  <c r="H517" i="53"/>
  <c r="H525" i="53"/>
  <c r="H521" i="53"/>
  <c r="G515" i="53"/>
  <c r="G526" i="53"/>
  <c r="G522" i="53"/>
  <c r="G518" i="53"/>
  <c r="G523" i="53"/>
  <c r="G519" i="53"/>
  <c r="G516" i="53"/>
  <c r="G525" i="53"/>
  <c r="G521" i="53"/>
  <c r="G517" i="53"/>
  <c r="G524" i="53"/>
  <c r="G520" i="53"/>
  <c r="J525" i="53"/>
  <c r="J521" i="53"/>
  <c r="J517" i="53"/>
  <c r="J526" i="53"/>
  <c r="J522" i="53"/>
  <c r="J518" i="53"/>
  <c r="J516" i="53"/>
  <c r="J524" i="53"/>
  <c r="J520" i="53"/>
  <c r="J523" i="53"/>
  <c r="J519" i="53"/>
  <c r="K515" i="53"/>
  <c r="K526" i="53"/>
  <c r="K522" i="53"/>
  <c r="K518" i="53"/>
  <c r="K523" i="53"/>
  <c r="K519" i="53"/>
  <c r="K525" i="53"/>
  <c r="K521" i="53"/>
  <c r="K517" i="53"/>
  <c r="K520" i="53"/>
  <c r="K516" i="53"/>
  <c r="K524" i="53"/>
  <c r="H515" i="53"/>
  <c r="J515" i="53"/>
  <c r="I515" i="53"/>
  <c r="N18" i="59"/>
  <c r="F825" i="53" l="1"/>
  <c r="K551" i="53"/>
  <c r="K610" i="53" s="1"/>
  <c r="L551" i="53"/>
  <c r="L655" i="53" s="1"/>
  <c r="J41" i="65" s="1"/>
  <c r="G551" i="53"/>
  <c r="G655" i="53" s="1"/>
  <c r="E41" i="65" s="1"/>
  <c r="J551" i="53"/>
  <c r="J610" i="53" s="1"/>
  <c r="I551" i="53"/>
  <c r="I655" i="53" s="1"/>
  <c r="G41" i="65" s="1"/>
  <c r="H551" i="53"/>
  <c r="H655" i="53" s="1"/>
  <c r="F41" i="65" s="1"/>
  <c r="F697" i="53"/>
  <c r="F742" i="53"/>
  <c r="F675" i="53"/>
  <c r="F677" i="53"/>
  <c r="F542" i="53"/>
  <c r="F619" i="53"/>
  <c r="F620" i="53"/>
  <c r="F528" i="53"/>
  <c r="F529" i="53"/>
  <c r="L530" i="53"/>
  <c r="L649" i="53" s="1"/>
  <c r="K530" i="53"/>
  <c r="K649" i="53" s="1"/>
  <c r="F525" i="53"/>
  <c r="F521" i="53"/>
  <c r="F517" i="53"/>
  <c r="F516" i="53"/>
  <c r="F526" i="53"/>
  <c r="F522" i="53"/>
  <c r="F518" i="53"/>
  <c r="F524" i="53"/>
  <c r="F520" i="53"/>
  <c r="F523" i="53"/>
  <c r="F519" i="53"/>
  <c r="G530" i="53"/>
  <c r="G649" i="53" s="1"/>
  <c r="H530" i="53"/>
  <c r="F515" i="53"/>
  <c r="I530" i="53"/>
  <c r="J530" i="53"/>
  <c r="L650" i="53" l="1"/>
  <c r="G650" i="53"/>
  <c r="K650" i="53"/>
  <c r="K655" i="53"/>
  <c r="I610" i="53"/>
  <c r="L610" i="53"/>
  <c r="G610" i="53"/>
  <c r="J655" i="53"/>
  <c r="G19" i="59"/>
  <c r="J19" i="59"/>
  <c r="E19" i="59"/>
  <c r="F19" i="59"/>
  <c r="H610" i="53"/>
  <c r="F551" i="53"/>
  <c r="F610" i="53" s="1"/>
  <c r="L532" i="53"/>
  <c r="K532" i="53"/>
  <c r="G532" i="53"/>
  <c r="F530" i="53"/>
  <c r="I649" i="53"/>
  <c r="I532" i="53"/>
  <c r="J649" i="53"/>
  <c r="J532" i="53"/>
  <c r="H649" i="53"/>
  <c r="H532" i="53"/>
  <c r="H650" i="53" l="1"/>
  <c r="I650" i="53"/>
  <c r="J650" i="53"/>
  <c r="H19" i="59"/>
  <c r="H41" i="65"/>
  <c r="I19" i="59"/>
  <c r="I41" i="65"/>
  <c r="F655" i="53"/>
  <c r="F649" i="53"/>
  <c r="F532" i="53"/>
  <c r="F650" i="53" l="1"/>
  <c r="M19" i="60"/>
  <c r="R19" i="60" s="1"/>
  <c r="D41" i="65"/>
  <c r="D19" i="59"/>
  <c r="J798" i="54" l="1"/>
  <c r="J826" i="54"/>
  <c r="S19" i="60"/>
  <c r="Q19" i="60"/>
  <c r="P19" i="60"/>
  <c r="O19" i="60"/>
  <c r="T19" i="60"/>
  <c r="M19" i="59"/>
  <c r="T19" i="59" s="1"/>
  <c r="J629" i="54"/>
  <c r="J630" i="54"/>
  <c r="J625" i="54"/>
  <c r="J627" i="54"/>
  <c r="J624" i="54"/>
  <c r="J626" i="54"/>
  <c r="J623" i="54"/>
  <c r="J618" i="54"/>
  <c r="J615" i="54"/>
  <c r="J616" i="54"/>
  <c r="J614" i="54"/>
  <c r="J617" i="54"/>
  <c r="I798" i="54" l="1"/>
  <c r="I826" i="54"/>
  <c r="L798" i="54"/>
  <c r="L826" i="54"/>
  <c r="K798" i="54"/>
  <c r="K826" i="54"/>
  <c r="G798" i="54"/>
  <c r="G826" i="54"/>
  <c r="H798" i="54"/>
  <c r="H826" i="54"/>
  <c r="L798" i="53"/>
  <c r="L826" i="53"/>
  <c r="H630" i="54"/>
  <c r="K626" i="54"/>
  <c r="K614" i="54"/>
  <c r="H626" i="54"/>
  <c r="K616" i="54"/>
  <c r="L625" i="54"/>
  <c r="K630" i="54"/>
  <c r="L615" i="54"/>
  <c r="L623" i="54"/>
  <c r="K615" i="54"/>
  <c r="H618" i="54"/>
  <c r="K624" i="54"/>
  <c r="K618" i="54"/>
  <c r="L616" i="54"/>
  <c r="K623" i="54"/>
  <c r="K627" i="54"/>
  <c r="K629" i="54"/>
  <c r="K617" i="54"/>
  <c r="K625" i="54"/>
  <c r="H623" i="54"/>
  <c r="H615" i="54"/>
  <c r="H614" i="54"/>
  <c r="H624" i="54"/>
  <c r="H629" i="54"/>
  <c r="H617" i="54"/>
  <c r="H625" i="54"/>
  <c r="I616" i="54"/>
  <c r="H616" i="54"/>
  <c r="I626" i="54"/>
  <c r="H627" i="54"/>
  <c r="G623" i="54"/>
  <c r="G614" i="54"/>
  <c r="G625" i="54"/>
  <c r="I614" i="54"/>
  <c r="I627" i="54"/>
  <c r="I623" i="54"/>
  <c r="I629" i="54"/>
  <c r="N19" i="60"/>
  <c r="F629" i="54" s="1"/>
  <c r="G617" i="54"/>
  <c r="G627" i="54"/>
  <c r="G615" i="54"/>
  <c r="G630" i="54"/>
  <c r="P19" i="59"/>
  <c r="I617" i="54"/>
  <c r="I618" i="54"/>
  <c r="G618" i="54"/>
  <c r="I624" i="54"/>
  <c r="G626" i="54"/>
  <c r="I630" i="54"/>
  <c r="I615" i="54"/>
  <c r="G616" i="54"/>
  <c r="I625" i="54"/>
  <c r="G624" i="54"/>
  <c r="G629" i="54"/>
  <c r="L614" i="54"/>
  <c r="L624" i="54"/>
  <c r="L629" i="54"/>
  <c r="L618" i="54"/>
  <c r="L627" i="54"/>
  <c r="L630" i="54"/>
  <c r="L617" i="54"/>
  <c r="L626" i="54"/>
  <c r="Q19" i="59"/>
  <c r="R19" i="59"/>
  <c r="O19" i="59"/>
  <c r="S19" i="59"/>
  <c r="L630" i="53"/>
  <c r="L625" i="53"/>
  <c r="L617" i="53"/>
  <c r="L616" i="53"/>
  <c r="L618" i="53"/>
  <c r="L627" i="53"/>
  <c r="L629" i="53"/>
  <c r="L626" i="53"/>
  <c r="L615" i="53"/>
  <c r="L614" i="53"/>
  <c r="L623" i="53"/>
  <c r="L624" i="53"/>
  <c r="F798" i="54" l="1"/>
  <c r="F826" i="54"/>
  <c r="J630" i="53"/>
  <c r="J826" i="53"/>
  <c r="H826" i="53"/>
  <c r="I798" i="53"/>
  <c r="I826" i="53"/>
  <c r="K798" i="53"/>
  <c r="K826" i="53"/>
  <c r="G618" i="53"/>
  <c r="G826" i="53"/>
  <c r="H625" i="53"/>
  <c r="H615" i="53"/>
  <c r="H630" i="53"/>
  <c r="H626" i="53"/>
  <c r="F617" i="54"/>
  <c r="F623" i="54"/>
  <c r="F627" i="54"/>
  <c r="F618" i="54"/>
  <c r="F626" i="54"/>
  <c r="F616" i="54"/>
  <c r="F625" i="54"/>
  <c r="F614" i="54"/>
  <c r="F615" i="54"/>
  <c r="F624" i="54"/>
  <c r="F630" i="54"/>
  <c r="H623" i="53"/>
  <c r="H618" i="53"/>
  <c r="H624" i="53"/>
  <c r="H616" i="53"/>
  <c r="H614" i="53"/>
  <c r="H627" i="53"/>
  <c r="H617" i="53"/>
  <c r="H798" i="53"/>
  <c r="H629" i="53"/>
  <c r="J624" i="53"/>
  <c r="J798" i="53"/>
  <c r="J618" i="53"/>
  <c r="J625" i="53"/>
  <c r="J627" i="53"/>
  <c r="J626" i="53"/>
  <c r="J623" i="53"/>
  <c r="J616" i="53"/>
  <c r="J629" i="53"/>
  <c r="J614" i="53"/>
  <c r="J615" i="53"/>
  <c r="J617" i="53"/>
  <c r="G617" i="53"/>
  <c r="G798" i="53"/>
  <c r="I630" i="53"/>
  <c r="G629" i="53"/>
  <c r="I625" i="53"/>
  <c r="I624" i="53"/>
  <c r="G624" i="53"/>
  <c r="G623" i="53"/>
  <c r="G626" i="53"/>
  <c r="I615" i="53"/>
  <c r="I623" i="53"/>
  <c r="I629" i="53"/>
  <c r="I627" i="53"/>
  <c r="I614" i="53"/>
  <c r="I616" i="53"/>
  <c r="I626" i="53"/>
  <c r="I618" i="53"/>
  <c r="I617" i="53"/>
  <c r="G630" i="53"/>
  <c r="G627" i="53"/>
  <c r="G614" i="53"/>
  <c r="G616" i="53"/>
  <c r="G625" i="53"/>
  <c r="G615" i="53"/>
  <c r="N19" i="59"/>
  <c r="K618" i="53"/>
  <c r="K623" i="53"/>
  <c r="K629" i="53"/>
  <c r="K630" i="53"/>
  <c r="K625" i="53"/>
  <c r="K627" i="53"/>
  <c r="K616" i="53"/>
  <c r="K624" i="53"/>
  <c r="K617" i="53"/>
  <c r="K614" i="53"/>
  <c r="K615" i="53"/>
  <c r="K626" i="53"/>
  <c r="F798" i="53" l="1"/>
  <c r="F826" i="53"/>
  <c r="F614" i="53"/>
  <c r="F617" i="53"/>
  <c r="F618" i="53"/>
  <c r="F615" i="53"/>
  <c r="F627" i="53"/>
  <c r="F629" i="53"/>
  <c r="F630" i="53"/>
  <c r="F616" i="53"/>
  <c r="F623" i="53"/>
  <c r="F626" i="53"/>
  <c r="F625" i="53"/>
  <c r="F624" i="53"/>
  <c r="D20" i="50" l="1"/>
  <c r="E24" i="50"/>
  <c r="I20" i="50"/>
  <c r="F20" i="50"/>
  <c r="G20" i="61"/>
  <c r="F24" i="50"/>
  <c r="G20" i="50"/>
  <c r="H24" i="50"/>
  <c r="E20" i="50"/>
  <c r="G24" i="50"/>
  <c r="C24" i="50"/>
  <c r="I24" i="50"/>
  <c r="D24" i="50"/>
  <c r="H20" i="50"/>
  <c r="C20" i="50"/>
  <c r="D24" i="61"/>
  <c r="D20" i="61" l="1"/>
  <c r="L24" i="50"/>
  <c r="L20" i="50"/>
  <c r="J24" i="61"/>
  <c r="J20" i="61"/>
  <c r="E24" i="61"/>
  <c r="E20" i="61"/>
  <c r="I24" i="61"/>
  <c r="I20" i="61"/>
  <c r="H20" i="61"/>
  <c r="H24" i="61"/>
  <c r="F20" i="61"/>
  <c r="F24" i="61"/>
  <c r="G24" i="61"/>
  <c r="P24" i="50" l="1"/>
  <c r="R24" i="50"/>
  <c r="N24" i="50"/>
  <c r="S24" i="50"/>
  <c r="Q24" i="50"/>
  <c r="O24" i="50"/>
  <c r="M24" i="61"/>
  <c r="R24" i="61" s="1"/>
  <c r="J831" i="55" s="1"/>
  <c r="M20" i="61"/>
  <c r="S20" i="61" s="1"/>
  <c r="K827" i="55" s="1"/>
  <c r="R20" i="50"/>
  <c r="O20" i="50"/>
  <c r="P20" i="50"/>
  <c r="S20" i="50"/>
  <c r="Q20" i="50"/>
  <c r="N20" i="50"/>
  <c r="M24" i="50" l="1"/>
  <c r="T24" i="61"/>
  <c r="O24" i="61"/>
  <c r="P24" i="61"/>
  <c r="S24" i="61"/>
  <c r="Q24" i="61"/>
  <c r="O20" i="61"/>
  <c r="R20" i="61"/>
  <c r="Q20" i="61"/>
  <c r="T20" i="61"/>
  <c r="P20" i="61"/>
  <c r="K445" i="55"/>
  <c r="K445" i="45" s="1"/>
  <c r="K544" i="55"/>
  <c r="K544" i="45" s="1"/>
  <c r="M20" i="50"/>
  <c r="J459" i="55"/>
  <c r="J459" i="45" s="1"/>
  <c r="J458" i="55"/>
  <c r="J458" i="45" s="1"/>
  <c r="J558" i="55"/>
  <c r="J558" i="45" s="1"/>
  <c r="J446" i="55"/>
  <c r="J446" i="45" s="1"/>
  <c r="J557" i="55"/>
  <c r="J557" i="45" s="1"/>
  <c r="J545" i="55"/>
  <c r="J545" i="45" s="1"/>
  <c r="J556" i="55"/>
  <c r="J556" i="45" s="1"/>
  <c r="J457" i="55"/>
  <c r="J457" i="45" s="1"/>
  <c r="K446" i="55" l="1"/>
  <c r="K446" i="45" s="1"/>
  <c r="K831" i="55"/>
  <c r="H446" i="55"/>
  <c r="H446" i="45" s="1"/>
  <c r="H831" i="55"/>
  <c r="G545" i="55"/>
  <c r="G545" i="45" s="1"/>
  <c r="G831" i="55"/>
  <c r="I446" i="55"/>
  <c r="I446" i="45" s="1"/>
  <c r="I831" i="55"/>
  <c r="L556" i="55"/>
  <c r="L556" i="45" s="1"/>
  <c r="L831" i="55"/>
  <c r="H544" i="55"/>
  <c r="H544" i="45" s="1"/>
  <c r="H827" i="55"/>
  <c r="G445" i="55"/>
  <c r="G445" i="45" s="1"/>
  <c r="G827" i="55"/>
  <c r="L445" i="55"/>
  <c r="L445" i="45" s="1"/>
  <c r="L827" i="55"/>
  <c r="I544" i="55"/>
  <c r="I544" i="45" s="1"/>
  <c r="I827" i="55"/>
  <c r="J445" i="55"/>
  <c r="J445" i="45" s="1"/>
  <c r="J827" i="55"/>
  <c r="G446" i="55"/>
  <c r="G446" i="45" s="1"/>
  <c r="H457" i="55"/>
  <c r="H457" i="45" s="1"/>
  <c r="I545" i="55"/>
  <c r="I545" i="45" s="1"/>
  <c r="L557" i="55"/>
  <c r="L557" i="45" s="1"/>
  <c r="L446" i="55"/>
  <c r="L446" i="45" s="1"/>
  <c r="K556" i="55"/>
  <c r="K556" i="45" s="1"/>
  <c r="H459" i="55"/>
  <c r="H459" i="45" s="1"/>
  <c r="H556" i="55"/>
  <c r="H556" i="45" s="1"/>
  <c r="G459" i="55"/>
  <c r="G459" i="45" s="1"/>
  <c r="H558" i="55"/>
  <c r="H558" i="45" s="1"/>
  <c r="H545" i="55"/>
  <c r="H545" i="45" s="1"/>
  <c r="H557" i="55"/>
  <c r="H557" i="45" s="1"/>
  <c r="H458" i="55"/>
  <c r="H458" i="45" s="1"/>
  <c r="G558" i="55"/>
  <c r="G558" i="45" s="1"/>
  <c r="G544" i="55"/>
  <c r="G544" i="45" s="1"/>
  <c r="G557" i="55"/>
  <c r="G557" i="45" s="1"/>
  <c r="G556" i="55"/>
  <c r="G556" i="45" s="1"/>
  <c r="G457" i="55"/>
  <c r="G457" i="45" s="1"/>
  <c r="G458" i="55"/>
  <c r="G458" i="45" s="1"/>
  <c r="L459" i="55"/>
  <c r="L459" i="45" s="1"/>
  <c r="K558" i="55"/>
  <c r="K558" i="45" s="1"/>
  <c r="L457" i="55"/>
  <c r="L457" i="45" s="1"/>
  <c r="L545" i="55"/>
  <c r="L545" i="45" s="1"/>
  <c r="L458" i="55"/>
  <c r="L458" i="45" s="1"/>
  <c r="L558" i="55"/>
  <c r="L558" i="45" s="1"/>
  <c r="K545" i="55"/>
  <c r="K545" i="45" s="1"/>
  <c r="K458" i="55"/>
  <c r="K458" i="45" s="1"/>
  <c r="K457" i="55"/>
  <c r="K457" i="45" s="1"/>
  <c r="K459" i="55"/>
  <c r="K459" i="45" s="1"/>
  <c r="K557" i="55"/>
  <c r="K557" i="45" s="1"/>
  <c r="I459" i="55"/>
  <c r="I459" i="45" s="1"/>
  <c r="I558" i="55"/>
  <c r="I558" i="45" s="1"/>
  <c r="N24" i="61"/>
  <c r="I557" i="55"/>
  <c r="I557" i="45" s="1"/>
  <c r="I556" i="55"/>
  <c r="I556" i="45" s="1"/>
  <c r="I457" i="55"/>
  <c r="I457" i="45" s="1"/>
  <c r="I458" i="55"/>
  <c r="I458" i="45" s="1"/>
  <c r="J544" i="55"/>
  <c r="I445" i="55"/>
  <c r="I445" i="45" s="1"/>
  <c r="H445" i="55"/>
  <c r="H445" i="45" s="1"/>
  <c r="N20" i="61"/>
  <c r="L544" i="55"/>
  <c r="L544" i="45" s="1"/>
  <c r="G16" i="50" l="1"/>
  <c r="H16" i="61"/>
  <c r="F558" i="55"/>
  <c r="F558" i="45" s="1"/>
  <c r="F831" i="55"/>
  <c r="F544" i="55"/>
  <c r="F544" i="45" s="1"/>
  <c r="F827" i="55"/>
  <c r="I17" i="50"/>
  <c r="F16" i="50"/>
  <c r="I16" i="50"/>
  <c r="D16" i="50"/>
  <c r="H17" i="50"/>
  <c r="E16" i="50"/>
  <c r="H16" i="50"/>
  <c r="E17" i="50"/>
  <c r="F17" i="50"/>
  <c r="D17" i="50"/>
  <c r="H17" i="61"/>
  <c r="J544" i="45"/>
  <c r="F17" i="61"/>
  <c r="E17" i="61"/>
  <c r="I17" i="61"/>
  <c r="F446" i="55"/>
  <c r="F446" i="45" s="1"/>
  <c r="F16" i="61"/>
  <c r="J16" i="61"/>
  <c r="F457" i="55"/>
  <c r="F457" i="45" s="1"/>
  <c r="E16" i="61"/>
  <c r="G17" i="61"/>
  <c r="J17" i="61"/>
  <c r="I16" i="61"/>
  <c r="F556" i="55"/>
  <c r="F556" i="45" s="1"/>
  <c r="F458" i="55"/>
  <c r="F458" i="45" s="1"/>
  <c r="F459" i="55"/>
  <c r="F459" i="45" s="1"/>
  <c r="F557" i="55"/>
  <c r="F557" i="45" s="1"/>
  <c r="F545" i="55"/>
  <c r="F545" i="45" s="1"/>
  <c r="G16" i="61"/>
  <c r="F445" i="55"/>
  <c r="F445" i="45" s="1"/>
  <c r="G17" i="50" l="1"/>
  <c r="C17" i="50"/>
  <c r="C16" i="50"/>
  <c r="D16" i="61"/>
  <c r="M16" i="61" s="1"/>
  <c r="T16" i="61" s="1"/>
  <c r="L823" i="55" s="1"/>
  <c r="D17" i="61"/>
  <c r="M17" i="61" s="1"/>
  <c r="Q17" i="61" s="1"/>
  <c r="I824" i="55" s="1"/>
  <c r="L16" i="50" l="1"/>
  <c r="L17" i="50"/>
  <c r="O17" i="50" s="1"/>
  <c r="R17" i="61"/>
  <c r="T17" i="61"/>
  <c r="S17" i="61"/>
  <c r="O17" i="61"/>
  <c r="P17" i="61"/>
  <c r="Q16" i="61"/>
  <c r="R16" i="61"/>
  <c r="O16" i="61"/>
  <c r="S16" i="61"/>
  <c r="P16" i="61"/>
  <c r="I562" i="55"/>
  <c r="I562" i="45" s="1"/>
  <c r="I549" i="55"/>
  <c r="I549" i="45" s="1"/>
  <c r="I550" i="55"/>
  <c r="I550" i="45" s="1"/>
  <c r="I542" i="55"/>
  <c r="I542" i="45" s="1"/>
  <c r="I555" i="55"/>
  <c r="I555" i="45" s="1"/>
  <c r="L451" i="55"/>
  <c r="L451" i="45" s="1"/>
  <c r="L450" i="55"/>
  <c r="L450" i="45" s="1"/>
  <c r="L463" i="55"/>
  <c r="L463" i="45" s="1"/>
  <c r="L456" i="55"/>
  <c r="L456" i="45" s="1"/>
  <c r="L443" i="55"/>
  <c r="L443" i="45" s="1"/>
  <c r="G463" i="55" l="1"/>
  <c r="G463" i="45" s="1"/>
  <c r="G823" i="55"/>
  <c r="G550" i="55"/>
  <c r="G550" i="45" s="1"/>
  <c r="G824" i="55"/>
  <c r="H456" i="55"/>
  <c r="H456" i="45" s="1"/>
  <c r="H823" i="55"/>
  <c r="I463" i="55"/>
  <c r="I463" i="45" s="1"/>
  <c r="I823" i="55"/>
  <c r="L562" i="55"/>
  <c r="L562" i="45" s="1"/>
  <c r="L824" i="55"/>
  <c r="J456" i="55"/>
  <c r="J456" i="45" s="1"/>
  <c r="J823" i="55"/>
  <c r="K549" i="55"/>
  <c r="K549" i="45" s="1"/>
  <c r="K824" i="55"/>
  <c r="K450" i="55"/>
  <c r="K450" i="45" s="1"/>
  <c r="K823" i="55"/>
  <c r="H550" i="55"/>
  <c r="H550" i="45" s="1"/>
  <c r="H824" i="55"/>
  <c r="J542" i="55"/>
  <c r="J542" i="45" s="1"/>
  <c r="J824" i="55"/>
  <c r="R16" i="50"/>
  <c r="N16" i="50"/>
  <c r="O16" i="50"/>
  <c r="Q16" i="50"/>
  <c r="S16" i="50"/>
  <c r="S17" i="50"/>
  <c r="P16" i="50"/>
  <c r="P17" i="50"/>
  <c r="Q17" i="50"/>
  <c r="N17" i="50"/>
  <c r="R17" i="50"/>
  <c r="I563" i="55"/>
  <c r="I656" i="55" s="1"/>
  <c r="I563" i="45"/>
  <c r="J562" i="55"/>
  <c r="J562" i="45" s="1"/>
  <c r="K443" i="55"/>
  <c r="K443" i="45" s="1"/>
  <c r="J550" i="55"/>
  <c r="J550" i="45" s="1"/>
  <c r="H542" i="55"/>
  <c r="H542" i="45" s="1"/>
  <c r="K463" i="55"/>
  <c r="K463" i="45" s="1"/>
  <c r="H555" i="55"/>
  <c r="H555" i="45" s="1"/>
  <c r="K550" i="55"/>
  <c r="K550" i="45" s="1"/>
  <c r="K456" i="55"/>
  <c r="K456" i="45" s="1"/>
  <c r="J555" i="55"/>
  <c r="J555" i="45" s="1"/>
  <c r="L549" i="55"/>
  <c r="L549" i="45" s="1"/>
  <c r="H562" i="55"/>
  <c r="H562" i="45" s="1"/>
  <c r="K451" i="55"/>
  <c r="K451" i="45" s="1"/>
  <c r="J549" i="55"/>
  <c r="J549" i="45" s="1"/>
  <c r="L550" i="55"/>
  <c r="L550" i="45" s="1"/>
  <c r="H549" i="55"/>
  <c r="H549" i="45" s="1"/>
  <c r="K555" i="55"/>
  <c r="K555" i="45" s="1"/>
  <c r="K562" i="55"/>
  <c r="K562" i="45" s="1"/>
  <c r="K542" i="55"/>
  <c r="K542" i="45" s="1"/>
  <c r="L555" i="55"/>
  <c r="L542" i="55"/>
  <c r="L542" i="45" s="1"/>
  <c r="N17" i="61"/>
  <c r="G450" i="55"/>
  <c r="G450" i="45" s="1"/>
  <c r="J443" i="55"/>
  <c r="J443" i="45" s="1"/>
  <c r="G555" i="55"/>
  <c r="G555" i="45" s="1"/>
  <c r="G456" i="55"/>
  <c r="J451" i="55"/>
  <c r="J451" i="45" s="1"/>
  <c r="G443" i="55"/>
  <c r="G443" i="45" s="1"/>
  <c r="G451" i="55"/>
  <c r="G451" i="45" s="1"/>
  <c r="G549" i="55"/>
  <c r="G549" i="45" s="1"/>
  <c r="G542" i="55"/>
  <c r="G542" i="45" s="1"/>
  <c r="G562" i="55"/>
  <c r="G562" i="45" s="1"/>
  <c r="I451" i="55"/>
  <c r="I451" i="45" s="1"/>
  <c r="J450" i="55"/>
  <c r="J450" i="45" s="1"/>
  <c r="J463" i="55"/>
  <c r="N16" i="61"/>
  <c r="I443" i="55"/>
  <c r="I443" i="45" s="1"/>
  <c r="H451" i="55"/>
  <c r="H451" i="45" s="1"/>
  <c r="H450" i="55"/>
  <c r="H450" i="45" s="1"/>
  <c r="I456" i="55"/>
  <c r="H443" i="55"/>
  <c r="H443" i="45" s="1"/>
  <c r="H463" i="55"/>
  <c r="I450" i="55"/>
  <c r="I450" i="45" s="1"/>
  <c r="L464" i="55"/>
  <c r="L645" i="55" s="1"/>
  <c r="L464" i="45"/>
  <c r="L645" i="45" s="1"/>
  <c r="L452" i="55"/>
  <c r="L644" i="55" s="1"/>
  <c r="L452" i="45"/>
  <c r="L644" i="45" s="1"/>
  <c r="I551" i="55"/>
  <c r="I656" i="45" l="1"/>
  <c r="F555" i="55"/>
  <c r="F555" i="45" s="1"/>
  <c r="F824" i="55"/>
  <c r="F456" i="55"/>
  <c r="F456" i="45" s="1"/>
  <c r="F823" i="55"/>
  <c r="M16" i="50"/>
  <c r="M17" i="50"/>
  <c r="J563" i="45"/>
  <c r="L563" i="55"/>
  <c r="L656" i="55" s="1"/>
  <c r="J104" i="65" s="1"/>
  <c r="L555" i="45"/>
  <c r="L563" i="45" s="1"/>
  <c r="L656" i="45" s="1"/>
  <c r="L551" i="45"/>
  <c r="L655" i="45" s="1"/>
  <c r="K452" i="45"/>
  <c r="K644" i="45" s="1"/>
  <c r="H452" i="45"/>
  <c r="K464" i="45"/>
  <c r="K645" i="45" s="1"/>
  <c r="G452" i="45"/>
  <c r="J452" i="45"/>
  <c r="I464" i="55"/>
  <c r="I645" i="55" s="1"/>
  <c r="G104" i="65" s="1"/>
  <c r="I456" i="45"/>
  <c r="I452" i="45"/>
  <c r="J464" i="55"/>
  <c r="J645" i="55" s="1"/>
  <c r="J463" i="45"/>
  <c r="H464" i="55"/>
  <c r="H645" i="55" s="1"/>
  <c r="H463" i="45"/>
  <c r="G464" i="55"/>
  <c r="G645" i="55" s="1"/>
  <c r="G456" i="45"/>
  <c r="H551" i="45"/>
  <c r="H563" i="45"/>
  <c r="J551" i="45"/>
  <c r="G551" i="45"/>
  <c r="K563" i="45"/>
  <c r="K656" i="45" s="1"/>
  <c r="K551" i="45"/>
  <c r="K655" i="45" s="1"/>
  <c r="G563" i="45"/>
  <c r="I551" i="45"/>
  <c r="J563" i="55"/>
  <c r="J656" i="55" s="1"/>
  <c r="K464" i="55"/>
  <c r="K645" i="55" s="1"/>
  <c r="H563" i="55"/>
  <c r="H656" i="55" s="1"/>
  <c r="H551" i="55"/>
  <c r="H655" i="55" s="1"/>
  <c r="K452" i="55"/>
  <c r="K644" i="55" s="1"/>
  <c r="L551" i="55"/>
  <c r="L655" i="55" s="1"/>
  <c r="J103" i="65" s="1"/>
  <c r="J551" i="55"/>
  <c r="J655" i="55" s="1"/>
  <c r="K551" i="55"/>
  <c r="K655" i="55" s="1"/>
  <c r="F562" i="55"/>
  <c r="F549" i="55"/>
  <c r="F549" i="45" s="1"/>
  <c r="F550" i="55"/>
  <c r="F550" i="45" s="1"/>
  <c r="K563" i="55"/>
  <c r="K656" i="55" s="1"/>
  <c r="F542" i="55"/>
  <c r="F542" i="45" s="1"/>
  <c r="G563" i="55"/>
  <c r="G656" i="55" s="1"/>
  <c r="F463" i="55"/>
  <c r="G551" i="55"/>
  <c r="G655" i="55" s="1"/>
  <c r="J452" i="55"/>
  <c r="G452" i="55"/>
  <c r="F451" i="55"/>
  <c r="F451" i="45" s="1"/>
  <c r="F443" i="55"/>
  <c r="F443" i="45" s="1"/>
  <c r="F450" i="55"/>
  <c r="F450" i="45" s="1"/>
  <c r="I452" i="55"/>
  <c r="I644" i="55" s="1"/>
  <c r="H452" i="55"/>
  <c r="H644" i="55" s="1"/>
  <c r="L511" i="45"/>
  <c r="L511" i="55"/>
  <c r="I18" i="50"/>
  <c r="I610" i="55"/>
  <c r="I655" i="55"/>
  <c r="J18" i="61"/>
  <c r="H656" i="45" l="1"/>
  <c r="H464" i="45"/>
  <c r="I644" i="45"/>
  <c r="G644" i="45"/>
  <c r="I655" i="45"/>
  <c r="G464" i="45"/>
  <c r="G511" i="45" s="1"/>
  <c r="J464" i="45"/>
  <c r="J511" i="45" s="1"/>
  <c r="H644" i="45"/>
  <c r="H655" i="45"/>
  <c r="E19" i="50" s="1"/>
  <c r="I464" i="45"/>
  <c r="G656" i="45"/>
  <c r="J655" i="45"/>
  <c r="J644" i="45"/>
  <c r="J656" i="45"/>
  <c r="E104" i="65"/>
  <c r="H104" i="65"/>
  <c r="G103" i="65"/>
  <c r="I104" i="65"/>
  <c r="F103" i="65"/>
  <c r="I103" i="65"/>
  <c r="F104" i="65"/>
  <c r="F18" i="61"/>
  <c r="L610" i="45"/>
  <c r="G511" i="55"/>
  <c r="F563" i="55"/>
  <c r="F656" i="55" s="1"/>
  <c r="F562" i="45"/>
  <c r="K511" i="45"/>
  <c r="J511" i="55"/>
  <c r="F452" i="45"/>
  <c r="I511" i="45"/>
  <c r="F464" i="55"/>
  <c r="F645" i="55" s="1"/>
  <c r="F463" i="45"/>
  <c r="H610" i="45"/>
  <c r="J610" i="45"/>
  <c r="G610" i="45"/>
  <c r="G655" i="45"/>
  <c r="K610" i="45"/>
  <c r="I610" i="45"/>
  <c r="F551" i="45"/>
  <c r="L610" i="55"/>
  <c r="I18" i="61"/>
  <c r="K511" i="55"/>
  <c r="I19" i="61"/>
  <c r="F19" i="61"/>
  <c r="H610" i="55"/>
  <c r="G610" i="55"/>
  <c r="K610" i="55"/>
  <c r="J610" i="55"/>
  <c r="F551" i="55"/>
  <c r="F655" i="55" s="1"/>
  <c r="J644" i="55"/>
  <c r="H103" i="65" s="1"/>
  <c r="I511" i="55"/>
  <c r="G644" i="55"/>
  <c r="E103" i="65" s="1"/>
  <c r="F452" i="55"/>
  <c r="F644" i="55" s="1"/>
  <c r="H511" i="55"/>
  <c r="H19" i="61"/>
  <c r="E19" i="61"/>
  <c r="I19" i="50"/>
  <c r="H19" i="50"/>
  <c r="H18" i="50"/>
  <c r="G19" i="61"/>
  <c r="J19" i="61"/>
  <c r="G18" i="61"/>
  <c r="G19" i="50" l="1"/>
  <c r="D19" i="50"/>
  <c r="F464" i="45"/>
  <c r="F511" i="45" s="1"/>
  <c r="I645" i="45"/>
  <c r="G645" i="45"/>
  <c r="F655" i="45"/>
  <c r="F563" i="45"/>
  <c r="F610" i="45" s="1"/>
  <c r="J645" i="45"/>
  <c r="F644" i="45"/>
  <c r="H645" i="45"/>
  <c r="H511" i="45"/>
  <c r="F19" i="50"/>
  <c r="D103" i="65"/>
  <c r="E18" i="61"/>
  <c r="H18" i="61"/>
  <c r="D104" i="65"/>
  <c r="D18" i="61"/>
  <c r="F610" i="55"/>
  <c r="F511" i="55"/>
  <c r="D19" i="61"/>
  <c r="M19" i="61" s="1"/>
  <c r="E18" i="50" l="1"/>
  <c r="G18" i="50"/>
  <c r="F645" i="45"/>
  <c r="F18" i="50"/>
  <c r="F656" i="45"/>
  <c r="D18" i="50"/>
  <c r="M18" i="61"/>
  <c r="Q18" i="61" s="1"/>
  <c r="I825" i="55" s="1"/>
  <c r="T19" i="61"/>
  <c r="L826" i="55" s="1"/>
  <c r="O19" i="61"/>
  <c r="G826" i="55" s="1"/>
  <c r="P19" i="61"/>
  <c r="H826" i="55" s="1"/>
  <c r="S19" i="61"/>
  <c r="K826" i="55" s="1"/>
  <c r="R19" i="61"/>
  <c r="J826" i="55" s="1"/>
  <c r="Q19" i="61"/>
  <c r="I826" i="55" s="1"/>
  <c r="C19" i="50" l="1"/>
  <c r="L19" i="50" s="1"/>
  <c r="S19" i="50" s="1"/>
  <c r="C18" i="50"/>
  <c r="L18" i="50" s="1"/>
  <c r="O18" i="50" s="1"/>
  <c r="T18" i="61"/>
  <c r="O18" i="61"/>
  <c r="R18" i="61"/>
  <c r="S18" i="61"/>
  <c r="P18" i="61"/>
  <c r="I529" i="55"/>
  <c r="I529" i="45" s="1"/>
  <c r="I620" i="55"/>
  <c r="I620" i="45" s="1"/>
  <c r="I519" i="55"/>
  <c r="I519" i="45" s="1"/>
  <c r="I523" i="55"/>
  <c r="I523" i="45" s="1"/>
  <c r="I518" i="55"/>
  <c r="I518" i="45" s="1"/>
  <c r="I521" i="55"/>
  <c r="I521" i="45" s="1"/>
  <c r="I528" i="55"/>
  <c r="I528" i="45" s="1"/>
  <c r="I522" i="55"/>
  <c r="I522" i="45" s="1"/>
  <c r="I697" i="55"/>
  <c r="I697" i="45" s="1"/>
  <c r="I520" i="55"/>
  <c r="I520" i="45" s="1"/>
  <c r="I516" i="55"/>
  <c r="I516" i="45" s="1"/>
  <c r="I525" i="55"/>
  <c r="I525" i="45" s="1"/>
  <c r="I675" i="55"/>
  <c r="I675" i="45" s="1"/>
  <c r="I742" i="55"/>
  <c r="I742" i="45" s="1"/>
  <c r="I619" i="55"/>
  <c r="I619" i="45" s="1"/>
  <c r="I524" i="55"/>
  <c r="I524" i="45" s="1"/>
  <c r="I517" i="55"/>
  <c r="I517" i="45" s="1"/>
  <c r="I677" i="55"/>
  <c r="I677" i="45" s="1"/>
  <c r="I526" i="55"/>
  <c r="I526" i="45" s="1"/>
  <c r="I515" i="55"/>
  <c r="I515" i="45" s="1"/>
  <c r="K624" i="55"/>
  <c r="K624" i="45" s="1"/>
  <c r="K627" i="55"/>
  <c r="K627" i="45" s="1"/>
  <c r="K798" i="55"/>
  <c r="K798" i="45" s="1"/>
  <c r="K616" i="55"/>
  <c r="K616" i="45" s="1"/>
  <c r="K626" i="55"/>
  <c r="K626" i="45" s="1"/>
  <c r="K625" i="55"/>
  <c r="K625" i="45" s="1"/>
  <c r="K617" i="55"/>
  <c r="K617" i="45" s="1"/>
  <c r="K630" i="55"/>
  <c r="K630" i="45" s="1"/>
  <c r="K615" i="55"/>
  <c r="K615" i="45" s="1"/>
  <c r="K629" i="55"/>
  <c r="K629" i="45" s="1"/>
  <c r="K623" i="55"/>
  <c r="K623" i="45" s="1"/>
  <c r="K618" i="55"/>
  <c r="K618" i="45" s="1"/>
  <c r="K614" i="55"/>
  <c r="K614" i="45" s="1"/>
  <c r="H629" i="55"/>
  <c r="H629" i="45" s="1"/>
  <c r="H626" i="55"/>
  <c r="H626" i="45" s="1"/>
  <c r="H627" i="55"/>
  <c r="H627" i="45" s="1"/>
  <c r="H624" i="55"/>
  <c r="H624" i="45" s="1"/>
  <c r="H623" i="55"/>
  <c r="H623" i="45" s="1"/>
  <c r="H616" i="55"/>
  <c r="H616" i="45" s="1"/>
  <c r="H615" i="55"/>
  <c r="H615" i="45" s="1"/>
  <c r="H798" i="55"/>
  <c r="H798" i="45" s="1"/>
  <c r="H617" i="55"/>
  <c r="H617" i="45" s="1"/>
  <c r="H625" i="55"/>
  <c r="H625" i="45" s="1"/>
  <c r="H630" i="55"/>
  <c r="H630" i="45" s="1"/>
  <c r="H618" i="55"/>
  <c r="H618" i="45" s="1"/>
  <c r="H614" i="55"/>
  <c r="H614" i="45" s="1"/>
  <c r="S18" i="50"/>
  <c r="I629" i="55"/>
  <c r="I629" i="45" s="1"/>
  <c r="I623" i="55"/>
  <c r="I623" i="45" s="1"/>
  <c r="I617" i="55"/>
  <c r="I617" i="45" s="1"/>
  <c r="I630" i="55"/>
  <c r="I630" i="45" s="1"/>
  <c r="I615" i="55"/>
  <c r="I615" i="45" s="1"/>
  <c r="I627" i="55"/>
  <c r="I627" i="45" s="1"/>
  <c r="I624" i="55"/>
  <c r="I624" i="45" s="1"/>
  <c r="I626" i="55"/>
  <c r="I626" i="45" s="1"/>
  <c r="I625" i="55"/>
  <c r="I625" i="45" s="1"/>
  <c r="I798" i="55"/>
  <c r="I798" i="45" s="1"/>
  <c r="I618" i="55"/>
  <c r="I618" i="45" s="1"/>
  <c r="I616" i="55"/>
  <c r="I616" i="45" s="1"/>
  <c r="I614" i="55"/>
  <c r="I614" i="45" s="1"/>
  <c r="G615" i="55"/>
  <c r="G615" i="45" s="1"/>
  <c r="G630" i="55"/>
  <c r="G630" i="45" s="1"/>
  <c r="G629" i="55"/>
  <c r="G629" i="45" s="1"/>
  <c r="N19" i="61"/>
  <c r="F826" i="55" s="1"/>
  <c r="G624" i="55"/>
  <c r="G624" i="45" s="1"/>
  <c r="G618" i="55"/>
  <c r="G618" i="45" s="1"/>
  <c r="G626" i="55"/>
  <c r="G626" i="45" s="1"/>
  <c r="G617" i="55"/>
  <c r="G617" i="45" s="1"/>
  <c r="G625" i="55"/>
  <c r="G625" i="45" s="1"/>
  <c r="G616" i="55"/>
  <c r="G616" i="45" s="1"/>
  <c r="G623" i="55"/>
  <c r="G623" i="45" s="1"/>
  <c r="G798" i="55"/>
  <c r="G798" i="45" s="1"/>
  <c r="G627" i="55"/>
  <c r="G627" i="45" s="1"/>
  <c r="G614" i="55"/>
  <c r="G614" i="45" s="1"/>
  <c r="J616" i="55"/>
  <c r="J616" i="45" s="1"/>
  <c r="J798" i="55"/>
  <c r="J798" i="45" s="1"/>
  <c r="J617" i="55"/>
  <c r="J617" i="45" s="1"/>
  <c r="J618" i="55"/>
  <c r="J618" i="45" s="1"/>
  <c r="J615" i="55"/>
  <c r="J615" i="45" s="1"/>
  <c r="J623" i="55"/>
  <c r="J623" i="45" s="1"/>
  <c r="J627" i="55"/>
  <c r="J627" i="45" s="1"/>
  <c r="J629" i="55"/>
  <c r="J629" i="45" s="1"/>
  <c r="J624" i="55"/>
  <c r="J624" i="45" s="1"/>
  <c r="J625" i="55"/>
  <c r="J625" i="45" s="1"/>
  <c r="J626" i="55"/>
  <c r="J626" i="45" s="1"/>
  <c r="J630" i="55"/>
  <c r="J630" i="45" s="1"/>
  <c r="J614" i="55"/>
  <c r="J614" i="45" s="1"/>
  <c r="L627" i="55"/>
  <c r="L627" i="45" s="1"/>
  <c r="L625" i="55"/>
  <c r="L625" i="45" s="1"/>
  <c r="L618" i="55"/>
  <c r="L618" i="45" s="1"/>
  <c r="L630" i="55"/>
  <c r="L630" i="45" s="1"/>
  <c r="L615" i="55"/>
  <c r="L615" i="45" s="1"/>
  <c r="L616" i="55"/>
  <c r="L616" i="45" s="1"/>
  <c r="L626" i="55"/>
  <c r="L626" i="45" s="1"/>
  <c r="L623" i="55"/>
  <c r="L623" i="45" s="1"/>
  <c r="L629" i="55"/>
  <c r="L629" i="45" s="1"/>
  <c r="L614" i="55"/>
  <c r="L614" i="45" s="1"/>
  <c r="L617" i="55"/>
  <c r="L617" i="45" s="1"/>
  <c r="L624" i="55"/>
  <c r="L624" i="45" s="1"/>
  <c r="L798" i="55"/>
  <c r="L798" i="45" s="1"/>
  <c r="N18" i="50" l="1"/>
  <c r="R18" i="50"/>
  <c r="Q18" i="50"/>
  <c r="P18" i="50"/>
  <c r="N19" i="50"/>
  <c r="O19" i="50"/>
  <c r="P19" i="50"/>
  <c r="R19" i="50"/>
  <c r="Q19" i="50"/>
  <c r="H677" i="55"/>
  <c r="H677" i="45" s="1"/>
  <c r="H825" i="55"/>
  <c r="L525" i="55"/>
  <c r="L525" i="45" s="1"/>
  <c r="L825" i="55"/>
  <c r="K520" i="55"/>
  <c r="K520" i="45" s="1"/>
  <c r="K825" i="55"/>
  <c r="J697" i="55"/>
  <c r="J697" i="45" s="1"/>
  <c r="J825" i="55"/>
  <c r="G675" i="55"/>
  <c r="G675" i="45" s="1"/>
  <c r="G825" i="55"/>
  <c r="L620" i="55"/>
  <c r="L620" i="45" s="1"/>
  <c r="L521" i="55"/>
  <c r="L521" i="45" s="1"/>
  <c r="L517" i="55"/>
  <c r="L517" i="45" s="1"/>
  <c r="L524" i="55"/>
  <c r="L524" i="45" s="1"/>
  <c r="L677" i="55"/>
  <c r="L677" i="45" s="1"/>
  <c r="H515" i="55"/>
  <c r="H515" i="45" s="1"/>
  <c r="H520" i="55"/>
  <c r="H520" i="45" s="1"/>
  <c r="L522" i="55"/>
  <c r="L522" i="45" s="1"/>
  <c r="L675" i="55"/>
  <c r="L675" i="45" s="1"/>
  <c r="L528" i="55"/>
  <c r="L528" i="45" s="1"/>
  <c r="H517" i="55"/>
  <c r="H517" i="45" s="1"/>
  <c r="L697" i="55"/>
  <c r="L697" i="45" s="1"/>
  <c r="L523" i="55"/>
  <c r="L523" i="45" s="1"/>
  <c r="L526" i="55"/>
  <c r="L526" i="45" s="1"/>
  <c r="L516" i="55"/>
  <c r="L516" i="45" s="1"/>
  <c r="L518" i="55"/>
  <c r="L518" i="45" s="1"/>
  <c r="H526" i="55"/>
  <c r="H526" i="45" s="1"/>
  <c r="H529" i="55"/>
  <c r="H529" i="45" s="1"/>
  <c r="L515" i="55"/>
  <c r="L515" i="45" s="1"/>
  <c r="L742" i="55"/>
  <c r="L742" i="45" s="1"/>
  <c r="H620" i="55"/>
  <c r="H620" i="45" s="1"/>
  <c r="L529" i="55"/>
  <c r="L529" i="45" s="1"/>
  <c r="L619" i="55"/>
  <c r="L619" i="45" s="1"/>
  <c r="L520" i="55"/>
  <c r="L520" i="45" s="1"/>
  <c r="L519" i="55"/>
  <c r="L519" i="45" s="1"/>
  <c r="H522" i="55"/>
  <c r="H522" i="45" s="1"/>
  <c r="H619" i="55"/>
  <c r="H619" i="45" s="1"/>
  <c r="J519" i="55"/>
  <c r="J519" i="45" s="1"/>
  <c r="J525" i="55"/>
  <c r="J525" i="45" s="1"/>
  <c r="G529" i="55"/>
  <c r="G529" i="45" s="1"/>
  <c r="G619" i="55"/>
  <c r="G619" i="45" s="1"/>
  <c r="G516" i="55"/>
  <c r="G516" i="45" s="1"/>
  <c r="K515" i="55"/>
  <c r="K515" i="45" s="1"/>
  <c r="K697" i="55"/>
  <c r="K697" i="45" s="1"/>
  <c r="G620" i="55"/>
  <c r="G620" i="45" s="1"/>
  <c r="G518" i="55"/>
  <c r="G518" i="45" s="1"/>
  <c r="G517" i="55"/>
  <c r="G517" i="45" s="1"/>
  <c r="G526" i="55"/>
  <c r="G526" i="45" s="1"/>
  <c r="G528" i="55"/>
  <c r="G528" i="45" s="1"/>
  <c r="G524" i="55"/>
  <c r="G524" i="45" s="1"/>
  <c r="G525" i="55"/>
  <c r="G525" i="45" s="1"/>
  <c r="K521" i="55"/>
  <c r="K521" i="45" s="1"/>
  <c r="K522" i="55"/>
  <c r="K522" i="45" s="1"/>
  <c r="J515" i="55"/>
  <c r="J515" i="45" s="1"/>
  <c r="J526" i="55"/>
  <c r="J526" i="45" s="1"/>
  <c r="K525" i="55"/>
  <c r="K525" i="45" s="1"/>
  <c r="J520" i="55"/>
  <c r="J520" i="45" s="1"/>
  <c r="J742" i="55"/>
  <c r="J742" i="45" s="1"/>
  <c r="J517" i="55"/>
  <c r="J517" i="45" s="1"/>
  <c r="J528" i="55"/>
  <c r="J528" i="45" s="1"/>
  <c r="J523" i="55"/>
  <c r="J523" i="45" s="1"/>
  <c r="J677" i="55"/>
  <c r="J677" i="45" s="1"/>
  <c r="J518" i="55"/>
  <c r="J518" i="45" s="1"/>
  <c r="J522" i="55"/>
  <c r="J522" i="45" s="1"/>
  <c r="G515" i="55"/>
  <c r="G515" i="45" s="1"/>
  <c r="G522" i="55"/>
  <c r="G522" i="45" s="1"/>
  <c r="G742" i="55"/>
  <c r="G742" i="45" s="1"/>
  <c r="G519" i="55"/>
  <c r="G519" i="45" s="1"/>
  <c r="G523" i="55"/>
  <c r="G523" i="45" s="1"/>
  <c r="J521" i="55"/>
  <c r="J521" i="45" s="1"/>
  <c r="J620" i="55"/>
  <c r="J620" i="45" s="1"/>
  <c r="J529" i="55"/>
  <c r="J529" i="45" s="1"/>
  <c r="J524" i="55"/>
  <c r="J524" i="45" s="1"/>
  <c r="J675" i="55"/>
  <c r="J675" i="45" s="1"/>
  <c r="J516" i="55"/>
  <c r="J516" i="45" s="1"/>
  <c r="J619" i="55"/>
  <c r="J619" i="45" s="1"/>
  <c r="G677" i="55"/>
  <c r="G677" i="45" s="1"/>
  <c r="G697" i="55"/>
  <c r="G697" i="45" s="1"/>
  <c r="G521" i="55"/>
  <c r="G521" i="45" s="1"/>
  <c r="G520" i="55"/>
  <c r="G520" i="45" s="1"/>
  <c r="K528" i="55"/>
  <c r="K528" i="45" s="1"/>
  <c r="K523" i="55"/>
  <c r="K523" i="45" s="1"/>
  <c r="K677" i="55"/>
  <c r="K677" i="45" s="1"/>
  <c r="K524" i="55"/>
  <c r="K524" i="45" s="1"/>
  <c r="K620" i="55"/>
  <c r="K620" i="45" s="1"/>
  <c r="K516" i="55"/>
  <c r="K516" i="45" s="1"/>
  <c r="K526" i="55"/>
  <c r="K526" i="45" s="1"/>
  <c r="K619" i="55"/>
  <c r="K619" i="45" s="1"/>
  <c r="K519" i="55"/>
  <c r="K519" i="45" s="1"/>
  <c r="K518" i="55"/>
  <c r="K518" i="45" s="1"/>
  <c r="K517" i="55"/>
  <c r="K517" i="45" s="1"/>
  <c r="K675" i="55"/>
  <c r="K675" i="45" s="1"/>
  <c r="K742" i="55"/>
  <c r="K742" i="45" s="1"/>
  <c r="K529" i="55"/>
  <c r="K529" i="45" s="1"/>
  <c r="N18" i="61"/>
  <c r="H525" i="55"/>
  <c r="H525" i="45" s="1"/>
  <c r="H519" i="55"/>
  <c r="H519" i="45" s="1"/>
  <c r="H675" i="55"/>
  <c r="H675" i="45" s="1"/>
  <c r="H523" i="55"/>
  <c r="H523" i="45" s="1"/>
  <c r="H521" i="55"/>
  <c r="H521" i="45" s="1"/>
  <c r="H518" i="55"/>
  <c r="H518" i="45" s="1"/>
  <c r="H697" i="55"/>
  <c r="H697" i="45" s="1"/>
  <c r="H516" i="55"/>
  <c r="H516" i="45" s="1"/>
  <c r="H742" i="55"/>
  <c r="H742" i="45" s="1"/>
  <c r="H528" i="55"/>
  <c r="H528" i="45" s="1"/>
  <c r="H524" i="55"/>
  <c r="H524" i="45" s="1"/>
  <c r="F629" i="55"/>
  <c r="F629" i="45" s="1"/>
  <c r="F624" i="55"/>
  <c r="F624" i="45" s="1"/>
  <c r="F798" i="55"/>
  <c r="F798" i="45" s="1"/>
  <c r="F615" i="55"/>
  <c r="F615" i="45" s="1"/>
  <c r="F630" i="55"/>
  <c r="F630" i="45" s="1"/>
  <c r="F627" i="55"/>
  <c r="F627" i="45" s="1"/>
  <c r="F614" i="55"/>
  <c r="F614" i="45" s="1"/>
  <c r="F626" i="55"/>
  <c r="F626" i="45" s="1"/>
  <c r="F625" i="55"/>
  <c r="F625" i="45" s="1"/>
  <c r="F623" i="55"/>
  <c r="F616" i="55"/>
  <c r="F616" i="45" s="1"/>
  <c r="F618" i="55"/>
  <c r="F618" i="45" s="1"/>
  <c r="F617" i="55"/>
  <c r="F617" i="45" s="1"/>
  <c r="I530" i="55"/>
  <c r="M18" i="50" l="1"/>
  <c r="M19" i="50"/>
  <c r="F518" i="55"/>
  <c r="F518" i="45" s="1"/>
  <c r="F825" i="55"/>
  <c r="L530" i="55"/>
  <c r="L532" i="55" s="1"/>
  <c r="F523" i="55"/>
  <c r="F523" i="45" s="1"/>
  <c r="F697" i="55"/>
  <c r="F697" i="45" s="1"/>
  <c r="F742" i="55"/>
  <c r="F742" i="45" s="1"/>
  <c r="F522" i="55"/>
  <c r="F522" i="45" s="1"/>
  <c r="F528" i="55"/>
  <c r="F528" i="45" s="1"/>
  <c r="F521" i="55"/>
  <c r="F521" i="45" s="1"/>
  <c r="F515" i="55"/>
  <c r="F515" i="45" s="1"/>
  <c r="F516" i="55"/>
  <c r="F516" i="45" s="1"/>
  <c r="F677" i="55"/>
  <c r="F677" i="45" s="1"/>
  <c r="F675" i="55"/>
  <c r="F675" i="45" s="1"/>
  <c r="J530" i="55"/>
  <c r="J649" i="55" s="1"/>
  <c r="F524" i="55"/>
  <c r="F524" i="45" s="1"/>
  <c r="F517" i="55"/>
  <c r="F517" i="45" s="1"/>
  <c r="F620" i="55"/>
  <c r="F620" i="45" s="1"/>
  <c r="F525" i="55"/>
  <c r="F525" i="45" s="1"/>
  <c r="F519" i="55"/>
  <c r="F519" i="45" s="1"/>
  <c r="G530" i="55"/>
  <c r="G649" i="55" s="1"/>
  <c r="F526" i="55"/>
  <c r="F526" i="45" s="1"/>
  <c r="F529" i="55"/>
  <c r="F529" i="45" s="1"/>
  <c r="F520" i="55"/>
  <c r="F520" i="45" s="1"/>
  <c r="F619" i="55"/>
  <c r="F619" i="45" s="1"/>
  <c r="K530" i="55"/>
  <c r="K532" i="55" s="1"/>
  <c r="H530" i="55"/>
  <c r="H532" i="55" s="1"/>
  <c r="F623" i="45"/>
  <c r="G530" i="45"/>
  <c r="J530" i="45"/>
  <c r="L530" i="45"/>
  <c r="L649" i="45" s="1"/>
  <c r="L650" i="45" s="1"/>
  <c r="H530" i="45"/>
  <c r="K530" i="45"/>
  <c r="I649" i="55"/>
  <c r="I532" i="55"/>
  <c r="I530" i="45"/>
  <c r="J532" i="45" l="1"/>
  <c r="G649" i="45"/>
  <c r="H532" i="45"/>
  <c r="E623" i="45"/>
  <c r="L649" i="55"/>
  <c r="K649" i="55"/>
  <c r="J532" i="55"/>
  <c r="H649" i="55"/>
  <c r="G532" i="55"/>
  <c r="G650" i="55"/>
  <c r="F530" i="55"/>
  <c r="F532" i="55" s="1"/>
  <c r="I650" i="55"/>
  <c r="J650" i="55"/>
  <c r="L532" i="45"/>
  <c r="J649" i="45"/>
  <c r="H649" i="45"/>
  <c r="G532" i="45"/>
  <c r="I649" i="45"/>
  <c r="I532" i="45"/>
  <c r="K649" i="45"/>
  <c r="K650" i="45" s="1"/>
  <c r="K532" i="45"/>
  <c r="F530" i="45"/>
  <c r="J650" i="45" l="1"/>
  <c r="I650" i="45"/>
  <c r="G650" i="45"/>
  <c r="H650" i="45"/>
  <c r="D484" i="1"/>
  <c r="D483" i="1" s="1"/>
  <c r="E622" i="45" s="1"/>
  <c r="K650" i="55"/>
  <c r="L650" i="55"/>
  <c r="F649" i="55"/>
  <c r="H650" i="55"/>
  <c r="F649" i="45"/>
  <c r="F532" i="45"/>
  <c r="E492" i="1" l="1"/>
  <c r="E504" i="1" s="1"/>
  <c r="D492" i="1"/>
  <c r="E622" i="52"/>
  <c r="C15" i="65" s="1"/>
  <c r="C18" i="65" s="1"/>
  <c r="F650" i="45"/>
  <c r="E631" i="45"/>
  <c r="F650" i="55"/>
  <c r="F622" i="52" l="1"/>
  <c r="E622" i="53" s="1"/>
  <c r="G622" i="52"/>
  <c r="H622" i="52"/>
  <c r="H631" i="52" s="1"/>
  <c r="E631" i="52"/>
  <c r="E633" i="52" s="1"/>
  <c r="E633" i="45"/>
  <c r="E660" i="45"/>
  <c r="F631" i="52" l="1"/>
  <c r="F660" i="52" s="1"/>
  <c r="F661" i="52" s="1"/>
  <c r="F663" i="52" s="1"/>
  <c r="D15" i="65"/>
  <c r="C46" i="65" s="1"/>
  <c r="E622" i="55"/>
  <c r="K622" i="55" s="1"/>
  <c r="I108" i="65" s="1"/>
  <c r="F15" i="65"/>
  <c r="C108" i="65" s="1"/>
  <c r="E15" i="65"/>
  <c r="C77" i="65" s="1"/>
  <c r="E622" i="54"/>
  <c r="I622" i="54" s="1"/>
  <c r="G631" i="52"/>
  <c r="G660" i="52" s="1"/>
  <c r="G661" i="52" s="1"/>
  <c r="G663" i="52" s="1"/>
  <c r="E660" i="52"/>
  <c r="E661" i="52" s="1"/>
  <c r="E661" i="45"/>
  <c r="E663" i="45" s="1"/>
  <c r="E631" i="53"/>
  <c r="L622" i="53"/>
  <c r="H622" i="53"/>
  <c r="J622" i="53"/>
  <c r="G622" i="53"/>
  <c r="I622" i="53"/>
  <c r="K622" i="53"/>
  <c r="F622" i="53"/>
  <c r="H633" i="52"/>
  <c r="H660" i="52"/>
  <c r="H661" i="52" s="1"/>
  <c r="H663" i="52" s="1"/>
  <c r="G13" i="50"/>
  <c r="H13" i="61"/>
  <c r="I13" i="50"/>
  <c r="H13" i="50"/>
  <c r="F13" i="50"/>
  <c r="D13" i="50"/>
  <c r="E13" i="50"/>
  <c r="C13" i="50"/>
  <c r="E156" i="45"/>
  <c r="F633" i="52" l="1"/>
  <c r="I622" i="55"/>
  <c r="I631" i="55" s="1"/>
  <c r="E631" i="55"/>
  <c r="E660" i="55" s="1"/>
  <c r="E661" i="55" s="1"/>
  <c r="E663" i="55" s="1"/>
  <c r="E804" i="55" s="1"/>
  <c r="E806" i="55" s="1"/>
  <c r="E795" i="55" s="1"/>
  <c r="J622" i="55"/>
  <c r="H108" i="65" s="1"/>
  <c r="K631" i="55"/>
  <c r="K633" i="55" s="1"/>
  <c r="L622" i="55"/>
  <c r="J108" i="65" s="1"/>
  <c r="F622" i="55"/>
  <c r="F631" i="55" s="1"/>
  <c r="F660" i="55" s="1"/>
  <c r="F661" i="55" s="1"/>
  <c r="F663" i="55" s="1"/>
  <c r="H622" i="55"/>
  <c r="F108" i="65" s="1"/>
  <c r="G622" i="55"/>
  <c r="G631" i="55" s="1"/>
  <c r="G660" i="55" s="1"/>
  <c r="G661" i="55" s="1"/>
  <c r="G663" i="55" s="1"/>
  <c r="L622" i="54"/>
  <c r="J77" i="65" s="1"/>
  <c r="H622" i="54"/>
  <c r="H631" i="54" s="1"/>
  <c r="E631" i="54"/>
  <c r="E660" i="54" s="1"/>
  <c r="E661" i="54" s="1"/>
  <c r="E663" i="54" s="1"/>
  <c r="K622" i="54"/>
  <c r="K622" i="45" s="1"/>
  <c r="K631" i="45" s="1"/>
  <c r="K633" i="45" s="1"/>
  <c r="G633" i="52"/>
  <c r="G622" i="54"/>
  <c r="J622" i="54"/>
  <c r="H77" i="65" s="1"/>
  <c r="F622" i="54"/>
  <c r="F631" i="54" s="1"/>
  <c r="G108" i="65"/>
  <c r="E663" i="52"/>
  <c r="E731" i="45"/>
  <c r="E804" i="45"/>
  <c r="E100" i="45"/>
  <c r="G77" i="65"/>
  <c r="I631" i="54"/>
  <c r="E633" i="53"/>
  <c r="E660" i="53"/>
  <c r="E100" i="55"/>
  <c r="I631" i="53"/>
  <c r="G46" i="65"/>
  <c r="J46" i="65"/>
  <c r="L631" i="53"/>
  <c r="I633" i="55"/>
  <c r="I660" i="55"/>
  <c r="I661" i="55" s="1"/>
  <c r="I663" i="55" s="1"/>
  <c r="E46" i="65"/>
  <c r="G631" i="53"/>
  <c r="I622" i="45"/>
  <c r="H804" i="52"/>
  <c r="H806" i="52" s="1"/>
  <c r="H795" i="52" s="1"/>
  <c r="H100" i="52"/>
  <c r="F631" i="53"/>
  <c r="D46" i="65"/>
  <c r="H46" i="65"/>
  <c r="J631" i="53"/>
  <c r="F804" i="52"/>
  <c r="F806" i="52" s="1"/>
  <c r="F795" i="52" s="1"/>
  <c r="F100" i="52"/>
  <c r="I46" i="65"/>
  <c r="K631" i="53"/>
  <c r="H631" i="53"/>
  <c r="F46" i="65"/>
  <c r="G804" i="52"/>
  <c r="G806" i="52" s="1"/>
  <c r="G795" i="52" s="1"/>
  <c r="G100" i="52"/>
  <c r="L13" i="50"/>
  <c r="H13" i="57"/>
  <c r="D13" i="57" s="1"/>
  <c r="G821" i="52" s="1"/>
  <c r="C14" i="57"/>
  <c r="F822" i="52" s="1"/>
  <c r="E14" i="57"/>
  <c r="H822" i="52" s="1"/>
  <c r="E12" i="57"/>
  <c r="H820" i="52" s="1"/>
  <c r="D13" i="61"/>
  <c r="E188" i="45"/>
  <c r="E205" i="45" s="1"/>
  <c r="F13" i="61"/>
  <c r="E13" i="61"/>
  <c r="J13" i="61"/>
  <c r="G13" i="61"/>
  <c r="I13" i="61"/>
  <c r="K660" i="55" l="1"/>
  <c r="K661" i="55" s="1"/>
  <c r="K663" i="55" s="1"/>
  <c r="K804" i="55" s="1"/>
  <c r="K806" i="55" s="1"/>
  <c r="K795" i="55" s="1"/>
  <c r="F633" i="55"/>
  <c r="E633" i="55"/>
  <c r="J631" i="55"/>
  <c r="J660" i="55" s="1"/>
  <c r="J661" i="55" s="1"/>
  <c r="J663" i="55" s="1"/>
  <c r="J804" i="55" s="1"/>
  <c r="J806" i="55" s="1"/>
  <c r="J795" i="55" s="1"/>
  <c r="G633" i="55"/>
  <c r="L631" i="54"/>
  <c r="L660" i="54" s="1"/>
  <c r="L661" i="54" s="1"/>
  <c r="L663" i="54" s="1"/>
  <c r="L631" i="55"/>
  <c r="L633" i="55" s="1"/>
  <c r="K631" i="54"/>
  <c r="K633" i="54" s="1"/>
  <c r="G622" i="45"/>
  <c r="G631" i="45" s="1"/>
  <c r="G633" i="45" s="1"/>
  <c r="F622" i="45"/>
  <c r="F631" i="45" s="1"/>
  <c r="F633" i="45" s="1"/>
  <c r="H622" i="45"/>
  <c r="H631" i="45" s="1"/>
  <c r="H660" i="45" s="1"/>
  <c r="E633" i="54"/>
  <c r="F77" i="65"/>
  <c r="D108" i="65"/>
  <c r="H631" i="55"/>
  <c r="H660" i="55" s="1"/>
  <c r="H661" i="55" s="1"/>
  <c r="H663" i="55" s="1"/>
  <c r="H804" i="55" s="1"/>
  <c r="H806" i="55" s="1"/>
  <c r="H795" i="55" s="1"/>
  <c r="I77" i="65"/>
  <c r="D77" i="65"/>
  <c r="E108" i="65"/>
  <c r="L622" i="45"/>
  <c r="L631" i="45" s="1"/>
  <c r="L633" i="45" s="1"/>
  <c r="G631" i="54"/>
  <c r="G660" i="54" s="1"/>
  <c r="G661" i="54" s="1"/>
  <c r="G663" i="54" s="1"/>
  <c r="E77" i="65"/>
  <c r="J631" i="54"/>
  <c r="J633" i="54" s="1"/>
  <c r="J622" i="45"/>
  <c r="J631" i="45" s="1"/>
  <c r="E661" i="53"/>
  <c r="I631" i="45"/>
  <c r="I660" i="45" s="1"/>
  <c r="E732" i="45"/>
  <c r="E806" i="45"/>
  <c r="K660" i="45"/>
  <c r="K661" i="45" s="1"/>
  <c r="K663" i="45" s="1"/>
  <c r="K100" i="45" s="1"/>
  <c r="K13" i="45" s="1"/>
  <c r="E731" i="52"/>
  <c r="E732" i="52" s="1"/>
  <c r="E687" i="52" s="1"/>
  <c r="E100" i="52"/>
  <c r="E13" i="52" s="1"/>
  <c r="E804" i="52"/>
  <c r="E806" i="52" s="1"/>
  <c r="E795" i="52" s="1"/>
  <c r="E800" i="52" s="1"/>
  <c r="H660" i="53"/>
  <c r="H661" i="53" s="1"/>
  <c r="H663" i="53" s="1"/>
  <c r="H633" i="53"/>
  <c r="F804" i="55"/>
  <c r="F806" i="55" s="1"/>
  <c r="F795" i="55" s="1"/>
  <c r="F100" i="55"/>
  <c r="F633" i="53"/>
  <c r="F660" i="53"/>
  <c r="F661" i="53" s="1"/>
  <c r="F663" i="53" s="1"/>
  <c r="L660" i="53"/>
  <c r="L661" i="53" s="1"/>
  <c r="L663" i="53" s="1"/>
  <c r="L633" i="53"/>
  <c r="E804" i="54"/>
  <c r="E806" i="54" s="1"/>
  <c r="E795" i="54" s="1"/>
  <c r="E100" i="54"/>
  <c r="J660" i="53"/>
  <c r="J661" i="53" s="1"/>
  <c r="J663" i="53" s="1"/>
  <c r="J633" i="53"/>
  <c r="H633" i="54"/>
  <c r="H660" i="54"/>
  <c r="H661" i="54" s="1"/>
  <c r="H663" i="54" s="1"/>
  <c r="G660" i="53"/>
  <c r="G661" i="53" s="1"/>
  <c r="G663" i="53" s="1"/>
  <c r="G633" i="53"/>
  <c r="I804" i="55"/>
  <c r="I806" i="55" s="1"/>
  <c r="I795" i="55" s="1"/>
  <c r="I100" i="55"/>
  <c r="I633" i="54"/>
  <c r="I660" i="54"/>
  <c r="I661" i="54" s="1"/>
  <c r="I663" i="54" s="1"/>
  <c r="K660" i="53"/>
  <c r="K661" i="53" s="1"/>
  <c r="K663" i="53" s="1"/>
  <c r="K633" i="53"/>
  <c r="F660" i="54"/>
  <c r="F661" i="54" s="1"/>
  <c r="F663" i="54" s="1"/>
  <c r="F633" i="54"/>
  <c r="I660" i="53"/>
  <c r="I661" i="53" s="1"/>
  <c r="I663" i="53" s="1"/>
  <c r="I633" i="53"/>
  <c r="G100" i="55"/>
  <c r="G804" i="55"/>
  <c r="G806" i="55" s="1"/>
  <c r="G795" i="55" s="1"/>
  <c r="I40" i="57"/>
  <c r="G40" i="57"/>
  <c r="I38" i="57"/>
  <c r="M13" i="61"/>
  <c r="H302" i="52"/>
  <c r="H216" i="52"/>
  <c r="H184" i="52"/>
  <c r="H365" i="52"/>
  <c r="H265" i="52"/>
  <c r="H135" i="52"/>
  <c r="H268" i="52"/>
  <c r="H279" i="52"/>
  <c r="H200" i="52"/>
  <c r="H199" i="52"/>
  <c r="H351" i="52"/>
  <c r="H185" i="52"/>
  <c r="H370" i="52"/>
  <c r="H283" i="52"/>
  <c r="H363" i="52"/>
  <c r="H353" i="52"/>
  <c r="H352" i="52"/>
  <c r="H198" i="52"/>
  <c r="H241" i="52"/>
  <c r="H197" i="52"/>
  <c r="H276" i="52"/>
  <c r="H372" i="52"/>
  <c r="H286" i="52"/>
  <c r="H269" i="52"/>
  <c r="H203" i="52"/>
  <c r="H193" i="52"/>
  <c r="H281" i="52"/>
  <c r="H327" i="52"/>
  <c r="H196" i="52"/>
  <c r="H361" i="52"/>
  <c r="H267" i="52"/>
  <c r="H354" i="52"/>
  <c r="H191" i="52"/>
  <c r="H367" i="52"/>
  <c r="H136" i="52"/>
  <c r="H350" i="52"/>
  <c r="H195" i="52"/>
  <c r="H303" i="52"/>
  <c r="H280" i="52"/>
  <c r="H187" i="52"/>
  <c r="H288" i="52"/>
  <c r="H137" i="52"/>
  <c r="H270" i="52"/>
  <c r="H368" i="52"/>
  <c r="H183" i="52"/>
  <c r="H217" i="52"/>
  <c r="H371" i="52"/>
  <c r="H201" i="52"/>
  <c r="H284" i="52"/>
  <c r="H285" i="52"/>
  <c r="H266" i="52"/>
  <c r="H186" i="52"/>
  <c r="H362" i="52"/>
  <c r="H277" i="52"/>
  <c r="H194" i="52"/>
  <c r="H326" i="52"/>
  <c r="H797" i="52"/>
  <c r="H287" i="52"/>
  <c r="H355" i="52"/>
  <c r="H304" i="52"/>
  <c r="H282" i="52"/>
  <c r="H192" i="52"/>
  <c r="H218" i="52"/>
  <c r="H278" i="52"/>
  <c r="H219" i="52"/>
  <c r="H369" i="52"/>
  <c r="H366" i="52"/>
  <c r="H159" i="52"/>
  <c r="H275" i="52"/>
  <c r="H364" i="52"/>
  <c r="H134" i="52"/>
  <c r="H202" i="52"/>
  <c r="H305" i="52"/>
  <c r="H182" i="52"/>
  <c r="H360" i="52"/>
  <c r="H240" i="52"/>
  <c r="H158" i="52"/>
  <c r="H190" i="52"/>
  <c r="H215" i="52"/>
  <c r="H301" i="52"/>
  <c r="H673" i="52"/>
  <c r="H679" i="52" s="1"/>
  <c r="H133" i="52"/>
  <c r="O13" i="50"/>
  <c r="S13" i="50"/>
  <c r="R13" i="50"/>
  <c r="P13" i="50"/>
  <c r="Q13" i="50"/>
  <c r="N13" i="50"/>
  <c r="H12" i="57"/>
  <c r="D12" i="57" s="1"/>
  <c r="G820" i="52" s="1"/>
  <c r="C13" i="57"/>
  <c r="F821" i="52" s="1"/>
  <c r="H14" i="57"/>
  <c r="D14" i="57" s="1"/>
  <c r="G822" i="52" s="1"/>
  <c r="E779" i="45"/>
  <c r="E13" i="57"/>
  <c r="H821" i="52" s="1"/>
  <c r="C12" i="57"/>
  <c r="F820" i="52" s="1"/>
  <c r="K660" i="54" l="1"/>
  <c r="K661" i="54" s="1"/>
  <c r="K663" i="54" s="1"/>
  <c r="K100" i="54" s="1"/>
  <c r="K100" i="55"/>
  <c r="J100" i="55"/>
  <c r="L660" i="55"/>
  <c r="L661" i="55" s="1"/>
  <c r="L663" i="55" s="1"/>
  <c r="L100" i="55" s="1"/>
  <c r="H100" i="55"/>
  <c r="G633" i="54"/>
  <c r="J633" i="55"/>
  <c r="L633" i="54"/>
  <c r="H633" i="55"/>
  <c r="L660" i="45"/>
  <c r="L661" i="45" s="1"/>
  <c r="L663" i="45" s="1"/>
  <c r="L100" i="45" s="1"/>
  <c r="L13" i="45" s="1"/>
  <c r="J660" i="54"/>
  <c r="J661" i="54" s="1"/>
  <c r="J663" i="54" s="1"/>
  <c r="J804" i="54" s="1"/>
  <c r="J806" i="54" s="1"/>
  <c r="J795" i="54" s="1"/>
  <c r="I633" i="45"/>
  <c r="H661" i="45"/>
  <c r="J633" i="45"/>
  <c r="I661" i="45"/>
  <c r="G660" i="45"/>
  <c r="E663" i="53"/>
  <c r="J660" i="45"/>
  <c r="F660" i="45"/>
  <c r="H633" i="45"/>
  <c r="E687" i="45"/>
  <c r="E795" i="45"/>
  <c r="K804" i="45"/>
  <c r="K806" i="45" s="1"/>
  <c r="K795" i="45" s="1"/>
  <c r="L804" i="55"/>
  <c r="L806" i="55" s="1"/>
  <c r="L795" i="55" s="1"/>
  <c r="E736" i="52"/>
  <c r="E113" i="52"/>
  <c r="K804" i="53"/>
  <c r="K806" i="53" s="1"/>
  <c r="K795" i="53" s="1"/>
  <c r="K100" i="53"/>
  <c r="J100" i="53"/>
  <c r="J804" i="53"/>
  <c r="J806" i="53" s="1"/>
  <c r="J795" i="53" s="1"/>
  <c r="H100" i="54"/>
  <c r="H804" i="54"/>
  <c r="H806" i="54" s="1"/>
  <c r="H795" i="54" s="1"/>
  <c r="F100" i="53"/>
  <c r="F804" i="53"/>
  <c r="F806" i="53" s="1"/>
  <c r="F795" i="53" s="1"/>
  <c r="I100" i="53"/>
  <c r="I804" i="53"/>
  <c r="I806" i="53" s="1"/>
  <c r="I795" i="53" s="1"/>
  <c r="G100" i="54"/>
  <c r="G804" i="54"/>
  <c r="G806" i="54" s="1"/>
  <c r="G795" i="54" s="1"/>
  <c r="I804" i="54"/>
  <c r="I806" i="54" s="1"/>
  <c r="I795" i="54" s="1"/>
  <c r="I100" i="54"/>
  <c r="L100" i="54"/>
  <c r="L804" i="54"/>
  <c r="L806" i="54" s="1"/>
  <c r="L795" i="54" s="1"/>
  <c r="F804" i="54"/>
  <c r="F806" i="54" s="1"/>
  <c r="F795" i="54" s="1"/>
  <c r="F100" i="54"/>
  <c r="K804" i="54"/>
  <c r="K806" i="54" s="1"/>
  <c r="K795" i="54" s="1"/>
  <c r="G804" i="53"/>
  <c r="G806" i="53" s="1"/>
  <c r="G795" i="53" s="1"/>
  <c r="G100" i="53"/>
  <c r="L100" i="53"/>
  <c r="L804" i="53"/>
  <c r="L806" i="53" s="1"/>
  <c r="L795" i="53" s="1"/>
  <c r="H804" i="53"/>
  <c r="H806" i="53" s="1"/>
  <c r="H795" i="53" s="1"/>
  <c r="H100" i="53"/>
  <c r="G38" i="57"/>
  <c r="C38" i="57" s="1"/>
  <c r="F846" i="52" s="1"/>
  <c r="I39" i="57"/>
  <c r="E39" i="57" s="1"/>
  <c r="H847" i="52" s="1"/>
  <c r="G39" i="57"/>
  <c r="C39" i="57" s="1"/>
  <c r="F847" i="52" s="1"/>
  <c r="H40" i="57"/>
  <c r="D40" i="57" s="1"/>
  <c r="G848" i="52" s="1"/>
  <c r="F14" i="57"/>
  <c r="H138" i="52"/>
  <c r="H220" i="52"/>
  <c r="H306" i="52"/>
  <c r="H373" i="52"/>
  <c r="G285" i="52"/>
  <c r="E285" i="54" s="1"/>
  <c r="G183" i="52"/>
  <c r="E183" i="54" s="1"/>
  <c r="G276" i="52"/>
  <c r="E276" i="54" s="1"/>
  <c r="G287" i="52"/>
  <c r="E287" i="54" s="1"/>
  <c r="G195" i="52"/>
  <c r="E195" i="54" s="1"/>
  <c r="G355" i="52"/>
  <c r="E355" i="54" s="1"/>
  <c r="G202" i="52"/>
  <c r="E202" i="54" s="1"/>
  <c r="G302" i="52"/>
  <c r="E302" i="54" s="1"/>
  <c r="G370" i="52"/>
  <c r="E370" i="54" s="1"/>
  <c r="G283" i="52"/>
  <c r="E283" i="54" s="1"/>
  <c r="G187" i="52"/>
  <c r="E187" i="54" s="1"/>
  <c r="G284" i="52"/>
  <c r="E284" i="54" s="1"/>
  <c r="G194" i="52"/>
  <c r="E194" i="54" s="1"/>
  <c r="G279" i="52"/>
  <c r="E279" i="54" s="1"/>
  <c r="G354" i="52"/>
  <c r="E354" i="54" s="1"/>
  <c r="G182" i="52"/>
  <c r="E182" i="54" s="1"/>
  <c r="G197" i="52"/>
  <c r="E197" i="54" s="1"/>
  <c r="G281" i="52"/>
  <c r="E281" i="54" s="1"/>
  <c r="G137" i="52"/>
  <c r="E137" i="54" s="1"/>
  <c r="G267" i="52"/>
  <c r="E267" i="54" s="1"/>
  <c r="G270" i="52"/>
  <c r="E270" i="54" s="1"/>
  <c r="G218" i="52"/>
  <c r="E218" i="54" s="1"/>
  <c r="G368" i="52"/>
  <c r="E368" i="54" s="1"/>
  <c r="G366" i="52"/>
  <c r="E366" i="54" s="1"/>
  <c r="G286" i="52"/>
  <c r="E286" i="54" s="1"/>
  <c r="G305" i="52"/>
  <c r="E305" i="54" s="1"/>
  <c r="G351" i="52"/>
  <c r="E351" i="54" s="1"/>
  <c r="G362" i="52"/>
  <c r="E362" i="54" s="1"/>
  <c r="G219" i="52"/>
  <c r="E219" i="54" s="1"/>
  <c r="G797" i="52"/>
  <c r="E797" i="54" s="1"/>
  <c r="G365" i="52"/>
  <c r="E365" i="54" s="1"/>
  <c r="G193" i="52"/>
  <c r="E193" i="54" s="1"/>
  <c r="G288" i="52"/>
  <c r="E288" i="54" s="1"/>
  <c r="G350" i="52"/>
  <c r="E350" i="54" s="1"/>
  <c r="G200" i="52"/>
  <c r="E200" i="54" s="1"/>
  <c r="G159" i="52"/>
  <c r="E159" i="54" s="1"/>
  <c r="G196" i="52"/>
  <c r="E196" i="54" s="1"/>
  <c r="G277" i="52"/>
  <c r="E277" i="54" s="1"/>
  <c r="G201" i="52"/>
  <c r="E201" i="54" s="1"/>
  <c r="G136" i="52"/>
  <c r="E136" i="54" s="1"/>
  <c r="G327" i="52"/>
  <c r="E327" i="54" s="1"/>
  <c r="G191" i="52"/>
  <c r="E191" i="54" s="1"/>
  <c r="G372" i="52"/>
  <c r="E372" i="54" s="1"/>
  <c r="G135" i="52"/>
  <c r="E135" i="54" s="1"/>
  <c r="G269" i="52"/>
  <c r="E269" i="54" s="1"/>
  <c r="G241" i="52"/>
  <c r="E241" i="54" s="1"/>
  <c r="G134" i="52"/>
  <c r="E134" i="54" s="1"/>
  <c r="G304" i="52"/>
  <c r="E304" i="54" s="1"/>
  <c r="G352" i="52"/>
  <c r="E352" i="54" s="1"/>
  <c r="G364" i="52"/>
  <c r="E364" i="54" s="1"/>
  <c r="G268" i="52"/>
  <c r="E268" i="54" s="1"/>
  <c r="G216" i="52"/>
  <c r="E216" i="54" s="1"/>
  <c r="G280" i="52"/>
  <c r="E280" i="54" s="1"/>
  <c r="G369" i="52"/>
  <c r="E369" i="54" s="1"/>
  <c r="G203" i="52"/>
  <c r="E203" i="54" s="1"/>
  <c r="G303" i="52"/>
  <c r="E303" i="54" s="1"/>
  <c r="G361" i="52"/>
  <c r="E361" i="54" s="1"/>
  <c r="G199" i="52"/>
  <c r="E199" i="54" s="1"/>
  <c r="G278" i="52"/>
  <c r="E278" i="54" s="1"/>
  <c r="G282" i="52"/>
  <c r="E282" i="54" s="1"/>
  <c r="G185" i="52"/>
  <c r="E185" i="54" s="1"/>
  <c r="G217" i="52"/>
  <c r="E217" i="54" s="1"/>
  <c r="G198" i="52"/>
  <c r="E198" i="54" s="1"/>
  <c r="G371" i="52"/>
  <c r="E371" i="54" s="1"/>
  <c r="G186" i="52"/>
  <c r="E186" i="54" s="1"/>
  <c r="G184" i="52"/>
  <c r="E184" i="54" s="1"/>
  <c r="G192" i="52"/>
  <c r="E192" i="54" s="1"/>
  <c r="G353" i="52"/>
  <c r="E353" i="54" s="1"/>
  <c r="G326" i="52"/>
  <c r="G266" i="52"/>
  <c r="E266" i="54" s="1"/>
  <c r="G367" i="52"/>
  <c r="E367" i="54" s="1"/>
  <c r="G265" i="52"/>
  <c r="E265" i="54" s="1"/>
  <c r="G190" i="52"/>
  <c r="G363" i="52"/>
  <c r="E363" i="54" s="1"/>
  <c r="G275" i="52"/>
  <c r="G360" i="52"/>
  <c r="G158" i="52"/>
  <c r="G240" i="52"/>
  <c r="G301" i="52"/>
  <c r="G673" i="52"/>
  <c r="G133" i="52"/>
  <c r="G215" i="52"/>
  <c r="H104" i="52"/>
  <c r="H204" i="52"/>
  <c r="F13" i="57"/>
  <c r="F12" i="57"/>
  <c r="F193" i="52"/>
  <c r="F281" i="52"/>
  <c r="F267" i="52"/>
  <c r="F200" i="52"/>
  <c r="F797" i="52"/>
  <c r="F203" i="52"/>
  <c r="F187" i="52"/>
  <c r="F185" i="52"/>
  <c r="F183" i="52"/>
  <c r="F191" i="52"/>
  <c r="F270" i="52"/>
  <c r="F196" i="52"/>
  <c r="F285" i="52"/>
  <c r="F286" i="52"/>
  <c r="F355" i="52"/>
  <c r="F350" i="52"/>
  <c r="F305" i="52"/>
  <c r="F372" i="52"/>
  <c r="F368" i="52"/>
  <c r="F361" i="52"/>
  <c r="F265" i="52"/>
  <c r="F216" i="52"/>
  <c r="F268" i="52"/>
  <c r="F354" i="52"/>
  <c r="F279" i="52"/>
  <c r="F277" i="52"/>
  <c r="F288" i="52"/>
  <c r="F367" i="52"/>
  <c r="F304" i="52"/>
  <c r="F269" i="52"/>
  <c r="F362" i="52"/>
  <c r="F352" i="52"/>
  <c r="F201" i="52"/>
  <c r="F217" i="52"/>
  <c r="F199" i="52"/>
  <c r="F287" i="52"/>
  <c r="F198" i="52"/>
  <c r="F276" i="52"/>
  <c r="F283" i="52"/>
  <c r="F371" i="52"/>
  <c r="F197" i="52"/>
  <c r="F195" i="52"/>
  <c r="F194" i="52"/>
  <c r="F192" i="52"/>
  <c r="F218" i="52"/>
  <c r="F182" i="52"/>
  <c r="F159" i="52"/>
  <c r="F278" i="52"/>
  <c r="F186" i="52"/>
  <c r="F363" i="52"/>
  <c r="F202" i="52"/>
  <c r="F364" i="52"/>
  <c r="F280" i="52"/>
  <c r="F365" i="52"/>
  <c r="F369" i="52"/>
  <c r="F327" i="52"/>
  <c r="F284" i="52"/>
  <c r="F366" i="52"/>
  <c r="F241" i="52"/>
  <c r="F302" i="52"/>
  <c r="F219" i="52"/>
  <c r="F351" i="52"/>
  <c r="F184" i="52"/>
  <c r="F266" i="52"/>
  <c r="F282" i="52"/>
  <c r="F353" i="52"/>
  <c r="F136" i="52"/>
  <c r="F326" i="52"/>
  <c r="F360" i="52"/>
  <c r="F215" i="52"/>
  <c r="F370" i="52"/>
  <c r="F158" i="52"/>
  <c r="F303" i="52"/>
  <c r="F137" i="52"/>
  <c r="F275" i="52"/>
  <c r="F134" i="52"/>
  <c r="F301" i="52"/>
  <c r="F190" i="52"/>
  <c r="F240" i="52"/>
  <c r="F133" i="52"/>
  <c r="F673" i="52"/>
  <c r="F135" i="52"/>
  <c r="E40" i="57"/>
  <c r="H848" i="52" s="1"/>
  <c r="C40" i="57"/>
  <c r="F848" i="52" s="1"/>
  <c r="E38" i="57"/>
  <c r="H846" i="52" s="1"/>
  <c r="H188" i="52"/>
  <c r="H289" i="52"/>
  <c r="M13" i="50"/>
  <c r="H271" i="52"/>
  <c r="H356" i="52"/>
  <c r="Q13" i="61"/>
  <c r="I820" i="55" s="1"/>
  <c r="S13" i="61"/>
  <c r="K820" i="55" s="1"/>
  <c r="P13" i="61"/>
  <c r="H820" i="55" s="1"/>
  <c r="T13" i="61"/>
  <c r="L820" i="55" s="1"/>
  <c r="O13" i="61"/>
  <c r="G820" i="55" s="1"/>
  <c r="R13" i="61"/>
  <c r="J820" i="55" s="1"/>
  <c r="L804" i="45" l="1"/>
  <c r="L806" i="45" s="1"/>
  <c r="L795" i="45" s="1"/>
  <c r="J100" i="54"/>
  <c r="J661" i="45"/>
  <c r="G661" i="45"/>
  <c r="E804" i="53"/>
  <c r="E100" i="53"/>
  <c r="F661" i="45"/>
  <c r="I663" i="45"/>
  <c r="H663" i="45"/>
  <c r="E25" i="52"/>
  <c r="C20" i="65" s="1"/>
  <c r="C22" i="65" s="1"/>
  <c r="E57" i="52"/>
  <c r="E691" i="52"/>
  <c r="E699" i="52" s="1"/>
  <c r="E700" i="52" s="1"/>
  <c r="E109" i="52"/>
  <c r="E360" i="55"/>
  <c r="E158" i="55"/>
  <c r="E326" i="55"/>
  <c r="E190" i="55"/>
  <c r="H205" i="52"/>
  <c r="H779" i="52" s="1"/>
  <c r="E133" i="55"/>
  <c r="H375" i="52"/>
  <c r="H101" i="52" s="1"/>
  <c r="E673" i="55"/>
  <c r="E215" i="55"/>
  <c r="H291" i="52"/>
  <c r="H781" i="52" s="1"/>
  <c r="E240" i="55"/>
  <c r="H38" i="57"/>
  <c r="D38" i="57" s="1"/>
  <c r="E302" i="53"/>
  <c r="F302" i="53" s="1"/>
  <c r="E302" i="55"/>
  <c r="I302" i="55" s="1"/>
  <c r="E278" i="53"/>
  <c r="K278" i="53" s="1"/>
  <c r="E278" i="55"/>
  <c r="K278" i="55" s="1"/>
  <c r="E352" i="53"/>
  <c r="K352" i="53" s="1"/>
  <c r="E352" i="55"/>
  <c r="K352" i="55" s="1"/>
  <c r="E361" i="53"/>
  <c r="L361" i="53" s="1"/>
  <c r="E361" i="55"/>
  <c r="I361" i="55" s="1"/>
  <c r="E185" i="53"/>
  <c r="L185" i="53" s="1"/>
  <c r="E185" i="55"/>
  <c r="I185" i="55" s="1"/>
  <c r="E135" i="53"/>
  <c r="F135" i="53" s="1"/>
  <c r="E135" i="55"/>
  <c r="I135" i="55" s="1"/>
  <c r="E275" i="55"/>
  <c r="E370" i="53"/>
  <c r="F370" i="53" s="1"/>
  <c r="E370" i="55"/>
  <c r="K370" i="55" s="1"/>
  <c r="E136" i="53"/>
  <c r="F136" i="53" s="1"/>
  <c r="E136" i="55"/>
  <c r="L136" i="55" s="1"/>
  <c r="E184" i="53"/>
  <c r="F184" i="53" s="1"/>
  <c r="E184" i="55"/>
  <c r="K184" i="55" s="1"/>
  <c r="E241" i="53"/>
  <c r="I241" i="53" s="1"/>
  <c r="E241" i="55"/>
  <c r="G241" i="55" s="1"/>
  <c r="E369" i="53"/>
  <c r="K369" i="53" s="1"/>
  <c r="E369" i="55"/>
  <c r="G369" i="55" s="1"/>
  <c r="E202" i="53"/>
  <c r="K202" i="53" s="1"/>
  <c r="E202" i="55"/>
  <c r="L202" i="55" s="1"/>
  <c r="E159" i="53"/>
  <c r="F159" i="53" s="1"/>
  <c r="E159" i="55"/>
  <c r="L159" i="55" s="1"/>
  <c r="E194" i="53"/>
  <c r="H194" i="53" s="1"/>
  <c r="E194" i="55"/>
  <c r="K194" i="55" s="1"/>
  <c r="E283" i="53"/>
  <c r="L283" i="53" s="1"/>
  <c r="E283" i="55"/>
  <c r="I283" i="55" s="1"/>
  <c r="E199" i="53"/>
  <c r="K199" i="53" s="1"/>
  <c r="E199" i="55"/>
  <c r="J199" i="55" s="1"/>
  <c r="E362" i="53"/>
  <c r="H362" i="53" s="1"/>
  <c r="E362" i="55"/>
  <c r="L362" i="55" s="1"/>
  <c r="E288" i="53"/>
  <c r="F288" i="53" s="1"/>
  <c r="E288" i="55"/>
  <c r="G288" i="55" s="1"/>
  <c r="E268" i="53"/>
  <c r="F268" i="53" s="1"/>
  <c r="E268" i="55"/>
  <c r="G268" i="55" s="1"/>
  <c r="E368" i="53"/>
  <c r="G368" i="53" s="1"/>
  <c r="E368" i="55"/>
  <c r="I368" i="55" s="1"/>
  <c r="E355" i="53"/>
  <c r="F355" i="53" s="1"/>
  <c r="E355" i="55"/>
  <c r="J355" i="55" s="1"/>
  <c r="E270" i="53"/>
  <c r="H270" i="53" s="1"/>
  <c r="E270" i="55"/>
  <c r="G270" i="55" s="1"/>
  <c r="E187" i="53"/>
  <c r="J187" i="53" s="1"/>
  <c r="E187" i="55"/>
  <c r="K187" i="55" s="1"/>
  <c r="E267" i="53"/>
  <c r="H267" i="53" s="1"/>
  <c r="E267" i="55"/>
  <c r="H267" i="55" s="1"/>
  <c r="E266" i="53"/>
  <c r="G266" i="53" s="1"/>
  <c r="E266" i="55"/>
  <c r="K266" i="55" s="1"/>
  <c r="E364" i="53"/>
  <c r="I364" i="53" s="1"/>
  <c r="E364" i="55"/>
  <c r="I364" i="55" s="1"/>
  <c r="E371" i="53"/>
  <c r="F371" i="53" s="1"/>
  <c r="E371" i="55"/>
  <c r="G371" i="55" s="1"/>
  <c r="E354" i="53"/>
  <c r="K354" i="53" s="1"/>
  <c r="E354" i="55"/>
  <c r="I354" i="55" s="1"/>
  <c r="E196" i="53"/>
  <c r="L196" i="53" s="1"/>
  <c r="E196" i="55"/>
  <c r="K196" i="55" s="1"/>
  <c r="E301" i="55"/>
  <c r="E137" i="53"/>
  <c r="K137" i="53" s="1"/>
  <c r="E137" i="55"/>
  <c r="J137" i="55" s="1"/>
  <c r="E353" i="53"/>
  <c r="I353" i="53" s="1"/>
  <c r="E353" i="55"/>
  <c r="K353" i="55" s="1"/>
  <c r="E351" i="53"/>
  <c r="G351" i="53" s="1"/>
  <c r="E351" i="55"/>
  <c r="J351" i="55" s="1"/>
  <c r="E366" i="53"/>
  <c r="L366" i="53" s="1"/>
  <c r="E366" i="55"/>
  <c r="L366" i="55" s="1"/>
  <c r="E365" i="53"/>
  <c r="K365" i="53" s="1"/>
  <c r="E365" i="55"/>
  <c r="G365" i="55" s="1"/>
  <c r="E363" i="53"/>
  <c r="I363" i="53" s="1"/>
  <c r="E363" i="55"/>
  <c r="J363" i="55" s="1"/>
  <c r="E182" i="53"/>
  <c r="G182" i="53" s="1"/>
  <c r="E182" i="55"/>
  <c r="H182" i="55" s="1"/>
  <c r="E195" i="53"/>
  <c r="J195" i="53" s="1"/>
  <c r="E195" i="55"/>
  <c r="G195" i="55" s="1"/>
  <c r="E276" i="53"/>
  <c r="F276" i="53" s="1"/>
  <c r="E276" i="55"/>
  <c r="J276" i="55" s="1"/>
  <c r="E217" i="53"/>
  <c r="H217" i="53" s="1"/>
  <c r="E217" i="55"/>
  <c r="G217" i="55" s="1"/>
  <c r="E269" i="53"/>
  <c r="H269" i="53" s="1"/>
  <c r="E269" i="55"/>
  <c r="J269" i="55" s="1"/>
  <c r="E277" i="53"/>
  <c r="J277" i="53" s="1"/>
  <c r="E277" i="55"/>
  <c r="G277" i="55" s="1"/>
  <c r="E216" i="53"/>
  <c r="I216" i="53" s="1"/>
  <c r="E216" i="55"/>
  <c r="J216" i="55" s="1"/>
  <c r="E372" i="53"/>
  <c r="G372" i="53" s="1"/>
  <c r="E372" i="55"/>
  <c r="L372" i="55" s="1"/>
  <c r="E286" i="53"/>
  <c r="L286" i="53" s="1"/>
  <c r="E286" i="55"/>
  <c r="K286" i="55" s="1"/>
  <c r="E191" i="53"/>
  <c r="H191" i="53" s="1"/>
  <c r="E191" i="55"/>
  <c r="K191" i="55" s="1"/>
  <c r="E203" i="53"/>
  <c r="J203" i="53" s="1"/>
  <c r="E203" i="55"/>
  <c r="G203" i="55" s="1"/>
  <c r="E281" i="53"/>
  <c r="G281" i="53" s="1"/>
  <c r="E281" i="55"/>
  <c r="J281" i="55" s="1"/>
  <c r="E327" i="53"/>
  <c r="F327" i="53" s="1"/>
  <c r="E327" i="55"/>
  <c r="K327" i="55" s="1"/>
  <c r="E192" i="53"/>
  <c r="L192" i="53" s="1"/>
  <c r="E192" i="55"/>
  <c r="J192" i="55" s="1"/>
  <c r="E287" i="53"/>
  <c r="J287" i="53" s="1"/>
  <c r="E287" i="55"/>
  <c r="I287" i="55" s="1"/>
  <c r="E367" i="53"/>
  <c r="J367" i="53" s="1"/>
  <c r="E367" i="55"/>
  <c r="K367" i="55" s="1"/>
  <c r="E350" i="53"/>
  <c r="K350" i="53" s="1"/>
  <c r="E350" i="55"/>
  <c r="J350" i="55" s="1"/>
  <c r="E200" i="53"/>
  <c r="K200" i="53" s="1"/>
  <c r="E200" i="55"/>
  <c r="K200" i="55" s="1"/>
  <c r="E134" i="53"/>
  <c r="F134" i="53" s="1"/>
  <c r="E134" i="55"/>
  <c r="J134" i="55" s="1"/>
  <c r="E303" i="53"/>
  <c r="H303" i="53" s="1"/>
  <c r="E303" i="55"/>
  <c r="J303" i="55" s="1"/>
  <c r="E282" i="53"/>
  <c r="J282" i="53" s="1"/>
  <c r="E282" i="55"/>
  <c r="H282" i="55" s="1"/>
  <c r="E219" i="53"/>
  <c r="J219" i="53" s="1"/>
  <c r="E219" i="55"/>
  <c r="K219" i="55" s="1"/>
  <c r="E284" i="53"/>
  <c r="J284" i="53" s="1"/>
  <c r="E284" i="55"/>
  <c r="J284" i="55" s="1"/>
  <c r="E280" i="53"/>
  <c r="J280" i="53" s="1"/>
  <c r="E280" i="55"/>
  <c r="I280" i="55" s="1"/>
  <c r="E186" i="53"/>
  <c r="G186" i="53" s="1"/>
  <c r="E186" i="55"/>
  <c r="J186" i="55" s="1"/>
  <c r="E218" i="53"/>
  <c r="L218" i="53" s="1"/>
  <c r="E218" i="55"/>
  <c r="J218" i="55" s="1"/>
  <c r="E197" i="53"/>
  <c r="J197" i="53" s="1"/>
  <c r="E197" i="55"/>
  <c r="I197" i="55" s="1"/>
  <c r="E198" i="53"/>
  <c r="F198" i="53" s="1"/>
  <c r="E198" i="55"/>
  <c r="J198" i="55" s="1"/>
  <c r="E201" i="53"/>
  <c r="K201" i="53" s="1"/>
  <c r="E201" i="55"/>
  <c r="L201" i="55" s="1"/>
  <c r="E304" i="53"/>
  <c r="K304" i="53" s="1"/>
  <c r="E304" i="55"/>
  <c r="J304" i="55" s="1"/>
  <c r="E279" i="53"/>
  <c r="G279" i="53" s="1"/>
  <c r="E279" i="55"/>
  <c r="J279" i="55" s="1"/>
  <c r="E265" i="53"/>
  <c r="H265" i="53" s="1"/>
  <c r="E265" i="55"/>
  <c r="L265" i="55" s="1"/>
  <c r="E305" i="53"/>
  <c r="J305" i="53" s="1"/>
  <c r="E305" i="55"/>
  <c r="I305" i="55" s="1"/>
  <c r="E285" i="53"/>
  <c r="K285" i="53" s="1"/>
  <c r="E285" i="55"/>
  <c r="J285" i="55" s="1"/>
  <c r="E183" i="53"/>
  <c r="H183" i="53" s="1"/>
  <c r="E183" i="55"/>
  <c r="G183" i="55" s="1"/>
  <c r="E797" i="53"/>
  <c r="F797" i="53" s="1"/>
  <c r="E797" i="55"/>
  <c r="I797" i="55" s="1"/>
  <c r="E193" i="53"/>
  <c r="H193" i="53" s="1"/>
  <c r="E193" i="55"/>
  <c r="J193" i="55" s="1"/>
  <c r="G220" i="52"/>
  <c r="E215" i="54"/>
  <c r="H363" i="54"/>
  <c r="F363" i="54"/>
  <c r="L363" i="54"/>
  <c r="K363" i="54"/>
  <c r="I363" i="54"/>
  <c r="G363" i="54"/>
  <c r="J363" i="54"/>
  <c r="H217" i="54"/>
  <c r="G217" i="54"/>
  <c r="J217" i="54"/>
  <c r="L217" i="54"/>
  <c r="K217" i="54"/>
  <c r="F217" i="54"/>
  <c r="I217" i="54"/>
  <c r="K241" i="54"/>
  <c r="G241" i="54"/>
  <c r="I241" i="54"/>
  <c r="H241" i="54"/>
  <c r="F241" i="54"/>
  <c r="L241" i="54"/>
  <c r="J241" i="54"/>
  <c r="F350" i="54"/>
  <c r="H350" i="54"/>
  <c r="J350" i="54"/>
  <c r="I350" i="54"/>
  <c r="G350" i="54"/>
  <c r="L350" i="54"/>
  <c r="K350" i="54"/>
  <c r="G218" i="54"/>
  <c r="K218" i="54"/>
  <c r="H218" i="54"/>
  <c r="I218" i="54"/>
  <c r="F218" i="54"/>
  <c r="L218" i="54"/>
  <c r="J218" i="54"/>
  <c r="I283" i="54"/>
  <c r="G283" i="54"/>
  <c r="F283" i="54"/>
  <c r="K283" i="54"/>
  <c r="H283" i="54"/>
  <c r="L283" i="54"/>
  <c r="J283" i="54"/>
  <c r="F40" i="57"/>
  <c r="F271" i="52"/>
  <c r="E240" i="53"/>
  <c r="F766" i="52"/>
  <c r="F789" i="52"/>
  <c r="F717" i="52"/>
  <c r="F788" i="52"/>
  <c r="F703" i="52"/>
  <c r="F693" i="52"/>
  <c r="F762" i="52"/>
  <c r="F738" i="52"/>
  <c r="F750" i="52"/>
  <c r="F787" i="52"/>
  <c r="F784" i="52"/>
  <c r="F188" i="52"/>
  <c r="E158" i="53"/>
  <c r="F356" i="52"/>
  <c r="E326" i="53"/>
  <c r="G138" i="52"/>
  <c r="E133" i="54"/>
  <c r="G188" i="52"/>
  <c r="E158" i="54"/>
  <c r="G204" i="52"/>
  <c r="E190" i="54"/>
  <c r="G356" i="52"/>
  <c r="E326" i="54"/>
  <c r="J186" i="54"/>
  <c r="L186" i="54"/>
  <c r="F186" i="54"/>
  <c r="G186" i="54"/>
  <c r="K186" i="54"/>
  <c r="H186" i="54"/>
  <c r="I186" i="54"/>
  <c r="F185" i="54"/>
  <c r="J185" i="54"/>
  <c r="I185" i="54"/>
  <c r="K185" i="54"/>
  <c r="G185" i="54"/>
  <c r="H185" i="54"/>
  <c r="L185" i="54"/>
  <c r="L361" i="54"/>
  <c r="I361" i="54"/>
  <c r="F361" i="54"/>
  <c r="J361" i="54"/>
  <c r="K361" i="54"/>
  <c r="H361" i="54"/>
  <c r="G361" i="54"/>
  <c r="K280" i="54"/>
  <c r="I280" i="54"/>
  <c r="F280" i="54"/>
  <c r="H280" i="54"/>
  <c r="L280" i="54"/>
  <c r="J280" i="54"/>
  <c r="G280" i="54"/>
  <c r="H352" i="54"/>
  <c r="I352" i="54"/>
  <c r="J352" i="54"/>
  <c r="L352" i="54"/>
  <c r="F352" i="54"/>
  <c r="K352" i="54"/>
  <c r="G352" i="54"/>
  <c r="F269" i="54"/>
  <c r="L269" i="54"/>
  <c r="K269" i="54"/>
  <c r="H269" i="54"/>
  <c r="G269" i="54"/>
  <c r="J269" i="54"/>
  <c r="I269" i="54"/>
  <c r="I327" i="54"/>
  <c r="K327" i="54"/>
  <c r="H327" i="54"/>
  <c r="L327" i="54"/>
  <c r="F327" i="54"/>
  <c r="J327" i="54"/>
  <c r="G327" i="54"/>
  <c r="I196" i="54"/>
  <c r="H196" i="54"/>
  <c r="G196" i="54"/>
  <c r="J196" i="54"/>
  <c r="F196" i="54"/>
  <c r="K196" i="54"/>
  <c r="L196" i="54"/>
  <c r="H288" i="54"/>
  <c r="L288" i="54"/>
  <c r="K288" i="54"/>
  <c r="I288" i="54"/>
  <c r="J288" i="54"/>
  <c r="F288" i="54"/>
  <c r="G288" i="54"/>
  <c r="H219" i="54"/>
  <c r="K219" i="54"/>
  <c r="F219" i="54"/>
  <c r="L219" i="54"/>
  <c r="G219" i="54"/>
  <c r="J219" i="54"/>
  <c r="I219" i="54"/>
  <c r="L286" i="54"/>
  <c r="H286" i="54"/>
  <c r="J286" i="54"/>
  <c r="G286" i="54"/>
  <c r="I286" i="54"/>
  <c r="K286" i="54"/>
  <c r="F286" i="54"/>
  <c r="G270" i="54"/>
  <c r="J270" i="54"/>
  <c r="H270" i="54"/>
  <c r="F270" i="54"/>
  <c r="L270" i="54"/>
  <c r="I270" i="54"/>
  <c r="K270" i="54"/>
  <c r="F197" i="54"/>
  <c r="I197" i="54"/>
  <c r="J197" i="54"/>
  <c r="G197" i="54"/>
  <c r="L197" i="54"/>
  <c r="H197" i="54"/>
  <c r="K197" i="54"/>
  <c r="F194" i="54"/>
  <c r="G194" i="54"/>
  <c r="K194" i="54"/>
  <c r="I194" i="54"/>
  <c r="L194" i="54"/>
  <c r="J194" i="54"/>
  <c r="H194" i="54"/>
  <c r="L370" i="54"/>
  <c r="F370" i="54"/>
  <c r="H370" i="54"/>
  <c r="J370" i="54"/>
  <c r="G370" i="54"/>
  <c r="I370" i="54"/>
  <c r="K370" i="54"/>
  <c r="J195" i="54"/>
  <c r="H195" i="54"/>
  <c r="L195" i="54"/>
  <c r="G195" i="54"/>
  <c r="K195" i="54"/>
  <c r="I195" i="54"/>
  <c r="F195" i="54"/>
  <c r="I285" i="54"/>
  <c r="F285" i="54"/>
  <c r="J285" i="54"/>
  <c r="L285" i="54"/>
  <c r="K285" i="54"/>
  <c r="G285" i="54"/>
  <c r="H285" i="54"/>
  <c r="H789" i="52"/>
  <c r="H750" i="52"/>
  <c r="H787" i="52"/>
  <c r="H788" i="52"/>
  <c r="H703" i="52"/>
  <c r="H784" i="52"/>
  <c r="H717" i="52"/>
  <c r="H719" i="52" s="1"/>
  <c r="H766" i="52"/>
  <c r="H767" i="52" s="1"/>
  <c r="H693" i="52"/>
  <c r="H738" i="52"/>
  <c r="H762" i="52"/>
  <c r="G271" i="52"/>
  <c r="E240" i="54"/>
  <c r="J184" i="54"/>
  <c r="L184" i="54"/>
  <c r="G184" i="54"/>
  <c r="I184" i="54"/>
  <c r="K184" i="54"/>
  <c r="F184" i="54"/>
  <c r="H184" i="54"/>
  <c r="I369" i="54"/>
  <c r="G369" i="54"/>
  <c r="K369" i="54"/>
  <c r="F369" i="54"/>
  <c r="H369" i="54"/>
  <c r="L369" i="54"/>
  <c r="J369" i="54"/>
  <c r="H191" i="54"/>
  <c r="L191" i="54"/>
  <c r="K191" i="54"/>
  <c r="G191" i="54"/>
  <c r="I191" i="54"/>
  <c r="J191" i="54"/>
  <c r="F191" i="54"/>
  <c r="G797" i="54"/>
  <c r="F797" i="54"/>
  <c r="L797" i="54"/>
  <c r="I797" i="54"/>
  <c r="J797" i="54"/>
  <c r="H797" i="54"/>
  <c r="K797" i="54"/>
  <c r="I279" i="54"/>
  <c r="J279" i="54"/>
  <c r="F279" i="54"/>
  <c r="H279" i="54"/>
  <c r="K279" i="54"/>
  <c r="G279" i="54"/>
  <c r="L279" i="54"/>
  <c r="F204" i="52"/>
  <c r="E190" i="53"/>
  <c r="F289" i="52"/>
  <c r="E275" i="53"/>
  <c r="G679" i="52"/>
  <c r="E673" i="54"/>
  <c r="G373" i="52"/>
  <c r="E360" i="54"/>
  <c r="J265" i="54"/>
  <c r="I265" i="54"/>
  <c r="H265" i="54"/>
  <c r="L265" i="54"/>
  <c r="G265" i="54"/>
  <c r="K265" i="54"/>
  <c r="F265" i="54"/>
  <c r="H353" i="54"/>
  <c r="K353" i="54"/>
  <c r="G353" i="54"/>
  <c r="L353" i="54"/>
  <c r="J353" i="54"/>
  <c r="F353" i="54"/>
  <c r="I353" i="54"/>
  <c r="H371" i="54"/>
  <c r="I371" i="54"/>
  <c r="J371" i="54"/>
  <c r="G371" i="54"/>
  <c r="F371" i="54"/>
  <c r="K371" i="54"/>
  <c r="L371" i="54"/>
  <c r="G282" i="54"/>
  <c r="H282" i="54"/>
  <c r="F282" i="54"/>
  <c r="K282" i="54"/>
  <c r="I282" i="54"/>
  <c r="L282" i="54"/>
  <c r="J282" i="54"/>
  <c r="K303" i="54"/>
  <c r="F303" i="54"/>
  <c r="G303" i="54"/>
  <c r="I303" i="54"/>
  <c r="L303" i="54"/>
  <c r="J303" i="54"/>
  <c r="H303" i="54"/>
  <c r="F216" i="54"/>
  <c r="G216" i="54"/>
  <c r="I216" i="54"/>
  <c r="K216" i="54"/>
  <c r="L216" i="54"/>
  <c r="H216" i="54"/>
  <c r="J216" i="54"/>
  <c r="G304" i="54"/>
  <c r="J304" i="54"/>
  <c r="K304" i="54"/>
  <c r="I304" i="54"/>
  <c r="L304" i="54"/>
  <c r="F304" i="54"/>
  <c r="H304" i="54"/>
  <c r="H135" i="54"/>
  <c r="I135" i="54"/>
  <c r="G135" i="54"/>
  <c r="J135" i="54"/>
  <c r="F135" i="54"/>
  <c r="K135" i="54"/>
  <c r="L135" i="54"/>
  <c r="J136" i="54"/>
  <c r="I136" i="54"/>
  <c r="L136" i="54"/>
  <c r="K136" i="54"/>
  <c r="F136" i="54"/>
  <c r="G136" i="54"/>
  <c r="H136" i="54"/>
  <c r="G159" i="54"/>
  <c r="H159" i="54"/>
  <c r="K159" i="54"/>
  <c r="J159" i="54"/>
  <c r="L159" i="54"/>
  <c r="I159" i="54"/>
  <c r="F159" i="54"/>
  <c r="L193" i="54"/>
  <c r="I193" i="54"/>
  <c r="J193" i="54"/>
  <c r="K193" i="54"/>
  <c r="F193" i="54"/>
  <c r="H193" i="54"/>
  <c r="G193" i="54"/>
  <c r="J362" i="54"/>
  <c r="K362" i="54"/>
  <c r="G362" i="54"/>
  <c r="L362" i="54"/>
  <c r="I362" i="54"/>
  <c r="H362" i="54"/>
  <c r="F362" i="54"/>
  <c r="K366" i="54"/>
  <c r="I366" i="54"/>
  <c r="J366" i="54"/>
  <c r="G366" i="54"/>
  <c r="L366" i="54"/>
  <c r="H366" i="54"/>
  <c r="F366" i="54"/>
  <c r="I267" i="54"/>
  <c r="F267" i="54"/>
  <c r="K267" i="54"/>
  <c r="L267" i="54"/>
  <c r="J267" i="54"/>
  <c r="H267" i="54"/>
  <c r="G267" i="54"/>
  <c r="H182" i="54"/>
  <c r="F182" i="54"/>
  <c r="K182" i="54"/>
  <c r="G182" i="54"/>
  <c r="I182" i="54"/>
  <c r="L182" i="54"/>
  <c r="J182" i="54"/>
  <c r="L284" i="54"/>
  <c r="H284" i="54"/>
  <c r="I284" i="54"/>
  <c r="K284" i="54"/>
  <c r="G284" i="54"/>
  <c r="J284" i="54"/>
  <c r="F284" i="54"/>
  <c r="J302" i="54"/>
  <c r="L302" i="54"/>
  <c r="K302" i="54"/>
  <c r="F302" i="54"/>
  <c r="I302" i="54"/>
  <c r="H302" i="54"/>
  <c r="G302" i="54"/>
  <c r="K287" i="54"/>
  <c r="I287" i="54"/>
  <c r="L287" i="54"/>
  <c r="H287" i="54"/>
  <c r="G287" i="54"/>
  <c r="J287" i="54"/>
  <c r="F287" i="54"/>
  <c r="H39" i="57"/>
  <c r="D39" i="57" s="1"/>
  <c r="E133" i="53"/>
  <c r="F138" i="52"/>
  <c r="F373" i="52"/>
  <c r="E360" i="53"/>
  <c r="I266" i="54"/>
  <c r="G266" i="54"/>
  <c r="K266" i="54"/>
  <c r="H266" i="54"/>
  <c r="L266" i="54"/>
  <c r="F266" i="54"/>
  <c r="J266" i="54"/>
  <c r="F199" i="54"/>
  <c r="L199" i="54"/>
  <c r="G199" i="54"/>
  <c r="J199" i="54"/>
  <c r="H199" i="54"/>
  <c r="K199" i="54"/>
  <c r="I199" i="54"/>
  <c r="H364" i="54"/>
  <c r="K364" i="54"/>
  <c r="J364" i="54"/>
  <c r="G364" i="54"/>
  <c r="L364" i="54"/>
  <c r="F364" i="54"/>
  <c r="I364" i="54"/>
  <c r="H277" i="54"/>
  <c r="K277" i="54"/>
  <c r="G277" i="54"/>
  <c r="L277" i="54"/>
  <c r="J277" i="54"/>
  <c r="F277" i="54"/>
  <c r="I277" i="54"/>
  <c r="H305" i="54"/>
  <c r="J305" i="54"/>
  <c r="F305" i="54"/>
  <c r="L305" i="54"/>
  <c r="G305" i="54"/>
  <c r="K305" i="54"/>
  <c r="I305" i="54"/>
  <c r="H281" i="54"/>
  <c r="J281" i="54"/>
  <c r="I281" i="54"/>
  <c r="G281" i="54"/>
  <c r="K281" i="54"/>
  <c r="F281" i="54"/>
  <c r="L281" i="54"/>
  <c r="L355" i="54"/>
  <c r="F355" i="54"/>
  <c r="G355" i="54"/>
  <c r="K355" i="54"/>
  <c r="H355" i="54"/>
  <c r="J355" i="54"/>
  <c r="I355" i="54"/>
  <c r="K183" i="54"/>
  <c r="F183" i="54"/>
  <c r="I183" i="54"/>
  <c r="H183" i="54"/>
  <c r="L183" i="54"/>
  <c r="J183" i="54"/>
  <c r="G183" i="54"/>
  <c r="N13" i="61"/>
  <c r="F820" i="55" s="1"/>
  <c r="F679" i="52"/>
  <c r="E673" i="53"/>
  <c r="E301" i="53"/>
  <c r="F306" i="52"/>
  <c r="E215" i="53"/>
  <c r="F220" i="52"/>
  <c r="H49" i="52"/>
  <c r="H17" i="52"/>
  <c r="F17" i="65" s="1"/>
  <c r="C110" i="65" s="1"/>
  <c r="G306" i="52"/>
  <c r="E301" i="54"/>
  <c r="G289" i="52"/>
  <c r="E275" i="54"/>
  <c r="F367" i="54"/>
  <c r="J367" i="54"/>
  <c r="K367" i="54"/>
  <c r="H367" i="54"/>
  <c r="I367" i="54"/>
  <c r="G367" i="54"/>
  <c r="L367" i="54"/>
  <c r="G192" i="54"/>
  <c r="J192" i="54"/>
  <c r="F192" i="54"/>
  <c r="L192" i="54"/>
  <c r="H192" i="54"/>
  <c r="I192" i="54"/>
  <c r="K192" i="54"/>
  <c r="K198" i="54"/>
  <c r="I198" i="54"/>
  <c r="L198" i="54"/>
  <c r="G198" i="54"/>
  <c r="H198" i="54"/>
  <c r="F198" i="54"/>
  <c r="J198" i="54"/>
  <c r="J278" i="54"/>
  <c r="F278" i="54"/>
  <c r="I278" i="54"/>
  <c r="H278" i="54"/>
  <c r="L278" i="54"/>
  <c r="K278" i="54"/>
  <c r="G278" i="54"/>
  <c r="L203" i="54"/>
  <c r="J203" i="54"/>
  <c r="F203" i="54"/>
  <c r="K203" i="54"/>
  <c r="I203" i="54"/>
  <c r="H203" i="54"/>
  <c r="G203" i="54"/>
  <c r="H268" i="54"/>
  <c r="K268" i="54"/>
  <c r="J268" i="54"/>
  <c r="L268" i="54"/>
  <c r="G268" i="54"/>
  <c r="F268" i="54"/>
  <c r="I268" i="54"/>
  <c r="G134" i="54"/>
  <c r="J134" i="54"/>
  <c r="F134" i="54"/>
  <c r="K134" i="54"/>
  <c r="L134" i="54"/>
  <c r="H134" i="54"/>
  <c r="I134" i="54"/>
  <c r="K372" i="54"/>
  <c r="F372" i="54"/>
  <c r="H372" i="54"/>
  <c r="G372" i="54"/>
  <c r="L372" i="54"/>
  <c r="J372" i="54"/>
  <c r="I372" i="54"/>
  <c r="I201" i="54"/>
  <c r="G201" i="54"/>
  <c r="J201" i="54"/>
  <c r="F201" i="54"/>
  <c r="K201" i="54"/>
  <c r="H201" i="54"/>
  <c r="L201" i="54"/>
  <c r="I200" i="54"/>
  <c r="H200" i="54"/>
  <c r="G200" i="54"/>
  <c r="K200" i="54"/>
  <c r="J200" i="54"/>
  <c r="F200" i="54"/>
  <c r="L200" i="54"/>
  <c r="H365" i="54"/>
  <c r="I365" i="54"/>
  <c r="K365" i="54"/>
  <c r="L365" i="54"/>
  <c r="J365" i="54"/>
  <c r="F365" i="54"/>
  <c r="G365" i="54"/>
  <c r="I351" i="54"/>
  <c r="K351" i="54"/>
  <c r="G351" i="54"/>
  <c r="F351" i="54"/>
  <c r="H351" i="54"/>
  <c r="L351" i="54"/>
  <c r="J351" i="54"/>
  <c r="G368" i="54"/>
  <c r="I368" i="54"/>
  <c r="K368" i="54"/>
  <c r="H368" i="54"/>
  <c r="J368" i="54"/>
  <c r="F368" i="54"/>
  <c r="L368" i="54"/>
  <c r="J137" i="54"/>
  <c r="G137" i="54"/>
  <c r="F137" i="54"/>
  <c r="I137" i="54"/>
  <c r="K137" i="54"/>
  <c r="H137" i="54"/>
  <c r="L137" i="54"/>
  <c r="H354" i="54"/>
  <c r="I354" i="54"/>
  <c r="J354" i="54"/>
  <c r="L354" i="54"/>
  <c r="K354" i="54"/>
  <c r="F354" i="54"/>
  <c r="G354" i="54"/>
  <c r="I187" i="54"/>
  <c r="F187" i="54"/>
  <c r="G187" i="54"/>
  <c r="H187" i="54"/>
  <c r="K187" i="54"/>
  <c r="J187" i="54"/>
  <c r="L187" i="54"/>
  <c r="F202" i="54"/>
  <c r="H202" i="54"/>
  <c r="K202" i="54"/>
  <c r="L202" i="54"/>
  <c r="J202" i="54"/>
  <c r="G202" i="54"/>
  <c r="I202" i="54"/>
  <c r="G276" i="54"/>
  <c r="K276" i="54"/>
  <c r="L276" i="54"/>
  <c r="F276" i="54"/>
  <c r="J276" i="54"/>
  <c r="H276" i="54"/>
  <c r="I276" i="54"/>
  <c r="I100" i="45" l="1"/>
  <c r="I804" i="45"/>
  <c r="G663" i="45"/>
  <c r="H100" i="45"/>
  <c r="H804" i="45"/>
  <c r="F663" i="45"/>
  <c r="E806" i="53"/>
  <c r="J663" i="45"/>
  <c r="E702" i="52"/>
  <c r="E705" i="52" s="1"/>
  <c r="C23" i="65"/>
  <c r="C25" i="65" s="1"/>
  <c r="E22" i="52"/>
  <c r="E54" i="52"/>
  <c r="G693" i="52"/>
  <c r="E693" i="55" s="1"/>
  <c r="G846" i="52"/>
  <c r="F39" i="57"/>
  <c r="G847" i="52"/>
  <c r="L198" i="55"/>
  <c r="I364" i="45"/>
  <c r="L366" i="45"/>
  <c r="K352" i="45"/>
  <c r="J284" i="45"/>
  <c r="H267" i="45"/>
  <c r="K278" i="45"/>
  <c r="K200" i="45"/>
  <c r="G766" i="52"/>
  <c r="E766" i="55" s="1"/>
  <c r="J200" i="55"/>
  <c r="G750" i="52"/>
  <c r="E750" i="54" s="1"/>
  <c r="G788" i="52"/>
  <c r="E788" i="54" s="1"/>
  <c r="G135" i="55"/>
  <c r="H368" i="53"/>
  <c r="F38" i="57"/>
  <c r="G717" i="52"/>
  <c r="G719" i="52" s="1"/>
  <c r="G789" i="52"/>
  <c r="E789" i="54" s="1"/>
  <c r="G703" i="52"/>
  <c r="E703" i="54" s="1"/>
  <c r="G738" i="52"/>
  <c r="E738" i="55" s="1"/>
  <c r="G787" i="52"/>
  <c r="E787" i="54" s="1"/>
  <c r="G784" i="52"/>
  <c r="E784" i="54" s="1"/>
  <c r="F267" i="53"/>
  <c r="G762" i="52"/>
  <c r="E762" i="55" s="1"/>
  <c r="J281" i="53"/>
  <c r="J281" i="45" s="1"/>
  <c r="H304" i="55"/>
  <c r="L302" i="53"/>
  <c r="H218" i="55"/>
  <c r="L280" i="55"/>
  <c r="G219" i="55"/>
  <c r="J265" i="55"/>
  <c r="L270" i="53"/>
  <c r="K241" i="53"/>
  <c r="H135" i="55"/>
  <c r="L361" i="55"/>
  <c r="L361" i="45" s="1"/>
  <c r="G280" i="55"/>
  <c r="G267" i="53"/>
  <c r="H199" i="53"/>
  <c r="F354" i="53"/>
  <c r="H285" i="55"/>
  <c r="H280" i="55"/>
  <c r="L192" i="55"/>
  <c r="L192" i="45" s="1"/>
  <c r="G200" i="55"/>
  <c r="J270" i="53"/>
  <c r="F202" i="53"/>
  <c r="I278" i="55"/>
  <c r="I303" i="55"/>
  <c r="F216" i="53"/>
  <c r="I282" i="53"/>
  <c r="F137" i="53"/>
  <c r="L365" i="53"/>
  <c r="J352" i="53"/>
  <c r="H364" i="55"/>
  <c r="G267" i="55"/>
  <c r="K203" i="53"/>
  <c r="I351" i="53"/>
  <c r="H270" i="55"/>
  <c r="H270" i="45" s="1"/>
  <c r="G284" i="53"/>
  <c r="I270" i="55"/>
  <c r="I193" i="53"/>
  <c r="H134" i="53"/>
  <c r="L287" i="53"/>
  <c r="G269" i="53"/>
  <c r="H354" i="55"/>
  <c r="K279" i="53"/>
  <c r="I350" i="53"/>
  <c r="K286" i="53"/>
  <c r="K286" i="45" s="1"/>
  <c r="I276" i="53"/>
  <c r="K183" i="53"/>
  <c r="K241" i="55"/>
  <c r="F197" i="53"/>
  <c r="G327" i="53"/>
  <c r="H782" i="52"/>
  <c r="H790" i="52" s="1"/>
  <c r="H800" i="52" s="1"/>
  <c r="H739" i="52"/>
  <c r="H694" i="52" s="1"/>
  <c r="H695" i="52" s="1"/>
  <c r="K191" i="53"/>
  <c r="K191" i="45" s="1"/>
  <c r="F366" i="53"/>
  <c r="L195" i="53"/>
  <c r="H184" i="55"/>
  <c r="I265" i="53"/>
  <c r="F291" i="52"/>
  <c r="F781" i="52" s="1"/>
  <c r="F281" i="53"/>
  <c r="L191" i="53"/>
  <c r="L217" i="53"/>
  <c r="K363" i="53"/>
  <c r="K366" i="53"/>
  <c r="L280" i="53"/>
  <c r="K277" i="53"/>
  <c r="J217" i="53"/>
  <c r="F363" i="53"/>
  <c r="H731" i="52"/>
  <c r="F372" i="53"/>
  <c r="G277" i="53"/>
  <c r="G277" i="45" s="1"/>
  <c r="K353" i="53"/>
  <c r="K353" i="45" s="1"/>
  <c r="K361" i="53"/>
  <c r="H192" i="53"/>
  <c r="L203" i="53"/>
  <c r="L216" i="53"/>
  <c r="I269" i="53"/>
  <c r="J276" i="53"/>
  <c r="J276" i="45" s="1"/>
  <c r="K182" i="53"/>
  <c r="J365" i="53"/>
  <c r="G137" i="53"/>
  <c r="L364" i="55"/>
  <c r="L199" i="55"/>
  <c r="G364" i="55"/>
  <c r="G136" i="55"/>
  <c r="G354" i="55"/>
  <c r="G201" i="53"/>
  <c r="I288" i="55"/>
  <c r="G193" i="53"/>
  <c r="F279" i="53"/>
  <c r="G197" i="53"/>
  <c r="G282" i="53"/>
  <c r="I134" i="53"/>
  <c r="K364" i="55"/>
  <c r="J350" i="53"/>
  <c r="J350" i="45" s="1"/>
  <c r="F287" i="53"/>
  <c r="H327" i="53"/>
  <c r="J302" i="53"/>
  <c r="J286" i="53"/>
  <c r="G216" i="53"/>
  <c r="L269" i="53"/>
  <c r="G276" i="53"/>
  <c r="J182" i="53"/>
  <c r="I365" i="53"/>
  <c r="F351" i="53"/>
  <c r="J137" i="53"/>
  <c r="J137" i="45" s="1"/>
  <c r="L241" i="55"/>
  <c r="L368" i="55"/>
  <c r="G194" i="55"/>
  <c r="G202" i="55"/>
  <c r="G199" i="55"/>
  <c r="F183" i="53"/>
  <c r="H201" i="53"/>
  <c r="F284" i="53"/>
  <c r="J136" i="55"/>
  <c r="J193" i="53"/>
  <c r="J193" i="45" s="1"/>
  <c r="K197" i="53"/>
  <c r="F282" i="53"/>
  <c r="G134" i="53"/>
  <c r="H185" i="53"/>
  <c r="G350" i="53"/>
  <c r="L352" i="53"/>
  <c r="L327" i="53"/>
  <c r="H203" i="53"/>
  <c r="H286" i="53"/>
  <c r="K216" i="53"/>
  <c r="L276" i="53"/>
  <c r="F182" i="53"/>
  <c r="F365" i="53"/>
  <c r="J351" i="53"/>
  <c r="J351" i="45" s="1"/>
  <c r="L137" i="53"/>
  <c r="H199" i="55"/>
  <c r="H136" i="55"/>
  <c r="H368" i="55"/>
  <c r="L267" i="55"/>
  <c r="L270" i="55"/>
  <c r="G183" i="53"/>
  <c r="G183" i="45" s="1"/>
  <c r="I201" i="53"/>
  <c r="H284" i="53"/>
  <c r="I267" i="55"/>
  <c r="I202" i="55"/>
  <c r="I279" i="53"/>
  <c r="L197" i="53"/>
  <c r="K282" i="53"/>
  <c r="K134" i="53"/>
  <c r="G185" i="53"/>
  <c r="I352" i="53"/>
  <c r="K302" i="53"/>
  <c r="G305" i="53"/>
  <c r="H278" i="55"/>
  <c r="H219" i="55"/>
  <c r="H797" i="55"/>
  <c r="H192" i="55"/>
  <c r="L304" i="55"/>
  <c r="L278" i="55"/>
  <c r="L135" i="55"/>
  <c r="L219" i="55"/>
  <c r="G367" i="55"/>
  <c r="G265" i="55"/>
  <c r="G285" i="55"/>
  <c r="G361" i="55"/>
  <c r="G797" i="55"/>
  <c r="J267" i="53"/>
  <c r="I267" i="53"/>
  <c r="F270" i="53"/>
  <c r="I270" i="53"/>
  <c r="I270" i="45" s="1"/>
  <c r="L368" i="53"/>
  <c r="L288" i="53"/>
  <c r="K288" i="53"/>
  <c r="F194" i="53"/>
  <c r="J202" i="53"/>
  <c r="H136" i="53"/>
  <c r="J364" i="53"/>
  <c r="H361" i="55"/>
  <c r="H303" i="55"/>
  <c r="H303" i="45" s="1"/>
  <c r="H200" i="55"/>
  <c r="H367" i="55"/>
  <c r="H265" i="55"/>
  <c r="H265" i="45" s="1"/>
  <c r="L218" i="55"/>
  <c r="L218" i="45" s="1"/>
  <c r="L367" i="55"/>
  <c r="G304" i="55"/>
  <c r="G278" i="55"/>
  <c r="L267" i="53"/>
  <c r="L267" i="45" s="1"/>
  <c r="K267" i="53"/>
  <c r="G270" i="53"/>
  <c r="G270" i="45" s="1"/>
  <c r="K270" i="53"/>
  <c r="K368" i="53"/>
  <c r="I288" i="53"/>
  <c r="I288" i="45" s="1"/>
  <c r="L199" i="53"/>
  <c r="L194" i="53"/>
  <c r="F241" i="53"/>
  <c r="K136" i="53"/>
  <c r="K303" i="55"/>
  <c r="I354" i="53"/>
  <c r="I354" i="45" s="1"/>
  <c r="I219" i="55"/>
  <c r="J797" i="55"/>
  <c r="H198" i="55"/>
  <c r="L200" i="55"/>
  <c r="L285" i="55"/>
  <c r="L303" i="55"/>
  <c r="L797" i="55"/>
  <c r="G218" i="55"/>
  <c r="G198" i="55"/>
  <c r="G192" i="55"/>
  <c r="G303" i="55"/>
  <c r="F368" i="53"/>
  <c r="I368" i="53"/>
  <c r="I368" i="45" s="1"/>
  <c r="G288" i="53"/>
  <c r="G288" i="45" s="1"/>
  <c r="G199" i="53"/>
  <c r="I367" i="55"/>
  <c r="F364" i="53"/>
  <c r="L186" i="53"/>
  <c r="K362" i="53"/>
  <c r="I305" i="53"/>
  <c r="I305" i="45" s="1"/>
  <c r="J186" i="53"/>
  <c r="J186" i="45" s="1"/>
  <c r="L305" i="53"/>
  <c r="G203" i="53"/>
  <c r="G203" i="45" s="1"/>
  <c r="I203" i="53"/>
  <c r="I286" i="53"/>
  <c r="F286" i="53"/>
  <c r="H216" i="53"/>
  <c r="F269" i="53"/>
  <c r="K269" i="53"/>
  <c r="K276" i="53"/>
  <c r="L182" i="53"/>
  <c r="H182" i="53"/>
  <c r="H182" i="45" s="1"/>
  <c r="H365" i="53"/>
  <c r="H351" i="53"/>
  <c r="L351" i="53"/>
  <c r="I137" i="53"/>
  <c r="H137" i="53"/>
  <c r="H202" i="55"/>
  <c r="H241" i="55"/>
  <c r="L288" i="55"/>
  <c r="G368" i="55"/>
  <c r="G368" i="45" s="1"/>
  <c r="L183" i="53"/>
  <c r="I183" i="53"/>
  <c r="J201" i="53"/>
  <c r="L201" i="53"/>
  <c r="L201" i="45" s="1"/>
  <c r="K284" i="53"/>
  <c r="L284" i="53"/>
  <c r="K193" i="53"/>
  <c r="L193" i="53"/>
  <c r="H279" i="53"/>
  <c r="L279" i="53"/>
  <c r="H197" i="53"/>
  <c r="I197" i="53"/>
  <c r="I197" i="45" s="1"/>
  <c r="L282" i="53"/>
  <c r="H282" i="53"/>
  <c r="H282" i="45" s="1"/>
  <c r="L134" i="53"/>
  <c r="I185" i="53"/>
  <c r="I185" i="45" s="1"/>
  <c r="H350" i="53"/>
  <c r="G352" i="53"/>
  <c r="I287" i="53"/>
  <c r="I287" i="45" s="1"/>
  <c r="G287" i="53"/>
  <c r="K327" i="53"/>
  <c r="K327" i="45" s="1"/>
  <c r="G302" i="53"/>
  <c r="K305" i="53"/>
  <c r="I186" i="53"/>
  <c r="F186" i="53"/>
  <c r="F203" i="53"/>
  <c r="G286" i="53"/>
  <c r="J216" i="53"/>
  <c r="J216" i="45" s="1"/>
  <c r="J269" i="53"/>
  <c r="J269" i="45" s="1"/>
  <c r="H276" i="53"/>
  <c r="I182" i="53"/>
  <c r="G365" i="53"/>
  <c r="G365" i="45" s="1"/>
  <c r="K351" i="53"/>
  <c r="H287" i="55"/>
  <c r="H194" i="55"/>
  <c r="H194" i="45" s="1"/>
  <c r="H288" i="55"/>
  <c r="L194" i="55"/>
  <c r="L354" i="55"/>
  <c r="G282" i="55"/>
  <c r="J183" i="53"/>
  <c r="F201" i="53"/>
  <c r="I284" i="53"/>
  <c r="F193" i="53"/>
  <c r="J279" i="53"/>
  <c r="J279" i="45" s="1"/>
  <c r="J134" i="53"/>
  <c r="J134" i="45" s="1"/>
  <c r="K354" i="55"/>
  <c r="K354" i="45" s="1"/>
  <c r="F185" i="53"/>
  <c r="K185" i="53"/>
  <c r="L350" i="53"/>
  <c r="F352" i="53"/>
  <c r="K287" i="53"/>
  <c r="H287" i="53"/>
  <c r="J327" i="53"/>
  <c r="I302" i="53"/>
  <c r="I302" i="45" s="1"/>
  <c r="F305" i="53"/>
  <c r="K186" i="53"/>
  <c r="L352" i="55"/>
  <c r="G187" i="53"/>
  <c r="G283" i="53"/>
  <c r="K159" i="53"/>
  <c r="L369" i="53"/>
  <c r="H302" i="55"/>
  <c r="L197" i="55"/>
  <c r="L284" i="55"/>
  <c r="L305" i="55"/>
  <c r="G134" i="55"/>
  <c r="I201" i="55"/>
  <c r="L187" i="53"/>
  <c r="G355" i="53"/>
  <c r="J268" i="53"/>
  <c r="J369" i="53"/>
  <c r="G184" i="53"/>
  <c r="H284" i="55"/>
  <c r="L193" i="55"/>
  <c r="G197" i="55"/>
  <c r="L355" i="53"/>
  <c r="L184" i="53"/>
  <c r="L370" i="53"/>
  <c r="K196" i="53"/>
  <c r="K196" i="45" s="1"/>
  <c r="H197" i="55"/>
  <c r="H327" i="55"/>
  <c r="H183" i="55"/>
  <c r="H183" i="45" s="1"/>
  <c r="L282" i="55"/>
  <c r="G284" i="55"/>
  <c r="G350" i="55"/>
  <c r="G287" i="55"/>
  <c r="H187" i="53"/>
  <c r="I355" i="53"/>
  <c r="K268" i="53"/>
  <c r="J362" i="53"/>
  <c r="L362" i="53"/>
  <c r="L362" i="45" s="1"/>
  <c r="I283" i="53"/>
  <c r="I283" i="45" s="1"/>
  <c r="H159" i="53"/>
  <c r="I369" i="53"/>
  <c r="H184" i="53"/>
  <c r="J184" i="53"/>
  <c r="G370" i="53"/>
  <c r="K370" i="53"/>
  <c r="K370" i="45" s="1"/>
  <c r="K134" i="55"/>
  <c r="L266" i="53"/>
  <c r="G375" i="52"/>
  <c r="G731" i="52" s="1"/>
  <c r="H201" i="55"/>
  <c r="H186" i="55"/>
  <c r="H305" i="55"/>
  <c r="H350" i="55"/>
  <c r="H352" i="55"/>
  <c r="H279" i="55"/>
  <c r="H185" i="55"/>
  <c r="L302" i="55"/>
  <c r="L186" i="55"/>
  <c r="L287" i="55"/>
  <c r="L185" i="55"/>
  <c r="L185" i="45" s="1"/>
  <c r="L183" i="55"/>
  <c r="L134" i="55"/>
  <c r="L327" i="55"/>
  <c r="G327" i="55"/>
  <c r="G352" i="55"/>
  <c r="G185" i="55"/>
  <c r="G193" i="55"/>
  <c r="K187" i="53"/>
  <c r="K187" i="45" s="1"/>
  <c r="J355" i="53"/>
  <c r="J355" i="45" s="1"/>
  <c r="H268" i="53"/>
  <c r="F362" i="53"/>
  <c r="J283" i="53"/>
  <c r="H283" i="53"/>
  <c r="J159" i="53"/>
  <c r="G369" i="53"/>
  <c r="G369" i="45" s="1"/>
  <c r="I184" i="53"/>
  <c r="I370" i="53"/>
  <c r="I282" i="55"/>
  <c r="I371" i="53"/>
  <c r="H193" i="55"/>
  <c r="H193" i="45" s="1"/>
  <c r="H134" i="55"/>
  <c r="H134" i="45" s="1"/>
  <c r="L279" i="55"/>
  <c r="L350" i="55"/>
  <c r="G186" i="55"/>
  <c r="G186" i="45" s="1"/>
  <c r="G279" i="55"/>
  <c r="G279" i="45" s="1"/>
  <c r="G302" i="55"/>
  <c r="G305" i="55"/>
  <c r="F187" i="53"/>
  <c r="K355" i="53"/>
  <c r="L268" i="53"/>
  <c r="I268" i="53"/>
  <c r="G362" i="53"/>
  <c r="F283" i="53"/>
  <c r="K283" i="53"/>
  <c r="L159" i="53"/>
  <c r="L159" i="45" s="1"/>
  <c r="I159" i="53"/>
  <c r="H369" i="53"/>
  <c r="F369" i="53"/>
  <c r="K184" i="53"/>
  <c r="K184" i="45" s="1"/>
  <c r="J370" i="53"/>
  <c r="K185" i="55"/>
  <c r="J352" i="55"/>
  <c r="K186" i="55"/>
  <c r="K305" i="55"/>
  <c r="K371" i="53"/>
  <c r="K266" i="53"/>
  <c r="K266" i="45" s="1"/>
  <c r="K302" i="55"/>
  <c r="J196" i="53"/>
  <c r="I186" i="55"/>
  <c r="K350" i="55"/>
  <c r="K350" i="45" s="1"/>
  <c r="L281" i="53"/>
  <c r="H281" i="53"/>
  <c r="I191" i="53"/>
  <c r="F191" i="53"/>
  <c r="J372" i="53"/>
  <c r="H372" i="53"/>
  <c r="F277" i="53"/>
  <c r="L277" i="53"/>
  <c r="K217" i="53"/>
  <c r="F217" i="53"/>
  <c r="K195" i="53"/>
  <c r="F195" i="53"/>
  <c r="G363" i="53"/>
  <c r="L363" i="53"/>
  <c r="I366" i="53"/>
  <c r="F353" i="53"/>
  <c r="L353" i="53"/>
  <c r="H187" i="55"/>
  <c r="H196" i="55"/>
  <c r="H370" i="55"/>
  <c r="L196" i="55"/>
  <c r="L196" i="45" s="1"/>
  <c r="L184" i="55"/>
  <c r="G266" i="55"/>
  <c r="G266" i="45" s="1"/>
  <c r="G370" i="55"/>
  <c r="F218" i="53"/>
  <c r="F205" i="52"/>
  <c r="J268" i="55"/>
  <c r="I159" i="55"/>
  <c r="H135" i="53"/>
  <c r="J200" i="53"/>
  <c r="G367" i="53"/>
  <c r="I281" i="53"/>
  <c r="J191" i="53"/>
  <c r="G191" i="53"/>
  <c r="L372" i="53"/>
  <c r="L372" i="45" s="1"/>
  <c r="I372" i="53"/>
  <c r="H277" i="53"/>
  <c r="I277" i="53"/>
  <c r="G217" i="53"/>
  <c r="G217" i="45" s="1"/>
  <c r="I217" i="53"/>
  <c r="I195" i="53"/>
  <c r="H195" i="53"/>
  <c r="J363" i="53"/>
  <c r="J363" i="45" s="1"/>
  <c r="J366" i="53"/>
  <c r="H366" i="53"/>
  <c r="H353" i="53"/>
  <c r="J353" i="53"/>
  <c r="G362" i="55"/>
  <c r="L265" i="53"/>
  <c r="L265" i="45" s="1"/>
  <c r="L285" i="53"/>
  <c r="L285" i="45" s="1"/>
  <c r="K371" i="55"/>
  <c r="G200" i="53"/>
  <c r="H278" i="53"/>
  <c r="H278" i="45" s="1"/>
  <c r="I304" i="53"/>
  <c r="K281" i="53"/>
  <c r="K372" i="53"/>
  <c r="G195" i="53"/>
  <c r="G195" i="45" s="1"/>
  <c r="H363" i="53"/>
  <c r="G366" i="53"/>
  <c r="G353" i="53"/>
  <c r="G159" i="55"/>
  <c r="J369" i="55"/>
  <c r="J285" i="53"/>
  <c r="J285" i="45" s="1"/>
  <c r="I280" i="53"/>
  <c r="I280" i="45" s="1"/>
  <c r="F367" i="53"/>
  <c r="G196" i="53"/>
  <c r="I196" i="53"/>
  <c r="G371" i="53"/>
  <c r="G371" i="45" s="1"/>
  <c r="H371" i="53"/>
  <c r="H266" i="53"/>
  <c r="F196" i="53"/>
  <c r="H196" i="53"/>
  <c r="L371" i="53"/>
  <c r="I327" i="55"/>
  <c r="J266" i="53"/>
  <c r="I266" i="53"/>
  <c r="J305" i="55"/>
  <c r="J305" i="45" s="1"/>
  <c r="G198" i="53"/>
  <c r="I187" i="53"/>
  <c r="H355" i="53"/>
  <c r="G268" i="53"/>
  <c r="G268" i="45" s="1"/>
  <c r="I362" i="53"/>
  <c r="G159" i="53"/>
  <c r="H370" i="53"/>
  <c r="H370" i="45" s="1"/>
  <c r="K287" i="55"/>
  <c r="J185" i="53"/>
  <c r="F350" i="53"/>
  <c r="I361" i="53"/>
  <c r="I361" i="45" s="1"/>
  <c r="H352" i="53"/>
  <c r="J371" i="53"/>
  <c r="J278" i="53"/>
  <c r="I327" i="53"/>
  <c r="H302" i="53"/>
  <c r="F266" i="53"/>
  <c r="H305" i="53"/>
  <c r="H186" i="53"/>
  <c r="I199" i="53"/>
  <c r="G194" i="53"/>
  <c r="K194" i="53"/>
  <c r="K194" i="45" s="1"/>
  <c r="I202" i="53"/>
  <c r="I202" i="45" s="1"/>
  <c r="H241" i="53"/>
  <c r="J136" i="53"/>
  <c r="I136" i="53"/>
  <c r="K304" i="55"/>
  <c r="K304" i="45" s="1"/>
  <c r="K361" i="55"/>
  <c r="K192" i="55"/>
  <c r="K797" i="55"/>
  <c r="G354" i="53"/>
  <c r="G364" i="53"/>
  <c r="I304" i="55"/>
  <c r="J219" i="55"/>
  <c r="J219" i="45" s="1"/>
  <c r="J368" i="53"/>
  <c r="H288" i="53"/>
  <c r="F199" i="53"/>
  <c r="I194" i="53"/>
  <c r="J194" i="53"/>
  <c r="H202" i="53"/>
  <c r="G202" i="53"/>
  <c r="L241" i="53"/>
  <c r="G241" i="53"/>
  <c r="G241" i="45" s="1"/>
  <c r="L136" i="53"/>
  <c r="L136" i="45" s="1"/>
  <c r="H354" i="53"/>
  <c r="H354" i="45" s="1"/>
  <c r="J354" i="53"/>
  <c r="H364" i="53"/>
  <c r="L364" i="53"/>
  <c r="L364" i="45" s="1"/>
  <c r="I198" i="55"/>
  <c r="L303" i="53"/>
  <c r="L303" i="45" s="1"/>
  <c r="F375" i="52"/>
  <c r="F731" i="52" s="1"/>
  <c r="J288" i="53"/>
  <c r="J199" i="53"/>
  <c r="J199" i="45" s="1"/>
  <c r="L202" i="53"/>
  <c r="L202" i="45" s="1"/>
  <c r="J241" i="53"/>
  <c r="G136" i="53"/>
  <c r="K198" i="55"/>
  <c r="L354" i="53"/>
  <c r="K364" i="53"/>
  <c r="I219" i="53"/>
  <c r="H769" i="52"/>
  <c r="H304" i="53"/>
  <c r="K219" i="53"/>
  <c r="K219" i="45" s="1"/>
  <c r="J797" i="53"/>
  <c r="G303" i="53"/>
  <c r="E784" i="53"/>
  <c r="H362" i="55"/>
  <c r="H362" i="45" s="1"/>
  <c r="H355" i="55"/>
  <c r="H159" i="55"/>
  <c r="H371" i="55"/>
  <c r="H283" i="55"/>
  <c r="L187" i="55"/>
  <c r="G196" i="55"/>
  <c r="G184" i="55"/>
  <c r="G187" i="55"/>
  <c r="G265" i="53"/>
  <c r="F265" i="53"/>
  <c r="H218" i="53"/>
  <c r="J218" i="53"/>
  <c r="J218" i="45" s="1"/>
  <c r="J362" i="55"/>
  <c r="I135" i="53"/>
  <c r="I135" i="45" s="1"/>
  <c r="L135" i="53"/>
  <c r="I285" i="53"/>
  <c r="H285" i="53"/>
  <c r="H280" i="53"/>
  <c r="F200" i="53"/>
  <c r="H200" i="53"/>
  <c r="I196" i="55"/>
  <c r="H361" i="53"/>
  <c r="G361" i="53"/>
  <c r="I367" i="53"/>
  <c r="L367" i="53"/>
  <c r="J371" i="55"/>
  <c r="I192" i="53"/>
  <c r="J192" i="53"/>
  <c r="J192" i="45" s="1"/>
  <c r="G278" i="53"/>
  <c r="E787" i="53"/>
  <c r="E789" i="53"/>
  <c r="I797" i="53"/>
  <c r="I797" i="45" s="1"/>
  <c r="G797" i="53"/>
  <c r="L304" i="53"/>
  <c r="L198" i="53"/>
  <c r="H198" i="53"/>
  <c r="H198" i="45" s="1"/>
  <c r="L219" i="53"/>
  <c r="G219" i="53"/>
  <c r="F303" i="53"/>
  <c r="J303" i="53"/>
  <c r="J303" i="45" s="1"/>
  <c r="H266" i="55"/>
  <c r="H369" i="55"/>
  <c r="H268" i="55"/>
  <c r="L371" i="55"/>
  <c r="L355" i="55"/>
  <c r="L268" i="55"/>
  <c r="L266" i="55"/>
  <c r="G355" i="55"/>
  <c r="J265" i="53"/>
  <c r="J265" i="45" s="1"/>
  <c r="K265" i="53"/>
  <c r="K218" i="53"/>
  <c r="I218" i="53"/>
  <c r="G135" i="53"/>
  <c r="J135" i="53"/>
  <c r="G285" i="53"/>
  <c r="G285" i="45" s="1"/>
  <c r="G280" i="53"/>
  <c r="F280" i="53"/>
  <c r="L200" i="53"/>
  <c r="J361" i="53"/>
  <c r="K367" i="53"/>
  <c r="K367" i="45" s="1"/>
  <c r="F192" i="53"/>
  <c r="K192" i="53"/>
  <c r="K192" i="45" s="1"/>
  <c r="F278" i="53"/>
  <c r="I278" i="53"/>
  <c r="I278" i="45" s="1"/>
  <c r="J266" i="55"/>
  <c r="E750" i="53"/>
  <c r="E703" i="53"/>
  <c r="L797" i="53"/>
  <c r="L797" i="45" s="1"/>
  <c r="H797" i="53"/>
  <c r="G304" i="53"/>
  <c r="J304" i="53"/>
  <c r="J304" i="45" s="1"/>
  <c r="J198" i="53"/>
  <c r="J198" i="45" s="1"/>
  <c r="K198" i="53"/>
  <c r="F219" i="53"/>
  <c r="H219" i="53"/>
  <c r="K303" i="53"/>
  <c r="K303" i="45" s="1"/>
  <c r="I303" i="53"/>
  <c r="I303" i="45" s="1"/>
  <c r="L369" i="55"/>
  <c r="L283" i="55"/>
  <c r="L283" i="45" s="1"/>
  <c r="L370" i="55"/>
  <c r="G283" i="55"/>
  <c r="G218" i="53"/>
  <c r="K135" i="53"/>
  <c r="F285" i="53"/>
  <c r="K280" i="53"/>
  <c r="I200" i="53"/>
  <c r="F361" i="53"/>
  <c r="H367" i="53"/>
  <c r="H367" i="45" s="1"/>
  <c r="G192" i="53"/>
  <c r="L278" i="53"/>
  <c r="L278" i="45" s="1"/>
  <c r="E788" i="53"/>
  <c r="K797" i="53"/>
  <c r="F304" i="53"/>
  <c r="I198" i="53"/>
  <c r="G275" i="54"/>
  <c r="G289" i="54" s="1"/>
  <c r="E289" i="54"/>
  <c r="F275" i="54"/>
  <c r="F289" i="54" s="1"/>
  <c r="K275" i="54"/>
  <c r="K289" i="54" s="1"/>
  <c r="H275" i="54"/>
  <c r="H289" i="54" s="1"/>
  <c r="L275" i="54"/>
  <c r="L289" i="54" s="1"/>
  <c r="J275" i="54"/>
  <c r="J289" i="54" s="1"/>
  <c r="I275" i="54"/>
  <c r="I289" i="54" s="1"/>
  <c r="E306" i="53"/>
  <c r="L301" i="53"/>
  <c r="K301" i="53"/>
  <c r="J301" i="53"/>
  <c r="G301" i="53"/>
  <c r="H301" i="53"/>
  <c r="F301" i="53"/>
  <c r="I301" i="53"/>
  <c r="H191" i="55"/>
  <c r="H191" i="45" s="1"/>
  <c r="H216" i="55"/>
  <c r="H276" i="55"/>
  <c r="H372" i="55"/>
  <c r="L137" i="55"/>
  <c r="L182" i="55"/>
  <c r="L351" i="55"/>
  <c r="L195" i="55"/>
  <c r="L191" i="55"/>
  <c r="G281" i="55"/>
  <c r="G281" i="45" s="1"/>
  <c r="G363" i="55"/>
  <c r="G372" i="55"/>
  <c r="G372" i="45" s="1"/>
  <c r="G366" i="55"/>
  <c r="G276" i="55"/>
  <c r="G286" i="55"/>
  <c r="K355" i="55"/>
  <c r="K217" i="55"/>
  <c r="K199" i="55"/>
  <c r="K199" i="45" s="1"/>
  <c r="K282" i="55"/>
  <c r="K265" i="55"/>
  <c r="K351" i="55"/>
  <c r="K276" i="55"/>
  <c r="K284" i="55"/>
  <c r="K277" i="55"/>
  <c r="K368" i="55"/>
  <c r="G326" i="54"/>
  <c r="G356" i="54" s="1"/>
  <c r="F326" i="54"/>
  <c r="F356" i="54" s="1"/>
  <c r="I326" i="54"/>
  <c r="I356" i="54" s="1"/>
  <c r="E356" i="54"/>
  <c r="K326" i="54"/>
  <c r="K356" i="54" s="1"/>
  <c r="L326" i="54"/>
  <c r="L356" i="54" s="1"/>
  <c r="J326" i="54"/>
  <c r="J356" i="54" s="1"/>
  <c r="H326" i="54"/>
  <c r="H356" i="54" s="1"/>
  <c r="E188" i="54"/>
  <c r="K158" i="54"/>
  <c r="K188" i="54" s="1"/>
  <c r="J158" i="54"/>
  <c r="J188" i="54" s="1"/>
  <c r="G158" i="54"/>
  <c r="G188" i="54" s="1"/>
  <c r="H158" i="54"/>
  <c r="H188" i="54" s="1"/>
  <c r="F158" i="54"/>
  <c r="F188" i="54" s="1"/>
  <c r="L158" i="54"/>
  <c r="L188" i="54" s="1"/>
  <c r="I158" i="54"/>
  <c r="I188" i="54" s="1"/>
  <c r="E693" i="53"/>
  <c r="I277" i="55"/>
  <c r="I351" i="55"/>
  <c r="I136" i="55"/>
  <c r="I352" i="55"/>
  <c r="I281" i="55"/>
  <c r="I134" i="55"/>
  <c r="I285" i="55"/>
  <c r="I265" i="55"/>
  <c r="I187" i="55"/>
  <c r="I365" i="55"/>
  <c r="I366" i="55"/>
  <c r="I203" i="55"/>
  <c r="I269" i="55"/>
  <c r="I279" i="55"/>
  <c r="I195" i="55"/>
  <c r="I200" i="55"/>
  <c r="I182" i="55"/>
  <c r="E220" i="54"/>
  <c r="G215" i="54"/>
  <c r="G220" i="54" s="1"/>
  <c r="K215" i="54"/>
  <c r="K220" i="54" s="1"/>
  <c r="H215" i="54"/>
  <c r="H220" i="54" s="1"/>
  <c r="F215" i="54"/>
  <c r="F220" i="54" s="1"/>
  <c r="L215" i="54"/>
  <c r="L220" i="54" s="1"/>
  <c r="J215" i="54"/>
  <c r="J220" i="54" s="1"/>
  <c r="I215" i="54"/>
  <c r="I220" i="54" s="1"/>
  <c r="J191" i="55"/>
  <c r="J368" i="55"/>
  <c r="J353" i="55"/>
  <c r="J194" i="55"/>
  <c r="J367" i="55"/>
  <c r="J367" i="45" s="1"/>
  <c r="J364" i="55"/>
  <c r="J182" i="55"/>
  <c r="J183" i="55"/>
  <c r="J159" i="55"/>
  <c r="J241" i="55"/>
  <c r="J366" i="55"/>
  <c r="J282" i="55"/>
  <c r="J282" i="45" s="1"/>
  <c r="J327" i="55"/>
  <c r="J354" i="55"/>
  <c r="L673" i="53"/>
  <c r="J673" i="53"/>
  <c r="H673" i="53"/>
  <c r="F673" i="53"/>
  <c r="E679" i="53"/>
  <c r="I673" i="53"/>
  <c r="K673" i="53"/>
  <c r="G673" i="53"/>
  <c r="H353" i="55"/>
  <c r="H195" i="55"/>
  <c r="H366" i="55"/>
  <c r="H269" i="55"/>
  <c r="H269" i="45" s="1"/>
  <c r="L277" i="55"/>
  <c r="L276" i="55"/>
  <c r="L217" i="55"/>
  <c r="L353" i="55"/>
  <c r="L286" i="55"/>
  <c r="L286" i="45" s="1"/>
  <c r="G182" i="55"/>
  <c r="G182" i="45" s="1"/>
  <c r="G216" i="55"/>
  <c r="E138" i="53"/>
  <c r="H133" i="53"/>
  <c r="K133" i="53"/>
  <c r="G133" i="53"/>
  <c r="F133" i="53"/>
  <c r="J133" i="53"/>
  <c r="L133" i="53"/>
  <c r="I133" i="53"/>
  <c r="G673" i="54"/>
  <c r="G679" i="54" s="1"/>
  <c r="J673" i="54"/>
  <c r="J679" i="54" s="1"/>
  <c r="H673" i="54"/>
  <c r="H679" i="54" s="1"/>
  <c r="I673" i="54"/>
  <c r="I679" i="54" s="1"/>
  <c r="F673" i="54"/>
  <c r="F679" i="54" s="1"/>
  <c r="L673" i="54"/>
  <c r="L679" i="54" s="1"/>
  <c r="K673" i="54"/>
  <c r="K679" i="54" s="1"/>
  <c r="E679" i="54"/>
  <c r="F190" i="53"/>
  <c r="G190" i="53"/>
  <c r="J190" i="53"/>
  <c r="E204" i="53"/>
  <c r="I190" i="53"/>
  <c r="H190" i="53"/>
  <c r="L190" i="53"/>
  <c r="K190" i="53"/>
  <c r="I240" i="54"/>
  <c r="L240" i="54"/>
  <c r="F240" i="54"/>
  <c r="J240" i="54"/>
  <c r="G240" i="54"/>
  <c r="H240" i="54"/>
  <c r="K240" i="54"/>
  <c r="K285" i="55"/>
  <c r="K285" i="45" s="1"/>
  <c r="K202" i="55"/>
  <c r="K202" i="45" s="1"/>
  <c r="K201" i="55"/>
  <c r="K201" i="45" s="1"/>
  <c r="K283" i="55"/>
  <c r="K218" i="55"/>
  <c r="K369" i="55"/>
  <c r="K369" i="45" s="1"/>
  <c r="K363" i="55"/>
  <c r="K366" i="55"/>
  <c r="K280" i="55"/>
  <c r="K362" i="55"/>
  <c r="K195" i="55"/>
  <c r="K267" i="55"/>
  <c r="K137" i="55"/>
  <c r="K137" i="45" s="1"/>
  <c r="K372" i="55"/>
  <c r="E188" i="53"/>
  <c r="K158" i="53"/>
  <c r="J158" i="53"/>
  <c r="F158" i="53"/>
  <c r="I158" i="53"/>
  <c r="G158" i="53"/>
  <c r="H158" i="53"/>
  <c r="L158" i="53"/>
  <c r="I266" i="55"/>
  <c r="I276" i="55"/>
  <c r="I191" i="55"/>
  <c r="I363" i="55"/>
  <c r="I363" i="45" s="1"/>
  <c r="I241" i="55"/>
  <c r="I241" i="45" s="1"/>
  <c r="I192" i="55"/>
  <c r="I286" i="55"/>
  <c r="I217" i="55"/>
  <c r="I137" i="55"/>
  <c r="I284" i="55"/>
  <c r="I199" i="55"/>
  <c r="I350" i="55"/>
  <c r="I216" i="55"/>
  <c r="I216" i="45" s="1"/>
  <c r="I372" i="55"/>
  <c r="I369" i="55"/>
  <c r="G291" i="52"/>
  <c r="G781" i="52" s="1"/>
  <c r="J370" i="55"/>
  <c r="J372" i="55"/>
  <c r="J283" i="55"/>
  <c r="J278" i="55"/>
  <c r="J195" i="55"/>
  <c r="J195" i="45" s="1"/>
  <c r="J277" i="55"/>
  <c r="J277" i="45" s="1"/>
  <c r="J288" i="55"/>
  <c r="J187" i="55"/>
  <c r="J187" i="45" s="1"/>
  <c r="J203" i="55"/>
  <c r="J203" i="45" s="1"/>
  <c r="J202" i="55"/>
  <c r="J287" i="55"/>
  <c r="J287" i="45" s="1"/>
  <c r="J302" i="55"/>
  <c r="J267" i="55"/>
  <c r="J361" i="55"/>
  <c r="J286" i="55"/>
  <c r="J301" i="54"/>
  <c r="J306" i="54" s="1"/>
  <c r="G301" i="54"/>
  <c r="G306" i="54" s="1"/>
  <c r="F301" i="54"/>
  <c r="F306" i="54" s="1"/>
  <c r="I301" i="54"/>
  <c r="I306" i="54" s="1"/>
  <c r="H301" i="54"/>
  <c r="H306" i="54" s="1"/>
  <c r="K301" i="54"/>
  <c r="K306" i="54" s="1"/>
  <c r="E306" i="54"/>
  <c r="L301" i="54"/>
  <c r="L306" i="54" s="1"/>
  <c r="E220" i="53"/>
  <c r="L215" i="53"/>
  <c r="J215" i="53"/>
  <c r="G215" i="53"/>
  <c r="K215" i="53"/>
  <c r="F215" i="53"/>
  <c r="I215" i="53"/>
  <c r="H215" i="53"/>
  <c r="F104" i="52"/>
  <c r="H137" i="55"/>
  <c r="H203" i="55"/>
  <c r="H217" i="55"/>
  <c r="H217" i="45" s="1"/>
  <c r="H363" i="55"/>
  <c r="H277" i="55"/>
  <c r="H365" i="55"/>
  <c r="H281" i="55"/>
  <c r="L216" i="55"/>
  <c r="G351" i="55"/>
  <c r="G351" i="45" s="1"/>
  <c r="G191" i="55"/>
  <c r="G353" i="55"/>
  <c r="G137" i="55"/>
  <c r="F360" i="53"/>
  <c r="L360" i="53"/>
  <c r="K360" i="53"/>
  <c r="H360" i="53"/>
  <c r="E373" i="53"/>
  <c r="J360" i="53"/>
  <c r="I360" i="53"/>
  <c r="G360" i="53"/>
  <c r="G104" i="52"/>
  <c r="K197" i="55"/>
  <c r="K159" i="55"/>
  <c r="K279" i="55"/>
  <c r="K203" i="55"/>
  <c r="K268" i="55"/>
  <c r="K365" i="55"/>
  <c r="K365" i="45" s="1"/>
  <c r="K136" i="55"/>
  <c r="K288" i="55"/>
  <c r="K182" i="55"/>
  <c r="K135" i="55"/>
  <c r="K183" i="55"/>
  <c r="L190" i="54"/>
  <c r="L204" i="54" s="1"/>
  <c r="I190" i="54"/>
  <c r="I204" i="54" s="1"/>
  <c r="J190" i="54"/>
  <c r="J204" i="54" s="1"/>
  <c r="E204" i="54"/>
  <c r="G190" i="54"/>
  <c r="G204" i="54" s="1"/>
  <c r="H190" i="54"/>
  <c r="H204" i="54" s="1"/>
  <c r="K190" i="54"/>
  <c r="K204" i="54" s="1"/>
  <c r="F190" i="54"/>
  <c r="F204" i="54" s="1"/>
  <c r="L133" i="54"/>
  <c r="L138" i="54" s="1"/>
  <c r="H133" i="54"/>
  <c r="H138" i="54" s="1"/>
  <c r="K133" i="54"/>
  <c r="K138" i="54" s="1"/>
  <c r="E138" i="54"/>
  <c r="J133" i="54"/>
  <c r="J138" i="54" s="1"/>
  <c r="G133" i="54"/>
  <c r="G138" i="54" s="1"/>
  <c r="F133" i="54"/>
  <c r="F138" i="54" s="1"/>
  <c r="I133" i="54"/>
  <c r="I138" i="54" s="1"/>
  <c r="E738" i="53"/>
  <c r="F767" i="52"/>
  <c r="F769" i="52" s="1"/>
  <c r="E766" i="53"/>
  <c r="I184" i="55"/>
  <c r="I218" i="55"/>
  <c r="I183" i="55"/>
  <c r="I194" i="55"/>
  <c r="I268" i="55"/>
  <c r="I353" i="55"/>
  <c r="I353" i="45" s="1"/>
  <c r="I193" i="55"/>
  <c r="I370" i="55"/>
  <c r="J217" i="55"/>
  <c r="J201" i="55"/>
  <c r="J196" i="55"/>
  <c r="J184" i="55"/>
  <c r="J135" i="55"/>
  <c r="J197" i="55"/>
  <c r="J197" i="45" s="1"/>
  <c r="J270" i="55"/>
  <c r="J365" i="55"/>
  <c r="J280" i="55"/>
  <c r="J280" i="45" s="1"/>
  <c r="J185" i="55"/>
  <c r="H351" i="55"/>
  <c r="H286" i="55"/>
  <c r="L203" i="55"/>
  <c r="L365" i="55"/>
  <c r="L281" i="55"/>
  <c r="L363" i="55"/>
  <c r="L269" i="55"/>
  <c r="F268" i="55"/>
  <c r="F268" i="45" s="1"/>
  <c r="F277" i="55"/>
  <c r="F135" i="55"/>
  <c r="F135" i="45" s="1"/>
  <c r="F361" i="55"/>
  <c r="F194" i="55"/>
  <c r="F353" i="55"/>
  <c r="F370" i="55"/>
  <c r="F370" i="45" s="1"/>
  <c r="F350" i="55"/>
  <c r="F201" i="55"/>
  <c r="F281" i="55"/>
  <c r="F372" i="55"/>
  <c r="F280" i="55"/>
  <c r="F327" i="55"/>
  <c r="F327" i="45" s="1"/>
  <c r="F355" i="55"/>
  <c r="F355" i="45" s="1"/>
  <c r="F303" i="55"/>
  <c r="F366" i="55"/>
  <c r="F265" i="55"/>
  <c r="F158" i="55"/>
  <c r="F360" i="55"/>
  <c r="F305" i="55"/>
  <c r="F266" i="55"/>
  <c r="F284" i="55"/>
  <c r="F363" i="55"/>
  <c r="F302" i="55"/>
  <c r="F302" i="45" s="1"/>
  <c r="F191" i="55"/>
  <c r="F283" i="55"/>
  <c r="F195" i="55"/>
  <c r="F287" i="55"/>
  <c r="F364" i="55"/>
  <c r="F288" i="55"/>
  <c r="F288" i="45" s="1"/>
  <c r="F217" i="55"/>
  <c r="F198" i="55"/>
  <c r="F198" i="45" s="1"/>
  <c r="F285" i="55"/>
  <c r="F286" i="55"/>
  <c r="F371" i="55"/>
  <c r="F371" i="45" s="1"/>
  <c r="F276" i="55"/>
  <c r="F276" i="45" s="1"/>
  <c r="F352" i="55"/>
  <c r="F218" i="55"/>
  <c r="F184" i="55"/>
  <c r="F184" i="45" s="1"/>
  <c r="F216" i="55"/>
  <c r="F192" i="55"/>
  <c r="F365" i="55"/>
  <c r="F187" i="55"/>
  <c r="F369" i="55"/>
  <c r="F199" i="55"/>
  <c r="F351" i="55"/>
  <c r="F367" i="55"/>
  <c r="F354" i="55"/>
  <c r="F134" i="55"/>
  <c r="F134" i="45" s="1"/>
  <c r="F282" i="55"/>
  <c r="F304" i="55"/>
  <c r="F269" i="55"/>
  <c r="F267" i="55"/>
  <c r="F159" i="55"/>
  <c r="F159" i="45" s="1"/>
  <c r="F183" i="55"/>
  <c r="F186" i="55"/>
  <c r="F203" i="55"/>
  <c r="F368" i="55"/>
  <c r="F182" i="55"/>
  <c r="F200" i="55"/>
  <c r="F185" i="55"/>
  <c r="F797" i="55"/>
  <c r="F797" i="45" s="1"/>
  <c r="F202" i="55"/>
  <c r="F279" i="55"/>
  <c r="F219" i="55"/>
  <c r="F241" i="55"/>
  <c r="F362" i="55"/>
  <c r="F136" i="55"/>
  <c r="F136" i="45" s="1"/>
  <c r="F278" i="55"/>
  <c r="F193" i="55"/>
  <c r="F197" i="55"/>
  <c r="F196" i="55"/>
  <c r="F137" i="55"/>
  <c r="F270" i="55"/>
  <c r="F190" i="55"/>
  <c r="F275" i="55"/>
  <c r="F215" i="55"/>
  <c r="F301" i="55"/>
  <c r="F673" i="55"/>
  <c r="F679" i="55" s="1"/>
  <c r="F133" i="55"/>
  <c r="G269" i="55"/>
  <c r="G201" i="55"/>
  <c r="E271" i="54"/>
  <c r="I264" i="54"/>
  <c r="I264" i="45" s="1"/>
  <c r="K360" i="54"/>
  <c r="K373" i="54" s="1"/>
  <c r="J360" i="54"/>
  <c r="J373" i="54" s="1"/>
  <c r="I360" i="54"/>
  <c r="I373" i="54" s="1"/>
  <c r="E373" i="54"/>
  <c r="F360" i="54"/>
  <c r="F373" i="54" s="1"/>
  <c r="H360" i="54"/>
  <c r="H373" i="54" s="1"/>
  <c r="L360" i="54"/>
  <c r="L373" i="54" s="1"/>
  <c r="G360" i="54"/>
  <c r="G373" i="54" s="1"/>
  <c r="E289" i="53"/>
  <c r="K275" i="53"/>
  <c r="H275" i="53"/>
  <c r="F275" i="53"/>
  <c r="I275" i="53"/>
  <c r="G275" i="53"/>
  <c r="L275" i="53"/>
  <c r="J275" i="53"/>
  <c r="H46" i="52"/>
  <c r="H14" i="52"/>
  <c r="F16" i="65" s="1"/>
  <c r="C109" i="65" s="1"/>
  <c r="K269" i="55"/>
  <c r="K193" i="55"/>
  <c r="K281" i="55"/>
  <c r="K216" i="55"/>
  <c r="K270" i="55"/>
  <c r="G205" i="52"/>
  <c r="G779" i="52" s="1"/>
  <c r="J326" i="53"/>
  <c r="E356" i="53"/>
  <c r="I326" i="53"/>
  <c r="G326" i="53"/>
  <c r="K326" i="53"/>
  <c r="F326" i="53"/>
  <c r="L326" i="53"/>
  <c r="H326" i="53"/>
  <c r="E762" i="53"/>
  <c r="F719" i="52"/>
  <c r="E717" i="53"/>
  <c r="H240" i="53"/>
  <c r="E271" i="53"/>
  <c r="K240" i="53"/>
  <c r="J240" i="53"/>
  <c r="F240" i="55"/>
  <c r="F240" i="53"/>
  <c r="G240" i="53"/>
  <c r="I240" i="53"/>
  <c r="L240" i="53"/>
  <c r="I371" i="55"/>
  <c r="I362" i="55"/>
  <c r="I355" i="55"/>
  <c r="E795" i="53" l="1"/>
  <c r="H806" i="45"/>
  <c r="G100" i="45"/>
  <c r="G804" i="45"/>
  <c r="I806" i="45"/>
  <c r="H13" i="45"/>
  <c r="I13" i="45"/>
  <c r="J804" i="45"/>
  <c r="J100" i="45"/>
  <c r="F804" i="45"/>
  <c r="F100" i="45"/>
  <c r="E264" i="45"/>
  <c r="E271" i="45" s="1"/>
  <c r="E291" i="45" s="1"/>
  <c r="E781" i="45" s="1"/>
  <c r="E782" i="45" s="1"/>
  <c r="E790" i="45" s="1"/>
  <c r="E800" i="45" s="1"/>
  <c r="E721" i="52"/>
  <c r="E103" i="52" s="1"/>
  <c r="E16" i="52" s="1"/>
  <c r="E743" i="52"/>
  <c r="E745" i="52" s="1"/>
  <c r="E747" i="52" s="1"/>
  <c r="E749" i="52" s="1"/>
  <c r="E751" i="52" s="1"/>
  <c r="E771" i="52" s="1"/>
  <c r="E102" i="52" s="1"/>
  <c r="E693" i="54"/>
  <c r="I267" i="45"/>
  <c r="L198" i="45"/>
  <c r="G198" i="45"/>
  <c r="G797" i="45"/>
  <c r="G278" i="45"/>
  <c r="G767" i="52"/>
  <c r="G769" i="52" s="1"/>
  <c r="E766" i="54"/>
  <c r="E767" i="54" s="1"/>
  <c r="E788" i="55"/>
  <c r="H797" i="45"/>
  <c r="K797" i="45"/>
  <c r="J797" i="45"/>
  <c r="L679" i="53"/>
  <c r="L104" i="53" s="1"/>
  <c r="G679" i="53"/>
  <c r="G104" i="53" s="1"/>
  <c r="F679" i="53"/>
  <c r="F104" i="53" s="1"/>
  <c r="F673" i="45"/>
  <c r="K679" i="53"/>
  <c r="K104" i="53" s="1"/>
  <c r="H679" i="53"/>
  <c r="H104" i="53" s="1"/>
  <c r="I679" i="53"/>
  <c r="I104" i="53" s="1"/>
  <c r="J679" i="53"/>
  <c r="J104" i="53" s="1"/>
  <c r="L304" i="45"/>
  <c r="H361" i="45"/>
  <c r="I367" i="45"/>
  <c r="K364" i="45"/>
  <c r="G354" i="45"/>
  <c r="G367" i="45"/>
  <c r="F360" i="45"/>
  <c r="H280" i="45"/>
  <c r="L368" i="45"/>
  <c r="L367" i="45"/>
  <c r="G364" i="45"/>
  <c r="H364" i="45"/>
  <c r="K372" i="45"/>
  <c r="J366" i="45"/>
  <c r="I372" i="45"/>
  <c r="F369" i="45"/>
  <c r="I369" i="45"/>
  <c r="J362" i="45"/>
  <c r="K362" i="45"/>
  <c r="K361" i="45"/>
  <c r="F365" i="45"/>
  <c r="F361" i="45"/>
  <c r="J361" i="45"/>
  <c r="G361" i="45"/>
  <c r="L354" i="45"/>
  <c r="G366" i="45"/>
  <c r="I366" i="45"/>
  <c r="K371" i="45"/>
  <c r="H369" i="45"/>
  <c r="I370" i="45"/>
  <c r="G370" i="45"/>
  <c r="L369" i="45"/>
  <c r="I365" i="45"/>
  <c r="J365" i="45"/>
  <c r="F363" i="45"/>
  <c r="K366" i="45"/>
  <c r="H368" i="45"/>
  <c r="L370" i="45"/>
  <c r="J371" i="45"/>
  <c r="I362" i="45"/>
  <c r="H363" i="45"/>
  <c r="H353" i="45"/>
  <c r="L363" i="45"/>
  <c r="H372" i="45"/>
  <c r="J370" i="45"/>
  <c r="G362" i="45"/>
  <c r="I355" i="45"/>
  <c r="L355" i="45"/>
  <c r="H365" i="45"/>
  <c r="F364" i="45"/>
  <c r="K368" i="45"/>
  <c r="I352" i="45"/>
  <c r="K363" i="45"/>
  <c r="F366" i="45"/>
  <c r="I351" i="45"/>
  <c r="J352" i="45"/>
  <c r="J368" i="45"/>
  <c r="J364" i="45"/>
  <c r="H352" i="45"/>
  <c r="L371" i="45"/>
  <c r="H371" i="45"/>
  <c r="F367" i="45"/>
  <c r="H366" i="45"/>
  <c r="G363" i="45"/>
  <c r="J372" i="45"/>
  <c r="I371" i="45"/>
  <c r="F362" i="45"/>
  <c r="J369" i="45"/>
  <c r="F368" i="45"/>
  <c r="F372" i="45"/>
  <c r="L365" i="45"/>
  <c r="I198" i="45"/>
  <c r="H219" i="45"/>
  <c r="H218" i="45"/>
  <c r="J354" i="45"/>
  <c r="L241" i="45"/>
  <c r="H305" i="45"/>
  <c r="F350" i="45"/>
  <c r="J353" i="45"/>
  <c r="K355" i="45"/>
  <c r="G355" i="45"/>
  <c r="L350" i="45"/>
  <c r="K351" i="45"/>
  <c r="H350" i="45"/>
  <c r="H351" i="45"/>
  <c r="K198" i="45"/>
  <c r="H285" i="45"/>
  <c r="G265" i="45"/>
  <c r="I219" i="45"/>
  <c r="H288" i="45"/>
  <c r="L353" i="45"/>
  <c r="L352" i="45"/>
  <c r="F354" i="45"/>
  <c r="G280" i="45"/>
  <c r="I327" i="45"/>
  <c r="H355" i="45"/>
  <c r="G353" i="45"/>
  <c r="F353" i="45"/>
  <c r="F352" i="45"/>
  <c r="G352" i="45"/>
  <c r="L351" i="45"/>
  <c r="G199" i="45"/>
  <c r="L199" i="45"/>
  <c r="G305" i="45"/>
  <c r="G350" i="45"/>
  <c r="F351" i="45"/>
  <c r="H327" i="45"/>
  <c r="I350" i="45"/>
  <c r="J327" i="45"/>
  <c r="L327" i="45"/>
  <c r="G327" i="45"/>
  <c r="F275" i="45"/>
  <c r="G302" i="45"/>
  <c r="F301" i="45"/>
  <c r="F278" i="45"/>
  <c r="F303" i="45"/>
  <c r="H304" i="45"/>
  <c r="J278" i="45"/>
  <c r="H283" i="45"/>
  <c r="K284" i="45"/>
  <c r="L305" i="45"/>
  <c r="K302" i="45"/>
  <c r="I282" i="45"/>
  <c r="G267" i="45"/>
  <c r="F304" i="45"/>
  <c r="G304" i="45"/>
  <c r="G303" i="45"/>
  <c r="I304" i="45"/>
  <c r="H287" i="45"/>
  <c r="K280" i="45"/>
  <c r="F280" i="45"/>
  <c r="J288" i="45"/>
  <c r="H241" i="45"/>
  <c r="H302" i="45"/>
  <c r="F305" i="45"/>
  <c r="G286" i="45"/>
  <c r="K305" i="45"/>
  <c r="I279" i="45"/>
  <c r="G276" i="45"/>
  <c r="J302" i="45"/>
  <c r="L302" i="45"/>
  <c r="J266" i="45"/>
  <c r="K281" i="45"/>
  <c r="F277" i="45"/>
  <c r="F283" i="45"/>
  <c r="K268" i="45"/>
  <c r="L282" i="45"/>
  <c r="H279" i="45"/>
  <c r="K276" i="45"/>
  <c r="F286" i="45"/>
  <c r="K267" i="45"/>
  <c r="L288" i="45"/>
  <c r="K282" i="45"/>
  <c r="F287" i="45"/>
  <c r="G282" i="45"/>
  <c r="F281" i="45"/>
  <c r="K279" i="45"/>
  <c r="F267" i="45"/>
  <c r="G218" i="45"/>
  <c r="L200" i="45"/>
  <c r="G202" i="45"/>
  <c r="I277" i="45"/>
  <c r="J200" i="45"/>
  <c r="H281" i="45"/>
  <c r="J283" i="45"/>
  <c r="G287" i="45"/>
  <c r="I286" i="45"/>
  <c r="H284" i="45"/>
  <c r="L276" i="45"/>
  <c r="J286" i="45"/>
  <c r="I276" i="45"/>
  <c r="H277" i="45"/>
  <c r="L281" i="45"/>
  <c r="G283" i="45"/>
  <c r="K287" i="45"/>
  <c r="F282" i="45"/>
  <c r="F284" i="45"/>
  <c r="F279" i="45"/>
  <c r="K277" i="45"/>
  <c r="F285" i="45"/>
  <c r="I285" i="45"/>
  <c r="H186" i="45"/>
  <c r="G200" i="45"/>
  <c r="I281" i="45"/>
  <c r="L277" i="45"/>
  <c r="K283" i="45"/>
  <c r="I284" i="45"/>
  <c r="H276" i="45"/>
  <c r="L279" i="45"/>
  <c r="L284" i="45"/>
  <c r="K288" i="45"/>
  <c r="H286" i="45"/>
  <c r="L280" i="45"/>
  <c r="L287" i="45"/>
  <c r="G284" i="45"/>
  <c r="K265" i="45"/>
  <c r="F265" i="45"/>
  <c r="F266" i="45"/>
  <c r="H266" i="45"/>
  <c r="L266" i="45"/>
  <c r="K269" i="45"/>
  <c r="J267" i="45"/>
  <c r="J270" i="45"/>
  <c r="L270" i="45"/>
  <c r="G192" i="45"/>
  <c r="H202" i="45"/>
  <c r="I268" i="45"/>
  <c r="F269" i="45"/>
  <c r="K270" i="45"/>
  <c r="I265" i="45"/>
  <c r="G269" i="45"/>
  <c r="F240" i="45"/>
  <c r="H200" i="45"/>
  <c r="I266" i="45"/>
  <c r="H196" i="45"/>
  <c r="L268" i="45"/>
  <c r="H268" i="45"/>
  <c r="J268" i="45"/>
  <c r="F270" i="45"/>
  <c r="L269" i="45"/>
  <c r="I269" i="45"/>
  <c r="K241" i="45"/>
  <c r="F241" i="45"/>
  <c r="J241" i="45"/>
  <c r="G219" i="45"/>
  <c r="G194" i="45"/>
  <c r="L219" i="45"/>
  <c r="I218" i="45"/>
  <c r="I217" i="45"/>
  <c r="H216" i="45"/>
  <c r="K218" i="45"/>
  <c r="G216" i="45"/>
  <c r="L216" i="45"/>
  <c r="F219" i="45"/>
  <c r="F217" i="45"/>
  <c r="J217" i="45"/>
  <c r="F216" i="45"/>
  <c r="F218" i="45"/>
  <c r="K217" i="45"/>
  <c r="H184" i="45"/>
  <c r="K216" i="45"/>
  <c r="L217" i="45"/>
  <c r="F215" i="45"/>
  <c r="G159" i="45"/>
  <c r="F190" i="45"/>
  <c r="I192" i="45"/>
  <c r="F200" i="45"/>
  <c r="I194" i="45"/>
  <c r="I187" i="45"/>
  <c r="F196" i="45"/>
  <c r="I196" i="45"/>
  <c r="K195" i="45"/>
  <c r="I191" i="45"/>
  <c r="L184" i="45"/>
  <c r="F201" i="45"/>
  <c r="F186" i="45"/>
  <c r="L186" i="45"/>
  <c r="F182" i="45"/>
  <c r="H203" i="45"/>
  <c r="H185" i="45"/>
  <c r="F183" i="45"/>
  <c r="L195" i="45"/>
  <c r="K183" i="45"/>
  <c r="F202" i="45"/>
  <c r="I200" i="45"/>
  <c r="F199" i="45"/>
  <c r="G196" i="45"/>
  <c r="H195" i="45"/>
  <c r="G191" i="45"/>
  <c r="J196" i="45"/>
  <c r="L193" i="45"/>
  <c r="J202" i="45"/>
  <c r="L197" i="45"/>
  <c r="G197" i="45"/>
  <c r="G201" i="45"/>
  <c r="L203" i="45"/>
  <c r="I193" i="45"/>
  <c r="F192" i="45"/>
  <c r="I199" i="45"/>
  <c r="I195" i="45"/>
  <c r="J191" i="45"/>
  <c r="F193" i="45"/>
  <c r="H197" i="45"/>
  <c r="K193" i="45"/>
  <c r="J201" i="45"/>
  <c r="I203" i="45"/>
  <c r="L194" i="45"/>
  <c r="F194" i="45"/>
  <c r="I201" i="45"/>
  <c r="H192" i="45"/>
  <c r="F197" i="45"/>
  <c r="K203" i="45"/>
  <c r="J194" i="45"/>
  <c r="F195" i="45"/>
  <c r="F191" i="45"/>
  <c r="F203" i="45"/>
  <c r="K197" i="45"/>
  <c r="H201" i="45"/>
  <c r="G193" i="45"/>
  <c r="L191" i="45"/>
  <c r="H199" i="45"/>
  <c r="J185" i="45"/>
  <c r="F187" i="45"/>
  <c r="I184" i="45"/>
  <c r="J184" i="45"/>
  <c r="G184" i="45"/>
  <c r="L187" i="45"/>
  <c r="K186" i="45"/>
  <c r="K185" i="45"/>
  <c r="J183" i="45"/>
  <c r="I186" i="45"/>
  <c r="J182" i="45"/>
  <c r="K182" i="45"/>
  <c r="H187" i="45"/>
  <c r="F185" i="45"/>
  <c r="I182" i="45"/>
  <c r="G185" i="45"/>
  <c r="L183" i="45"/>
  <c r="G187" i="45"/>
  <c r="I183" i="45"/>
  <c r="L182" i="45"/>
  <c r="J159" i="45"/>
  <c r="H159" i="45"/>
  <c r="I159" i="45"/>
  <c r="K159" i="45"/>
  <c r="F158" i="45"/>
  <c r="E750" i="55"/>
  <c r="E789" i="55"/>
  <c r="E784" i="55"/>
  <c r="E762" i="54"/>
  <c r="G135" i="45"/>
  <c r="E738" i="54"/>
  <c r="E703" i="55"/>
  <c r="E717" i="55"/>
  <c r="E719" i="55" s="1"/>
  <c r="E717" i="54"/>
  <c r="E719" i="54" s="1"/>
  <c r="E787" i="55"/>
  <c r="H137" i="45"/>
  <c r="H135" i="45"/>
  <c r="F137" i="45"/>
  <c r="G136" i="45"/>
  <c r="K306" i="53"/>
  <c r="I137" i="45"/>
  <c r="I134" i="45"/>
  <c r="G137" i="45"/>
  <c r="H740" i="52"/>
  <c r="L134" i="45"/>
  <c r="J136" i="45"/>
  <c r="G134" i="45"/>
  <c r="L137" i="45"/>
  <c r="F373" i="53"/>
  <c r="L220" i="53"/>
  <c r="K134" i="45"/>
  <c r="H136" i="45"/>
  <c r="G101" i="52"/>
  <c r="G46" i="52" s="1"/>
  <c r="K136" i="45"/>
  <c r="L135" i="45"/>
  <c r="F779" i="52"/>
  <c r="F782" i="52" s="1"/>
  <c r="F790" i="52" s="1"/>
  <c r="F800" i="52" s="1"/>
  <c r="F113" i="52" s="1"/>
  <c r="H220" i="53"/>
  <c r="K135" i="45"/>
  <c r="H356" i="53"/>
  <c r="G356" i="53"/>
  <c r="G782" i="52"/>
  <c r="G790" i="52" s="1"/>
  <c r="G800" i="52" s="1"/>
  <c r="G736" i="52" s="1"/>
  <c r="I271" i="53"/>
  <c r="J271" i="53"/>
  <c r="L356" i="53"/>
  <c r="I356" i="53"/>
  <c r="G739" i="52"/>
  <c r="G694" i="52" s="1"/>
  <c r="G695" i="52" s="1"/>
  <c r="F101" i="52"/>
  <c r="F14" i="52" s="1"/>
  <c r="D16" i="65" s="1"/>
  <c r="C47" i="65" s="1"/>
  <c r="F271" i="53"/>
  <c r="K356" i="53"/>
  <c r="F739" i="52"/>
  <c r="F694" i="52" s="1"/>
  <c r="F695" i="52" s="1"/>
  <c r="G271" i="53"/>
  <c r="F356" i="53"/>
  <c r="J289" i="53"/>
  <c r="F188" i="53"/>
  <c r="L289" i="53"/>
  <c r="H289" i="53"/>
  <c r="L271" i="53"/>
  <c r="G289" i="53"/>
  <c r="K289" i="53"/>
  <c r="K188" i="53"/>
  <c r="J135" i="45"/>
  <c r="I373" i="53"/>
  <c r="K271" i="53"/>
  <c r="I289" i="53"/>
  <c r="I220" i="53"/>
  <c r="L188" i="53"/>
  <c r="F289" i="53"/>
  <c r="J220" i="53"/>
  <c r="H271" i="53"/>
  <c r="J356" i="53"/>
  <c r="G373" i="53"/>
  <c r="H188" i="53"/>
  <c r="J188" i="53"/>
  <c r="L204" i="53"/>
  <c r="J204" i="53"/>
  <c r="I306" i="53"/>
  <c r="K220" i="53"/>
  <c r="G188" i="53"/>
  <c r="G204" i="53"/>
  <c r="J373" i="53"/>
  <c r="L373" i="53"/>
  <c r="I188" i="53"/>
  <c r="F204" i="53"/>
  <c r="L306" i="53"/>
  <c r="E205" i="54"/>
  <c r="E779" i="54" s="1"/>
  <c r="K204" i="53"/>
  <c r="I136" i="45"/>
  <c r="G306" i="53"/>
  <c r="F306" i="53"/>
  <c r="H373" i="53"/>
  <c r="H306" i="53"/>
  <c r="F220" i="53"/>
  <c r="J306" i="53"/>
  <c r="K373" i="53"/>
  <c r="H204" i="53"/>
  <c r="G220" i="53"/>
  <c r="I204" i="53"/>
  <c r="H205" i="54"/>
  <c r="H779" i="54" s="1"/>
  <c r="K205" i="54"/>
  <c r="I25" i="60" s="1"/>
  <c r="I205" i="54"/>
  <c r="I779" i="54" s="1"/>
  <c r="F138" i="55"/>
  <c r="F306" i="55"/>
  <c r="J205" i="54"/>
  <c r="H25" i="60" s="1"/>
  <c r="L205" i="54"/>
  <c r="J25" i="60" s="1"/>
  <c r="F289" i="55"/>
  <c r="F220" i="55"/>
  <c r="G17" i="52"/>
  <c r="E17" i="65" s="1"/>
  <c r="C79" i="65" s="1"/>
  <c r="G49" i="52"/>
  <c r="E291" i="53"/>
  <c r="E781" i="53" s="1"/>
  <c r="K375" i="54"/>
  <c r="K731" i="54" s="1"/>
  <c r="G375" i="54"/>
  <c r="G731" i="54" s="1"/>
  <c r="E204" i="55"/>
  <c r="I190" i="55"/>
  <c r="I204" i="55" s="1"/>
  <c r="K190" i="55"/>
  <c r="K204" i="55" s="1"/>
  <c r="G190" i="55"/>
  <c r="G204" i="55" s="1"/>
  <c r="H190" i="55"/>
  <c r="H204" i="55" s="1"/>
  <c r="J190" i="55"/>
  <c r="J204" i="55" s="1"/>
  <c r="L190" i="55"/>
  <c r="L204" i="55" s="1"/>
  <c r="L104" i="54"/>
  <c r="J104" i="54"/>
  <c r="I138" i="53"/>
  <c r="F138" i="53"/>
  <c r="F133" i="45"/>
  <c r="E205" i="53"/>
  <c r="E779" i="53" s="1"/>
  <c r="E375" i="53"/>
  <c r="F188" i="55"/>
  <c r="E767" i="53"/>
  <c r="E769" i="53" s="1"/>
  <c r="E767" i="55"/>
  <c r="E769" i="55" s="1"/>
  <c r="E220" i="55"/>
  <c r="J215" i="55"/>
  <c r="J220" i="55" s="1"/>
  <c r="H215" i="55"/>
  <c r="H220" i="55" s="1"/>
  <c r="I215" i="55"/>
  <c r="I220" i="55" s="1"/>
  <c r="G215" i="55"/>
  <c r="G220" i="55" s="1"/>
  <c r="K215" i="55"/>
  <c r="K220" i="55" s="1"/>
  <c r="L215" i="55"/>
  <c r="L220" i="55" s="1"/>
  <c r="H375" i="54"/>
  <c r="H731" i="54" s="1"/>
  <c r="J375" i="54"/>
  <c r="E188" i="55"/>
  <c r="J158" i="55"/>
  <c r="J188" i="55" s="1"/>
  <c r="G158" i="55"/>
  <c r="G188" i="55" s="1"/>
  <c r="K158" i="55"/>
  <c r="K188" i="55" s="1"/>
  <c r="H158" i="55"/>
  <c r="H188" i="55" s="1"/>
  <c r="I158" i="55"/>
  <c r="I188" i="55" s="1"/>
  <c r="L158" i="55"/>
  <c r="L188" i="55" s="1"/>
  <c r="F104" i="54"/>
  <c r="G104" i="54"/>
  <c r="L138" i="53"/>
  <c r="G138" i="53"/>
  <c r="E104" i="53"/>
  <c r="J240" i="55"/>
  <c r="J240" i="45" s="1"/>
  <c r="H240" i="55"/>
  <c r="H240" i="45" s="1"/>
  <c r="I240" i="55"/>
  <c r="I240" i="45" s="1"/>
  <c r="K240" i="55"/>
  <c r="K240" i="45" s="1"/>
  <c r="L240" i="55"/>
  <c r="L240" i="45" s="1"/>
  <c r="G240" i="55"/>
  <c r="G240" i="45" s="1"/>
  <c r="G263" i="54"/>
  <c r="H263" i="54"/>
  <c r="J263" i="54"/>
  <c r="K263" i="54"/>
  <c r="L263" i="54"/>
  <c r="F263" i="54"/>
  <c r="I263" i="54"/>
  <c r="F104" i="55"/>
  <c r="F204" i="55"/>
  <c r="F373" i="55"/>
  <c r="F205" i="54"/>
  <c r="L375" i="54"/>
  <c r="L731" i="54" s="1"/>
  <c r="I375" i="54"/>
  <c r="I731" i="54" s="1"/>
  <c r="E104" i="54"/>
  <c r="I104" i="54"/>
  <c r="J138" i="53"/>
  <c r="K138" i="53"/>
  <c r="E679" i="55"/>
  <c r="L673" i="55"/>
  <c r="L679" i="55" s="1"/>
  <c r="K673" i="55"/>
  <c r="K679" i="55" s="1"/>
  <c r="G673" i="55"/>
  <c r="G679" i="55" s="1"/>
  <c r="I673" i="55"/>
  <c r="I679" i="55" s="1"/>
  <c r="H673" i="55"/>
  <c r="H679" i="55" s="1"/>
  <c r="J673" i="55"/>
  <c r="J679" i="55" s="1"/>
  <c r="E306" i="55"/>
  <c r="K301" i="55"/>
  <c r="K306" i="55" s="1"/>
  <c r="J301" i="55"/>
  <c r="J306" i="55" s="1"/>
  <c r="G301" i="55"/>
  <c r="G306" i="55" s="1"/>
  <c r="L301" i="55"/>
  <c r="L306" i="55" s="1"/>
  <c r="I301" i="55"/>
  <c r="I306" i="55" s="1"/>
  <c r="H301" i="55"/>
  <c r="H306" i="55" s="1"/>
  <c r="E719" i="53"/>
  <c r="H736" i="52"/>
  <c r="H113" i="52"/>
  <c r="E356" i="55"/>
  <c r="H326" i="55"/>
  <c r="H356" i="55" s="1"/>
  <c r="I326" i="55"/>
  <c r="I356" i="55" s="1"/>
  <c r="L326" i="55"/>
  <c r="L356" i="55" s="1"/>
  <c r="J326" i="55"/>
  <c r="J356" i="55" s="1"/>
  <c r="K326" i="55"/>
  <c r="K356" i="55" s="1"/>
  <c r="G326" i="55"/>
  <c r="G356" i="55" s="1"/>
  <c r="E289" i="55"/>
  <c r="I275" i="55"/>
  <c r="I289" i="55" s="1"/>
  <c r="G275" i="55"/>
  <c r="G289" i="55" s="1"/>
  <c r="L275" i="55"/>
  <c r="L289" i="55" s="1"/>
  <c r="H275" i="55"/>
  <c r="H289" i="55" s="1"/>
  <c r="K275" i="55"/>
  <c r="K289" i="55" s="1"/>
  <c r="J275" i="55"/>
  <c r="J289" i="55" s="1"/>
  <c r="F326" i="55"/>
  <c r="F356" i="55" s="1"/>
  <c r="G205" i="54"/>
  <c r="E373" i="55"/>
  <c r="G360" i="55"/>
  <c r="G373" i="55" s="1"/>
  <c r="I360" i="55"/>
  <c r="I373" i="55" s="1"/>
  <c r="L360" i="55"/>
  <c r="L373" i="55" s="1"/>
  <c r="H360" i="55"/>
  <c r="H373" i="55" s="1"/>
  <c r="J360" i="55"/>
  <c r="J373" i="55" s="1"/>
  <c r="K360" i="55"/>
  <c r="K373" i="55" s="1"/>
  <c r="F49" i="52"/>
  <c r="F17" i="52"/>
  <c r="D17" i="65" s="1"/>
  <c r="C48" i="65" s="1"/>
  <c r="E375" i="54"/>
  <c r="F375" i="54"/>
  <c r="K104" i="54"/>
  <c r="H104" i="54"/>
  <c r="E138" i="55"/>
  <c r="I133" i="55"/>
  <c r="I138" i="55" s="1"/>
  <c r="H133" i="55"/>
  <c r="H138" i="55" s="1"/>
  <c r="J133" i="55"/>
  <c r="J138" i="55" s="1"/>
  <c r="K133" i="55"/>
  <c r="K138" i="55" s="1"/>
  <c r="G133" i="55"/>
  <c r="G138" i="55" s="1"/>
  <c r="L133" i="55"/>
  <c r="L138" i="55" s="1"/>
  <c r="H138" i="53"/>
  <c r="E291" i="54"/>
  <c r="E781" i="54" s="1"/>
  <c r="E113" i="45" l="1"/>
  <c r="J13" i="45"/>
  <c r="I795" i="45"/>
  <c r="G806" i="45"/>
  <c r="F679" i="45"/>
  <c r="F806" i="45"/>
  <c r="J806" i="45"/>
  <c r="G13" i="45"/>
  <c r="F13" i="45"/>
  <c r="H795" i="45"/>
  <c r="E769" i="54"/>
  <c r="E736" i="45"/>
  <c r="E105" i="52"/>
  <c r="E107" i="52" s="1"/>
  <c r="E115" i="52" s="1"/>
  <c r="E15" i="52"/>
  <c r="E18" i="52" s="1"/>
  <c r="E20" i="52" s="1"/>
  <c r="E27" i="52" s="1"/>
  <c r="I673" i="45"/>
  <c r="K673" i="45"/>
  <c r="K679" i="45" s="1"/>
  <c r="K104" i="45" s="1"/>
  <c r="G673" i="45"/>
  <c r="J673" i="45"/>
  <c r="H673" i="45"/>
  <c r="L673" i="45"/>
  <c r="L679" i="45" s="1"/>
  <c r="L104" i="45" s="1"/>
  <c r="J271" i="54"/>
  <c r="J291" i="54" s="1"/>
  <c r="J781" i="54" s="1"/>
  <c r="F271" i="54"/>
  <c r="F291" i="54" s="1"/>
  <c r="F781" i="54" s="1"/>
  <c r="H271" i="54"/>
  <c r="H291" i="54" s="1"/>
  <c r="H781" i="54" s="1"/>
  <c r="H782" i="54" s="1"/>
  <c r="L271" i="54"/>
  <c r="L291" i="54" s="1"/>
  <c r="L781" i="54" s="1"/>
  <c r="G271" i="54"/>
  <c r="G291" i="54" s="1"/>
  <c r="G781" i="54" s="1"/>
  <c r="I271" i="54"/>
  <c r="I291" i="54" s="1"/>
  <c r="I781" i="54" s="1"/>
  <c r="I782" i="54" s="1"/>
  <c r="K271" i="54"/>
  <c r="K291" i="54" s="1"/>
  <c r="K781" i="54" s="1"/>
  <c r="K360" i="45"/>
  <c r="K373" i="45" s="1"/>
  <c r="F373" i="45"/>
  <c r="J360" i="45"/>
  <c r="H360" i="45"/>
  <c r="G360" i="45"/>
  <c r="I360" i="45"/>
  <c r="L360" i="45"/>
  <c r="L373" i="45" s="1"/>
  <c r="I326" i="45"/>
  <c r="G326" i="45"/>
  <c r="F326" i="45"/>
  <c r="L326" i="45"/>
  <c r="L356" i="45" s="1"/>
  <c r="H326" i="45"/>
  <c r="K326" i="45"/>
  <c r="K356" i="45" s="1"/>
  <c r="J326" i="45"/>
  <c r="K301" i="45"/>
  <c r="K306" i="45" s="1"/>
  <c r="H301" i="45"/>
  <c r="L301" i="45"/>
  <c r="L306" i="45" s="1"/>
  <c r="G301" i="45"/>
  <c r="F289" i="45"/>
  <c r="I301" i="45"/>
  <c r="J301" i="45"/>
  <c r="F306" i="45"/>
  <c r="G275" i="45"/>
  <c r="J275" i="45"/>
  <c r="K275" i="45"/>
  <c r="K289" i="45" s="1"/>
  <c r="H275" i="45"/>
  <c r="I275" i="45"/>
  <c r="L275" i="45"/>
  <c r="L289" i="45" s="1"/>
  <c r="F220" i="45"/>
  <c r="J215" i="45"/>
  <c r="H215" i="45"/>
  <c r="F188" i="45"/>
  <c r="I215" i="45"/>
  <c r="L190" i="45"/>
  <c r="L204" i="45" s="1"/>
  <c r="K215" i="45"/>
  <c r="K220" i="45" s="1"/>
  <c r="L215" i="45"/>
  <c r="L220" i="45" s="1"/>
  <c r="G215" i="45"/>
  <c r="G190" i="45"/>
  <c r="K190" i="45"/>
  <c r="K204" i="45" s="1"/>
  <c r="F204" i="45"/>
  <c r="H190" i="45"/>
  <c r="J190" i="45"/>
  <c r="I190" i="45"/>
  <c r="L158" i="45"/>
  <c r="L188" i="45" s="1"/>
  <c r="H158" i="45"/>
  <c r="J158" i="45"/>
  <c r="I158" i="45"/>
  <c r="K158" i="45"/>
  <c r="K188" i="45" s="1"/>
  <c r="G158" i="45"/>
  <c r="L10" i="53"/>
  <c r="F138" i="45"/>
  <c r="G14" i="52"/>
  <c r="E16" i="65" s="1"/>
  <c r="C78" i="65" s="1"/>
  <c r="F736" i="52"/>
  <c r="F691" i="52" s="1"/>
  <c r="F699" i="52" s="1"/>
  <c r="K375" i="53"/>
  <c r="K731" i="53" s="1"/>
  <c r="J205" i="53"/>
  <c r="H25" i="59" s="1"/>
  <c r="H291" i="53"/>
  <c r="H781" i="53" s="1"/>
  <c r="G113" i="52"/>
  <c r="G57" i="52" s="1"/>
  <c r="L291" i="53"/>
  <c r="L781" i="53" s="1"/>
  <c r="K205" i="53"/>
  <c r="I25" i="59" s="1"/>
  <c r="F46" i="52"/>
  <c r="F740" i="52"/>
  <c r="G740" i="52"/>
  <c r="F291" i="53"/>
  <c r="F781" i="53" s="1"/>
  <c r="G375" i="53"/>
  <c r="G739" i="53" s="1"/>
  <c r="G694" i="53" s="1"/>
  <c r="J291" i="53"/>
  <c r="J781" i="53" s="1"/>
  <c r="F375" i="53"/>
  <c r="F731" i="53" s="1"/>
  <c r="E782" i="54"/>
  <c r="E790" i="54" s="1"/>
  <c r="E800" i="54" s="1"/>
  <c r="E736" i="54" s="1"/>
  <c r="I291" i="53"/>
  <c r="I781" i="53" s="1"/>
  <c r="G291" i="53"/>
  <c r="G781" i="53" s="1"/>
  <c r="I375" i="53"/>
  <c r="I731" i="53" s="1"/>
  <c r="K291" i="53"/>
  <c r="K781" i="53" s="1"/>
  <c r="E205" i="55"/>
  <c r="E779" i="55" s="1"/>
  <c r="F205" i="53"/>
  <c r="D25" i="59" s="1"/>
  <c r="L375" i="53"/>
  <c r="L739" i="53" s="1"/>
  <c r="L694" i="53" s="1"/>
  <c r="G205" i="53"/>
  <c r="G779" i="53" s="1"/>
  <c r="L205" i="53"/>
  <c r="J25" i="59" s="1"/>
  <c r="I205" i="53"/>
  <c r="G25" i="59" s="1"/>
  <c r="J375" i="53"/>
  <c r="J739" i="53" s="1"/>
  <c r="J694" i="53" s="1"/>
  <c r="H375" i="53"/>
  <c r="H731" i="53" s="1"/>
  <c r="E782" i="53"/>
  <c r="E790" i="53" s="1"/>
  <c r="E800" i="53" s="1"/>
  <c r="E736" i="53" s="1"/>
  <c r="H205" i="53"/>
  <c r="F25" i="59" s="1"/>
  <c r="F25" i="60"/>
  <c r="G25" i="60"/>
  <c r="L779" i="54"/>
  <c r="I205" i="55"/>
  <c r="I779" i="55" s="1"/>
  <c r="J205" i="55"/>
  <c r="H25" i="61" s="1"/>
  <c r="K779" i="54"/>
  <c r="F375" i="55"/>
  <c r="F739" i="55" s="1"/>
  <c r="F694" i="55" s="1"/>
  <c r="H205" i="55"/>
  <c r="H779" i="55" s="1"/>
  <c r="K205" i="55"/>
  <c r="K779" i="55" s="1"/>
  <c r="L205" i="55"/>
  <c r="L779" i="55" s="1"/>
  <c r="J779" i="54"/>
  <c r="G205" i="55"/>
  <c r="E25" i="61" s="1"/>
  <c r="H133" i="45"/>
  <c r="F205" i="55"/>
  <c r="F779" i="55" s="1"/>
  <c r="F739" i="54"/>
  <c r="F694" i="54" s="1"/>
  <c r="F101" i="54"/>
  <c r="L375" i="55"/>
  <c r="L731" i="55" s="1"/>
  <c r="E375" i="55"/>
  <c r="E731" i="55" s="1"/>
  <c r="J104" i="55"/>
  <c r="K104" i="55"/>
  <c r="K133" i="45"/>
  <c r="K138" i="45" s="1"/>
  <c r="F263" i="55"/>
  <c r="F271" i="55" s="1"/>
  <c r="F291" i="55" s="1"/>
  <c r="F781" i="55" s="1"/>
  <c r="H263" i="55"/>
  <c r="H271" i="55" s="1"/>
  <c r="H291" i="55" s="1"/>
  <c r="H781" i="55" s="1"/>
  <c r="I263" i="55"/>
  <c r="I271" i="55" s="1"/>
  <c r="I291" i="55" s="1"/>
  <c r="I781" i="55" s="1"/>
  <c r="K263" i="55"/>
  <c r="K271" i="55" s="1"/>
  <c r="K291" i="55" s="1"/>
  <c r="K781" i="55" s="1"/>
  <c r="J263" i="55"/>
  <c r="J271" i="55" s="1"/>
  <c r="J291" i="55" s="1"/>
  <c r="J781" i="55" s="1"/>
  <c r="L263" i="55"/>
  <c r="L271" i="55" s="1"/>
  <c r="L291" i="55" s="1"/>
  <c r="L781" i="55" s="1"/>
  <c r="G263" i="55"/>
  <c r="G271" i="55" s="1"/>
  <c r="G291" i="55" s="1"/>
  <c r="G781" i="55" s="1"/>
  <c r="G109" i="52"/>
  <c r="G691" i="52"/>
  <c r="G699" i="52" s="1"/>
  <c r="E271" i="55"/>
  <c r="E291" i="55" s="1"/>
  <c r="E781" i="55" s="1"/>
  <c r="G133" i="45"/>
  <c r="G49" i="54"/>
  <c r="G17" i="54"/>
  <c r="E79" i="65" s="1"/>
  <c r="H739" i="54"/>
  <c r="H694" i="54" s="1"/>
  <c r="H101" i="54"/>
  <c r="F57" i="52"/>
  <c r="F25" i="52"/>
  <c r="D20" i="65" s="1"/>
  <c r="J49" i="54"/>
  <c r="J17" i="54"/>
  <c r="H79" i="65" s="1"/>
  <c r="G739" i="54"/>
  <c r="G694" i="54" s="1"/>
  <c r="G101" i="54"/>
  <c r="K49" i="53"/>
  <c r="K17" i="53"/>
  <c r="I48" i="65" s="1"/>
  <c r="E25" i="60"/>
  <c r="G779" i="54"/>
  <c r="G375" i="55"/>
  <c r="G731" i="55" s="1"/>
  <c r="H104" i="55"/>
  <c r="L104" i="55"/>
  <c r="I49" i="54"/>
  <c r="I17" i="54"/>
  <c r="G79" i="65" s="1"/>
  <c r="I739" i="54"/>
  <c r="I694" i="54" s="1"/>
  <c r="I101" i="54"/>
  <c r="F49" i="54"/>
  <c r="F17" i="54"/>
  <c r="D79" i="65" s="1"/>
  <c r="E739" i="53"/>
  <c r="E101" i="53"/>
  <c r="I49" i="53"/>
  <c r="I17" i="53"/>
  <c r="G48" i="65" s="1"/>
  <c r="K739" i="54"/>
  <c r="K694" i="54" s="1"/>
  <c r="K101" i="54"/>
  <c r="E739" i="54"/>
  <c r="E101" i="54"/>
  <c r="H25" i="52"/>
  <c r="F20" i="65" s="1"/>
  <c r="H57" i="52"/>
  <c r="H375" i="55"/>
  <c r="J375" i="55"/>
  <c r="J731" i="55" s="1"/>
  <c r="I104" i="55"/>
  <c r="E104" i="55"/>
  <c r="J133" i="45"/>
  <c r="E731" i="54"/>
  <c r="L101" i="54"/>
  <c r="L739" i="54"/>
  <c r="L694" i="54" s="1"/>
  <c r="F779" i="54"/>
  <c r="D25" i="60"/>
  <c r="F49" i="55"/>
  <c r="F17" i="55"/>
  <c r="D110" i="65" s="1"/>
  <c r="L49" i="53"/>
  <c r="L17" i="53"/>
  <c r="J48" i="65" s="1"/>
  <c r="G49" i="53"/>
  <c r="G17" i="53"/>
  <c r="E48" i="65" s="1"/>
  <c r="L133" i="45"/>
  <c r="L138" i="45" s="1"/>
  <c r="F731" i="54"/>
  <c r="I133" i="45"/>
  <c r="L17" i="54"/>
  <c r="J79" i="65" s="1"/>
  <c r="L49" i="54"/>
  <c r="K17" i="54"/>
  <c r="I79" i="65" s="1"/>
  <c r="K49" i="54"/>
  <c r="H17" i="53"/>
  <c r="F48" i="65" s="1"/>
  <c r="H49" i="53"/>
  <c r="H17" i="54"/>
  <c r="F79" i="65" s="1"/>
  <c r="H49" i="54"/>
  <c r="H691" i="52"/>
  <c r="H699" i="52" s="1"/>
  <c r="H109" i="52"/>
  <c r="I375" i="55"/>
  <c r="I731" i="55" s="1"/>
  <c r="K375" i="55"/>
  <c r="K731" i="55" s="1"/>
  <c r="F49" i="53"/>
  <c r="F17" i="53"/>
  <c r="D48" i="65" s="1"/>
  <c r="G104" i="55"/>
  <c r="E731" i="53"/>
  <c r="J101" i="54"/>
  <c r="J739" i="54"/>
  <c r="J694" i="54" s="1"/>
  <c r="J49" i="53"/>
  <c r="J17" i="53"/>
  <c r="H48" i="65" s="1"/>
  <c r="J731" i="54"/>
  <c r="E25" i="45" l="1"/>
  <c r="E13" i="45"/>
  <c r="E57" i="45"/>
  <c r="G204" i="45"/>
  <c r="J220" i="45"/>
  <c r="G306" i="45"/>
  <c r="F356" i="45"/>
  <c r="G795" i="45"/>
  <c r="I204" i="45"/>
  <c r="H220" i="45"/>
  <c r="I289" i="45"/>
  <c r="G289" i="45"/>
  <c r="J373" i="45"/>
  <c r="J679" i="45"/>
  <c r="H289" i="45"/>
  <c r="J356" i="45"/>
  <c r="F795" i="45"/>
  <c r="H204" i="45"/>
  <c r="G220" i="45"/>
  <c r="I220" i="45"/>
  <c r="J306" i="45"/>
  <c r="G356" i="45"/>
  <c r="G373" i="45"/>
  <c r="J204" i="45"/>
  <c r="I373" i="45"/>
  <c r="G679" i="45"/>
  <c r="J289" i="45"/>
  <c r="I306" i="45"/>
  <c r="H306" i="45"/>
  <c r="H356" i="45"/>
  <c r="I356" i="45"/>
  <c r="H373" i="45"/>
  <c r="H679" i="45"/>
  <c r="I679" i="45"/>
  <c r="J795" i="45"/>
  <c r="F104" i="45"/>
  <c r="E109" i="45"/>
  <c r="G188" i="45"/>
  <c r="H188" i="45"/>
  <c r="J188" i="45"/>
  <c r="I188" i="45"/>
  <c r="H138" i="45"/>
  <c r="I138" i="45"/>
  <c r="G138" i="45"/>
  <c r="J138" i="45"/>
  <c r="E691" i="45"/>
  <c r="E111" i="52"/>
  <c r="E73" i="52"/>
  <c r="E42" i="52" s="1"/>
  <c r="E23" i="52"/>
  <c r="K782" i="54"/>
  <c r="G782" i="54"/>
  <c r="C71" i="65"/>
  <c r="E18" i="65"/>
  <c r="D22" i="65"/>
  <c r="C51" i="65"/>
  <c r="D23" i="65"/>
  <c r="F23" i="65"/>
  <c r="C113" i="65"/>
  <c r="F22" i="65"/>
  <c r="I263" i="45"/>
  <c r="I271" i="45" s="1"/>
  <c r="L263" i="45"/>
  <c r="L271" i="45" s="1"/>
  <c r="L291" i="45" s="1"/>
  <c r="L781" i="45" s="1"/>
  <c r="F263" i="45"/>
  <c r="K263" i="45"/>
  <c r="K271" i="45" s="1"/>
  <c r="K291" i="45" s="1"/>
  <c r="K781" i="45" s="1"/>
  <c r="G263" i="45"/>
  <c r="G271" i="45" s="1"/>
  <c r="H263" i="45"/>
  <c r="H271" i="45" s="1"/>
  <c r="J263" i="45"/>
  <c r="J271" i="45" s="1"/>
  <c r="F782" i="54"/>
  <c r="L782" i="54"/>
  <c r="J782" i="54"/>
  <c r="L49" i="45"/>
  <c r="L17" i="45"/>
  <c r="K17" i="45"/>
  <c r="K49" i="45"/>
  <c r="K375" i="45"/>
  <c r="K739" i="45" s="1"/>
  <c r="K694" i="45" s="1"/>
  <c r="L375" i="45"/>
  <c r="L731" i="45" s="1"/>
  <c r="L732" i="45" s="1"/>
  <c r="L687" i="45" s="1"/>
  <c r="L205" i="45"/>
  <c r="I25" i="50" s="1"/>
  <c r="F205" i="45"/>
  <c r="K205" i="45"/>
  <c r="H25" i="50" s="1"/>
  <c r="G25" i="52"/>
  <c r="E20" i="65" s="1"/>
  <c r="K101" i="53"/>
  <c r="K46" i="53" s="1"/>
  <c r="K739" i="53"/>
  <c r="K694" i="53" s="1"/>
  <c r="G731" i="53"/>
  <c r="G101" i="53"/>
  <c r="G46" i="53" s="1"/>
  <c r="E25" i="59"/>
  <c r="M25" i="59" s="1"/>
  <c r="J101" i="53"/>
  <c r="J14" i="53" s="1"/>
  <c r="H47" i="65" s="1"/>
  <c r="J779" i="53"/>
  <c r="J782" i="53" s="1"/>
  <c r="K779" i="53"/>
  <c r="K782" i="53" s="1"/>
  <c r="F109" i="52"/>
  <c r="F54" i="52" s="1"/>
  <c r="F101" i="53"/>
  <c r="F14" i="53" s="1"/>
  <c r="D47" i="65" s="1"/>
  <c r="I739" i="53"/>
  <c r="I694" i="53" s="1"/>
  <c r="H739" i="53"/>
  <c r="H694" i="53" s="1"/>
  <c r="E782" i="55"/>
  <c r="E790" i="55" s="1"/>
  <c r="E800" i="55" s="1"/>
  <c r="E736" i="55" s="1"/>
  <c r="F739" i="53"/>
  <c r="F694" i="53" s="1"/>
  <c r="L731" i="53"/>
  <c r="E113" i="54"/>
  <c r="E57" i="54" s="1"/>
  <c r="L101" i="53"/>
  <c r="L46" i="53" s="1"/>
  <c r="G782" i="53"/>
  <c r="I101" i="53"/>
  <c r="I14" i="53" s="1"/>
  <c r="G47" i="65" s="1"/>
  <c r="J731" i="53"/>
  <c r="L779" i="53"/>
  <c r="L782" i="53" s="1"/>
  <c r="F779" i="53"/>
  <c r="F782" i="53" s="1"/>
  <c r="E113" i="53"/>
  <c r="H779" i="53"/>
  <c r="H782" i="53" s="1"/>
  <c r="I779" i="53"/>
  <c r="I782" i="53" s="1"/>
  <c r="H101" i="53"/>
  <c r="H14" i="53" s="1"/>
  <c r="F47" i="65" s="1"/>
  <c r="G25" i="61"/>
  <c r="F731" i="55"/>
  <c r="J779" i="55"/>
  <c r="J782" i="55" s="1"/>
  <c r="F101" i="55"/>
  <c r="F46" i="55" s="1"/>
  <c r="G779" i="55"/>
  <c r="G782" i="55" s="1"/>
  <c r="F25" i="61"/>
  <c r="J25" i="61"/>
  <c r="I25" i="61"/>
  <c r="D25" i="61"/>
  <c r="K782" i="55"/>
  <c r="M25" i="60"/>
  <c r="S25" i="60" s="1"/>
  <c r="J46" i="54"/>
  <c r="J14" i="54"/>
  <c r="H78" i="65" s="1"/>
  <c r="E49" i="53"/>
  <c r="H54" i="52"/>
  <c r="H22" i="52"/>
  <c r="E691" i="53"/>
  <c r="E109" i="53"/>
  <c r="H739" i="55"/>
  <c r="H694" i="55" s="1"/>
  <c r="H101" i="55"/>
  <c r="E49" i="54"/>
  <c r="L46" i="54"/>
  <c r="L14" i="54"/>
  <c r="J78" i="65" s="1"/>
  <c r="E46" i="54"/>
  <c r="E46" i="53"/>
  <c r="L17" i="55"/>
  <c r="J110" i="65" s="1"/>
  <c r="L49" i="55"/>
  <c r="H46" i="54"/>
  <c r="H14" i="54"/>
  <c r="F78" i="65" s="1"/>
  <c r="E739" i="55"/>
  <c r="E101" i="55"/>
  <c r="L782" i="55"/>
  <c r="F782" i="55"/>
  <c r="K739" i="55"/>
  <c r="K694" i="55" s="1"/>
  <c r="K101" i="55"/>
  <c r="E694" i="54"/>
  <c r="E695" i="54" s="1"/>
  <c r="E740" i="54"/>
  <c r="E694" i="53"/>
  <c r="E695" i="53" s="1"/>
  <c r="E740" i="53"/>
  <c r="I46" i="54"/>
  <c r="I14" i="54"/>
  <c r="G78" i="65" s="1"/>
  <c r="H731" i="55"/>
  <c r="G46" i="54"/>
  <c r="G14" i="54"/>
  <c r="E78" i="65" s="1"/>
  <c r="G22" i="52"/>
  <c r="G54" i="52"/>
  <c r="K17" i="55"/>
  <c r="I110" i="65" s="1"/>
  <c r="K49" i="55"/>
  <c r="L739" i="55"/>
  <c r="L694" i="55" s="1"/>
  <c r="L101" i="55"/>
  <c r="G49" i="55"/>
  <c r="G17" i="55"/>
  <c r="E17" i="53"/>
  <c r="I739" i="55"/>
  <c r="I694" i="55" s="1"/>
  <c r="I101" i="55"/>
  <c r="I17" i="55"/>
  <c r="G110" i="65" s="1"/>
  <c r="I49" i="55"/>
  <c r="J739" i="55"/>
  <c r="J694" i="55" s="1"/>
  <c r="J101" i="55"/>
  <c r="I782" i="55"/>
  <c r="K46" i="54"/>
  <c r="K14" i="54"/>
  <c r="I78" i="65" s="1"/>
  <c r="E17" i="54"/>
  <c r="H17" i="55"/>
  <c r="F110" i="65" s="1"/>
  <c r="H49" i="55"/>
  <c r="G739" i="55"/>
  <c r="G694" i="55" s="1"/>
  <c r="G101" i="55"/>
  <c r="J49" i="55"/>
  <c r="J17" i="55"/>
  <c r="H110" i="65" s="1"/>
  <c r="F46" i="54"/>
  <c r="F14" i="54"/>
  <c r="D78" i="65" s="1"/>
  <c r="H782" i="55"/>
  <c r="E109" i="54"/>
  <c r="E691" i="54"/>
  <c r="I375" i="45" l="1"/>
  <c r="I739" i="45" s="1"/>
  <c r="G375" i="45"/>
  <c r="G731" i="45" s="1"/>
  <c r="J375" i="45"/>
  <c r="J739" i="45" s="1"/>
  <c r="H375" i="45"/>
  <c r="H101" i="45" s="1"/>
  <c r="G291" i="45"/>
  <c r="H291" i="45"/>
  <c r="F17" i="45"/>
  <c r="F49" i="45"/>
  <c r="I104" i="45"/>
  <c r="G104" i="45"/>
  <c r="I291" i="45"/>
  <c r="H104" i="45"/>
  <c r="J104" i="45"/>
  <c r="C25" i="50"/>
  <c r="F375" i="45"/>
  <c r="F731" i="45" s="1"/>
  <c r="J291" i="45"/>
  <c r="E699" i="45"/>
  <c r="H205" i="45"/>
  <c r="G205" i="45"/>
  <c r="I205" i="45"/>
  <c r="I779" i="45" s="1"/>
  <c r="J205" i="45"/>
  <c r="E25" i="53"/>
  <c r="F271" i="45"/>
  <c r="E79" i="52"/>
  <c r="E77" i="52"/>
  <c r="K832" i="54"/>
  <c r="E110" i="65"/>
  <c r="C54" i="65"/>
  <c r="C53" i="65"/>
  <c r="E23" i="65"/>
  <c r="E22" i="65"/>
  <c r="C82" i="65"/>
  <c r="I101" i="45"/>
  <c r="G101" i="45"/>
  <c r="L739" i="45"/>
  <c r="L694" i="45" s="1"/>
  <c r="K101" i="45"/>
  <c r="K14" i="45" s="1"/>
  <c r="L101" i="45"/>
  <c r="L14" i="45" s="1"/>
  <c r="K731" i="45"/>
  <c r="K732" i="45" s="1"/>
  <c r="K687" i="45" s="1"/>
  <c r="L779" i="45"/>
  <c r="L782" i="45" s="1"/>
  <c r="F779" i="45"/>
  <c r="K779" i="45"/>
  <c r="K782" i="45" s="1"/>
  <c r="K14" i="53"/>
  <c r="I47" i="65" s="1"/>
  <c r="J46" i="53"/>
  <c r="G14" i="53"/>
  <c r="E47" i="65" s="1"/>
  <c r="F46" i="53"/>
  <c r="E57" i="53"/>
  <c r="I46" i="53"/>
  <c r="E113" i="55"/>
  <c r="E57" i="55" s="1"/>
  <c r="F22" i="52"/>
  <c r="E25" i="54"/>
  <c r="H46" i="53"/>
  <c r="L14" i="53"/>
  <c r="J47" i="65" s="1"/>
  <c r="E699" i="54"/>
  <c r="F14" i="55"/>
  <c r="D109" i="65" s="1"/>
  <c r="O25" i="60"/>
  <c r="T25" i="60"/>
  <c r="M25" i="61"/>
  <c r="Q25" i="61" s="1"/>
  <c r="I832" i="55" s="1"/>
  <c r="P25" i="60"/>
  <c r="Q25" i="60"/>
  <c r="R25" i="60"/>
  <c r="E17" i="55"/>
  <c r="E49" i="55"/>
  <c r="K784" i="54"/>
  <c r="K788" i="54"/>
  <c r="K750" i="54"/>
  <c r="K717" i="54"/>
  <c r="K719" i="54" s="1"/>
  <c r="K787" i="54"/>
  <c r="K789" i="54"/>
  <c r="K738" i="54"/>
  <c r="K740" i="54" s="1"/>
  <c r="K693" i="54"/>
  <c r="K695" i="54" s="1"/>
  <c r="K766" i="54"/>
  <c r="K767" i="54" s="1"/>
  <c r="K762" i="54"/>
  <c r="K703" i="54"/>
  <c r="E46" i="55"/>
  <c r="E109" i="55"/>
  <c r="E691" i="55"/>
  <c r="E14" i="54"/>
  <c r="L46" i="55"/>
  <c r="L14" i="55"/>
  <c r="J109" i="65" s="1"/>
  <c r="S25" i="59"/>
  <c r="R25" i="59"/>
  <c r="O25" i="59"/>
  <c r="T25" i="59"/>
  <c r="P25" i="59"/>
  <c r="Q25" i="59"/>
  <c r="I46" i="55"/>
  <c r="I14" i="55"/>
  <c r="G109" i="65" s="1"/>
  <c r="E694" i="55"/>
  <c r="E695" i="55" s="1"/>
  <c r="E740" i="55"/>
  <c r="J46" i="55"/>
  <c r="J14" i="55"/>
  <c r="H109" i="65" s="1"/>
  <c r="G46" i="55"/>
  <c r="G14" i="55"/>
  <c r="E109" i="65" s="1"/>
  <c r="K46" i="55"/>
  <c r="K14" i="55"/>
  <c r="I109" i="65" s="1"/>
  <c r="H46" i="55"/>
  <c r="H14" i="55"/>
  <c r="F109" i="65" s="1"/>
  <c r="E699" i="53"/>
  <c r="I731" i="45" l="1"/>
  <c r="I732" i="45" s="1"/>
  <c r="G739" i="45"/>
  <c r="G694" i="45" s="1"/>
  <c r="J731" i="45"/>
  <c r="J732" i="45" s="1"/>
  <c r="J101" i="45"/>
  <c r="H731" i="45"/>
  <c r="H732" i="45" s="1"/>
  <c r="H739" i="45"/>
  <c r="H694" i="45" s="1"/>
  <c r="H14" i="45"/>
  <c r="H46" i="45"/>
  <c r="F101" i="45"/>
  <c r="F732" i="45"/>
  <c r="F291" i="45"/>
  <c r="F781" i="45" s="1"/>
  <c r="D25" i="50"/>
  <c r="I694" i="45"/>
  <c r="J17" i="45"/>
  <c r="J49" i="45"/>
  <c r="G732" i="45"/>
  <c r="I49" i="45"/>
  <c r="I17" i="45"/>
  <c r="J694" i="45"/>
  <c r="G25" i="50"/>
  <c r="F739" i="45"/>
  <c r="H17" i="45"/>
  <c r="H49" i="45"/>
  <c r="I781" i="45"/>
  <c r="I782" i="45" s="1"/>
  <c r="G17" i="45"/>
  <c r="G49" i="45"/>
  <c r="H781" i="45"/>
  <c r="G781" i="45"/>
  <c r="E25" i="50"/>
  <c r="J781" i="45"/>
  <c r="F25" i="50"/>
  <c r="G779" i="45"/>
  <c r="E700" i="45"/>
  <c r="H779" i="45"/>
  <c r="J779" i="45"/>
  <c r="G46" i="45"/>
  <c r="I46" i="45"/>
  <c r="E45" i="52"/>
  <c r="E81" i="52"/>
  <c r="E83" i="52" s="1"/>
  <c r="E48" i="52" s="1"/>
  <c r="G14" i="45"/>
  <c r="L750" i="54"/>
  <c r="L832" i="54"/>
  <c r="I750" i="54"/>
  <c r="I832" i="54"/>
  <c r="G787" i="54"/>
  <c r="G832" i="54"/>
  <c r="J784" i="54"/>
  <c r="J832" i="54"/>
  <c r="H788" i="54"/>
  <c r="H832" i="54"/>
  <c r="I832" i="53"/>
  <c r="H832" i="53"/>
  <c r="K832" i="53"/>
  <c r="G832" i="53"/>
  <c r="L832" i="53"/>
  <c r="J832" i="53"/>
  <c r="E25" i="65"/>
  <c r="E27" i="65" s="1"/>
  <c r="I576" i="1" s="1"/>
  <c r="I14" i="45"/>
  <c r="K46" i="45"/>
  <c r="L46" i="45"/>
  <c r="E14" i="53"/>
  <c r="E25" i="55"/>
  <c r="I789" i="54"/>
  <c r="G750" i="54"/>
  <c r="G766" i="54"/>
  <c r="G767" i="54" s="1"/>
  <c r="G789" i="54"/>
  <c r="G784" i="54"/>
  <c r="G738" i="54"/>
  <c r="G740" i="54" s="1"/>
  <c r="G703" i="54"/>
  <c r="L766" i="54"/>
  <c r="L767" i="54" s="1"/>
  <c r="I784" i="54"/>
  <c r="I693" i="54"/>
  <c r="I695" i="54" s="1"/>
  <c r="I787" i="54"/>
  <c r="L788" i="54"/>
  <c r="L717" i="54"/>
  <c r="L719" i="54" s="1"/>
  <c r="I738" i="54"/>
  <c r="I740" i="54" s="1"/>
  <c r="I703" i="54"/>
  <c r="L762" i="54"/>
  <c r="L703" i="54"/>
  <c r="L787" i="54"/>
  <c r="L784" i="54"/>
  <c r="L738" i="54"/>
  <c r="L740" i="54" s="1"/>
  <c r="L789" i="54"/>
  <c r="G717" i="54"/>
  <c r="G719" i="54" s="1"/>
  <c r="G788" i="54"/>
  <c r="I717" i="54"/>
  <c r="I719" i="54" s="1"/>
  <c r="I766" i="54"/>
  <c r="I767" i="54" s="1"/>
  <c r="L693" i="54"/>
  <c r="L695" i="54" s="1"/>
  <c r="G762" i="54"/>
  <c r="G693" i="54"/>
  <c r="G695" i="54" s="1"/>
  <c r="I762" i="54"/>
  <c r="I788" i="54"/>
  <c r="O25" i="61"/>
  <c r="J788" i="54"/>
  <c r="H750" i="54"/>
  <c r="H784" i="54"/>
  <c r="K790" i="54"/>
  <c r="K800" i="54" s="1"/>
  <c r="K736" i="54" s="1"/>
  <c r="H738" i="54"/>
  <c r="H740" i="54" s="1"/>
  <c r="H717" i="54"/>
  <c r="H719" i="54" s="1"/>
  <c r="H693" i="54"/>
  <c r="H695" i="54" s="1"/>
  <c r="H762" i="54"/>
  <c r="H703" i="54"/>
  <c r="H787" i="54"/>
  <c r="H766" i="54"/>
  <c r="H767" i="54" s="1"/>
  <c r="H789" i="54"/>
  <c r="S25" i="61"/>
  <c r="T25" i="61"/>
  <c r="P25" i="61"/>
  <c r="R25" i="61"/>
  <c r="J717" i="54"/>
  <c r="J719" i="54" s="1"/>
  <c r="J766" i="54"/>
  <c r="J767" i="54" s="1"/>
  <c r="N25" i="60"/>
  <c r="J738" i="54"/>
  <c r="J740" i="54" s="1"/>
  <c r="J787" i="54"/>
  <c r="J789" i="54"/>
  <c r="J703" i="54"/>
  <c r="J750" i="54"/>
  <c r="J762" i="54"/>
  <c r="J693" i="54"/>
  <c r="J695" i="54" s="1"/>
  <c r="G787" i="53"/>
  <c r="G788" i="53"/>
  <c r="G784" i="53"/>
  <c r="G750" i="53"/>
  <c r="G703" i="53"/>
  <c r="G789" i="53"/>
  <c r="G717" i="53"/>
  <c r="G762" i="53"/>
  <c r="G693" i="53"/>
  <c r="G766" i="53"/>
  <c r="N25" i="59"/>
  <c r="G738" i="53"/>
  <c r="I787" i="53"/>
  <c r="I789" i="53"/>
  <c r="I750" i="53"/>
  <c r="I784" i="53"/>
  <c r="I788" i="53"/>
  <c r="I738" i="53"/>
  <c r="I766" i="53"/>
  <c r="I703" i="53"/>
  <c r="I693" i="53"/>
  <c r="I762" i="53"/>
  <c r="I717" i="53"/>
  <c r="J703" i="53"/>
  <c r="J788" i="53"/>
  <c r="J693" i="53"/>
  <c r="J789" i="53"/>
  <c r="J784" i="53"/>
  <c r="J738" i="53"/>
  <c r="J766" i="53"/>
  <c r="J762" i="53"/>
  <c r="J750" i="53"/>
  <c r="J787" i="53"/>
  <c r="J717" i="53"/>
  <c r="E14" i="55"/>
  <c r="H784" i="53"/>
  <c r="H717" i="53"/>
  <c r="H703" i="53"/>
  <c r="H789" i="53"/>
  <c r="H787" i="53"/>
  <c r="H762" i="53"/>
  <c r="H766" i="53"/>
  <c r="H750" i="53"/>
  <c r="H693" i="53"/>
  <c r="H788" i="53"/>
  <c r="H738" i="53"/>
  <c r="K787" i="53"/>
  <c r="K784" i="53"/>
  <c r="K693" i="53"/>
  <c r="K738" i="53"/>
  <c r="K766" i="53"/>
  <c r="K750" i="53"/>
  <c r="K788" i="53"/>
  <c r="K762" i="53"/>
  <c r="K789" i="53"/>
  <c r="K703" i="53"/>
  <c r="K717" i="53"/>
  <c r="I750" i="55"/>
  <c r="I788" i="55"/>
  <c r="I703" i="55"/>
  <c r="I787" i="55"/>
  <c r="I693" i="55"/>
  <c r="I695" i="55" s="1"/>
  <c r="I784" i="55"/>
  <c r="I762" i="55"/>
  <c r="I789" i="55"/>
  <c r="I717" i="55"/>
  <c r="I719" i="55" s="1"/>
  <c r="I766" i="55"/>
  <c r="I767" i="55" s="1"/>
  <c r="I738" i="55"/>
  <c r="I740" i="55" s="1"/>
  <c r="L750" i="53"/>
  <c r="L693" i="53"/>
  <c r="L762" i="53"/>
  <c r="L738" i="53"/>
  <c r="L784" i="53"/>
  <c r="L788" i="53"/>
  <c r="L703" i="53"/>
  <c r="L787" i="53"/>
  <c r="L717" i="53"/>
  <c r="L789" i="53"/>
  <c r="L766" i="53"/>
  <c r="E699" i="55"/>
  <c r="K769" i="54"/>
  <c r="F14" i="45" l="1"/>
  <c r="J46" i="45"/>
  <c r="J14" i="45"/>
  <c r="I574" i="1"/>
  <c r="I575" i="1"/>
  <c r="H575" i="1"/>
  <c r="H576" i="1"/>
  <c r="F46" i="45"/>
  <c r="G576" i="1"/>
  <c r="H574" i="1"/>
  <c r="G574" i="1"/>
  <c r="G575" i="1"/>
  <c r="F576" i="1"/>
  <c r="G573" i="1"/>
  <c r="F574" i="1"/>
  <c r="F575" i="1"/>
  <c r="F572" i="1"/>
  <c r="F573" i="1"/>
  <c r="E575" i="1"/>
  <c r="E576" i="1"/>
  <c r="G387" i="54"/>
  <c r="E571" i="1"/>
  <c r="L25" i="50"/>
  <c r="P25" i="50" s="1"/>
  <c r="E17" i="45"/>
  <c r="F694" i="45"/>
  <c r="E49" i="45"/>
  <c r="J782" i="45"/>
  <c r="G782" i="45"/>
  <c r="J687" i="45"/>
  <c r="I687" i="45"/>
  <c r="H687" i="45"/>
  <c r="F687" i="45"/>
  <c r="H782" i="45"/>
  <c r="G687" i="45"/>
  <c r="G386" i="54"/>
  <c r="E702" i="45"/>
  <c r="H387" i="54"/>
  <c r="F390" i="54"/>
  <c r="F385" i="54"/>
  <c r="I392" i="54"/>
  <c r="J392" i="54"/>
  <c r="F392" i="54"/>
  <c r="G392" i="54"/>
  <c r="D43" i="57"/>
  <c r="G851" i="52" s="1"/>
  <c r="F782" i="45"/>
  <c r="G769" i="54"/>
  <c r="E85" i="52"/>
  <c r="L750" i="55"/>
  <c r="L750" i="45" s="1"/>
  <c r="L832" i="55"/>
  <c r="H750" i="55"/>
  <c r="H750" i="45" s="1"/>
  <c r="H832" i="55"/>
  <c r="K762" i="55"/>
  <c r="K762" i="45" s="1"/>
  <c r="K832" i="55"/>
  <c r="J703" i="55"/>
  <c r="J703" i="45" s="1"/>
  <c r="J832" i="55"/>
  <c r="G789" i="55"/>
  <c r="G789" i="45" s="1"/>
  <c r="G832" i="55"/>
  <c r="F787" i="54"/>
  <c r="F832" i="54"/>
  <c r="F832" i="53"/>
  <c r="G393" i="52"/>
  <c r="E393" i="54" s="1"/>
  <c r="G391" i="52"/>
  <c r="E391" i="54" s="1"/>
  <c r="I788" i="45"/>
  <c r="I789" i="45"/>
  <c r="I787" i="45"/>
  <c r="I784" i="45"/>
  <c r="K767" i="53"/>
  <c r="K769" i="53" s="1"/>
  <c r="I767" i="53"/>
  <c r="I769" i="53" s="1"/>
  <c r="I766" i="45"/>
  <c r="G767" i="53"/>
  <c r="G769" i="53" s="1"/>
  <c r="L767" i="53"/>
  <c r="L769" i="53" s="1"/>
  <c r="H767" i="53"/>
  <c r="H769" i="53" s="1"/>
  <c r="J767" i="53"/>
  <c r="J769" i="53" s="1"/>
  <c r="I762" i="45"/>
  <c r="I750" i="45"/>
  <c r="K740" i="53"/>
  <c r="H740" i="53"/>
  <c r="I740" i="53"/>
  <c r="I738" i="45"/>
  <c r="L740" i="53"/>
  <c r="J740" i="53"/>
  <c r="G740" i="53"/>
  <c r="J719" i="53"/>
  <c r="G719" i="53"/>
  <c r="I719" i="53"/>
  <c r="I717" i="45"/>
  <c r="L719" i="53"/>
  <c r="K719" i="53"/>
  <c r="H719" i="53"/>
  <c r="I703" i="45"/>
  <c r="H695" i="53"/>
  <c r="J695" i="53"/>
  <c r="G695" i="53"/>
  <c r="L695" i="53"/>
  <c r="K695" i="53"/>
  <c r="I695" i="53"/>
  <c r="I693" i="45"/>
  <c r="L769" i="54"/>
  <c r="G790" i="54"/>
  <c r="G800" i="54" s="1"/>
  <c r="G113" i="54" s="1"/>
  <c r="G25" i="54" s="1"/>
  <c r="E82" i="65" s="1"/>
  <c r="I769" i="54"/>
  <c r="L787" i="55"/>
  <c r="L787" i="45" s="1"/>
  <c r="J769" i="54"/>
  <c r="I790" i="54"/>
  <c r="I800" i="54" s="1"/>
  <c r="I736" i="54" s="1"/>
  <c r="I691" i="54" s="1"/>
  <c r="I699" i="54" s="1"/>
  <c r="L762" i="55"/>
  <c r="L762" i="45" s="1"/>
  <c r="L766" i="55"/>
  <c r="L767" i="55" s="1"/>
  <c r="G766" i="55"/>
  <c r="G767" i="55" s="1"/>
  <c r="G788" i="55"/>
  <c r="G788" i="45" s="1"/>
  <c r="G762" i="55"/>
  <c r="G762" i="45" s="1"/>
  <c r="G750" i="55"/>
  <c r="G750" i="45" s="1"/>
  <c r="G703" i="55"/>
  <c r="G703" i="45" s="1"/>
  <c r="G717" i="55"/>
  <c r="G719" i="55" s="1"/>
  <c r="L790" i="54"/>
  <c r="L800" i="54" s="1"/>
  <c r="L736" i="54" s="1"/>
  <c r="G738" i="55"/>
  <c r="G740" i="55" s="1"/>
  <c r="G787" i="55"/>
  <c r="G787" i="45" s="1"/>
  <c r="K693" i="55"/>
  <c r="K695" i="55" s="1"/>
  <c r="K789" i="55"/>
  <c r="K789" i="45" s="1"/>
  <c r="H703" i="55"/>
  <c r="H703" i="45" s="1"/>
  <c r="K784" i="55"/>
  <c r="K784" i="45" s="1"/>
  <c r="G693" i="55"/>
  <c r="G695" i="55" s="1"/>
  <c r="G784" i="55"/>
  <c r="G784" i="45" s="1"/>
  <c r="L738" i="55"/>
  <c r="L740" i="55" s="1"/>
  <c r="L703" i="55"/>
  <c r="L703" i="45" s="1"/>
  <c r="L693" i="55"/>
  <c r="L695" i="55" s="1"/>
  <c r="L784" i="55"/>
  <c r="L784" i="45" s="1"/>
  <c r="K750" i="55"/>
  <c r="K750" i="45" s="1"/>
  <c r="H790" i="54"/>
  <c r="H800" i="54" s="1"/>
  <c r="H113" i="54" s="1"/>
  <c r="L717" i="55"/>
  <c r="L719" i="55" s="1"/>
  <c r="L788" i="55"/>
  <c r="L788" i="45" s="1"/>
  <c r="L789" i="55"/>
  <c r="L789" i="45" s="1"/>
  <c r="K766" i="55"/>
  <c r="K767" i="55" s="1"/>
  <c r="K703" i="55"/>
  <c r="K703" i="45" s="1"/>
  <c r="H717" i="55"/>
  <c r="H719" i="55" s="1"/>
  <c r="K113" i="54"/>
  <c r="K25" i="54" s="1"/>
  <c r="H788" i="55"/>
  <c r="H788" i="45" s="1"/>
  <c r="J789" i="55"/>
  <c r="J789" i="45" s="1"/>
  <c r="J784" i="55"/>
  <c r="J784" i="45" s="1"/>
  <c r="F762" i="54"/>
  <c r="J693" i="55"/>
  <c r="J695" i="55" s="1"/>
  <c r="J717" i="55"/>
  <c r="J719" i="55" s="1"/>
  <c r="J750" i="55"/>
  <c r="J750" i="45" s="1"/>
  <c r="F766" i="54"/>
  <c r="F767" i="54" s="1"/>
  <c r="H769" i="54"/>
  <c r="J766" i="55"/>
  <c r="J767" i="55" s="1"/>
  <c r="J787" i="55"/>
  <c r="J787" i="45" s="1"/>
  <c r="J738" i="55"/>
  <c r="J740" i="55" s="1"/>
  <c r="J788" i="55"/>
  <c r="J788" i="45" s="1"/>
  <c r="J762" i="55"/>
  <c r="J762" i="45" s="1"/>
  <c r="H789" i="55"/>
  <c r="H789" i="45" s="1"/>
  <c r="H784" i="55"/>
  <c r="H784" i="45" s="1"/>
  <c r="H762" i="55"/>
  <c r="H762" i="45" s="1"/>
  <c r="H693" i="55"/>
  <c r="H695" i="55" s="1"/>
  <c r="H787" i="55"/>
  <c r="H787" i="45" s="1"/>
  <c r="H766" i="55"/>
  <c r="H767" i="55" s="1"/>
  <c r="H738" i="55"/>
  <c r="H740" i="55" s="1"/>
  <c r="K788" i="55"/>
  <c r="K788" i="45" s="1"/>
  <c r="K738" i="55"/>
  <c r="K740" i="55" s="1"/>
  <c r="N25" i="61"/>
  <c r="K717" i="55"/>
  <c r="K719" i="55" s="1"/>
  <c r="K787" i="55"/>
  <c r="K787" i="45" s="1"/>
  <c r="F738" i="54"/>
  <c r="F740" i="54" s="1"/>
  <c r="F693" i="54"/>
  <c r="F695" i="54" s="1"/>
  <c r="F788" i="54"/>
  <c r="F784" i="54"/>
  <c r="F750" i="54"/>
  <c r="F789" i="54"/>
  <c r="F717" i="54"/>
  <c r="F719" i="54" s="1"/>
  <c r="F703" i="54"/>
  <c r="J790" i="54"/>
  <c r="J800" i="54" s="1"/>
  <c r="J736" i="54" s="1"/>
  <c r="J790" i="53"/>
  <c r="J800" i="53" s="1"/>
  <c r="J736" i="53" s="1"/>
  <c r="I769" i="55"/>
  <c r="H790" i="53"/>
  <c r="H800" i="53" s="1"/>
  <c r="K790" i="53"/>
  <c r="K800" i="53" s="1"/>
  <c r="I790" i="53"/>
  <c r="I800" i="53" s="1"/>
  <c r="K109" i="54"/>
  <c r="K691" i="54"/>
  <c r="K699" i="54" s="1"/>
  <c r="G790" i="53"/>
  <c r="G800" i="53" s="1"/>
  <c r="F787" i="53"/>
  <c r="F703" i="53"/>
  <c r="F784" i="53"/>
  <c r="F788" i="53"/>
  <c r="F762" i="53"/>
  <c r="F750" i="53"/>
  <c r="F717" i="53"/>
  <c r="F766" i="53"/>
  <c r="F738" i="53"/>
  <c r="F693" i="53"/>
  <c r="F789" i="53"/>
  <c r="L790" i="53"/>
  <c r="L800" i="53" s="1"/>
  <c r="I790" i="55"/>
  <c r="I800" i="55" s="1"/>
  <c r="E14" i="45" l="1"/>
  <c r="R25" i="50"/>
  <c r="Q25" i="50"/>
  <c r="S25" i="50"/>
  <c r="O25" i="50"/>
  <c r="N25" i="50"/>
  <c r="I740" i="45"/>
  <c r="I719" i="45"/>
  <c r="I695" i="45"/>
  <c r="I767" i="45"/>
  <c r="I769" i="45" s="1"/>
  <c r="E705" i="45"/>
  <c r="E392" i="54"/>
  <c r="E385" i="54"/>
  <c r="G385" i="52" s="1"/>
  <c r="E387" i="54"/>
  <c r="G387" i="52" s="1"/>
  <c r="E87" i="52"/>
  <c r="E47" i="52" s="1"/>
  <c r="E50" i="52" s="1"/>
  <c r="E52" i="52" s="1"/>
  <c r="K769" i="55"/>
  <c r="F750" i="55"/>
  <c r="F750" i="45" s="1"/>
  <c r="F832" i="55"/>
  <c r="E299" i="1"/>
  <c r="K393" i="54"/>
  <c r="J305" i="1" s="1"/>
  <c r="J393" i="54"/>
  <c r="I305" i="1" s="1"/>
  <c r="L393" i="54"/>
  <c r="K305" i="1" s="1"/>
  <c r="G393" i="54"/>
  <c r="F305" i="1" s="1"/>
  <c r="I393" i="54"/>
  <c r="H305" i="1" s="1"/>
  <c r="F393" i="54"/>
  <c r="E305" i="1" s="1"/>
  <c r="H393" i="54"/>
  <c r="G305" i="1" s="1"/>
  <c r="G391" i="54"/>
  <c r="F304" i="1" s="1"/>
  <c r="F391" i="54"/>
  <c r="E304" i="1" s="1"/>
  <c r="H391" i="54"/>
  <c r="G304" i="1" s="1"/>
  <c r="K391" i="54"/>
  <c r="J304" i="1" s="1"/>
  <c r="J391" i="54"/>
  <c r="I304" i="1" s="1"/>
  <c r="L391" i="54"/>
  <c r="K304" i="1" s="1"/>
  <c r="I391" i="54"/>
  <c r="H304" i="1" s="1"/>
  <c r="K27" i="54"/>
  <c r="I82" i="65"/>
  <c r="J766" i="45"/>
  <c r="L766" i="45"/>
  <c r="L767" i="45" s="1"/>
  <c r="L769" i="45" s="1"/>
  <c r="H766" i="45"/>
  <c r="G766" i="45"/>
  <c r="K766" i="45"/>
  <c r="K767" i="45" s="1"/>
  <c r="F767" i="53"/>
  <c r="F769" i="53" s="1"/>
  <c r="F740" i="53"/>
  <c r="G738" i="45"/>
  <c r="L738" i="45"/>
  <c r="L740" i="45" s="1"/>
  <c r="H738" i="45"/>
  <c r="J738" i="45"/>
  <c r="K738" i="45"/>
  <c r="K740" i="45" s="1"/>
  <c r="F719" i="53"/>
  <c r="K717" i="45"/>
  <c r="K719" i="45" s="1"/>
  <c r="J717" i="45"/>
  <c r="H717" i="45"/>
  <c r="L717" i="45"/>
  <c r="L719" i="45" s="1"/>
  <c r="G717" i="45"/>
  <c r="L693" i="45"/>
  <c r="L695" i="45" s="1"/>
  <c r="J693" i="45"/>
  <c r="F695" i="53"/>
  <c r="K693" i="45"/>
  <c r="K695" i="45" s="1"/>
  <c r="G693" i="45"/>
  <c r="H693" i="45"/>
  <c r="J769" i="55"/>
  <c r="F769" i="54"/>
  <c r="G57" i="54"/>
  <c r="G736" i="54"/>
  <c r="G691" i="54" s="1"/>
  <c r="G699" i="54" s="1"/>
  <c r="L113" i="54"/>
  <c r="L115" i="54" s="1"/>
  <c r="I113" i="54"/>
  <c r="I109" i="54"/>
  <c r="I22" i="54" s="1"/>
  <c r="K115" i="54"/>
  <c r="G769" i="55"/>
  <c r="L769" i="55"/>
  <c r="H736" i="54"/>
  <c r="H691" i="54" s="1"/>
  <c r="H699" i="54" s="1"/>
  <c r="K57" i="54"/>
  <c r="K59" i="54" s="1"/>
  <c r="G790" i="55"/>
  <c r="G800" i="55" s="1"/>
  <c r="G736" i="55" s="1"/>
  <c r="G691" i="55" s="1"/>
  <c r="G699" i="55" s="1"/>
  <c r="K790" i="55"/>
  <c r="K800" i="55" s="1"/>
  <c r="K736" i="55" s="1"/>
  <c r="K691" i="55" s="1"/>
  <c r="K699" i="55" s="1"/>
  <c r="L790" i="55"/>
  <c r="L800" i="55" s="1"/>
  <c r="L736" i="55" s="1"/>
  <c r="J113" i="54"/>
  <c r="J25" i="54" s="1"/>
  <c r="H82" i="65" s="1"/>
  <c r="J790" i="55"/>
  <c r="J800" i="55" s="1"/>
  <c r="J113" i="55" s="1"/>
  <c r="H769" i="55"/>
  <c r="F693" i="55"/>
  <c r="F695" i="55" s="1"/>
  <c r="F787" i="55"/>
  <c r="F787" i="45" s="1"/>
  <c r="H790" i="55"/>
  <c r="H800" i="55" s="1"/>
  <c r="H113" i="55" s="1"/>
  <c r="F784" i="55"/>
  <c r="F784" i="45" s="1"/>
  <c r="F766" i="55"/>
  <c r="F767" i="55" s="1"/>
  <c r="F717" i="55"/>
  <c r="F719" i="55" s="1"/>
  <c r="F703" i="55"/>
  <c r="F703" i="45" s="1"/>
  <c r="J113" i="53"/>
  <c r="F790" i="54"/>
  <c r="F800" i="54" s="1"/>
  <c r="F736" i="54" s="1"/>
  <c r="F789" i="55"/>
  <c r="F789" i="45" s="1"/>
  <c r="F788" i="55"/>
  <c r="F788" i="45" s="1"/>
  <c r="F762" i="55"/>
  <c r="F762" i="45" s="1"/>
  <c r="F738" i="55"/>
  <c r="F740" i="55" s="1"/>
  <c r="I790" i="45"/>
  <c r="J691" i="54"/>
  <c r="J699" i="54" s="1"/>
  <c r="J109" i="54"/>
  <c r="G790" i="45"/>
  <c r="K22" i="54"/>
  <c r="K54" i="54"/>
  <c r="I736" i="53"/>
  <c r="I113" i="53"/>
  <c r="L790" i="45"/>
  <c r="L800" i="45" s="1"/>
  <c r="K769" i="45"/>
  <c r="K790" i="45"/>
  <c r="K800" i="45" s="1"/>
  <c r="J691" i="53"/>
  <c r="J699" i="53" s="1"/>
  <c r="J109" i="53"/>
  <c r="J790" i="45"/>
  <c r="I736" i="55"/>
  <c r="I113" i="55"/>
  <c r="G736" i="53"/>
  <c r="G113" i="53"/>
  <c r="H736" i="53"/>
  <c r="H113" i="53"/>
  <c r="H790" i="45"/>
  <c r="L736" i="53"/>
  <c r="L113" i="53"/>
  <c r="F790" i="53"/>
  <c r="F800" i="53" s="1"/>
  <c r="H57" i="54"/>
  <c r="H25" i="54"/>
  <c r="F82" i="65" s="1"/>
  <c r="L691" i="54"/>
  <c r="L699" i="54" s="1"/>
  <c r="L109" i="54"/>
  <c r="K736" i="53"/>
  <c r="K113" i="53"/>
  <c r="M25" i="50" l="1"/>
  <c r="G695" i="45"/>
  <c r="J740" i="45"/>
  <c r="I800" i="45"/>
  <c r="I113" i="45" s="1"/>
  <c r="H695" i="45"/>
  <c r="J695" i="45"/>
  <c r="H719" i="45"/>
  <c r="G740" i="45"/>
  <c r="G767" i="45"/>
  <c r="G800" i="45"/>
  <c r="G736" i="45" s="1"/>
  <c r="H767" i="45"/>
  <c r="G719" i="45"/>
  <c r="H740" i="45"/>
  <c r="J719" i="45"/>
  <c r="H800" i="45"/>
  <c r="H113" i="45" s="1"/>
  <c r="J800" i="45"/>
  <c r="J113" i="45" s="1"/>
  <c r="J767" i="45"/>
  <c r="E743" i="45"/>
  <c r="E721" i="45"/>
  <c r="J25" i="53"/>
  <c r="H51" i="65" s="1"/>
  <c r="H54" i="65" s="1"/>
  <c r="E89" i="52"/>
  <c r="E59" i="52"/>
  <c r="E55" i="52"/>
  <c r="I57" i="54"/>
  <c r="D299" i="1"/>
  <c r="D305" i="1"/>
  <c r="D304" i="1"/>
  <c r="F766" i="45"/>
  <c r="F738" i="45"/>
  <c r="F717" i="45"/>
  <c r="F693" i="45"/>
  <c r="L57" i="54"/>
  <c r="L59" i="54" s="1"/>
  <c r="G109" i="54"/>
  <c r="G22" i="54" s="1"/>
  <c r="L25" i="54"/>
  <c r="I54" i="54"/>
  <c r="K113" i="55"/>
  <c r="K57" i="55" s="1"/>
  <c r="K59" i="55" s="1"/>
  <c r="I25" i="54"/>
  <c r="K109" i="55"/>
  <c r="K54" i="55" s="1"/>
  <c r="L113" i="55"/>
  <c r="L115" i="55" s="1"/>
  <c r="G109" i="55"/>
  <c r="G54" i="55" s="1"/>
  <c r="H109" i="54"/>
  <c r="H22" i="54" s="1"/>
  <c r="J57" i="54"/>
  <c r="G113" i="55"/>
  <c r="G25" i="55" s="1"/>
  <c r="E113" i="65" s="1"/>
  <c r="H736" i="55"/>
  <c r="H109" i="55" s="1"/>
  <c r="J736" i="55"/>
  <c r="J691" i="55" s="1"/>
  <c r="J699" i="55" s="1"/>
  <c r="F113" i="54"/>
  <c r="F25" i="54" s="1"/>
  <c r="D82" i="65" s="1"/>
  <c r="J57" i="53"/>
  <c r="F769" i="55"/>
  <c r="F790" i="55"/>
  <c r="F800" i="55" s="1"/>
  <c r="F736" i="55" s="1"/>
  <c r="K109" i="53"/>
  <c r="K691" i="53"/>
  <c r="K699" i="53" s="1"/>
  <c r="F790" i="45"/>
  <c r="I109" i="55"/>
  <c r="I691" i="55"/>
  <c r="I699" i="55" s="1"/>
  <c r="F109" i="54"/>
  <c r="F691" i="54"/>
  <c r="F699" i="54" s="1"/>
  <c r="I691" i="53"/>
  <c r="I699" i="53" s="1"/>
  <c r="I109" i="53"/>
  <c r="L57" i="53"/>
  <c r="L59" i="53" s="1"/>
  <c r="L115" i="53"/>
  <c r="L25" i="53"/>
  <c r="G57" i="53"/>
  <c r="G25" i="53"/>
  <c r="E51" i="65" s="1"/>
  <c r="J54" i="53"/>
  <c r="J22" i="53"/>
  <c r="L691" i="55"/>
  <c r="L699" i="55" s="1"/>
  <c r="L109" i="55"/>
  <c r="L113" i="45"/>
  <c r="L736" i="45"/>
  <c r="L54" i="54"/>
  <c r="L22" i="54"/>
  <c r="L109" i="53"/>
  <c r="L691" i="53"/>
  <c r="L699" i="53" s="1"/>
  <c r="H57" i="53"/>
  <c r="H25" i="53"/>
  <c r="F51" i="65" s="1"/>
  <c r="G691" i="53"/>
  <c r="G699" i="53" s="1"/>
  <c r="G109" i="53"/>
  <c r="K736" i="45"/>
  <c r="K113" i="45"/>
  <c r="J57" i="55"/>
  <c r="J25" i="55"/>
  <c r="H113" i="65" s="1"/>
  <c r="G113" i="45"/>
  <c r="J54" i="54"/>
  <c r="J22" i="54"/>
  <c r="K57" i="53"/>
  <c r="K59" i="53" s="1"/>
  <c r="K115" i="53"/>
  <c r="K25" i="53"/>
  <c r="F736" i="53"/>
  <c r="F113" i="53"/>
  <c r="H109" i="53"/>
  <c r="H691" i="53"/>
  <c r="H699" i="53" s="1"/>
  <c r="I57" i="55"/>
  <c r="I25" i="55"/>
  <c r="H25" i="55"/>
  <c r="F113" i="65" s="1"/>
  <c r="H57" i="55"/>
  <c r="I57" i="53"/>
  <c r="I25" i="53"/>
  <c r="G51" i="65" s="1"/>
  <c r="H736" i="45" l="1"/>
  <c r="H691" i="45" s="1"/>
  <c r="J736" i="45"/>
  <c r="J691" i="45" s="1"/>
  <c r="F767" i="45"/>
  <c r="J769" i="45"/>
  <c r="H769" i="45"/>
  <c r="F695" i="45"/>
  <c r="G769" i="45"/>
  <c r="F719" i="45"/>
  <c r="F740" i="45"/>
  <c r="I736" i="45"/>
  <c r="E103" i="45"/>
  <c r="E745" i="45"/>
  <c r="F800" i="45"/>
  <c r="H53" i="65"/>
  <c r="G113" i="65"/>
  <c r="G116" i="65" s="1"/>
  <c r="I25" i="45"/>
  <c r="H116" i="65"/>
  <c r="H115" i="65"/>
  <c r="F115" i="65"/>
  <c r="F116" i="65"/>
  <c r="E115" i="65"/>
  <c r="E116" i="65"/>
  <c r="L27" i="54"/>
  <c r="J82" i="65"/>
  <c r="G82" i="65"/>
  <c r="E54" i="65"/>
  <c r="E53" i="65"/>
  <c r="F53" i="65"/>
  <c r="F54" i="65"/>
  <c r="G54" i="65"/>
  <c r="G53" i="65"/>
  <c r="K27" i="53"/>
  <c r="I51" i="65"/>
  <c r="L27" i="53"/>
  <c r="J51" i="65"/>
  <c r="G57" i="55"/>
  <c r="K25" i="55"/>
  <c r="G54" i="54"/>
  <c r="K22" i="55"/>
  <c r="L25" i="55"/>
  <c r="K115" i="55"/>
  <c r="H54" i="54"/>
  <c r="L57" i="55"/>
  <c r="L59" i="55" s="1"/>
  <c r="G22" i="55"/>
  <c r="F57" i="54"/>
  <c r="H691" i="55"/>
  <c r="H699" i="55" s="1"/>
  <c r="J109" i="55"/>
  <c r="J22" i="55" s="1"/>
  <c r="I57" i="45"/>
  <c r="F113" i="55"/>
  <c r="F25" i="55" s="1"/>
  <c r="D113" i="65" s="1"/>
  <c r="F109" i="55"/>
  <c r="F22" i="55" s="1"/>
  <c r="F691" i="55"/>
  <c r="F699" i="55" s="1"/>
  <c r="H54" i="53"/>
  <c r="H22" i="53"/>
  <c r="G54" i="53"/>
  <c r="G22" i="53"/>
  <c r="F25" i="53"/>
  <c r="D51" i="65" s="1"/>
  <c r="F57" i="53"/>
  <c r="F109" i="53"/>
  <c r="F691" i="53"/>
  <c r="F699" i="53" s="1"/>
  <c r="G109" i="45"/>
  <c r="G691" i="45"/>
  <c r="K115" i="45"/>
  <c r="K25" i="45"/>
  <c r="K27" i="45" s="1"/>
  <c r="K57" i="45"/>
  <c r="K59" i="45" s="1"/>
  <c r="L109" i="45"/>
  <c r="L691" i="45"/>
  <c r="L699" i="45" s="1"/>
  <c r="L700" i="45" s="1"/>
  <c r="L702" i="45" s="1"/>
  <c r="L705" i="45" s="1"/>
  <c r="I22" i="53"/>
  <c r="I54" i="53"/>
  <c r="F22" i="54"/>
  <c r="E22" i="54" s="1"/>
  <c r="F54" i="54"/>
  <c r="I54" i="55"/>
  <c r="I22" i="55"/>
  <c r="K54" i="53"/>
  <c r="K22" i="53"/>
  <c r="H25" i="45"/>
  <c r="H57" i="45"/>
  <c r="G25" i="45"/>
  <c r="G57" i="45"/>
  <c r="K691" i="45"/>
  <c r="K699" i="45" s="1"/>
  <c r="K700" i="45" s="1"/>
  <c r="K702" i="45" s="1"/>
  <c r="K705" i="45" s="1"/>
  <c r="K109" i="45"/>
  <c r="L115" i="45"/>
  <c r="L57" i="45"/>
  <c r="L59" i="45" s="1"/>
  <c r="L25" i="45"/>
  <c r="L27" i="45" s="1"/>
  <c r="L22" i="55"/>
  <c r="L54" i="55"/>
  <c r="J57" i="45"/>
  <c r="J25" i="45"/>
  <c r="L54" i="53"/>
  <c r="L22" i="53"/>
  <c r="H54" i="55"/>
  <c r="H22" i="55"/>
  <c r="H109" i="45" l="1"/>
  <c r="J109" i="45"/>
  <c r="J699" i="45"/>
  <c r="H699" i="45"/>
  <c r="F769" i="45"/>
  <c r="G699" i="45"/>
  <c r="F113" i="45"/>
  <c r="I109" i="45"/>
  <c r="I691" i="45"/>
  <c r="E747" i="45"/>
  <c r="F736" i="45"/>
  <c r="G115" i="65"/>
  <c r="L27" i="55"/>
  <c r="J113" i="65"/>
  <c r="K27" i="55"/>
  <c r="I113" i="65"/>
  <c r="D116" i="65"/>
  <c r="D115" i="65"/>
  <c r="C85" i="65"/>
  <c r="C84" i="65"/>
  <c r="I54" i="65"/>
  <c r="I53" i="65"/>
  <c r="J53" i="65"/>
  <c r="J54" i="65"/>
  <c r="D54" i="65"/>
  <c r="D53" i="65"/>
  <c r="J54" i="55"/>
  <c r="E54" i="54"/>
  <c r="F54" i="55"/>
  <c r="F57" i="55"/>
  <c r="F54" i="53"/>
  <c r="E54" i="53" s="1"/>
  <c r="F22" i="53"/>
  <c r="E22" i="53" s="1"/>
  <c r="K54" i="45"/>
  <c r="K22" i="45"/>
  <c r="L54" i="45"/>
  <c r="L22" i="45"/>
  <c r="H54" i="45"/>
  <c r="E22" i="55"/>
  <c r="K721" i="45"/>
  <c r="K103" i="45" s="1"/>
  <c r="K743" i="45"/>
  <c r="K745" i="45" s="1"/>
  <c r="K747" i="45" s="1"/>
  <c r="K749" i="45" s="1"/>
  <c r="K751" i="45" s="1"/>
  <c r="K771" i="45" s="1"/>
  <c r="K102" i="45" s="1"/>
  <c r="L743" i="45"/>
  <c r="L745" i="45" s="1"/>
  <c r="L747" i="45" s="1"/>
  <c r="L749" i="45" s="1"/>
  <c r="L751" i="45" s="1"/>
  <c r="L771" i="45" s="1"/>
  <c r="L102" i="45" s="1"/>
  <c r="L721" i="45"/>
  <c r="L103" i="45" s="1"/>
  <c r="G22" i="45"/>
  <c r="G54" i="45"/>
  <c r="J22" i="45" l="1"/>
  <c r="F57" i="45"/>
  <c r="H22" i="45"/>
  <c r="J54" i="45"/>
  <c r="F25" i="45"/>
  <c r="I699" i="45"/>
  <c r="F691" i="45"/>
  <c r="I22" i="45"/>
  <c r="I54" i="45"/>
  <c r="G700" i="45"/>
  <c r="H700" i="45"/>
  <c r="J700" i="45"/>
  <c r="E749" i="45"/>
  <c r="F109" i="45"/>
  <c r="I80" i="65"/>
  <c r="G80" i="65"/>
  <c r="J115" i="65"/>
  <c r="J116" i="65"/>
  <c r="I115" i="65"/>
  <c r="I116" i="65"/>
  <c r="E54" i="55"/>
  <c r="L15" i="45"/>
  <c r="L105" i="45"/>
  <c r="L107" i="45" s="1"/>
  <c r="K16" i="45"/>
  <c r="L16" i="45"/>
  <c r="K15" i="45"/>
  <c r="K105" i="45"/>
  <c r="K107" i="45" s="1"/>
  <c r="H702" i="45" l="1"/>
  <c r="J702" i="45"/>
  <c r="G702" i="45"/>
  <c r="F699" i="45"/>
  <c r="I700" i="45"/>
  <c r="E751" i="45"/>
  <c r="F54" i="45"/>
  <c r="F22" i="45"/>
  <c r="K18" i="45"/>
  <c r="K20" i="45" s="1"/>
  <c r="K23" i="45" s="1"/>
  <c r="L18" i="45"/>
  <c r="L20" i="45" s="1"/>
  <c r="L23" i="45" s="1"/>
  <c r="L111" i="45"/>
  <c r="L73" i="45"/>
  <c r="K111" i="45"/>
  <c r="K73" i="45"/>
  <c r="E54" i="45" l="1"/>
  <c r="G705" i="45"/>
  <c r="I702" i="45"/>
  <c r="H705" i="45"/>
  <c r="F700" i="45"/>
  <c r="J705" i="45"/>
  <c r="E771" i="45"/>
  <c r="E22" i="45"/>
  <c r="L42" i="45"/>
  <c r="L79" i="45"/>
  <c r="L77" i="45"/>
  <c r="K42" i="45"/>
  <c r="K77" i="45"/>
  <c r="K79" i="45"/>
  <c r="J721" i="45" l="1"/>
  <c r="J743" i="45"/>
  <c r="G721" i="45"/>
  <c r="G743" i="45"/>
  <c r="F702" i="45"/>
  <c r="H721" i="45"/>
  <c r="H743" i="45"/>
  <c r="I705" i="45"/>
  <c r="E102" i="45"/>
  <c r="H85" i="65"/>
  <c r="H84" i="65"/>
  <c r="K45" i="45"/>
  <c r="K81" i="45"/>
  <c r="K83" i="45" s="1"/>
  <c r="K48" i="45" s="1"/>
  <c r="L45" i="45"/>
  <c r="L81" i="45"/>
  <c r="H745" i="45" l="1"/>
  <c r="J745" i="45"/>
  <c r="H103" i="45"/>
  <c r="G745" i="45"/>
  <c r="J103" i="45"/>
  <c r="F705" i="45"/>
  <c r="I721" i="45"/>
  <c r="I743" i="45"/>
  <c r="G103" i="45"/>
  <c r="E105" i="45"/>
  <c r="D80" i="65"/>
  <c r="J84" i="65"/>
  <c r="J85" i="65"/>
  <c r="I84" i="65"/>
  <c r="I85" i="65"/>
  <c r="E84" i="65"/>
  <c r="E85" i="65"/>
  <c r="K85" i="45"/>
  <c r="K87" i="45" s="1"/>
  <c r="K47" i="45" s="1"/>
  <c r="K50" i="45" s="1"/>
  <c r="K52" i="45" s="1"/>
  <c r="K55" i="45" s="1"/>
  <c r="L83" i="45"/>
  <c r="L48" i="45" s="1"/>
  <c r="I745" i="45" l="1"/>
  <c r="I103" i="45"/>
  <c r="F721" i="45"/>
  <c r="F743" i="45"/>
  <c r="G747" i="45"/>
  <c r="J747" i="45"/>
  <c r="G16" i="45"/>
  <c r="J16" i="45"/>
  <c r="H16" i="45"/>
  <c r="H747" i="45"/>
  <c r="E107" i="45"/>
  <c r="C116" i="65"/>
  <c r="C115" i="65"/>
  <c r="I87" i="65"/>
  <c r="F84" i="65"/>
  <c r="F85" i="65"/>
  <c r="G85" i="65"/>
  <c r="G84" i="65"/>
  <c r="D85" i="65"/>
  <c r="D84" i="65"/>
  <c r="K89" i="45"/>
  <c r="L85" i="45"/>
  <c r="F745" i="45" l="1"/>
  <c r="I16" i="45"/>
  <c r="F103" i="45"/>
  <c r="I747" i="45"/>
  <c r="H749" i="45"/>
  <c r="J749" i="45"/>
  <c r="G749" i="45"/>
  <c r="E115" i="45"/>
  <c r="E73" i="45"/>
  <c r="E111" i="45"/>
  <c r="D87" i="65"/>
  <c r="G87" i="65"/>
  <c r="L87" i="45"/>
  <c r="L47" i="45" s="1"/>
  <c r="L50" i="45" s="1"/>
  <c r="L52" i="45" s="1"/>
  <c r="L55" i="45" s="1"/>
  <c r="I749" i="45" l="1"/>
  <c r="G751" i="45"/>
  <c r="F16" i="45"/>
  <c r="F747" i="45"/>
  <c r="H751" i="45"/>
  <c r="J751" i="45"/>
  <c r="E42" i="45"/>
  <c r="L29" i="45"/>
  <c r="L117" i="45"/>
  <c r="L61" i="45"/>
  <c r="K29" i="45"/>
  <c r="K61" i="45"/>
  <c r="K117" i="45"/>
  <c r="L89" i="45"/>
  <c r="E16" i="45" l="1"/>
  <c r="H771" i="45"/>
  <c r="F749" i="45"/>
  <c r="J771" i="45"/>
  <c r="I751" i="45"/>
  <c r="G771" i="45"/>
  <c r="I771" i="45" l="1"/>
  <c r="G102" i="45"/>
  <c r="J102" i="45"/>
  <c r="F751" i="45"/>
  <c r="H102" i="45"/>
  <c r="F771" i="45" l="1"/>
  <c r="G15" i="45"/>
  <c r="G105" i="45"/>
  <c r="H105" i="45"/>
  <c r="H15" i="45"/>
  <c r="J105" i="45"/>
  <c r="J15" i="45"/>
  <c r="I102" i="45"/>
  <c r="J18" i="45" l="1"/>
  <c r="G18" i="45"/>
  <c r="H18" i="45"/>
  <c r="J107" i="45"/>
  <c r="I15" i="45"/>
  <c r="I105" i="45"/>
  <c r="H107" i="45"/>
  <c r="G107" i="45"/>
  <c r="F102" i="45"/>
  <c r="G20" i="45" l="1"/>
  <c r="I18" i="45"/>
  <c r="H20" i="45"/>
  <c r="J20" i="45"/>
  <c r="I107" i="45"/>
  <c r="G115" i="45"/>
  <c r="G73" i="45"/>
  <c r="G111" i="45"/>
  <c r="F15" i="45"/>
  <c r="F105" i="45"/>
  <c r="H111" i="45"/>
  <c r="H115" i="45"/>
  <c r="H73" i="45"/>
  <c r="J111" i="45"/>
  <c r="J73" i="45"/>
  <c r="J115" i="45"/>
  <c r="K10" i="53"/>
  <c r="J23" i="45" l="1"/>
  <c r="J27" i="45"/>
  <c r="I20" i="45"/>
  <c r="H23" i="45"/>
  <c r="H27" i="45"/>
  <c r="G27" i="45"/>
  <c r="G23" i="45"/>
  <c r="J117" i="45"/>
  <c r="H42" i="45"/>
  <c r="H77" i="45"/>
  <c r="H79" i="45"/>
  <c r="J42" i="45"/>
  <c r="J79" i="45"/>
  <c r="J77" i="45"/>
  <c r="G42" i="45"/>
  <c r="G77" i="45"/>
  <c r="G79" i="45"/>
  <c r="H117" i="45"/>
  <c r="F107" i="45"/>
  <c r="F18" i="45"/>
  <c r="E15" i="45"/>
  <c r="G117" i="45"/>
  <c r="I115" i="45"/>
  <c r="I111" i="45"/>
  <c r="I73" i="45"/>
  <c r="C80" i="65"/>
  <c r="C87" i="65" s="1"/>
  <c r="E18" i="45" l="1"/>
  <c r="F20" i="45"/>
  <c r="F27" i="45" s="1"/>
  <c r="I23" i="45"/>
  <c r="I27" i="45"/>
  <c r="H81" i="45"/>
  <c r="G81" i="45"/>
  <c r="I77" i="45"/>
  <c r="I79" i="45"/>
  <c r="I42" i="45"/>
  <c r="G45" i="45"/>
  <c r="J45" i="45"/>
  <c r="F115" i="45"/>
  <c r="F111" i="45"/>
  <c r="F73" i="45"/>
  <c r="I117" i="45"/>
  <c r="J81" i="45"/>
  <c r="H45" i="45"/>
  <c r="I89" i="65"/>
  <c r="G89" i="65"/>
  <c r="F23" i="45" l="1"/>
  <c r="H83" i="45"/>
  <c r="H48" i="45" s="1"/>
  <c r="G83" i="45"/>
  <c r="G48" i="45" s="1"/>
  <c r="E20" i="45"/>
  <c r="I81" i="45"/>
  <c r="F77" i="45"/>
  <c r="F42" i="45"/>
  <c r="F79" i="45"/>
  <c r="I45" i="45"/>
  <c r="J83" i="45"/>
  <c r="F117" i="45"/>
  <c r="C40" i="65"/>
  <c r="C49" i="65" s="1"/>
  <c r="C56" i="65" s="1"/>
  <c r="D18" i="65"/>
  <c r="D25" i="65" s="1"/>
  <c r="H85" i="45" l="1"/>
  <c r="H87" i="45" s="1"/>
  <c r="I83" i="45"/>
  <c r="I48" i="45" s="1"/>
  <c r="G85" i="45"/>
  <c r="G87" i="45" s="1"/>
  <c r="E23" i="45"/>
  <c r="E27" i="45"/>
  <c r="F81" i="45"/>
  <c r="J48" i="45"/>
  <c r="E79" i="45"/>
  <c r="J85" i="45"/>
  <c r="F45" i="45"/>
  <c r="E77" i="45"/>
  <c r="C102" i="65"/>
  <c r="C111" i="65" s="1"/>
  <c r="C118" i="65" s="1"/>
  <c r="F18" i="65"/>
  <c r="F25" i="65" s="1"/>
  <c r="F27" i="65" s="1"/>
  <c r="G390" i="54" s="1"/>
  <c r="I85" i="45" l="1"/>
  <c r="I87" i="45" s="1"/>
  <c r="G89" i="45"/>
  <c r="F83" i="45"/>
  <c r="F48" i="45" s="1"/>
  <c r="H89" i="45"/>
  <c r="E45" i="45"/>
  <c r="E81" i="45"/>
  <c r="H47" i="45"/>
  <c r="G47" i="45"/>
  <c r="J87" i="45"/>
  <c r="E43" i="57"/>
  <c r="H851" i="52" s="1"/>
  <c r="H393" i="52"/>
  <c r="H391" i="52"/>
  <c r="D27" i="65"/>
  <c r="F85" i="45" l="1"/>
  <c r="I566" i="1"/>
  <c r="I567" i="1"/>
  <c r="H567" i="1"/>
  <c r="I565" i="1"/>
  <c r="I583" i="1" s="1"/>
  <c r="H565" i="1"/>
  <c r="H583" i="1" s="1"/>
  <c r="H566" i="1"/>
  <c r="G566" i="1"/>
  <c r="G567" i="1"/>
  <c r="G585" i="1" s="1"/>
  <c r="G564" i="1"/>
  <c r="G565" i="1"/>
  <c r="G583" i="1" s="1"/>
  <c r="F566" i="1"/>
  <c r="F567" i="1"/>
  <c r="F564" i="1"/>
  <c r="F565" i="1"/>
  <c r="F583" i="1" s="1"/>
  <c r="E566" i="1"/>
  <c r="E567" i="1"/>
  <c r="F563" i="1"/>
  <c r="E565" i="1"/>
  <c r="G387" i="53"/>
  <c r="E562" i="1"/>
  <c r="E83" i="45"/>
  <c r="J89" i="45"/>
  <c r="J47" i="45"/>
  <c r="E48" i="45"/>
  <c r="H50" i="45"/>
  <c r="I47" i="45"/>
  <c r="I89" i="45"/>
  <c r="G50" i="45"/>
  <c r="G386" i="53"/>
  <c r="H387" i="53"/>
  <c r="F385" i="53"/>
  <c r="J390" i="53"/>
  <c r="H390" i="53"/>
  <c r="I390" i="53"/>
  <c r="F390" i="53"/>
  <c r="G390" i="53"/>
  <c r="G392" i="53"/>
  <c r="F392" i="53"/>
  <c r="I392" i="53"/>
  <c r="J392" i="53"/>
  <c r="C27" i="65"/>
  <c r="C43" i="57"/>
  <c r="E85" i="45" l="1"/>
  <c r="F87" i="45"/>
  <c r="J50" i="45"/>
  <c r="I50" i="45"/>
  <c r="G52" i="45"/>
  <c r="H52" i="45"/>
  <c r="I390" i="55"/>
  <c r="F390" i="55"/>
  <c r="H390" i="55"/>
  <c r="G390" i="55"/>
  <c r="J390" i="55"/>
  <c r="E386" i="54"/>
  <c r="F300" i="1"/>
  <c r="E390" i="53"/>
  <c r="E390" i="54"/>
  <c r="G390" i="52" s="1"/>
  <c r="H387" i="55"/>
  <c r="I392" i="55"/>
  <c r="J392" i="55"/>
  <c r="G387" i="55"/>
  <c r="F392" i="55"/>
  <c r="G392" i="55"/>
  <c r="F385" i="55"/>
  <c r="E385" i="55" s="1"/>
  <c r="H385" i="52" s="1"/>
  <c r="E386" i="53"/>
  <c r="G386" i="55"/>
  <c r="E386" i="55" s="1"/>
  <c r="H386" i="52" s="1"/>
  <c r="E385" i="53"/>
  <c r="F851" i="52"/>
  <c r="E851" i="52" s="1"/>
  <c r="F391" i="52"/>
  <c r="E391" i="55" s="1"/>
  <c r="F393" i="52"/>
  <c r="E393" i="53" s="1"/>
  <c r="F43" i="57"/>
  <c r="F89" i="45" l="1"/>
  <c r="F47" i="45"/>
  <c r="E87" i="45"/>
  <c r="I52" i="45"/>
  <c r="G55" i="45"/>
  <c r="G59" i="45"/>
  <c r="H55" i="45"/>
  <c r="H59" i="45"/>
  <c r="J52" i="45"/>
  <c r="D300" i="1"/>
  <c r="F390" i="52"/>
  <c r="E390" i="55" s="1"/>
  <c r="H390" i="52" s="1"/>
  <c r="G386" i="52"/>
  <c r="G388" i="52" s="1"/>
  <c r="E388" i="54"/>
  <c r="E387" i="55"/>
  <c r="H387" i="52" s="1"/>
  <c r="H388" i="52" s="1"/>
  <c r="E392" i="55"/>
  <c r="H392" i="52" s="1"/>
  <c r="F386" i="52"/>
  <c r="F385" i="52"/>
  <c r="E308" i="1"/>
  <c r="E391" i="53"/>
  <c r="H391" i="53" s="1"/>
  <c r="G294" i="1" s="1"/>
  <c r="E393" i="55"/>
  <c r="F393" i="55" s="1"/>
  <c r="E314" i="1" s="1"/>
  <c r="F309" i="1"/>
  <c r="F290" i="1"/>
  <c r="J391" i="55"/>
  <c r="I313" i="1" s="1"/>
  <c r="H391" i="55"/>
  <c r="G313" i="1" s="1"/>
  <c r="K391" i="55"/>
  <c r="J313" i="1" s="1"/>
  <c r="L391" i="55"/>
  <c r="K313" i="1" s="1"/>
  <c r="F391" i="55"/>
  <c r="E313" i="1" s="1"/>
  <c r="I391" i="55"/>
  <c r="H313" i="1" s="1"/>
  <c r="G391" i="55"/>
  <c r="F313" i="1" s="1"/>
  <c r="G393" i="53"/>
  <c r="F295" i="1" s="1"/>
  <c r="L393" i="53"/>
  <c r="K295" i="1" s="1"/>
  <c r="H393" i="53"/>
  <c r="G295" i="1" s="1"/>
  <c r="I393" i="53"/>
  <c r="H295" i="1" s="1"/>
  <c r="J393" i="53"/>
  <c r="I295" i="1" s="1"/>
  <c r="F393" i="53"/>
  <c r="E295" i="1" s="1"/>
  <c r="K393" i="53"/>
  <c r="J295" i="1" s="1"/>
  <c r="E47" i="45" l="1"/>
  <c r="E50" i="45" s="1"/>
  <c r="E52" i="45" s="1"/>
  <c r="F50" i="45"/>
  <c r="F52" i="45" s="1"/>
  <c r="F55" i="45" s="1"/>
  <c r="E89" i="45"/>
  <c r="J55" i="45"/>
  <c r="J59" i="45"/>
  <c r="I59" i="45"/>
  <c r="I55" i="45"/>
  <c r="D572" i="1"/>
  <c r="H394" i="52"/>
  <c r="H396" i="52" s="1"/>
  <c r="H730" i="52" s="1"/>
  <c r="H732" i="52" s="1"/>
  <c r="H687" i="52" s="1"/>
  <c r="H700" i="52" s="1"/>
  <c r="H702" i="52" s="1"/>
  <c r="E702" i="55" s="1"/>
  <c r="E705" i="55" s="1"/>
  <c r="E721" i="55" s="1"/>
  <c r="E103" i="55" s="1"/>
  <c r="K391" i="53"/>
  <c r="J294" i="1" s="1"/>
  <c r="F391" i="53"/>
  <c r="E294" i="1" s="1"/>
  <c r="G391" i="53"/>
  <c r="F294" i="1" s="1"/>
  <c r="J391" i="53"/>
  <c r="I294" i="1" s="1"/>
  <c r="I391" i="53"/>
  <c r="H294" i="1" s="1"/>
  <c r="L391" i="53"/>
  <c r="K294" i="1" s="1"/>
  <c r="G393" i="55"/>
  <c r="F314" i="1" s="1"/>
  <c r="K393" i="55"/>
  <c r="J314" i="1" s="1"/>
  <c r="J393" i="55"/>
  <c r="I314" i="1" s="1"/>
  <c r="I393" i="55"/>
  <c r="H314" i="1" s="1"/>
  <c r="L393" i="55"/>
  <c r="K314" i="1" s="1"/>
  <c r="H393" i="55"/>
  <c r="G314" i="1" s="1"/>
  <c r="E394" i="55"/>
  <c r="E574" i="1"/>
  <c r="E583" i="1" s="1"/>
  <c r="E388" i="55"/>
  <c r="D295" i="1"/>
  <c r="D313" i="1"/>
  <c r="F59" i="45" l="1"/>
  <c r="F581" i="1"/>
  <c r="E55" i="45"/>
  <c r="E59" i="45"/>
  <c r="D563" i="1"/>
  <c r="D581" i="1"/>
  <c r="E743" i="55"/>
  <c r="E745" i="55" s="1"/>
  <c r="H97" i="52"/>
  <c r="H8" i="52" s="1"/>
  <c r="H705" i="52"/>
  <c r="H721" i="52" s="1"/>
  <c r="H103" i="52" s="1"/>
  <c r="D294" i="1"/>
  <c r="D314" i="1"/>
  <c r="E396" i="55"/>
  <c r="E97" i="55" s="1"/>
  <c r="E8" i="55" s="1"/>
  <c r="J61" i="45" l="1"/>
  <c r="H29" i="45"/>
  <c r="F29" i="45"/>
  <c r="J29" i="45"/>
  <c r="I29" i="45"/>
  <c r="G29" i="45"/>
  <c r="G61" i="45"/>
  <c r="H61" i="45"/>
  <c r="I61" i="45"/>
  <c r="F61" i="45"/>
  <c r="H743" i="52"/>
  <c r="H745" i="52" s="1"/>
  <c r="H747" i="52" s="1"/>
  <c r="H749" i="52" s="1"/>
  <c r="H751" i="52" s="1"/>
  <c r="H771" i="52" s="1"/>
  <c r="H102" i="52" s="1"/>
  <c r="H105" i="52" s="1"/>
  <c r="H107" i="52" s="1"/>
  <c r="H111" i="52" s="1"/>
  <c r="E730" i="55"/>
  <c r="E732" i="55" s="1"/>
  <c r="E687" i="55" s="1"/>
  <c r="E700" i="55" s="1"/>
  <c r="D111" i="65"/>
  <c r="I49" i="65"/>
  <c r="I56" i="65" s="1"/>
  <c r="H73" i="52" l="1"/>
  <c r="H42" i="52" s="1"/>
  <c r="H115" i="52"/>
  <c r="H117" i="52" s="1"/>
  <c r="E747" i="55"/>
  <c r="I58" i="65"/>
  <c r="D118" i="65"/>
  <c r="E111" i="65"/>
  <c r="E118" i="65" s="1"/>
  <c r="J49" i="65"/>
  <c r="J56" i="65" s="1"/>
  <c r="H79" i="52" l="1"/>
  <c r="H77" i="52"/>
  <c r="E120" i="65"/>
  <c r="J58" i="65"/>
  <c r="H81" i="52" l="1"/>
  <c r="H83" i="52" s="1"/>
  <c r="H48" i="52" s="1"/>
  <c r="H45" i="52"/>
  <c r="D49" i="65"/>
  <c r="H85" i="52" l="1"/>
  <c r="H87" i="52" s="1"/>
  <c r="H47" i="52" s="1"/>
  <c r="H50" i="52" s="1"/>
  <c r="H52" i="52" s="1"/>
  <c r="D56" i="65"/>
  <c r="H55" i="52" l="1"/>
  <c r="H59" i="52"/>
  <c r="H61" i="52" s="1"/>
  <c r="H89" i="52"/>
  <c r="E49" i="65" l="1"/>
  <c r="E56" i="65" s="1"/>
  <c r="F49" i="65"/>
  <c r="F56" i="65" s="1"/>
  <c r="G49" i="65"/>
  <c r="G56" i="65" s="1"/>
  <c r="H49" i="65"/>
  <c r="H56" i="65" s="1"/>
  <c r="G58" i="65" l="1"/>
  <c r="F58" i="65"/>
  <c r="E58" i="65"/>
  <c r="H58" i="65"/>
  <c r="F291" i="1" l="1"/>
  <c r="D58" i="65"/>
  <c r="C58" i="65" s="1"/>
  <c r="G292" i="1" l="1"/>
  <c r="G293" i="1" l="1"/>
  <c r="K293" i="1"/>
  <c r="H292" i="1"/>
  <c r="F292" i="1"/>
  <c r="I292" i="1"/>
  <c r="H394" i="53"/>
  <c r="E289" i="1"/>
  <c r="D562" i="1" l="1"/>
  <c r="D571" i="1"/>
  <c r="I293" i="1"/>
  <c r="J293" i="1"/>
  <c r="H293" i="1"/>
  <c r="F293" i="1"/>
  <c r="D309" i="1"/>
  <c r="J388" i="53"/>
  <c r="L388" i="53"/>
  <c r="D308" i="1"/>
  <c r="I388" i="53"/>
  <c r="D290" i="1"/>
  <c r="K388" i="53"/>
  <c r="G394" i="53"/>
  <c r="I394" i="53"/>
  <c r="J394" i="53"/>
  <c r="G388" i="53"/>
  <c r="E580" i="1" l="1"/>
  <c r="D580" i="1" s="1"/>
  <c r="E293" i="1"/>
  <c r="D293" i="1" s="1"/>
  <c r="F394" i="53"/>
  <c r="E292" i="1"/>
  <c r="J396" i="53"/>
  <c r="I396" i="53"/>
  <c r="D289" i="1"/>
  <c r="F388" i="53"/>
  <c r="G396" i="53"/>
  <c r="I97" i="53" l="1"/>
  <c r="G97" i="53"/>
  <c r="J97" i="53"/>
  <c r="F396" i="53"/>
  <c r="J730" i="53"/>
  <c r="I730" i="53"/>
  <c r="G730" i="53"/>
  <c r="G732" i="53" l="1"/>
  <c r="I732" i="53"/>
  <c r="J732" i="53"/>
  <c r="J8" i="53"/>
  <c r="G8" i="53"/>
  <c r="I8" i="53"/>
  <c r="F730" i="53"/>
  <c r="F97" i="53"/>
  <c r="F732" i="53" l="1"/>
  <c r="J687" i="53"/>
  <c r="I687" i="53"/>
  <c r="G687" i="53"/>
  <c r="F8" i="53"/>
  <c r="E80" i="65"/>
  <c r="E87" i="65" s="1"/>
  <c r="F80" i="65"/>
  <c r="F87" i="65" s="1"/>
  <c r="H80" i="65"/>
  <c r="H87" i="65" s="1"/>
  <c r="H89" i="65" s="1"/>
  <c r="J80" i="65"/>
  <c r="J87" i="65" s="1"/>
  <c r="G700" i="53" l="1"/>
  <c r="J700" i="53"/>
  <c r="I700" i="53"/>
  <c r="F687" i="53"/>
  <c r="E89" i="65"/>
  <c r="J89" i="65"/>
  <c r="F89" i="65"/>
  <c r="F700" i="53" l="1"/>
  <c r="G301" i="1"/>
  <c r="F301" i="1"/>
  <c r="D89" i="65"/>
  <c r="C89" i="65" s="1"/>
  <c r="D301" i="1" l="1"/>
  <c r="F302" i="1"/>
  <c r="F303" i="1" l="1"/>
  <c r="K303" i="1"/>
  <c r="K302" i="1"/>
  <c r="H302" i="1"/>
  <c r="L388" i="54"/>
  <c r="J302" i="1"/>
  <c r="I388" i="54"/>
  <c r="G394" i="54"/>
  <c r="G388" i="54"/>
  <c r="I303" i="1" l="1"/>
  <c r="J303" i="1"/>
  <c r="H303" i="1"/>
  <c r="G303" i="1"/>
  <c r="E302" i="1"/>
  <c r="L394" i="54"/>
  <c r="L396" i="54" s="1"/>
  <c r="L730" i="54" s="1"/>
  <c r="L732" i="54" s="1"/>
  <c r="J394" i="54"/>
  <c r="I302" i="1"/>
  <c r="H394" i="54"/>
  <c r="G302" i="1"/>
  <c r="K388" i="54"/>
  <c r="I394" i="54"/>
  <c r="K394" i="54"/>
  <c r="J388" i="54"/>
  <c r="H388" i="54"/>
  <c r="G396" i="54"/>
  <c r="G97" i="54" l="1"/>
  <c r="I396" i="54"/>
  <c r="H396" i="54"/>
  <c r="H97" i="54" s="1"/>
  <c r="H8" i="54" s="1"/>
  <c r="J396" i="54"/>
  <c r="F394" i="54"/>
  <c r="E303" i="1"/>
  <c r="D302" i="1"/>
  <c r="L97" i="54"/>
  <c r="L8" i="54" s="1"/>
  <c r="L9" i="54" s="1"/>
  <c r="L13" i="54" s="1"/>
  <c r="K396" i="54"/>
  <c r="K730" i="54" s="1"/>
  <c r="K732" i="54" s="1"/>
  <c r="K687" i="54" s="1"/>
  <c r="K700" i="54" s="1"/>
  <c r="F388" i="54"/>
  <c r="G730" i="54"/>
  <c r="L687" i="54"/>
  <c r="L700" i="54" s="1"/>
  <c r="G732" i="54" l="1"/>
  <c r="I97" i="54"/>
  <c r="G8" i="54"/>
  <c r="I730" i="54"/>
  <c r="J730" i="54"/>
  <c r="J97" i="54"/>
  <c r="H730" i="54"/>
  <c r="H732" i="54" s="1"/>
  <c r="H687" i="54" s="1"/>
  <c r="H700" i="54" s="1"/>
  <c r="F396" i="54"/>
  <c r="D303" i="1"/>
  <c r="K97" i="54"/>
  <c r="K8" i="54" s="1"/>
  <c r="K9" i="54" s="1"/>
  <c r="K13" i="54" s="1"/>
  <c r="I8" i="54" l="1"/>
  <c r="G687" i="54"/>
  <c r="I732" i="54"/>
  <c r="J732" i="54"/>
  <c r="J8" i="54"/>
  <c r="F730" i="54"/>
  <c r="F97" i="54"/>
  <c r="F732" i="54" l="1"/>
  <c r="G700" i="54"/>
  <c r="I687" i="54"/>
  <c r="J687" i="54"/>
  <c r="F8" i="54"/>
  <c r="F111" i="65"/>
  <c r="F118" i="65" s="1"/>
  <c r="G111" i="65"/>
  <c r="G118" i="65" s="1"/>
  <c r="H111" i="65"/>
  <c r="H118" i="65" s="1"/>
  <c r="I111" i="65"/>
  <c r="I118" i="65" s="1"/>
  <c r="J111" i="65"/>
  <c r="J118" i="65" s="1"/>
  <c r="J700" i="54" l="1"/>
  <c r="I700" i="54"/>
  <c r="F687" i="54"/>
  <c r="G120" i="65"/>
  <c r="H120" i="65"/>
  <c r="F120" i="65"/>
  <c r="I120" i="65"/>
  <c r="J120" i="65"/>
  <c r="F700" i="54" l="1"/>
  <c r="F310" i="1"/>
  <c r="G310" i="1"/>
  <c r="D120" i="65"/>
  <c r="C120" i="65" s="1"/>
  <c r="D310" i="1" l="1"/>
  <c r="F582" i="1" l="1"/>
  <c r="J311" i="1"/>
  <c r="F311" i="1"/>
  <c r="I311" i="1"/>
  <c r="K312" i="1"/>
  <c r="K311" i="1"/>
  <c r="G311" i="1"/>
  <c r="H311" i="1"/>
  <c r="H312" i="1" l="1"/>
  <c r="F312" i="1"/>
  <c r="G312" i="1"/>
  <c r="I312" i="1"/>
  <c r="J312" i="1"/>
  <c r="G388" i="55"/>
  <c r="H388" i="55"/>
  <c r="E311" i="1"/>
  <c r="I394" i="55"/>
  <c r="L394" i="55"/>
  <c r="G394" i="55"/>
  <c r="H394" i="55"/>
  <c r="J394" i="55"/>
  <c r="K394" i="55"/>
  <c r="I388" i="55"/>
  <c r="K388" i="55"/>
  <c r="L388" i="55"/>
  <c r="J388" i="55"/>
  <c r="H585" i="1" l="1"/>
  <c r="I585" i="1"/>
  <c r="F585" i="1"/>
  <c r="I10" i="54"/>
  <c r="I9" i="54" s="1"/>
  <c r="I13" i="54" s="1"/>
  <c r="G10" i="54"/>
  <c r="G9" i="54" s="1"/>
  <c r="J10" i="54"/>
  <c r="J9" i="54" s="1"/>
  <c r="E312" i="1"/>
  <c r="D576" i="1"/>
  <c r="D574" i="1"/>
  <c r="D311" i="1"/>
  <c r="J396" i="55"/>
  <c r="L396" i="55"/>
  <c r="L730" i="55" s="1"/>
  <c r="L732" i="55" s="1"/>
  <c r="K396" i="55"/>
  <c r="K730" i="55" s="1"/>
  <c r="K732" i="55" s="1"/>
  <c r="H396" i="55"/>
  <c r="H730" i="55" s="1"/>
  <c r="H732" i="55" s="1"/>
  <c r="H687" i="55" s="1"/>
  <c r="H700" i="55" s="1"/>
  <c r="H702" i="55" s="1"/>
  <c r="H705" i="55" s="1"/>
  <c r="G396" i="55"/>
  <c r="I396" i="55"/>
  <c r="F394" i="55"/>
  <c r="F388" i="55"/>
  <c r="E585" i="1" l="1"/>
  <c r="D585" i="1" s="1"/>
  <c r="G584" i="1"/>
  <c r="G10" i="53"/>
  <c r="F584" i="1"/>
  <c r="G10" i="55" s="1"/>
  <c r="J10" i="53"/>
  <c r="I584" i="1"/>
  <c r="J10" i="55" s="1"/>
  <c r="I10" i="53"/>
  <c r="H584" i="1"/>
  <c r="I10" i="55" s="1"/>
  <c r="D312" i="1"/>
  <c r="D575" i="1"/>
  <c r="I97" i="55"/>
  <c r="G97" i="55"/>
  <c r="J97" i="55"/>
  <c r="D567" i="1"/>
  <c r="J13" i="54"/>
  <c r="G13" i="54"/>
  <c r="D565" i="1"/>
  <c r="L97" i="55"/>
  <c r="L8" i="55" s="1"/>
  <c r="L9" i="55" s="1"/>
  <c r="L13" i="55" s="1"/>
  <c r="J730" i="55"/>
  <c r="H97" i="55"/>
  <c r="H8" i="55" s="1"/>
  <c r="K97" i="55"/>
  <c r="K8" i="55" s="1"/>
  <c r="K9" i="55" s="1"/>
  <c r="K13" i="55" s="1"/>
  <c r="I730" i="55"/>
  <c r="G730" i="55"/>
  <c r="F396" i="55"/>
  <c r="K687" i="55"/>
  <c r="K700" i="55" s="1"/>
  <c r="K702" i="55" s="1"/>
  <c r="K705" i="55" s="1"/>
  <c r="L687" i="55"/>
  <c r="L700" i="55" s="1"/>
  <c r="L702" i="55" s="1"/>
  <c r="L705" i="55" s="1"/>
  <c r="H743" i="55"/>
  <c r="H745" i="55" s="1"/>
  <c r="H747" i="55" s="1"/>
  <c r="H721" i="55"/>
  <c r="H103" i="55" s="1"/>
  <c r="J9" i="53" l="1"/>
  <c r="J13" i="53" s="1"/>
  <c r="I732" i="55"/>
  <c r="G732" i="55"/>
  <c r="J732" i="55"/>
  <c r="I9" i="53"/>
  <c r="G9" i="53"/>
  <c r="D566" i="1"/>
  <c r="E584" i="1"/>
  <c r="D584" i="1" s="1"/>
  <c r="G8" i="55"/>
  <c r="J8" i="55"/>
  <c r="I8" i="55"/>
  <c r="F10" i="53"/>
  <c r="F10" i="54"/>
  <c r="F9" i="54" s="1"/>
  <c r="F97" i="55"/>
  <c r="D583" i="1"/>
  <c r="F730" i="55"/>
  <c r="K743" i="55"/>
  <c r="K745" i="55" s="1"/>
  <c r="K747" i="55" s="1"/>
  <c r="K721" i="55"/>
  <c r="K103" i="55" s="1"/>
  <c r="L721" i="55"/>
  <c r="L103" i="55" s="1"/>
  <c r="L743" i="55"/>
  <c r="L745" i="55" s="1"/>
  <c r="L747" i="55" s="1"/>
  <c r="G13" i="53" l="1"/>
  <c r="I13" i="53"/>
  <c r="F732" i="55"/>
  <c r="G687" i="55"/>
  <c r="J687" i="55"/>
  <c r="I687" i="55"/>
  <c r="F10" i="55"/>
  <c r="G9" i="55"/>
  <c r="G13" i="55" s="1"/>
  <c r="J9" i="55"/>
  <c r="I9" i="55"/>
  <c r="I13" i="55" s="1"/>
  <c r="F8" i="55"/>
  <c r="F9" i="53"/>
  <c r="F13" i="54"/>
  <c r="K16" i="55"/>
  <c r="L16" i="55"/>
  <c r="I700" i="55" l="1"/>
  <c r="G700" i="55"/>
  <c r="J700" i="55"/>
  <c r="F687" i="55"/>
  <c r="J13" i="55"/>
  <c r="F9" i="55"/>
  <c r="F13" i="55" s="1"/>
  <c r="F13" i="53"/>
  <c r="H388" i="53"/>
  <c r="E387" i="53"/>
  <c r="G291" i="1"/>
  <c r="F700" i="55" l="1"/>
  <c r="G702" i="55"/>
  <c r="G705" i="55" s="1"/>
  <c r="J702" i="55"/>
  <c r="J705" i="55" s="1"/>
  <c r="I702" i="55"/>
  <c r="I705" i="55" s="1"/>
  <c r="G582" i="1"/>
  <c r="H10" i="55" s="1"/>
  <c r="H9" i="55" s="1"/>
  <c r="H396" i="53"/>
  <c r="E388" i="53"/>
  <c r="F387" i="52"/>
  <c r="F388" i="52" s="1"/>
  <c r="D573" i="1"/>
  <c r="G10" i="52" s="1"/>
  <c r="D291" i="1"/>
  <c r="I743" i="55" l="1"/>
  <c r="I745" i="55" s="1"/>
  <c r="I747" i="55" s="1"/>
  <c r="I721" i="55"/>
  <c r="I103" i="55" s="1"/>
  <c r="I16" i="55" s="1"/>
  <c r="G721" i="55"/>
  <c r="G103" i="55" s="1"/>
  <c r="G16" i="55" s="1"/>
  <c r="G743" i="55"/>
  <c r="G745" i="55" s="1"/>
  <c r="G747" i="55" s="1"/>
  <c r="J743" i="55"/>
  <c r="J745" i="55" s="1"/>
  <c r="J747" i="55" s="1"/>
  <c r="J721" i="55"/>
  <c r="J103" i="55" s="1"/>
  <c r="J16" i="55" s="1"/>
  <c r="F702" i="55"/>
  <c r="F705" i="55" s="1"/>
  <c r="D582" i="1"/>
  <c r="H730" i="53"/>
  <c r="H97" i="53"/>
  <c r="H10" i="54"/>
  <c r="H9" i="54" s="1"/>
  <c r="H10" i="53"/>
  <c r="D564" i="1"/>
  <c r="F10" i="52" s="1"/>
  <c r="H13" i="55"/>
  <c r="H16" i="55"/>
  <c r="F721" i="55" l="1"/>
  <c r="F103" i="55" s="1"/>
  <c r="F16" i="55" s="1"/>
  <c r="E16" i="55" s="1"/>
  <c r="F743" i="55"/>
  <c r="F745" i="55" s="1"/>
  <c r="F747" i="55" s="1"/>
  <c r="H732" i="53"/>
  <c r="H8" i="53"/>
  <c r="E10" i="53"/>
  <c r="E10" i="54"/>
  <c r="H10" i="52"/>
  <c r="H9" i="52" s="1"/>
  <c r="H15" i="52" s="1"/>
  <c r="E10" i="55"/>
  <c r="E9" i="55" s="1"/>
  <c r="H13" i="54"/>
  <c r="E9" i="54"/>
  <c r="E13" i="55"/>
  <c r="H687" i="53" l="1"/>
  <c r="H9" i="53"/>
  <c r="H13" i="52"/>
  <c r="H16" i="52"/>
  <c r="E13" i="54"/>
  <c r="H13" i="53" l="1"/>
  <c r="H700" i="53"/>
  <c r="H18" i="52"/>
  <c r="H20" i="52" s="1"/>
  <c r="H23" i="52" s="1"/>
  <c r="H27" i="52" l="1"/>
  <c r="H29" i="52" s="1"/>
  <c r="J292" i="1" l="1"/>
  <c r="K394" i="53"/>
  <c r="K396" i="53" l="1"/>
  <c r="K97" i="53" s="1"/>
  <c r="K730" i="53" l="1"/>
  <c r="K732" i="53" s="1"/>
  <c r="K687" i="53" s="1"/>
  <c r="K700" i="53" s="1"/>
  <c r="K702" i="53" s="1"/>
  <c r="K705" i="53" s="1"/>
  <c r="K8" i="53"/>
  <c r="K9" i="53" l="1"/>
  <c r="K743" i="53"/>
  <c r="K745" i="53" s="1"/>
  <c r="K747" i="53" s="1"/>
  <c r="K749" i="53" s="1"/>
  <c r="K751" i="53" s="1"/>
  <c r="K771" i="53" s="1"/>
  <c r="K102" i="53" s="1"/>
  <c r="K721" i="53"/>
  <c r="K103" i="53" s="1"/>
  <c r="K15" i="53" l="1"/>
  <c r="K105" i="53"/>
  <c r="K107" i="53" s="1"/>
  <c r="K16" i="53"/>
  <c r="K13" i="53"/>
  <c r="K18" i="53" l="1"/>
  <c r="K20" i="53" s="1"/>
  <c r="K23" i="53" s="1"/>
  <c r="K73" i="53"/>
  <c r="K111" i="53"/>
  <c r="K79" i="53" l="1"/>
  <c r="K77" i="53"/>
  <c r="K42" i="53"/>
  <c r="K81" i="53" l="1"/>
  <c r="K83" i="53" s="1"/>
  <c r="K48" i="53" s="1"/>
  <c r="K45" i="53"/>
  <c r="K85" i="53" l="1"/>
  <c r="K87" i="53" s="1"/>
  <c r="K47" i="53" s="1"/>
  <c r="K50" i="53" s="1"/>
  <c r="K52" i="53" s="1"/>
  <c r="K55" i="53" s="1"/>
  <c r="K89" i="53" l="1"/>
  <c r="K292" i="1"/>
  <c r="D292" i="1"/>
  <c r="L394" i="53"/>
  <c r="L396" i="53" s="1"/>
  <c r="E392" i="53"/>
  <c r="E394" i="53" l="1"/>
  <c r="F392" i="52"/>
  <c r="F394" i="52" s="1"/>
  <c r="F396" i="52" s="1"/>
  <c r="L730" i="53"/>
  <c r="L732" i="53" s="1"/>
  <c r="L97" i="53"/>
  <c r="E396" i="53" l="1"/>
  <c r="F730" i="52"/>
  <c r="F732" i="52" s="1"/>
  <c r="F687" i="52" s="1"/>
  <c r="F700" i="52" s="1"/>
  <c r="F702" i="52" s="1"/>
  <c r="F97" i="52"/>
  <c r="F8" i="52" s="1"/>
  <c r="F9" i="52" s="1"/>
  <c r="F13" i="52" s="1"/>
  <c r="L687" i="53"/>
  <c r="L700" i="53" s="1"/>
  <c r="L702" i="53" s="1"/>
  <c r="L705" i="53" s="1"/>
  <c r="L8" i="53"/>
  <c r="E730" i="53" l="1"/>
  <c r="E97" i="53"/>
  <c r="F705" i="52"/>
  <c r="E702" i="53"/>
  <c r="E8" i="53"/>
  <c r="L9" i="53"/>
  <c r="L721" i="53"/>
  <c r="L103" i="53" s="1"/>
  <c r="L743" i="53"/>
  <c r="L745" i="53" s="1"/>
  <c r="L747" i="53" s="1"/>
  <c r="L749" i="53" s="1"/>
  <c r="L751" i="53" s="1"/>
  <c r="L771" i="53" s="1"/>
  <c r="L102" i="53" s="1"/>
  <c r="E732" i="53" l="1"/>
  <c r="E705" i="53"/>
  <c r="E743" i="53" s="1"/>
  <c r="F743" i="52"/>
  <c r="F745" i="52" s="1"/>
  <c r="F747" i="52" s="1"/>
  <c r="F749" i="52" s="1"/>
  <c r="F721" i="52"/>
  <c r="F103" i="52" s="1"/>
  <c r="F16" i="52" s="1"/>
  <c r="L15" i="53"/>
  <c r="L105" i="53"/>
  <c r="L107" i="53" s="1"/>
  <c r="E9" i="53"/>
  <c r="L13" i="53"/>
  <c r="L16" i="53"/>
  <c r="E721" i="53" l="1"/>
  <c r="E103" i="53" s="1"/>
  <c r="E745" i="53"/>
  <c r="E687" i="53"/>
  <c r="E749" i="53"/>
  <c r="F751" i="52"/>
  <c r="F771" i="52" s="1"/>
  <c r="F102" i="52" s="1"/>
  <c r="L111" i="53"/>
  <c r="L73" i="53"/>
  <c r="L18" i="53"/>
  <c r="L20" i="53" s="1"/>
  <c r="L23" i="53" s="1"/>
  <c r="E13" i="53"/>
  <c r="E751" i="53" l="1"/>
  <c r="E700" i="53"/>
  <c r="E747" i="53"/>
  <c r="F105" i="52"/>
  <c r="F107" i="52" s="1"/>
  <c r="F15" i="52"/>
  <c r="F18" i="52" s="1"/>
  <c r="F20" i="52" s="1"/>
  <c r="L42" i="53"/>
  <c r="L79" i="53"/>
  <c r="L77" i="53"/>
  <c r="F702" i="53" l="1"/>
  <c r="H702" i="53"/>
  <c r="J702" i="53"/>
  <c r="I702" i="53"/>
  <c r="G702" i="53"/>
  <c r="E771" i="53"/>
  <c r="F73" i="52"/>
  <c r="F115" i="52"/>
  <c r="F117" i="52" s="1"/>
  <c r="F111" i="52"/>
  <c r="F27" i="52"/>
  <c r="F29" i="52" s="1"/>
  <c r="F23" i="52"/>
  <c r="L81" i="53"/>
  <c r="L83" i="53" s="1"/>
  <c r="L45" i="53"/>
  <c r="E102" i="53" l="1"/>
  <c r="J705" i="53"/>
  <c r="H705" i="53"/>
  <c r="G705" i="53"/>
  <c r="F705" i="53"/>
  <c r="I705" i="53"/>
  <c r="F42" i="52"/>
  <c r="F79" i="52"/>
  <c r="F77" i="52"/>
  <c r="L48" i="53"/>
  <c r="L85" i="53"/>
  <c r="L87" i="53" s="1"/>
  <c r="L47" i="53" s="1"/>
  <c r="G743" i="53" l="1"/>
  <c r="G721" i="53"/>
  <c r="I743" i="53"/>
  <c r="I721" i="53"/>
  <c r="J721" i="53"/>
  <c r="J743" i="53"/>
  <c r="F721" i="53"/>
  <c r="F743" i="53"/>
  <c r="H721" i="53"/>
  <c r="H743" i="53"/>
  <c r="E105" i="53"/>
  <c r="F45" i="52"/>
  <c r="F81" i="52"/>
  <c r="L50" i="53"/>
  <c r="L52" i="53" s="1"/>
  <c r="L55" i="53" s="1"/>
  <c r="L89" i="53"/>
  <c r="F745" i="53" l="1"/>
  <c r="I745" i="53"/>
  <c r="G103" i="53"/>
  <c r="F103" i="53"/>
  <c r="I103" i="53"/>
  <c r="H745" i="53"/>
  <c r="J103" i="53"/>
  <c r="E107" i="53"/>
  <c r="H103" i="53"/>
  <c r="J745" i="53"/>
  <c r="G745" i="53"/>
  <c r="F83" i="52"/>
  <c r="F48" i="52" s="1"/>
  <c r="E115" i="53" l="1"/>
  <c r="E73" i="53"/>
  <c r="E111" i="53"/>
  <c r="J747" i="53"/>
  <c r="H747" i="53"/>
  <c r="F16" i="53"/>
  <c r="I747" i="53"/>
  <c r="G747" i="53"/>
  <c r="H16" i="53"/>
  <c r="J16" i="53"/>
  <c r="I16" i="53"/>
  <c r="G16" i="53"/>
  <c r="F747" i="53"/>
  <c r="F85" i="52"/>
  <c r="F87" i="52" s="1"/>
  <c r="F47" i="52" s="1"/>
  <c r="F50" i="52" s="1"/>
  <c r="F52" i="52" s="1"/>
  <c r="F749" i="53" l="1"/>
  <c r="I749" i="53"/>
  <c r="H749" i="53"/>
  <c r="E42" i="53"/>
  <c r="E16" i="53"/>
  <c r="L117" i="53"/>
  <c r="L29" i="53"/>
  <c r="K29" i="53"/>
  <c r="K117" i="53"/>
  <c r="L61" i="53"/>
  <c r="K61" i="53"/>
  <c r="G749" i="53"/>
  <c r="J749" i="53"/>
  <c r="F89" i="52"/>
  <c r="F59" i="52"/>
  <c r="F61" i="52" s="1"/>
  <c r="F55" i="52"/>
  <c r="E64" i="53" l="1"/>
  <c r="G751" i="53"/>
  <c r="H751" i="53"/>
  <c r="F751" i="53"/>
  <c r="J751" i="53"/>
  <c r="I751" i="53"/>
  <c r="H771" i="53" l="1"/>
  <c r="I771" i="53"/>
  <c r="F771" i="53"/>
  <c r="G771" i="53"/>
  <c r="J771" i="53"/>
  <c r="E394" i="54"/>
  <c r="G392" i="52"/>
  <c r="G394" i="52" s="1"/>
  <c r="G396" i="52" s="1"/>
  <c r="G102" i="53" l="1"/>
  <c r="I102" i="53"/>
  <c r="J102" i="53"/>
  <c r="F102" i="53"/>
  <c r="H102" i="53"/>
  <c r="E396" i="54"/>
  <c r="G97" i="52"/>
  <c r="G730" i="52"/>
  <c r="G732" i="52" s="1"/>
  <c r="F15" i="53" l="1"/>
  <c r="F105" i="53"/>
  <c r="I15" i="53"/>
  <c r="I105" i="53"/>
  <c r="J105" i="53"/>
  <c r="J15" i="53"/>
  <c r="H15" i="53"/>
  <c r="H105" i="53"/>
  <c r="G105" i="53"/>
  <c r="G15" i="53"/>
  <c r="E730" i="54"/>
  <c r="E97" i="54"/>
  <c r="G687" i="52"/>
  <c r="G700" i="52" s="1"/>
  <c r="G702" i="52" s="1"/>
  <c r="G8" i="52"/>
  <c r="G9" i="52" s="1"/>
  <c r="G13" i="52" s="1"/>
  <c r="I18" i="53" l="1"/>
  <c r="G18" i="53"/>
  <c r="J18" i="53"/>
  <c r="H18" i="53"/>
  <c r="G107" i="53"/>
  <c r="I107" i="53"/>
  <c r="F107" i="53"/>
  <c r="E732" i="54"/>
  <c r="F18" i="53"/>
  <c r="E15" i="53"/>
  <c r="H107" i="53"/>
  <c r="J107" i="53"/>
  <c r="E8" i="54"/>
  <c r="G705" i="52"/>
  <c r="E702" i="54"/>
  <c r="F20" i="53" l="1"/>
  <c r="F23" i="53" s="1"/>
  <c r="H20" i="53"/>
  <c r="G20" i="53"/>
  <c r="E18" i="53"/>
  <c r="J20" i="53"/>
  <c r="I20" i="53"/>
  <c r="H111" i="53"/>
  <c r="H73" i="53"/>
  <c r="H115" i="53"/>
  <c r="F115" i="53"/>
  <c r="F111" i="53"/>
  <c r="F73" i="53"/>
  <c r="F27" i="53"/>
  <c r="E705" i="54"/>
  <c r="E721" i="54" s="1"/>
  <c r="J115" i="53"/>
  <c r="J73" i="53"/>
  <c r="J111" i="53"/>
  <c r="I115" i="53"/>
  <c r="I73" i="53"/>
  <c r="I111" i="53"/>
  <c r="G115" i="53"/>
  <c r="G73" i="53"/>
  <c r="G111" i="53"/>
  <c r="E687" i="54"/>
  <c r="G721" i="52"/>
  <c r="G103" i="52" s="1"/>
  <c r="G743" i="52"/>
  <c r="G745" i="52" s="1"/>
  <c r="G747" i="52" s="1"/>
  <c r="G749" i="52" s="1"/>
  <c r="I27" i="53" l="1"/>
  <c r="I23" i="53"/>
  <c r="H23" i="53"/>
  <c r="H27" i="53"/>
  <c r="E20" i="53"/>
  <c r="J27" i="53"/>
  <c r="J23" i="53"/>
  <c r="G23" i="53"/>
  <c r="G27" i="53"/>
  <c r="E743" i="54"/>
  <c r="E745" i="54" s="1"/>
  <c r="E103" i="54"/>
  <c r="J117" i="53"/>
  <c r="H117" i="53"/>
  <c r="E700" i="54"/>
  <c r="G117" i="53"/>
  <c r="I117" i="53"/>
  <c r="F117" i="53"/>
  <c r="H77" i="53"/>
  <c r="H42" i="53"/>
  <c r="H79" i="53"/>
  <c r="F79" i="53"/>
  <c r="F77" i="53"/>
  <c r="F42" i="53"/>
  <c r="G79" i="53"/>
  <c r="G42" i="53"/>
  <c r="G77" i="53"/>
  <c r="I79" i="53"/>
  <c r="I42" i="53"/>
  <c r="I77" i="53"/>
  <c r="J79" i="53"/>
  <c r="J77" i="53"/>
  <c r="J42" i="53"/>
  <c r="E749" i="55"/>
  <c r="E749" i="54"/>
  <c r="G751" i="52"/>
  <c r="G771" i="52" s="1"/>
  <c r="G102" i="52" s="1"/>
  <c r="G16" i="52"/>
  <c r="E23" i="53" l="1"/>
  <c r="E27" i="53"/>
  <c r="I81" i="53"/>
  <c r="H81" i="53"/>
  <c r="J45" i="53"/>
  <c r="E751" i="54"/>
  <c r="I64" i="53"/>
  <c r="G64" i="53"/>
  <c r="F81" i="53"/>
  <c r="F45" i="53"/>
  <c r="E77" i="53"/>
  <c r="H64" i="53"/>
  <c r="G81" i="53"/>
  <c r="G45" i="53"/>
  <c r="J81" i="53"/>
  <c r="E747" i="54"/>
  <c r="J64" i="53"/>
  <c r="E79" i="53"/>
  <c r="I45" i="53"/>
  <c r="F64" i="53"/>
  <c r="H45" i="53"/>
  <c r="I702" i="54"/>
  <c r="J702" i="54"/>
  <c r="K702" i="54"/>
  <c r="K705" i="54" s="1"/>
  <c r="L702" i="54"/>
  <c r="L705" i="54" s="1"/>
  <c r="F702" i="54"/>
  <c r="H702" i="54"/>
  <c r="G702" i="54"/>
  <c r="K749" i="55"/>
  <c r="K751" i="55" s="1"/>
  <c r="K771" i="55" s="1"/>
  <c r="K102" i="55" s="1"/>
  <c r="F749" i="55"/>
  <c r="F751" i="55" s="1"/>
  <c r="F771" i="55" s="1"/>
  <c r="F102" i="55" s="1"/>
  <c r="H749" i="55"/>
  <c r="H751" i="55" s="1"/>
  <c r="H771" i="55" s="1"/>
  <c r="H102" i="55" s="1"/>
  <c r="E751" i="55"/>
  <c r="E771" i="55" s="1"/>
  <c r="E102" i="55" s="1"/>
  <c r="E105" i="55" s="1"/>
  <c r="E107" i="55" s="1"/>
  <c r="L749" i="55"/>
  <c r="L751" i="55" s="1"/>
  <c r="L771" i="55" s="1"/>
  <c r="L102" i="55" s="1"/>
  <c r="I749" i="55"/>
  <c r="I751" i="55" s="1"/>
  <c r="I771" i="55" s="1"/>
  <c r="I102" i="55" s="1"/>
  <c r="J749" i="55"/>
  <c r="J751" i="55" s="1"/>
  <c r="J771" i="55" s="1"/>
  <c r="J102" i="55" s="1"/>
  <c r="G749" i="55"/>
  <c r="G751" i="55" s="1"/>
  <c r="G771" i="55" s="1"/>
  <c r="G102" i="55" s="1"/>
  <c r="G15" i="52"/>
  <c r="G18" i="52" s="1"/>
  <c r="G20" i="52" s="1"/>
  <c r="G105" i="52"/>
  <c r="G107" i="52" s="1"/>
  <c r="H83" i="53" l="1"/>
  <c r="H48" i="53" s="1"/>
  <c r="I83" i="53"/>
  <c r="L721" i="54"/>
  <c r="L103" i="54" s="1"/>
  <c r="L16" i="54" s="1"/>
  <c r="L743" i="54"/>
  <c r="L745" i="54" s="1"/>
  <c r="L747" i="54" s="1"/>
  <c r="L749" i="54" s="1"/>
  <c r="L751" i="54" s="1"/>
  <c r="L771" i="54" s="1"/>
  <c r="L102" i="54" s="1"/>
  <c r="G705" i="54"/>
  <c r="K743" i="54"/>
  <c r="K745" i="54" s="1"/>
  <c r="K747" i="54" s="1"/>
  <c r="K749" i="54" s="1"/>
  <c r="K751" i="54" s="1"/>
  <c r="K771" i="54" s="1"/>
  <c r="K102" i="54" s="1"/>
  <c r="K15" i="54" s="1"/>
  <c r="K721" i="54"/>
  <c r="K103" i="54" s="1"/>
  <c r="K16" i="54" s="1"/>
  <c r="E771" i="54"/>
  <c r="J83" i="53"/>
  <c r="E45" i="53"/>
  <c r="H705" i="54"/>
  <c r="J705" i="54"/>
  <c r="F83" i="53"/>
  <c r="F705" i="54"/>
  <c r="I705" i="54"/>
  <c r="G83" i="53"/>
  <c r="E81" i="53"/>
  <c r="I48" i="53"/>
  <c r="G27" i="52"/>
  <c r="G29" i="52" s="1"/>
  <c r="G23" i="52"/>
  <c r="J15" i="55"/>
  <c r="J18" i="55" s="1"/>
  <c r="J20" i="55" s="1"/>
  <c r="J105" i="55"/>
  <c r="J107" i="55" s="1"/>
  <c r="H15" i="55"/>
  <c r="H18" i="55" s="1"/>
  <c r="H20" i="55" s="1"/>
  <c r="H105" i="55"/>
  <c r="H107" i="55" s="1"/>
  <c r="I105" i="55"/>
  <c r="I107" i="55" s="1"/>
  <c r="I15" i="55"/>
  <c r="I18" i="55" s="1"/>
  <c r="I20" i="55" s="1"/>
  <c r="F15" i="55"/>
  <c r="F105" i="55"/>
  <c r="F107" i="55" s="1"/>
  <c r="L15" i="55"/>
  <c r="L18" i="55" s="1"/>
  <c r="L20" i="55" s="1"/>
  <c r="L23" i="55" s="1"/>
  <c r="L105" i="55"/>
  <c r="L107" i="55" s="1"/>
  <c r="K15" i="55"/>
  <c r="K18" i="55" s="1"/>
  <c r="K20" i="55" s="1"/>
  <c r="K23" i="55" s="1"/>
  <c r="K105" i="55"/>
  <c r="K107" i="55" s="1"/>
  <c r="G111" i="52"/>
  <c r="G115" i="52"/>
  <c r="G117" i="52" s="1"/>
  <c r="G73" i="52"/>
  <c r="G15" i="55"/>
  <c r="G18" i="55" s="1"/>
  <c r="G20" i="55" s="1"/>
  <c r="G105" i="55"/>
  <c r="G107" i="55" s="1"/>
  <c r="E111" i="55"/>
  <c r="E115" i="55"/>
  <c r="E73" i="55"/>
  <c r="I85" i="53" l="1"/>
  <c r="J85" i="53"/>
  <c r="J87" i="53" s="1"/>
  <c r="H85" i="53"/>
  <c r="H87" i="53" s="1"/>
  <c r="K18" i="54"/>
  <c r="K20" i="54" s="1"/>
  <c r="K23" i="54" s="1"/>
  <c r="L105" i="54"/>
  <c r="L107" i="54" s="1"/>
  <c r="L111" i="54" s="1"/>
  <c r="K105" i="54"/>
  <c r="K107" i="54" s="1"/>
  <c r="K111" i="54" s="1"/>
  <c r="E83" i="53"/>
  <c r="I743" i="54"/>
  <c r="I721" i="54"/>
  <c r="F85" i="53"/>
  <c r="F48" i="53"/>
  <c r="J743" i="54"/>
  <c r="J721" i="54"/>
  <c r="E102" i="54"/>
  <c r="L15" i="54"/>
  <c r="L18" i="54" s="1"/>
  <c r="L20" i="54" s="1"/>
  <c r="L23" i="54" s="1"/>
  <c r="G48" i="53"/>
  <c r="G85" i="53"/>
  <c r="F743" i="54"/>
  <c r="F721" i="54"/>
  <c r="H743" i="54"/>
  <c r="H721" i="54"/>
  <c r="J48" i="53"/>
  <c r="G743" i="54"/>
  <c r="G721" i="54"/>
  <c r="H23" i="55"/>
  <c r="H27" i="55"/>
  <c r="G79" i="52"/>
  <c r="G42" i="52"/>
  <c r="G77" i="52"/>
  <c r="F18" i="55"/>
  <c r="F20" i="55" s="1"/>
  <c r="E15" i="55"/>
  <c r="E18" i="55" s="1"/>
  <c r="E20" i="55" s="1"/>
  <c r="L111" i="55"/>
  <c r="L73" i="55"/>
  <c r="I27" i="55"/>
  <c r="I23" i="55"/>
  <c r="E42" i="55"/>
  <c r="K111" i="55"/>
  <c r="K73" i="55"/>
  <c r="F73" i="55"/>
  <c r="F115" i="55"/>
  <c r="F117" i="55" s="1"/>
  <c r="F111" i="55"/>
  <c r="J111" i="55"/>
  <c r="J115" i="55"/>
  <c r="J117" i="55" s="1"/>
  <c r="J73" i="55"/>
  <c r="G115" i="55"/>
  <c r="G117" i="55" s="1"/>
  <c r="G111" i="55"/>
  <c r="G73" i="55"/>
  <c r="L117" i="55"/>
  <c r="K117" i="55"/>
  <c r="G23" i="55"/>
  <c r="G27" i="55"/>
  <c r="I111" i="55"/>
  <c r="I115" i="55"/>
  <c r="I117" i="55" s="1"/>
  <c r="I73" i="55"/>
  <c r="H73" i="55"/>
  <c r="H111" i="55"/>
  <c r="H115" i="55"/>
  <c r="H117" i="55" s="1"/>
  <c r="J23" i="55"/>
  <c r="J27" i="55"/>
  <c r="K73" i="54" l="1"/>
  <c r="K77" i="54" s="1"/>
  <c r="J89" i="53"/>
  <c r="E85" i="53"/>
  <c r="I87" i="53"/>
  <c r="L73" i="54"/>
  <c r="L79" i="54" s="1"/>
  <c r="G103" i="54"/>
  <c r="H745" i="54"/>
  <c r="F745" i="54"/>
  <c r="J103" i="54"/>
  <c r="I745" i="54"/>
  <c r="G745" i="54"/>
  <c r="G87" i="53"/>
  <c r="F87" i="53"/>
  <c r="F103" i="54"/>
  <c r="J47" i="53"/>
  <c r="E105" i="54"/>
  <c r="J745" i="54"/>
  <c r="I103" i="54"/>
  <c r="H89" i="53"/>
  <c r="H47" i="53"/>
  <c r="H103" i="54"/>
  <c r="E48" i="53"/>
  <c r="E27" i="55"/>
  <c r="E23" i="55"/>
  <c r="K42" i="54"/>
  <c r="G45" i="52"/>
  <c r="J79" i="55"/>
  <c r="J42" i="55"/>
  <c r="J77" i="55"/>
  <c r="I42" i="55"/>
  <c r="I77" i="55"/>
  <c r="I79" i="55"/>
  <c r="G79" i="55"/>
  <c r="G42" i="55"/>
  <c r="G77" i="55"/>
  <c r="F79" i="55"/>
  <c r="F42" i="55"/>
  <c r="F77" i="55"/>
  <c r="L79" i="55"/>
  <c r="L77" i="55"/>
  <c r="L42" i="55"/>
  <c r="H42" i="55"/>
  <c r="H77" i="55"/>
  <c r="H79" i="55"/>
  <c r="K77" i="55"/>
  <c r="K79" i="55"/>
  <c r="K42" i="55"/>
  <c r="F23" i="55"/>
  <c r="F27" i="55"/>
  <c r="G81" i="52"/>
  <c r="K79" i="54" l="1"/>
  <c r="K45" i="54" s="1"/>
  <c r="I89" i="53"/>
  <c r="I47" i="53"/>
  <c r="I50" i="53" s="1"/>
  <c r="L77" i="54"/>
  <c r="L42" i="54"/>
  <c r="I16" i="54"/>
  <c r="F16" i="54"/>
  <c r="G747" i="54"/>
  <c r="J16" i="54"/>
  <c r="H747" i="54"/>
  <c r="H16" i="54"/>
  <c r="G89" i="53"/>
  <c r="G47" i="53"/>
  <c r="H50" i="53"/>
  <c r="I52" i="53"/>
  <c r="J747" i="54"/>
  <c r="J50" i="53"/>
  <c r="F89" i="53"/>
  <c r="E87" i="53"/>
  <c r="F47" i="53"/>
  <c r="I747" i="54"/>
  <c r="F747" i="54"/>
  <c r="G16" i="54"/>
  <c r="E107" i="54"/>
  <c r="I81" i="55"/>
  <c r="I83" i="55" s="1"/>
  <c r="I48" i="55" s="1"/>
  <c r="J81" i="55"/>
  <c r="J83" i="55" s="1"/>
  <c r="J48" i="55" s="1"/>
  <c r="K81" i="55"/>
  <c r="K83" i="55" s="1"/>
  <c r="K48" i="55" s="1"/>
  <c r="H81" i="55"/>
  <c r="H83" i="55" s="1"/>
  <c r="H48" i="55" s="1"/>
  <c r="G81" i="55"/>
  <c r="G83" i="55" s="1"/>
  <c r="G48" i="55" s="1"/>
  <c r="I45" i="55"/>
  <c r="L45" i="55"/>
  <c r="G83" i="52"/>
  <c r="G48" i="52" s="1"/>
  <c r="L81" i="55"/>
  <c r="E79" i="55"/>
  <c r="E77" i="55"/>
  <c r="F45" i="55"/>
  <c r="K45" i="55"/>
  <c r="H45" i="55"/>
  <c r="F81" i="55"/>
  <c r="G45" i="55"/>
  <c r="J45" i="55"/>
  <c r="K81" i="54" l="1"/>
  <c r="K83" i="54" s="1"/>
  <c r="K48" i="54" s="1"/>
  <c r="L81" i="54"/>
  <c r="L45" i="54"/>
  <c r="F749" i="54"/>
  <c r="E89" i="53"/>
  <c r="J52" i="53"/>
  <c r="I55" i="53"/>
  <c r="I59" i="53"/>
  <c r="I749" i="54"/>
  <c r="J749" i="54"/>
  <c r="H52" i="53"/>
  <c r="H749" i="54"/>
  <c r="G749" i="54"/>
  <c r="E73" i="54"/>
  <c r="E115" i="54"/>
  <c r="E111" i="54"/>
  <c r="F50" i="53"/>
  <c r="E47" i="53"/>
  <c r="G50" i="53"/>
  <c r="E16" i="54"/>
  <c r="E81" i="55"/>
  <c r="E83" i="55" s="1"/>
  <c r="E85" i="55" s="1"/>
  <c r="G85" i="55"/>
  <c r="G87" i="55" s="1"/>
  <c r="G47" i="55" s="1"/>
  <c r="G50" i="55" s="1"/>
  <c r="G52" i="55" s="1"/>
  <c r="H85" i="55"/>
  <c r="E45" i="55"/>
  <c r="F83" i="55"/>
  <c r="F48" i="55" s="1"/>
  <c r="I85" i="55"/>
  <c r="J85" i="55"/>
  <c r="L83" i="55"/>
  <c r="L48" i="55" s="1"/>
  <c r="G85" i="52"/>
  <c r="K85" i="55"/>
  <c r="K85" i="54" l="1"/>
  <c r="K87" i="54" s="1"/>
  <c r="K47" i="54" s="1"/>
  <c r="K50" i="54" s="1"/>
  <c r="K52" i="54" s="1"/>
  <c r="K55" i="54" s="1"/>
  <c r="L83" i="54"/>
  <c r="L48" i="54" s="1"/>
  <c r="E50" i="53"/>
  <c r="K117" i="54"/>
  <c r="L117" i="54"/>
  <c r="H59" i="53"/>
  <c r="H55" i="53"/>
  <c r="I751" i="54"/>
  <c r="E42" i="54"/>
  <c r="H751" i="54"/>
  <c r="J751" i="54"/>
  <c r="G52" i="53"/>
  <c r="F52" i="53"/>
  <c r="F751" i="54"/>
  <c r="G751" i="54"/>
  <c r="J55" i="53"/>
  <c r="J59" i="53"/>
  <c r="G55" i="55"/>
  <c r="G59" i="55"/>
  <c r="G87" i="52"/>
  <c r="G47" i="52" s="1"/>
  <c r="G50" i="52" s="1"/>
  <c r="G52" i="52" s="1"/>
  <c r="I87" i="55"/>
  <c r="I47" i="55" s="1"/>
  <c r="I50" i="55" s="1"/>
  <c r="I52" i="55" s="1"/>
  <c r="H87" i="55"/>
  <c r="H47" i="55" s="1"/>
  <c r="H50" i="55" s="1"/>
  <c r="H52" i="55" s="1"/>
  <c r="G89" i="55"/>
  <c r="F85" i="55"/>
  <c r="L85" i="55"/>
  <c r="J87" i="55"/>
  <c r="J47" i="55" s="1"/>
  <c r="J50" i="55" s="1"/>
  <c r="J52" i="55" s="1"/>
  <c r="K87" i="55"/>
  <c r="K47" i="55" s="1"/>
  <c r="K50" i="55" s="1"/>
  <c r="K52" i="55" s="1"/>
  <c r="K55" i="55" s="1"/>
  <c r="E48" i="55"/>
  <c r="K89" i="54" l="1"/>
  <c r="L85" i="54"/>
  <c r="F771" i="54"/>
  <c r="G59" i="53"/>
  <c r="G55" i="53"/>
  <c r="J771" i="54"/>
  <c r="G771" i="54"/>
  <c r="F55" i="53"/>
  <c r="F59" i="53"/>
  <c r="H771" i="54"/>
  <c r="I771" i="54"/>
  <c r="E52" i="53"/>
  <c r="J89" i="55"/>
  <c r="L87" i="55"/>
  <c r="L47" i="55" s="1"/>
  <c r="L50" i="55" s="1"/>
  <c r="L52" i="55" s="1"/>
  <c r="L55" i="55" s="1"/>
  <c r="H59" i="55"/>
  <c r="H55" i="55"/>
  <c r="I89" i="55"/>
  <c r="K89" i="55"/>
  <c r="H89" i="55"/>
  <c r="G89" i="52"/>
  <c r="G59" i="52"/>
  <c r="G61" i="52" s="1"/>
  <c r="G55" i="52"/>
  <c r="J55" i="55"/>
  <c r="J59" i="55"/>
  <c r="F87" i="55"/>
  <c r="F89" i="55" s="1"/>
  <c r="I59" i="55"/>
  <c r="I55" i="55"/>
  <c r="L87" i="54" l="1"/>
  <c r="L47" i="54" s="1"/>
  <c r="L50" i="54" s="1"/>
  <c r="L52" i="54" s="1"/>
  <c r="L55" i="54" s="1"/>
  <c r="I102" i="54"/>
  <c r="J102" i="54"/>
  <c r="E59" i="53"/>
  <c r="E55" i="53"/>
  <c r="F102" i="54"/>
  <c r="H102" i="54"/>
  <c r="G102" i="54"/>
  <c r="E87" i="55"/>
  <c r="E89" i="55" s="1"/>
  <c r="F47" i="55"/>
  <c r="L89" i="55"/>
  <c r="F61" i="53" l="1"/>
  <c r="L89" i="54"/>
  <c r="G105" i="54"/>
  <c r="G15" i="54"/>
  <c r="H15" i="54"/>
  <c r="H105" i="54"/>
  <c r="J15" i="54"/>
  <c r="J105" i="54"/>
  <c r="G61" i="53"/>
  <c r="G29" i="53"/>
  <c r="J29" i="53"/>
  <c r="H29" i="53"/>
  <c r="I29" i="53"/>
  <c r="F29" i="53"/>
  <c r="I61" i="53"/>
  <c r="J61" i="53"/>
  <c r="H61" i="53"/>
  <c r="F105" i="54"/>
  <c r="F15" i="54"/>
  <c r="I105" i="54"/>
  <c r="I15" i="54"/>
  <c r="E47" i="55"/>
  <c r="E50" i="55" s="1"/>
  <c r="E52" i="55" s="1"/>
  <c r="F50" i="55"/>
  <c r="F52" i="55" s="1"/>
  <c r="I18" i="54" l="1"/>
  <c r="I107" i="54"/>
  <c r="F107" i="54"/>
  <c r="J107" i="54"/>
  <c r="G18" i="54"/>
  <c r="J18" i="54"/>
  <c r="H107" i="54"/>
  <c r="G107" i="54"/>
  <c r="H18" i="54"/>
  <c r="E15" i="54"/>
  <c r="F18" i="54"/>
  <c r="F55" i="55"/>
  <c r="F59" i="55"/>
  <c r="E55" i="55"/>
  <c r="E59" i="55"/>
  <c r="I115" i="54" l="1"/>
  <c r="I73" i="54"/>
  <c r="I111" i="54"/>
  <c r="F20" i="54"/>
  <c r="H20" i="54"/>
  <c r="H111" i="54"/>
  <c r="H73" i="54"/>
  <c r="H115" i="54"/>
  <c r="G20" i="54"/>
  <c r="F115" i="54"/>
  <c r="F111" i="54"/>
  <c r="F73" i="54"/>
  <c r="E18" i="54"/>
  <c r="G73" i="54"/>
  <c r="G115" i="54"/>
  <c r="G111" i="54"/>
  <c r="J115" i="54"/>
  <c r="J73" i="54"/>
  <c r="J111" i="54"/>
  <c r="J20" i="54"/>
  <c r="I20" i="54"/>
  <c r="G29" i="55"/>
  <c r="H29" i="55"/>
  <c r="L29" i="55"/>
  <c r="F29" i="55"/>
  <c r="G61" i="55"/>
  <c r="J29" i="55"/>
  <c r="I61" i="55"/>
  <c r="J61" i="55"/>
  <c r="F61" i="55"/>
  <c r="K61" i="55"/>
  <c r="K29" i="55"/>
  <c r="H61" i="55"/>
  <c r="I29" i="55"/>
  <c r="L61" i="55"/>
  <c r="I27" i="54" l="1"/>
  <c r="I23" i="54"/>
  <c r="E20" i="54"/>
  <c r="F117" i="54"/>
  <c r="H117" i="54"/>
  <c r="H27" i="54"/>
  <c r="H23" i="54"/>
  <c r="J77" i="54"/>
  <c r="J79" i="54"/>
  <c r="J42" i="54"/>
  <c r="G117" i="54"/>
  <c r="H42" i="54"/>
  <c r="H79" i="54"/>
  <c r="H77" i="54"/>
  <c r="I77" i="54"/>
  <c r="I79" i="54"/>
  <c r="I42" i="54"/>
  <c r="J23" i="54"/>
  <c r="J27" i="54"/>
  <c r="J117" i="54"/>
  <c r="F79" i="54"/>
  <c r="F77" i="54"/>
  <c r="F42" i="54"/>
  <c r="G27" i="54"/>
  <c r="G23" i="54"/>
  <c r="G79" i="54"/>
  <c r="G77" i="54"/>
  <c r="G42" i="54"/>
  <c r="F23" i="54"/>
  <c r="F27" i="54"/>
  <c r="I117" i="54"/>
  <c r="F81" i="54" l="1"/>
  <c r="H81" i="54"/>
  <c r="I45" i="54"/>
  <c r="G45" i="54"/>
  <c r="E77" i="54"/>
  <c r="F45" i="54"/>
  <c r="J81" i="54"/>
  <c r="E79" i="54"/>
  <c r="I81" i="54"/>
  <c r="H45" i="54"/>
  <c r="G81" i="54"/>
  <c r="J45" i="54"/>
  <c r="E23" i="54"/>
  <c r="E27" i="54"/>
  <c r="H83" i="54" l="1"/>
  <c r="H85" i="54" s="1"/>
  <c r="F83" i="54"/>
  <c r="E45" i="54"/>
  <c r="E81" i="54"/>
  <c r="G83" i="54"/>
  <c r="I83" i="54"/>
  <c r="J83" i="54"/>
  <c r="H48" i="54" l="1"/>
  <c r="J85" i="54"/>
  <c r="J87" i="54" s="1"/>
  <c r="G85" i="54"/>
  <c r="F85" i="54"/>
  <c r="F48" i="54"/>
  <c r="I48" i="54"/>
  <c r="E83" i="54"/>
  <c r="J48" i="54"/>
  <c r="I85" i="54"/>
  <c r="G48" i="54"/>
  <c r="H87" i="54"/>
  <c r="J89" i="54" l="1"/>
  <c r="H89" i="54"/>
  <c r="G87" i="54"/>
  <c r="G89" i="54" s="1"/>
  <c r="F87" i="54"/>
  <c r="I87" i="54"/>
  <c r="H47" i="54"/>
  <c r="E48" i="54"/>
  <c r="E85" i="54"/>
  <c r="J47" i="54"/>
  <c r="G47" i="54" l="1"/>
  <c r="G50" i="54" s="1"/>
  <c r="F89" i="54"/>
  <c r="F47" i="54"/>
  <c r="I47" i="54"/>
  <c r="E87" i="54"/>
  <c r="H50" i="54"/>
  <c r="I89" i="54"/>
  <c r="J50" i="54"/>
  <c r="F50" i="54" l="1"/>
  <c r="E47" i="54"/>
  <c r="H52" i="54"/>
  <c r="G52" i="54"/>
  <c r="I50" i="54"/>
  <c r="J52" i="54"/>
  <c r="E89" i="54"/>
  <c r="E50" i="54" l="1"/>
  <c r="E52" i="54" s="1"/>
  <c r="F52" i="54"/>
  <c r="J59" i="54"/>
  <c r="J55" i="54"/>
  <c r="G55" i="54"/>
  <c r="G59" i="54"/>
  <c r="I52" i="54"/>
  <c r="H59" i="54"/>
  <c r="H55" i="54"/>
  <c r="F59" i="54" l="1"/>
  <c r="F55" i="54"/>
  <c r="E55" i="54"/>
  <c r="E59" i="54"/>
  <c r="I59" i="54"/>
  <c r="I55" i="54"/>
  <c r="G61" i="54" l="1"/>
  <c r="J61" i="54"/>
  <c r="K61" i="54"/>
  <c r="K29" i="54"/>
  <c r="G29" i="54"/>
  <c r="H29" i="54"/>
  <c r="J29" i="54"/>
  <c r="L29" i="54"/>
  <c r="F61" i="54"/>
  <c r="I61" i="54"/>
  <c r="I29" i="54"/>
  <c r="H61" i="54"/>
  <c r="F29" i="54"/>
  <c r="L61" i="54"/>
</calcChain>
</file>

<file path=xl/sharedStrings.xml><?xml version="1.0" encoding="utf-8"?>
<sst xmlns="http://schemas.openxmlformats.org/spreadsheetml/2006/main" count="7732" uniqueCount="1184">
  <si>
    <t>*</t>
  </si>
  <si>
    <t xml:space="preserve">  </t>
  </si>
  <si>
    <t xml:space="preserve"> </t>
  </si>
  <si>
    <t>TABLE OF CONTENTS</t>
  </si>
  <si>
    <t>DEVELOPMENT OF PROFORMA ADJUSTMENTS</t>
  </si>
  <si>
    <t>LINE</t>
  </si>
  <si>
    <t xml:space="preserve">  ACCT</t>
  </si>
  <si>
    <t>ALLOC</t>
  </si>
  <si>
    <t>TOTAL</t>
  </si>
  <si>
    <t>NO.</t>
  </si>
  <si>
    <t>FACTOR</t>
  </si>
  <si>
    <t>COMPANY</t>
  </si>
  <si>
    <t>Total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</si>
  <si>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</si>
  <si>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</si>
  <si>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</si>
  <si>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</si>
  <si>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</si>
  <si>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</si>
  <si>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</si>
  <si>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</si>
  <si>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</si>
  <si>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</si>
  <si>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</si>
  <si>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DESCRIPTION</t>
  </si>
  <si>
    <t>Company</t>
  </si>
  <si>
    <t>$</t>
  </si>
  <si>
    <t>OPERATING REVENUE</t>
  </si>
  <si>
    <t>LESS: GAS COST @ CITY GATE CHANGE</t>
  </si>
  <si>
    <t>PAGE</t>
  </si>
  <si>
    <t>TOTAL INTANGIBLE PLANT</t>
  </si>
  <si>
    <t>TAXABLE INCOME FOR STATE INCOME TAX</t>
  </si>
  <si>
    <t>CUST ACCTS &amp; CUST SERVICE &amp; INFOR EXP ALLOC - LABOR</t>
  </si>
  <si>
    <t>SALES AND A &amp; G EXPENSE ALLOCATION - LABOR</t>
  </si>
  <si>
    <t>RATE OF RETURN BY CLASS @ CURRENT RATES</t>
  </si>
  <si>
    <t xml:space="preserve">DISTRIBUTION O &amp; M EXPENSE ALLOCATION - M &amp; E </t>
  </si>
  <si>
    <t xml:space="preserve">GROSS INTANGIBLE, PROD., &amp; DIST. PLANT ALLOC. (ACCTS 101,106) </t>
  </si>
  <si>
    <t>CUST ACCTS &amp; CUST SERVICE &amp; INFOR EXP ALLOC - M &amp; E</t>
  </si>
  <si>
    <t>TAXABLE INCOME FOR FEDERAL INCOME TAX</t>
  </si>
  <si>
    <t>GROSS DIST. &amp; GENERAL PLANT ALLOCATION (ACCTS 101,106)</t>
  </si>
  <si>
    <t>SALES AND A &amp; G EXPENSE ALLOCATION - M &amp; E</t>
  </si>
  <si>
    <t>TOTAL PRODUCTION PLANT</t>
  </si>
  <si>
    <t>OPERATION &amp; MAINTENANCE EXPENSE SUMMARY</t>
  </si>
  <si>
    <t>TAXES OTHER THAN INCOME</t>
  </si>
  <si>
    <t>COLUMBIA GAS OF KENTUCKY, INC.</t>
  </si>
  <si>
    <t xml:space="preserve">GROSS INTANGIBLE, PROD., &amp; DIST. PLANT ALLOC. DEPR. RESERVE </t>
  </si>
  <si>
    <t>KENTUCKY STATE INCOME TAX - CURRENT</t>
  </si>
  <si>
    <t>EXHIBIT/SCHEDULE:</t>
  </si>
  <si>
    <t>OPERATING INCOME</t>
  </si>
  <si>
    <t>GROSS DIST. &amp; GENERAL PLANT ALLOCATION DEPR. RESERVE</t>
  </si>
  <si>
    <t>KENTUCKY STATE INCOME TAX - DEFERRED</t>
  </si>
  <si>
    <t>GROSS INTANGIBLE, PROD., &amp; DIST. PLANT ALLOC. DEPR. EXPENSE</t>
  </si>
  <si>
    <t>FEDERAL INCOME TAX - CURRENT</t>
  </si>
  <si>
    <t>TEST YEAR:</t>
  </si>
  <si>
    <t>GROSS DIST. &amp; GENERAL PLANT ALLOCATION DEPR. EXPENSE</t>
  </si>
  <si>
    <t>FEDERAL INCOME TAX - DEFERRED</t>
  </si>
  <si>
    <t>WITNESS:</t>
  </si>
  <si>
    <t>OPERATING REVENUE @ CURRENT RATES</t>
  </si>
  <si>
    <t>WORKING CAPITAL/RATE BASE SUMMARY</t>
  </si>
  <si>
    <t>STUDY TYPE:</t>
  </si>
  <si>
    <t>PRODUCTION EXPENSE ALLOCATION</t>
  </si>
  <si>
    <t>BASIS OF ALLOC:</t>
  </si>
  <si>
    <t xml:space="preserve">DISTRIBUTION O &amp; M EXPENSE ALLOCATION - LABOR </t>
  </si>
  <si>
    <t>TOTAL # OF PAGES:</t>
  </si>
  <si>
    <t>TIME/DATE STAMP (Y/N) . . . . . . . . . . . .</t>
  </si>
  <si>
    <t>N</t>
  </si>
  <si>
    <t>CASE NO.</t>
  </si>
  <si>
    <t>CLASS 1 DESCRIPTION:</t>
  </si>
  <si>
    <t>CLASS 2 DESCRIPTION:</t>
  </si>
  <si>
    <t>CLASS 3 DESCRIPTION:</t>
  </si>
  <si>
    <t>CLASS 4 DESCRIPTION:</t>
  </si>
  <si>
    <t>CLASS 5 DESCRIPTION:</t>
  </si>
  <si>
    <t>CLASS 6 DESCRIPTION:</t>
  </si>
  <si>
    <t>CLASS 7 DESCRIPTION:</t>
  </si>
  <si>
    <t>MISCELLANEOUS</t>
  </si>
  <si>
    <t>REQUESTED RETURN ON RATE BASE:</t>
  </si>
  <si>
    <t>UNCOLLECTIBLE RATIO (ADJUSTED TEST YEAR):</t>
  </si>
  <si>
    <t>UNCOLLECTIBLE RATIO (PROPOSED):</t>
  </si>
  <si>
    <t>FEDERAL TAX RATE:</t>
  </si>
  <si>
    <t>KENTUCKY STATE INCOME TAX RATE</t>
  </si>
  <si>
    <t>DEBT RATIO:</t>
  </si>
  <si>
    <t>REGULATORY COMMISSION EXPENSE (PSC FEE)</t>
  </si>
  <si>
    <t>REQUESTED RETURN ON EQUITY:</t>
  </si>
  <si>
    <t>EFFECTIVE PROJECTED FEDERAL TAX RATE:</t>
  </si>
  <si>
    <t>TOTAL DISTRIBUTION PLANT</t>
  </si>
  <si>
    <t>PAGES (27 - 28) - DEVELOPMENT OF ALLOCATION FACTORS</t>
  </si>
  <si>
    <t>ANNUAL THROUGHPUT EXCL DS-ML</t>
  </si>
  <si>
    <t>DESIGN DAY (MCF) EXCL DS-ML</t>
  </si>
  <si>
    <t>AVERAGE NUMBER OF CUSTOMERS</t>
  </si>
  <si>
    <t>PAGE 26 - RATE BASE SUMMARY</t>
  </si>
  <si>
    <t>TOTAL GENERAL PLANT</t>
  </si>
  <si>
    <t>ACCOUNT</t>
  </si>
  <si>
    <t>ALLOC.</t>
  </si>
  <si>
    <t>TOTAL PLANT IN SERVICE (101 - 106)</t>
  </si>
  <si>
    <t xml:space="preserve">NO.  </t>
  </si>
  <si>
    <t>FUEL STOCK</t>
  </si>
  <si>
    <t>ACCUMULATED DEF INCOME TAX</t>
  </si>
  <si>
    <t>CUSTOMER ADVANCES</t>
  </si>
  <si>
    <t>(1962 - 69) INVESTMENT TAX CREDIT</t>
  </si>
  <si>
    <t>MATERIALS &amp; SUPPLIES</t>
  </si>
  <si>
    <t>PREPAYMENTS</t>
  </si>
  <si>
    <t>GAS STORED UNDERGROUND - FSS</t>
  </si>
  <si>
    <t>PAGES (4 - 7) - PLANT ACCOUNTS</t>
  </si>
  <si>
    <t>101</t>
  </si>
  <si>
    <t>106</t>
  </si>
  <si>
    <t>TOTAL CO.</t>
  </si>
  <si>
    <t>INTANGIBLE PLANT</t>
  </si>
  <si>
    <t>ORGANIZATION</t>
  </si>
  <si>
    <t>DIS SOFTWARE</t>
  </si>
  <si>
    <t>FARA SOFTWARE</t>
  </si>
  <si>
    <t>PRODUCTION PLANT</t>
  </si>
  <si>
    <t>LAND</t>
  </si>
  <si>
    <t>STRUCTURES &amp; IMPROVEMENTS</t>
  </si>
  <si>
    <t>LIQUEFIED PETROLEUM GAS EQUIP</t>
  </si>
  <si>
    <t>DISTRIBUTION PLANT</t>
  </si>
  <si>
    <t>LAND - CITY GATE &amp; M/L IND M&amp;R</t>
  </si>
  <si>
    <t>LAND - OTHER DISTRIBUTION</t>
  </si>
  <si>
    <t>LAND RIGHTS - OTHER DISTRIBUTION</t>
  </si>
  <si>
    <t>RIGHTS OF WAY</t>
  </si>
  <si>
    <t>CITY GATE - MEAS &amp; REG STRUCTURES</t>
  </si>
  <si>
    <t>STRUC &amp; IMPROV-GENERAL M&amp;R</t>
  </si>
  <si>
    <t>STRUC &amp; IMPROV-REGULATING</t>
  </si>
  <si>
    <t>STRUC &amp; IMPROV-DIST. IND. M &amp; R</t>
  </si>
  <si>
    <t>STRUC &amp; IMPROV-OTHER DIST. SYSTEM</t>
  </si>
  <si>
    <t>STRUCT &amp; IMPROV-OTHER DIST. SYSTEM-IMPROV</t>
  </si>
  <si>
    <t>STRUC &amp; IMPROV-COMMUNICATION</t>
  </si>
  <si>
    <t>MAINS</t>
  </si>
  <si>
    <t>M &amp; R GENERAL</t>
  </si>
  <si>
    <t>M &amp; R GENERAL - REGULATING</t>
  </si>
  <si>
    <t>M &amp; R EQUIP - LOCAL GAS PURCHASES</t>
  </si>
  <si>
    <t>STA EQUIP - CITY</t>
  </si>
  <si>
    <t>SERVICES</t>
  </si>
  <si>
    <t>METERS</t>
  </si>
  <si>
    <t>METER INSTALLATIONS</t>
  </si>
  <si>
    <t>HOUSE REGULATORS</t>
  </si>
  <si>
    <t>HOUSE REG INSTALLATIONS</t>
  </si>
  <si>
    <t>IND M&amp;R EQUIPMENT</t>
  </si>
  <si>
    <t>ODORIZATION</t>
  </si>
  <si>
    <t>TELEPHONE</t>
  </si>
  <si>
    <t>RADIO</t>
  </si>
  <si>
    <t>OTHER COMMUNICATION</t>
  </si>
  <si>
    <t>TELEMETERING</t>
  </si>
  <si>
    <t>CIS</t>
  </si>
  <si>
    <t>GENERAL PLANT</t>
  </si>
  <si>
    <t>OFF FURN &amp; EQUIP - UNSPEC</t>
  </si>
  <si>
    <t>OFF FURN &amp; EQUIP - DATA HAND</t>
  </si>
  <si>
    <t>OFF FURN &amp; EQUIP - INFO SYSTEM</t>
  </si>
  <si>
    <t>TOOLS,SHOP, &amp; GAR EQ-GARAGE &amp; SERV</t>
  </si>
  <si>
    <t>SHOP EQUIPMENT</t>
  </si>
  <si>
    <t>TOOLS &amp; OTHER EQUIPMENT</t>
  </si>
  <si>
    <t>LABORATORY EQUIPMENT</t>
  </si>
  <si>
    <t>POWER OP EQUIP-GEN TOOLS</t>
  </si>
  <si>
    <t>COMMUNICATION EQUIP - TELEMETERING</t>
  </si>
  <si>
    <t>MISCELLANEOUS EQUIPMENT</t>
  </si>
  <si>
    <t>TOTAL PLANT</t>
  </si>
  <si>
    <t xml:space="preserve">PAGES (8 - 9) - PLANT RESERVE </t>
  </si>
  <si>
    <t>108</t>
  </si>
  <si>
    <t>111</t>
  </si>
  <si>
    <t>GROSS INTANGIBLE, PROD.,  &amp; DIST. PLANT DEPRECIATION RESERVE ALLOC.</t>
  </si>
  <si>
    <t xml:space="preserve">TOTAL INTANGIBLE PLANT </t>
  </si>
  <si>
    <t xml:space="preserve">TOTAL PRODUCTION PLANT </t>
  </si>
  <si>
    <t>GROSS DISTRIBUTION &amp; GENERAL PLANT DEPRECIATION RESERVE ALLOC</t>
  </si>
  <si>
    <t>TOTAL PLANT RESERVE</t>
  </si>
  <si>
    <t>PAGES (10 - 11) - DEPRECIATION EXPENSE (ACCTS. 403 - 407)</t>
  </si>
  <si>
    <t>DEPR. EXPENSE</t>
  </si>
  <si>
    <t>GROSS INTANGIBLE, PROD., &amp; DIST. PLANT DEPRECIATION EXPENSE ALLOC.</t>
  </si>
  <si>
    <t>TOTAL DEPRECIATION EXPENSE</t>
  </si>
  <si>
    <t>PAGE 12 - OPERATING REVENUES @ CURRENT RATES</t>
  </si>
  <si>
    <t>480.00</t>
  </si>
  <si>
    <t>RESIDENTIAL SALES</t>
  </si>
  <si>
    <t>481.10</t>
  </si>
  <si>
    <t>COMMERCIAL SALES</t>
  </si>
  <si>
    <t>481.20</t>
  </si>
  <si>
    <t>INDUSTRIAL SALES</t>
  </si>
  <si>
    <t>487.00</t>
  </si>
  <si>
    <t>488.00</t>
  </si>
  <si>
    <t>489.00</t>
  </si>
  <si>
    <t>REVENUE FROM TRANSPORTATION</t>
  </si>
  <si>
    <t>RENTS</t>
  </si>
  <si>
    <t>OTHER</t>
  </si>
  <si>
    <t>PAGE 13 - PRODUCTION EXPENSES</t>
  </si>
  <si>
    <t>717</t>
  </si>
  <si>
    <t>LIQUE PETRO GAS EXP - LABOR</t>
  </si>
  <si>
    <t>LIQUE PETRO GAS EXP - M&amp;E</t>
  </si>
  <si>
    <t>723</t>
  </si>
  <si>
    <t>LIQUIFIED PETROLEUM GAS PROCESS</t>
  </si>
  <si>
    <t>728</t>
  </si>
  <si>
    <t xml:space="preserve">LIQUIFIED PETROLEUM GAS </t>
  </si>
  <si>
    <t>741</t>
  </si>
  <si>
    <t>STRUCTURES &amp; IMPROV - LABOR</t>
  </si>
  <si>
    <t>STRUCTURES &amp; IMPROV - M&amp;E</t>
  </si>
  <si>
    <t>742</t>
  </si>
  <si>
    <t>PRODUCTION EQUIPMENT - LABOR</t>
  </si>
  <si>
    <t>PRODUCTION EQUIPMENT - M&amp;E</t>
  </si>
  <si>
    <t>803-806&amp;808</t>
  </si>
  <si>
    <t>COST OF GAS @ CITY GATE</t>
  </si>
  <si>
    <t>807</t>
  </si>
  <si>
    <t>OTHER PURCHASED GAS - LABOR</t>
  </si>
  <si>
    <t xml:space="preserve">OTHER PURCHASED GAS - M &amp; E </t>
  </si>
  <si>
    <t>812</t>
  </si>
  <si>
    <t>GAS USED IN OPERATIONS</t>
  </si>
  <si>
    <t>TOTAL PRODUCTION EXPENSES</t>
  </si>
  <si>
    <t>OPERATION &amp; MAINTENANCE EXPENSE ALLOCATION</t>
  </si>
  <si>
    <t xml:space="preserve">LABOR (PAGES 14 - 16) </t>
  </si>
  <si>
    <t>DISTRIBUTION EXPENSES</t>
  </si>
  <si>
    <t>OPERATION</t>
  </si>
  <si>
    <t>870</t>
  </si>
  <si>
    <t>SUPERVISION &amp; ENGINEERING</t>
  </si>
  <si>
    <t>871</t>
  </si>
  <si>
    <t>DISTRIBUTION LOAD DISPATCH</t>
  </si>
  <si>
    <t>874</t>
  </si>
  <si>
    <t>MAINS &amp; SERVICES</t>
  </si>
  <si>
    <t>875</t>
  </si>
  <si>
    <t>M &amp; R - GENERAL</t>
  </si>
  <si>
    <t>876</t>
  </si>
  <si>
    <t>M &amp; R - INDUSTRIAL</t>
  </si>
  <si>
    <t>878</t>
  </si>
  <si>
    <t>METERS &amp; HOUSE REGULATORS</t>
  </si>
  <si>
    <t>879</t>
  </si>
  <si>
    <t xml:space="preserve">CUSTOMER INSTALLATION </t>
  </si>
  <si>
    <t>880</t>
  </si>
  <si>
    <t>881</t>
  </si>
  <si>
    <t>MAINTENANCE</t>
  </si>
  <si>
    <t>885</t>
  </si>
  <si>
    <t>886</t>
  </si>
  <si>
    <t>887</t>
  </si>
  <si>
    <t>889</t>
  </si>
  <si>
    <t>890</t>
  </si>
  <si>
    <t>892</t>
  </si>
  <si>
    <t>893</t>
  </si>
  <si>
    <t>894</t>
  </si>
  <si>
    <t>OTHER EQUIPMENT</t>
  </si>
  <si>
    <t>CUSTOMER ACCOUNTS</t>
  </si>
  <si>
    <t>901</t>
  </si>
  <si>
    <t>SUPERVISION</t>
  </si>
  <si>
    <t>902</t>
  </si>
  <si>
    <t>METER READING</t>
  </si>
  <si>
    <t>903</t>
  </si>
  <si>
    <t>CUSTOMER RECORDS &amp; COLLECTIONS</t>
  </si>
  <si>
    <t>TOTAL SALES REVENUE</t>
  </si>
  <si>
    <t>DIRECT CUSTOMER RECORDS &amp; COLLECTIONS</t>
  </si>
  <si>
    <t>904</t>
  </si>
  <si>
    <t>UNCOLLECTIBLE ACCOUNTS</t>
  </si>
  <si>
    <t>905</t>
  </si>
  <si>
    <t>MISC.</t>
  </si>
  <si>
    <t>920</t>
  </si>
  <si>
    <t>SALARIES</t>
  </si>
  <si>
    <t>921</t>
  </si>
  <si>
    <t>OFFICE SUPPLIES AND EXPENSE</t>
  </si>
  <si>
    <t>931</t>
  </si>
  <si>
    <t>935</t>
  </si>
  <si>
    <t>GENERAL PLANT MAINTENANCE</t>
  </si>
  <si>
    <t>CUSTOMER SERVICE &amp; INFORMATIONAL</t>
  </si>
  <si>
    <t>TOTAL OTHER GAS DEPT REVENUE</t>
  </si>
  <si>
    <t>907</t>
  </si>
  <si>
    <t>DIRECT SUPERVISION</t>
  </si>
  <si>
    <t>TOTAL OPERATING REVENUE</t>
  </si>
  <si>
    <t>908</t>
  </si>
  <si>
    <t>CUSTOMER ASSISTANCE</t>
  </si>
  <si>
    <t>DIRECT CUSTOMER ASSISTANCE</t>
  </si>
  <si>
    <t>909</t>
  </si>
  <si>
    <t>ADVERTISING</t>
  </si>
  <si>
    <t>910</t>
  </si>
  <si>
    <t>OPERATING EXPENSES</t>
  </si>
  <si>
    <t>SALES</t>
  </si>
  <si>
    <t>911</t>
  </si>
  <si>
    <t>PRODUCTION EXPENSES - OPERATION</t>
  </si>
  <si>
    <t>912</t>
  </si>
  <si>
    <t>DEMONSTRATION &amp; SELLING</t>
  </si>
  <si>
    <t>913</t>
  </si>
  <si>
    <t>916</t>
  </si>
  <si>
    <t>TOTAL OPERATION</t>
  </si>
  <si>
    <t>PRODUCTION EXPENSES - MAINTENANCE</t>
  </si>
  <si>
    <t>TOTAL MAINTENANCE</t>
  </si>
  <si>
    <t>TOTAL MANUFACTURED GAS</t>
  </si>
  <si>
    <t>OTHER GAS SUPPLIES EXPENSE</t>
  </si>
  <si>
    <t>803 - 806</t>
  </si>
  <si>
    <t>&amp; 808</t>
  </si>
  <si>
    <t>TOTAL OTHER GAS SUPPLIES EXP</t>
  </si>
  <si>
    <t>TOTAL PRODUCTION EXPENSE</t>
  </si>
  <si>
    <t xml:space="preserve"> TOTAL MAINTENANCE</t>
  </si>
  <si>
    <t>ADMINISTRATIVE &amp; GENERAL EXPENSE ALLOCATION</t>
  </si>
  <si>
    <t>LABOR (PAGE 16)</t>
  </si>
  <si>
    <t>ADMINISTRATIVE &amp; GENERAL</t>
  </si>
  <si>
    <t>OFFICE SUPPLIES &amp; EXPENSES</t>
  </si>
  <si>
    <t>922</t>
  </si>
  <si>
    <t>ADMIN. EXPENSES TRANSFERED</t>
  </si>
  <si>
    <t>923</t>
  </si>
  <si>
    <t xml:space="preserve">OUTSIDE SERVICES </t>
  </si>
  <si>
    <t>924</t>
  </si>
  <si>
    <t>PROPERTY INSURANCE</t>
  </si>
  <si>
    <t>925</t>
  </si>
  <si>
    <t>INJURIES AND DAMAGES</t>
  </si>
  <si>
    <t>926</t>
  </si>
  <si>
    <t>EMPLOYEE PENSIONS &amp; BENEFITS</t>
  </si>
  <si>
    <t>928</t>
  </si>
  <si>
    <t>REG COMMISSION EXP - GENERAL</t>
  </si>
  <si>
    <t>930.10</t>
  </si>
  <si>
    <t>MISC. - INSTITUT &amp; GOODWILL ADV</t>
  </si>
  <si>
    <t>930.20</t>
  </si>
  <si>
    <t>MISC. - GENERAL</t>
  </si>
  <si>
    <t xml:space="preserve"> TOTAL CUSTOMER ACCT.</t>
  </si>
  <si>
    <t>935.13</t>
  </si>
  <si>
    <t>MAINT. STRUCTURES &amp; IMPROV.</t>
  </si>
  <si>
    <t>935.23</t>
  </si>
  <si>
    <t xml:space="preserve">MAINT. - GEN'L OFFICE </t>
  </si>
  <si>
    <t>FURNITURE &amp; EQUIPMENT</t>
  </si>
  <si>
    <t>MAINT.-MISCELLANEOUS</t>
  </si>
  <si>
    <t>M &amp; E (PAGE 19)</t>
  </si>
  <si>
    <t xml:space="preserve"> TOTAL CUSTOMER SERVICE &amp; INFO.</t>
  </si>
  <si>
    <t>DISTRIBUTION AND A&amp;G EXPENSE ALLOCATION - LABOR</t>
  </si>
  <si>
    <t>DIRECT EMPLOYEE PENSIONS &amp; BENEFITS</t>
  </si>
  <si>
    <t xml:space="preserve"> TOTAL SALES</t>
  </si>
  <si>
    <t>PAGE 21 - TAXES OTHER THAN INCOME</t>
  </si>
  <si>
    <t>TOTAL DISTRIBUTION EXPENSES</t>
  </si>
  <si>
    <t>TAXES BASED ON PAYROLL</t>
  </si>
  <si>
    <t xml:space="preserve">PAGES 24 &amp; 25 - FEDERAL TAX </t>
  </si>
  <si>
    <t xml:space="preserve"> TOTAL ADMIN &amp; GENERAL - LABOR</t>
  </si>
  <si>
    <t xml:space="preserve"> TOTAL O &amp; M EXPENSE - LABOR</t>
  </si>
  <si>
    <t>FLOW THROUGH ADJUSTMENTS</t>
  </si>
  <si>
    <t>TAX ACCELERATED DEPRECIATION</t>
  </si>
  <si>
    <t>NON DEDUCTIBLE EMPLOYEE EXPENSE</t>
  </si>
  <si>
    <t>DEFERRED ADJUSTMENTS</t>
  </si>
  <si>
    <t>TAX STRAIGHT LINE DEPRECIATION</t>
  </si>
  <si>
    <t>AMORT. OF PRIOR YEARS ITC</t>
  </si>
  <si>
    <t>DIRECT ADJUSTMENT TO F.I.T.</t>
  </si>
  <si>
    <t>PAGES 22 &amp; 23 - KENTUCKY STATE INCOME TAX</t>
  </si>
  <si>
    <t>FOREIGN TAX PAYMENTS</t>
  </si>
  <si>
    <t>PROFORMA @ PROPOSED RATES REVENUE BY CLASS (PAGE 1)</t>
  </si>
  <si>
    <t>DIRECT ALLOCATIONS</t>
  </si>
  <si>
    <t>ALLOCATION #15</t>
  </si>
  <si>
    <t>ACCOUNT 380 (SERVICES)</t>
  </si>
  <si>
    <t>ALLOCATION #16</t>
  </si>
  <si>
    <t>ACCOUNT 381 &amp; 382 (METERS &amp; METER INSTALLATIONS)</t>
  </si>
  <si>
    <t>ALLOCATION #17</t>
  </si>
  <si>
    <t>ACCOUNT 385 (INDUSTRIAL M &amp; R  EQUIPMENT)</t>
  </si>
  <si>
    <t>ALLOCATION #3</t>
  </si>
  <si>
    <t>MINIMUM SYSTEM MAINS</t>
  </si>
  <si>
    <t>THE FOLLOWING IS FOR A CUSTOMER/DEMAND STUDY ONLY</t>
  </si>
  <si>
    <t>CUSTOMER PORTION OF MAINS (ACCT 376)</t>
  </si>
  <si>
    <t xml:space="preserve"> TOTAL ADMIN &amp; GENERAL - M &amp; E</t>
  </si>
  <si>
    <t xml:space="preserve"> TOTAL O &amp; M EXPENSE - M &amp; E</t>
  </si>
  <si>
    <t>LABOR</t>
  </si>
  <si>
    <t xml:space="preserve">  PRODUCTION</t>
  </si>
  <si>
    <t>PAGE 13</t>
  </si>
  <si>
    <t xml:space="preserve">  DISTRIBUTION - O&amp;M OPERATION</t>
  </si>
  <si>
    <t>PAGE 14</t>
  </si>
  <si>
    <t xml:space="preserve">  DISTRIBUTION - O&amp;M MAINT.</t>
  </si>
  <si>
    <t xml:space="preserve">  CUSTOMER ACCOUNTS</t>
  </si>
  <si>
    <t>PAGE 15</t>
  </si>
  <si>
    <t xml:space="preserve">  CUSTOMER SERVICE &amp; INFOR.</t>
  </si>
  <si>
    <t xml:space="preserve">  SALES</t>
  </si>
  <si>
    <t>PAGE 16</t>
  </si>
  <si>
    <t xml:space="preserve">  ADMINISTRATIVE &amp; GENERAL</t>
  </si>
  <si>
    <t>TOTAL LABOR EXPENSE</t>
  </si>
  <si>
    <t>M &amp; E</t>
  </si>
  <si>
    <t>PAGE 17</t>
  </si>
  <si>
    <t>PAGE 18</t>
  </si>
  <si>
    <t>PAGE 19</t>
  </si>
  <si>
    <t>TOTAL M &amp; E EXPENSE</t>
  </si>
  <si>
    <t>TOTAL O &amp; M EXPENSES</t>
  </si>
  <si>
    <t xml:space="preserve">    ALLOCATION FACTOR TABLE                    </t>
  </si>
  <si>
    <t>AMT.</t>
  </si>
  <si>
    <t>PCT.</t>
  </si>
  <si>
    <t>DESIGN DAY EXCL. DS-ML</t>
  </si>
  <si>
    <t>THROUGHPUT EXCL MLS</t>
  </si>
  <si>
    <t>COMPOSIT OF ALLOC #1 &amp; #4</t>
  </si>
  <si>
    <t>AVERAGE NO. OF CUSTOMERS</t>
  </si>
  <si>
    <t>DIST. PLANT EXCL. ACCTS 375.70,375.71,387</t>
  </si>
  <si>
    <t>TOTAL PLANT ACCOUNT 385</t>
  </si>
  <si>
    <t>TOTAL TAXES OTHER THAN FIT</t>
  </si>
  <si>
    <t>OTHER DIST. EXP - LABOR</t>
  </si>
  <si>
    <t>OTHER DIST. EXP EXCL - M &amp; E</t>
  </si>
  <si>
    <t>O &amp; M EXCL A &amp; G - LABOR</t>
  </si>
  <si>
    <t>O &amp; M EXCL GAS PUR, UNCOL, AND A &amp; G - M&amp;E</t>
  </si>
  <si>
    <t>ACCT 376/380 - MAINS/SERVICES</t>
  </si>
  <si>
    <t xml:space="preserve">DIRECT PLANT ACCT 380 </t>
  </si>
  <si>
    <t xml:space="preserve">DIRECT PLANT ACCTS 381 </t>
  </si>
  <si>
    <t xml:space="preserve">DIRECT PLANT ACCT 385 </t>
  </si>
  <si>
    <t>ACCOUNT 376 MAINS - COMPOSITE/PLANT</t>
  </si>
  <si>
    <t>AVG DEM/COM #5 &amp; CUS/DEM #3</t>
  </si>
  <si>
    <t>OPERATING INCOME BEFORE TAXES (PAGE 24, LINE 3)</t>
  </si>
  <si>
    <t>LESS: RECONCILING ITEMS:</t>
  </si>
  <si>
    <t xml:space="preserve">  IMPUTED INTEREST</t>
  </si>
  <si>
    <t>TOTAL RECONCILING ITEMS</t>
  </si>
  <si>
    <t>TAXABLE INCOME</t>
  </si>
  <si>
    <t>DEFERRED TAXES</t>
  </si>
  <si>
    <t>RECONCILIATION ITEMS:</t>
  </si>
  <si>
    <t>TOTAL DEFERRED INCOME TAX</t>
  </si>
  <si>
    <t>TOTAL KENTUCKY STATE INCOME TAX EXPENSE</t>
  </si>
  <si>
    <t xml:space="preserve">OPERATING REVENUE </t>
  </si>
  <si>
    <t xml:space="preserve">LESS: EXPENSES OTHER THAN FIT </t>
  </si>
  <si>
    <t>OPERATING INCOME BEFORE TAXES</t>
  </si>
  <si>
    <t xml:space="preserve">  BOOK DEPRECIATION</t>
  </si>
  <si>
    <t xml:space="preserve">  KENTUCKY STATE INCOME TAX DEDUCTION </t>
  </si>
  <si>
    <t>DEFERRED INCOME TAXES</t>
  </si>
  <si>
    <t>OTHER TAX DEFERRALS</t>
  </si>
  <si>
    <t>TOTAL OTHER TAX DEFERRALS</t>
  </si>
  <si>
    <t xml:space="preserve">TOTAL FEDERAL INCOME TAX </t>
  </si>
  <si>
    <t>LESS:</t>
  </si>
  <si>
    <t>108-111</t>
  </si>
  <si>
    <t>DEPRECIATION RESERVE [2]</t>
  </si>
  <si>
    <t>NET PLANT</t>
  </si>
  <si>
    <t xml:space="preserve">NET RATE BASE </t>
  </si>
  <si>
    <t xml:space="preserve">PLUS WORKING CAPITAL: </t>
  </si>
  <si>
    <t xml:space="preserve">    CASH WORKING CAPITAL @ 1/8 OF</t>
  </si>
  <si>
    <t xml:space="preserve">    O &amp; M EXCLUDING GAS COST [3]</t>
  </si>
  <si>
    <t>RATE BASE</t>
  </si>
  <si>
    <t>TOTAL REVENUES [1]</t>
  </si>
  <si>
    <t>COST OF GAS</t>
  </si>
  <si>
    <t>OPERATING &amp; MAINTENANCE EXPENSE [2]</t>
  </si>
  <si>
    <t>DEPRECIATION &amp; AMORTIZATION [3]</t>
  </si>
  <si>
    <t>FEDERAL INCOME TAX [4]</t>
  </si>
  <si>
    <t>KENTUCKY STATE INCOME TAX [5]</t>
  </si>
  <si>
    <t>TAXES OTHER THAN INCOME [6]</t>
  </si>
  <si>
    <t>TOTAL EXPENSES &amp; TAXES</t>
  </si>
  <si>
    <t>INTEREST EXPENSE [7]</t>
  </si>
  <si>
    <t>INCOME AVAILABLE FOR COMMON EQUITY</t>
  </si>
  <si>
    <t>RATE BASE [8]</t>
  </si>
  <si>
    <t>RATE OF RETURN EARNED ON RATE BASE</t>
  </si>
  <si>
    <t>UNITIZED RETURN</t>
  </si>
  <si>
    <t xml:space="preserve">TOTAL REVENUES </t>
  </si>
  <si>
    <t xml:space="preserve">OPERATING &amp; MAINTENANCE EXPENSE </t>
  </si>
  <si>
    <t xml:space="preserve">DEPRECIATION &amp; AMORTIZATION </t>
  </si>
  <si>
    <t>FEDERAL INCOME TAX</t>
  </si>
  <si>
    <t>KENTUCKY STATE INCOME TAX</t>
  </si>
  <si>
    <t xml:space="preserve">TAXES OTHER THAN INCOME </t>
  </si>
  <si>
    <t xml:space="preserve">INTEREST EXPENSE </t>
  </si>
  <si>
    <t xml:space="preserve">RATE BASE </t>
  </si>
  <si>
    <t>RATE OF RETURN AUTHORIZED ON RATE BASE</t>
  </si>
  <si>
    <t>PERCENT</t>
  </si>
  <si>
    <t>RETIREMENT WORK IN PROGRESS</t>
  </si>
  <si>
    <t>MISC. SERVICE REVENUE</t>
  </si>
  <si>
    <t>GSR</t>
  </si>
  <si>
    <t>IN4</t>
  </si>
  <si>
    <t>IN5</t>
  </si>
  <si>
    <t>Source:</t>
  </si>
  <si>
    <t>Rate Schedules</t>
  </si>
  <si>
    <t>GRS</t>
  </si>
  <si>
    <t>G1R</t>
  </si>
  <si>
    <t>Customers:</t>
  </si>
  <si>
    <t>LG3</t>
  </si>
  <si>
    <t>LG4</t>
  </si>
  <si>
    <t>Total Bills</t>
  </si>
  <si>
    <t>Avg Customers</t>
  </si>
  <si>
    <t>CAP</t>
  </si>
  <si>
    <t>GTR</t>
  </si>
  <si>
    <t>DS-Smith</t>
  </si>
  <si>
    <t>G1C (Com.)</t>
  </si>
  <si>
    <t>LG2 (Res &amp; Com)</t>
  </si>
  <si>
    <t>IN3 (Res &amp; Com)</t>
  </si>
  <si>
    <t>GSO (Com)</t>
  </si>
  <si>
    <t>GSO (Ind)</t>
  </si>
  <si>
    <t>SC4 (Ind)</t>
  </si>
  <si>
    <t>GTO (Com)</t>
  </si>
  <si>
    <t>GTO (Ind)</t>
  </si>
  <si>
    <t>NOT USED</t>
  </si>
  <si>
    <t>DS1 (Com)</t>
  </si>
  <si>
    <t>DS1 (Ind)</t>
  </si>
  <si>
    <t>DS3 (Ind)</t>
  </si>
  <si>
    <t>FX2 (Ind)</t>
  </si>
  <si>
    <t>FX3 (Com)</t>
  </si>
  <si>
    <t>FX1 (Com)</t>
  </si>
  <si>
    <t>FX4 (Ind)</t>
  </si>
  <si>
    <t>FX5 (Ind)</t>
  </si>
  <si>
    <t>FX6 (Ind)</t>
  </si>
  <si>
    <t>SC2 (Ind)</t>
  </si>
  <si>
    <t>SC3 (Ind)</t>
  </si>
  <si>
    <t>DS (Com)</t>
  </si>
  <si>
    <t>DS (Ind)</t>
  </si>
  <si>
    <t>IUS (Whoesale)</t>
  </si>
  <si>
    <t>Total Sales</t>
  </si>
  <si>
    <t>Total Transportation</t>
  </si>
  <si>
    <t>Volume</t>
  </si>
  <si>
    <t>Total Througput</t>
  </si>
  <si>
    <t>DS3 (Ind) -ML</t>
  </si>
  <si>
    <t>DS5 (Ind) (Sp. Con)</t>
  </si>
  <si>
    <t>Revenue</t>
  </si>
  <si>
    <t>Forfeited discounts</t>
  </si>
  <si>
    <t>Misc. Serv Revenue</t>
  </si>
  <si>
    <t xml:space="preserve">Other </t>
  </si>
  <si>
    <t xml:space="preserve">Total </t>
  </si>
  <si>
    <t>Total Revenue</t>
  </si>
  <si>
    <t>Gas Purchase</t>
  </si>
  <si>
    <t xml:space="preserve"> ACCOUNT TITLE</t>
  </si>
  <si>
    <t>GS-OTHER</t>
  </si>
  <si>
    <t>IUS</t>
  </si>
  <si>
    <t>DS-ML/SC</t>
  </si>
  <si>
    <t>SS COM INT</t>
  </si>
  <si>
    <t>SS IND INT</t>
  </si>
  <si>
    <t>SS IND FIRM</t>
  </si>
  <si>
    <t>SS COM FIRM</t>
  </si>
  <si>
    <t>Total Gas Purchase</t>
  </si>
  <si>
    <t>Design Day</t>
  </si>
  <si>
    <t>Rate Schedule</t>
  </si>
  <si>
    <t>GSO - Comm</t>
  </si>
  <si>
    <t>GSO - Ind.</t>
  </si>
  <si>
    <t>GTO - Comm</t>
  </si>
  <si>
    <t>GTO - Ind</t>
  </si>
  <si>
    <t>DS-ML</t>
  </si>
  <si>
    <t>GSO</t>
  </si>
  <si>
    <t>G1C</t>
  </si>
  <si>
    <t>GST</t>
  </si>
  <si>
    <t>IN3</t>
  </si>
  <si>
    <t>IS</t>
  </si>
  <si>
    <t>LG2</t>
  </si>
  <si>
    <t>GTO</t>
  </si>
  <si>
    <t>FX5</t>
  </si>
  <si>
    <t>SC3</t>
  </si>
  <si>
    <t>DS3</t>
  </si>
  <si>
    <t>FX1</t>
  </si>
  <si>
    <t>FX2</t>
  </si>
  <si>
    <t>%</t>
  </si>
  <si>
    <t>SOURCE - LISTING BY RATE SCHEDUDLE, BY SIZE OF METER.</t>
  </si>
  <si>
    <t>ACCOUNT 381 - METERS</t>
  </si>
  <si>
    <t>ACCOUNT 380 - SERVICES</t>
  </si>
  <si>
    <t>SOURCE - LISTING OF SERVICES BY SIZE AND KIND</t>
  </si>
  <si>
    <t>PU#</t>
  </si>
  <si>
    <t>SIZE</t>
  </si>
  <si>
    <t xml:space="preserve">BOOK </t>
  </si>
  <si>
    <t>COST</t>
  </si>
  <si>
    <t>Rate</t>
  </si>
  <si>
    <t>2" Pipe</t>
  </si>
  <si>
    <t>All Pipe</t>
  </si>
  <si>
    <t>No.</t>
  </si>
  <si>
    <t>GS-Residential</t>
  </si>
  <si>
    <t>GS-Other</t>
  </si>
  <si>
    <t>Customer</t>
  </si>
  <si>
    <t>Ratio</t>
  </si>
  <si>
    <t>Component</t>
  </si>
  <si>
    <t>Factor</t>
  </si>
  <si>
    <t>(1)</t>
  </si>
  <si>
    <t>(2)</t>
  </si>
  <si>
    <t>(3)</t>
  </si>
  <si>
    <t>(5)</t>
  </si>
  <si>
    <t xml:space="preserve">Design </t>
  </si>
  <si>
    <t xml:space="preserve">Day </t>
  </si>
  <si>
    <t>Demand</t>
  </si>
  <si>
    <t>(6)</t>
  </si>
  <si>
    <t>Ln.</t>
  </si>
  <si>
    <t>DESIGN DAY</t>
  </si>
  <si>
    <t>SOURCE - GAS SUPPLY DESGIN DAY STUDY</t>
  </si>
  <si>
    <t xml:space="preserve">GS Customers and included in GS-Other </t>
  </si>
  <si>
    <t>Excluding DS-ML/SC</t>
  </si>
  <si>
    <t>Other</t>
  </si>
  <si>
    <t>Res. - Sales</t>
  </si>
  <si>
    <t>Res - Trans</t>
  </si>
  <si>
    <t>Com. - Sales</t>
  </si>
  <si>
    <t>Com. - Trans</t>
  </si>
  <si>
    <t>Ind. - Sales</t>
  </si>
  <si>
    <t>Ind.-Trans</t>
  </si>
  <si>
    <t xml:space="preserve">  EXCESS OF BOOK OVER TAX DEPRECIATION</t>
  </si>
  <si>
    <t>GAS PURCHASE EXPENSE EX OFF SYST</t>
  </si>
  <si>
    <t>EXCESS OF BOOK OVER TAX S/L</t>
  </si>
  <si>
    <t xml:space="preserve">DESIGN DAY EXCL. INTER. DEMAND TRANS (MCF) </t>
  </si>
  <si>
    <t>Excluding Interruptible Volumes</t>
  </si>
  <si>
    <t>Interruptible Demand</t>
  </si>
  <si>
    <t>Total Interruptible</t>
  </si>
  <si>
    <t>Exluding Interruptible Demand</t>
  </si>
  <si>
    <t>3"</t>
  </si>
  <si>
    <t>+</t>
  </si>
  <si>
    <t>Customer Component</t>
  </si>
  <si>
    <t>TRANSPORTATION</t>
  </si>
  <si>
    <t>GAS COSTS</t>
  </si>
  <si>
    <t>RATE OF RETURN BY RATE SCHEDULE - @ PROPOSED RATES</t>
  </si>
  <si>
    <t>MISC. INTANGIBLE PLANT</t>
  </si>
  <si>
    <t>OTHER SOFTWARE</t>
  </si>
  <si>
    <t>FORFEITED DISCOUNTS</t>
  </si>
  <si>
    <t>DISTRIBUTION EXPENSE ALLOCATION - LABOR</t>
  </si>
  <si>
    <t>DISTRIBUTION EXPENSE ALLOCATION - M &amp; E</t>
  </si>
  <si>
    <t>TAXES BASED ON PROPERTY</t>
  </si>
  <si>
    <t>OTHER TAXES</t>
  </si>
  <si>
    <t>FEDERAL INCOME TAXES</t>
  </si>
  <si>
    <t>RATE BASE SUMMARY</t>
  </si>
  <si>
    <t xml:space="preserve">                [3] TOTAL O &amp; M EXPENSE</t>
  </si>
  <si>
    <t xml:space="preserve">       LESS: COST OF GAS </t>
  </si>
  <si>
    <t xml:space="preserve">       O &amp; M EXCL. GAS COST</t>
  </si>
  <si>
    <t>ALLOCATION FACTORS</t>
  </si>
  <si>
    <t>RATE OF RETURN BY CLASS - @ CURRENT RATES</t>
  </si>
  <si>
    <t>GROSS DISTRIBUTION &amp; GENERAL PLANT DEPRECIATION EXPENSE</t>
  </si>
  <si>
    <t>Columbia Gas of Kentucky, Inc.</t>
  </si>
  <si>
    <t>Average Number of Customers</t>
  </si>
  <si>
    <t>Columbia Gas of Kentucky, Inc,</t>
  </si>
  <si>
    <t>Throughput</t>
  </si>
  <si>
    <t>Gas Purchases</t>
  </si>
  <si>
    <t>M-2.3</t>
  </si>
  <si>
    <t>INCREASE</t>
  </si>
  <si>
    <t>CUSTOMER-DEMAND</t>
  </si>
  <si>
    <t>DS-IS (Com)</t>
  </si>
  <si>
    <t>DS-IS (Ind)</t>
  </si>
  <si>
    <t>DS-GS (Com)</t>
  </si>
  <si>
    <t>DS-GS (Ind)</t>
  </si>
  <si>
    <t>FX7 (Ind)</t>
  </si>
  <si>
    <t>SAS (Ind)</t>
  </si>
  <si>
    <t>IS INT COM</t>
  </si>
  <si>
    <t>IS  INT IND</t>
  </si>
  <si>
    <t>GST GS FALLBACK COM</t>
  </si>
  <si>
    <t>GST GS FALLBACK IND</t>
  </si>
  <si>
    <t>IS INT IND</t>
  </si>
  <si>
    <t>IS Ind.</t>
  </si>
  <si>
    <t>IS - Com.</t>
  </si>
  <si>
    <t>IS - Ind.</t>
  </si>
  <si>
    <t>SS - Com.</t>
  </si>
  <si>
    <t>SS - Ind.</t>
  </si>
  <si>
    <t>DS- IS - Com</t>
  </si>
  <si>
    <t>DS-IS - Ind</t>
  </si>
  <si>
    <t>FX7</t>
  </si>
  <si>
    <t>SAS</t>
  </si>
  <si>
    <t>AMORTIZATION OF EXCESS ADIT-FEDERAL</t>
  </si>
  <si>
    <t>AMORTIZATION OF EXCESS ADIT-STATE</t>
  </si>
  <si>
    <t>2" MINIMUM SYSTEM CALCULATION</t>
  </si>
  <si>
    <t>Qty</t>
  </si>
  <si>
    <t>Amount</t>
  </si>
  <si>
    <t>Total 2 " Pipe</t>
  </si>
  <si>
    <t>Total All Pipe</t>
  </si>
  <si>
    <t>Cost - 2" Pipe</t>
  </si>
  <si>
    <t>Quantity - 2" Pipe</t>
  </si>
  <si>
    <t>Unit Cost - 2" Pipe</t>
  </si>
  <si>
    <t>Quantity - All Pipe</t>
  </si>
  <si>
    <t>x</t>
  </si>
  <si>
    <t>Cost Minimum System</t>
  </si>
  <si>
    <t>Cost - All Pipe</t>
  </si>
  <si>
    <t>Demand Component</t>
  </si>
  <si>
    <t>Total Increase</t>
  </si>
  <si>
    <t>GDS-GS (Com)</t>
  </si>
  <si>
    <t>GDS-GS (Ind)</t>
  </si>
  <si>
    <t>M-2.2 (Page 1 of 38)</t>
  </si>
  <si>
    <t>GDS (Com)</t>
  </si>
  <si>
    <t>GDS (Ind)</t>
  </si>
  <si>
    <t>TR EQ - TRAILER &gt; $1,000</t>
  </si>
  <si>
    <t>TR EQ - TRAILER &lt; $1,000</t>
  </si>
  <si>
    <t>STORES EQUIPMENT</t>
  </si>
  <si>
    <t>DS/IS</t>
  </si>
  <si>
    <t>INFO. &amp; INSTRUCTIONAL</t>
  </si>
  <si>
    <t>GDS</t>
  </si>
  <si>
    <t>DS</t>
  </si>
  <si>
    <t>GSR / GTR</t>
  </si>
  <si>
    <t>DS- Ind.</t>
  </si>
  <si>
    <t>GDS - Comm</t>
  </si>
  <si>
    <t>GDS - Ind</t>
  </si>
  <si>
    <t>DS - Comm.</t>
  </si>
  <si>
    <t>GDS Com.</t>
  </si>
  <si>
    <t>GDS Ind.</t>
  </si>
  <si>
    <t>DELAYED PAY</t>
  </si>
  <si>
    <t>WEIGHTED EMBEDDED COST OF CAPITAL:</t>
  </si>
  <si>
    <t>DEVEOPMENT OF CUSTOMER/DEMAND ALLOCATION -FACTOR 3</t>
  </si>
  <si>
    <t>IS Customers and included in DS/IS</t>
  </si>
  <si>
    <t>Proposed Base Revenue</t>
  </si>
  <si>
    <t>Line</t>
  </si>
  <si>
    <t>Reference</t>
  </si>
  <si>
    <t>($)</t>
  </si>
  <si>
    <t>Schedule M-2.1</t>
  </si>
  <si>
    <t>Test Year Revenue Subject to Late Payment Penalties:</t>
  </si>
  <si>
    <t>LG&amp;E Commercial</t>
  </si>
  <si>
    <t>General Service - Commercial</t>
  </si>
  <si>
    <t>General Service - Industrial</t>
  </si>
  <si>
    <t>Intrastate Utility Service - Wholesale</t>
  </si>
  <si>
    <t>GTS Choice - Commercial</t>
  </si>
  <si>
    <t>GTS Choice - Industrial</t>
  </si>
  <si>
    <t>GTS Delivery Service - Commercial</t>
  </si>
  <si>
    <t>GTS Delivery Service - Industrial</t>
  </si>
  <si>
    <t>GTS Grandfathered Delivery Service - Commercial</t>
  </si>
  <si>
    <t>GTS Grandfathered Delivery Service - Industrial</t>
  </si>
  <si>
    <t>GTS Main Line Service - Industrial</t>
  </si>
  <si>
    <t>GTS Flex Rate - Commercial</t>
  </si>
  <si>
    <t>GTS Flex Rate - Industrial</t>
  </si>
  <si>
    <t>GTS Special Rate - Industrial</t>
  </si>
  <si>
    <t>Proposed Revenue Subject to Late Payment Penalties:</t>
  </si>
  <si>
    <t>GSR/GTR Residential</t>
  </si>
  <si>
    <t>MPB-6 Page 1</t>
  </si>
  <si>
    <t>GSO/GTO/GDS</t>
  </si>
  <si>
    <t xml:space="preserve"> Columbia Gas of Kentucky, Inc.</t>
  </si>
  <si>
    <t>Late</t>
  </si>
  <si>
    <t>Payment</t>
  </si>
  <si>
    <t>Summary</t>
  </si>
  <si>
    <t>GS-RES</t>
  </si>
  <si>
    <t>Proposed Account 487 Allocation</t>
  </si>
  <si>
    <t>Current Account 487 Allocation</t>
  </si>
  <si>
    <t>DS/SAS</t>
  </si>
  <si>
    <t>M &amp; E - (PAGES 17 - 19) Total Amounts to get M&amp;E</t>
  </si>
  <si>
    <t>Account 385 - DIS Records</t>
  </si>
  <si>
    <t>Tariff</t>
  </si>
  <si>
    <t>GTS</t>
  </si>
  <si>
    <t>Station</t>
  </si>
  <si>
    <t>Taxing</t>
  </si>
  <si>
    <t>Co</t>
  </si>
  <si>
    <t>PCID</t>
  </si>
  <si>
    <t>PSID</t>
  </si>
  <si>
    <t>Number</t>
  </si>
  <si>
    <t>District</t>
  </si>
  <si>
    <t>Name</t>
  </si>
  <si>
    <t>IST</t>
  </si>
  <si>
    <t>Amt</t>
  </si>
  <si>
    <t>Billing</t>
  </si>
  <si>
    <t>Class</t>
  </si>
  <si>
    <t>Cost</t>
  </si>
  <si>
    <t>Percent</t>
  </si>
  <si>
    <t>N/A</t>
  </si>
  <si>
    <t>TOTAL BEFORE DS-ML/SC</t>
  </si>
  <si>
    <t>GS-RESIDENTIAL</t>
  </si>
  <si>
    <t>Plant</t>
  </si>
  <si>
    <t>Accounting</t>
  </si>
  <si>
    <t>Case</t>
  </si>
  <si>
    <t>BLANK</t>
  </si>
  <si>
    <t>UNDER 3"</t>
  </si>
  <si>
    <t>2" &amp; UNDER</t>
  </si>
  <si>
    <t>1"</t>
  </si>
  <si>
    <t>2"</t>
  </si>
  <si>
    <t>1/2"</t>
  </si>
  <si>
    <t>5/8"</t>
  </si>
  <si>
    <t>3/4"</t>
  </si>
  <si>
    <t>7/8"</t>
  </si>
  <si>
    <t>1-1/4"</t>
  </si>
  <si>
    <t>1-3/8"</t>
  </si>
  <si>
    <t>1-1/2"</t>
  </si>
  <si>
    <t>1-5/8"</t>
  </si>
  <si>
    <t>1-3/4"</t>
  </si>
  <si>
    <t>2-3/8"</t>
  </si>
  <si>
    <t>2-1/2"</t>
  </si>
  <si>
    <t>3-1/8"</t>
  </si>
  <si>
    <t>3-1/2"</t>
  </si>
  <si>
    <t>4"</t>
  </si>
  <si>
    <t>4-1/4"</t>
  </si>
  <si>
    <t>4-1/2"</t>
  </si>
  <si>
    <t>4-5/8"</t>
  </si>
  <si>
    <t>5"</t>
  </si>
  <si>
    <t>5-3/16"</t>
  </si>
  <si>
    <t>6"</t>
  </si>
  <si>
    <t>6-5/8"</t>
  </si>
  <si>
    <t>7"</t>
  </si>
  <si>
    <t>7-1/2"</t>
  </si>
  <si>
    <t>8"</t>
  </si>
  <si>
    <t>8-5/8"</t>
  </si>
  <si>
    <t>10"</t>
  </si>
  <si>
    <t>10-1/8"</t>
  </si>
  <si>
    <t>10-1/4"</t>
  </si>
  <si>
    <t>11"</t>
  </si>
  <si>
    <t>11-1/8"</t>
  </si>
  <si>
    <t>11-1/4"</t>
  </si>
  <si>
    <t>12"</t>
  </si>
  <si>
    <t>12-1/2"</t>
  </si>
  <si>
    <t>14"</t>
  </si>
  <si>
    <t>15-3/8"</t>
  </si>
  <si>
    <t>16"</t>
  </si>
  <si>
    <t>18"</t>
  </si>
  <si>
    <t>20"</t>
  </si>
  <si>
    <t>20-1/2"</t>
  </si>
  <si>
    <t>22"</t>
  </si>
  <si>
    <t>24"</t>
  </si>
  <si>
    <t>Account 380 - Services</t>
  </si>
  <si>
    <t>PUN</t>
  </si>
  <si>
    <t>Desc</t>
  </si>
  <si>
    <t>Size</t>
  </si>
  <si>
    <t>SERV MAINS</t>
  </si>
  <si>
    <t>VALVES</t>
  </si>
  <si>
    <t>SERV MAIN/CURB</t>
  </si>
  <si>
    <t>SERV MAIN/METER</t>
  </si>
  <si>
    <t>SERV CURB/METER</t>
  </si>
  <si>
    <t>AVG</t>
  </si>
  <si>
    <t>UNIT</t>
  </si>
  <si>
    <t>QUANTITY</t>
  </si>
  <si>
    <t>TOTAL ACCOUNT 380</t>
  </si>
  <si>
    <t>SUMMARY BY SIZE</t>
  </si>
  <si>
    <t>Check Total</t>
  </si>
  <si>
    <t>Master Code Summation Statisctics</t>
  </si>
  <si>
    <t>Master Tap Codes</t>
  </si>
  <si>
    <t>RATE</t>
  </si>
  <si>
    <t>PIPE</t>
  </si>
  <si>
    <t>Pipe Size</t>
  </si>
  <si>
    <t>NAME</t>
  </si>
  <si>
    <t>SCHEDULE</t>
  </si>
  <si>
    <t>Description</t>
  </si>
  <si>
    <t>Classification</t>
  </si>
  <si>
    <t>P</t>
  </si>
  <si>
    <t>S</t>
  </si>
  <si>
    <t>INVALID</t>
  </si>
  <si>
    <t>KEY</t>
  </si>
  <si>
    <t>AVG UNIT COST</t>
  </si>
  <si>
    <t>RESIDENTIAL</t>
  </si>
  <si>
    <t>010</t>
  </si>
  <si>
    <t>012</t>
  </si>
  <si>
    <t>000</t>
  </si>
  <si>
    <t>UNCLASSIFIED</t>
  </si>
  <si>
    <t>001</t>
  </si>
  <si>
    <t>003</t>
  </si>
  <si>
    <t>005</t>
  </si>
  <si>
    <t>007</t>
  </si>
  <si>
    <t>015</t>
  </si>
  <si>
    <t>020</t>
  </si>
  <si>
    <t>030</t>
  </si>
  <si>
    <t>035</t>
  </si>
  <si>
    <t>040</t>
  </si>
  <si>
    <t>050</t>
  </si>
  <si>
    <t>080</t>
  </si>
  <si>
    <t>480</t>
  </si>
  <si>
    <t>025</t>
  </si>
  <si>
    <t>COMMERCIAL</t>
  </si>
  <si>
    <t>060</t>
  </si>
  <si>
    <t>002</t>
  </si>
  <si>
    <t>INDUSTRIAL</t>
  </si>
  <si>
    <t>016</t>
  </si>
  <si>
    <t>ELECTRIC GEN</t>
  </si>
  <si>
    <t>UNKNOWN</t>
  </si>
  <si>
    <t>AMOUNT</t>
  </si>
  <si>
    <t>CUSTOMER</t>
  </si>
  <si>
    <t>GROSS INTANGIBLE, PRODUCTION,  &amp; DIST. PLANT ALLOC.</t>
  </si>
  <si>
    <t>GROSS DISTRIBUTION &amp; GENERAL PLANT ALLOCATION</t>
  </si>
  <si>
    <t>101 &amp; 106 GROSS PLANT [1]</t>
  </si>
  <si>
    <t>EFFECTIVE INCOME TAX RATE</t>
  </si>
  <si>
    <t xml:space="preserve">CUSTOMER COMPONENT-MAINS </t>
  </si>
  <si>
    <t>TOTAL COMPANY</t>
  </si>
  <si>
    <t>CLASSIFICATION</t>
  </si>
  <si>
    <t>COMMODITY</t>
  </si>
  <si>
    <t>DEMAND</t>
  </si>
  <si>
    <t>REFERENCE</t>
  </si>
  <si>
    <t>DIRECT SERVICES</t>
  </si>
  <si>
    <t>CUSTOMER CHARGE REVENUE</t>
  </si>
  <si>
    <t>CUSTOMER RELATED</t>
  </si>
  <si>
    <t>COMMODITY RELATED</t>
  </si>
  <si>
    <t>DEMAND RELATED</t>
  </si>
  <si>
    <t>GROSS CONVERSION FACTOR</t>
  </si>
  <si>
    <t>LESS: UNCOLLECTIBLE ACCOUNTS EXPENSE</t>
  </si>
  <si>
    <t>LESS: PSC FEES</t>
  </si>
  <si>
    <t>NET REVENUES</t>
  </si>
  <si>
    <t>STATE INCOME TAX</t>
  </si>
  <si>
    <t>INCOME BEFORE FEDERAL INCOME TAX</t>
  </si>
  <si>
    <t>OPERATING INCOME PERCENTAGE</t>
  </si>
  <si>
    <t>GROSS REVENUE CONVERSION FACTOR</t>
  </si>
  <si>
    <t>(100 % DIVIDED BY INCOME AFTER INCOME TAX)</t>
  </si>
  <si>
    <t>AVERAGE ANNUAL CUSTOMERS</t>
  </si>
  <si>
    <t>MONTHLY CUSTOMER BASED COST [1]</t>
  </si>
  <si>
    <t>RATE OF RETURN BY RATE SCHEDULE - @ AUTHORIZED RETURN</t>
  </si>
  <si>
    <t>RATE OF RETURN BY RATE SCHEDULE - @ PROPOSED REVENUE</t>
  </si>
  <si>
    <t>PROPOSED INCREASE</t>
  </si>
  <si>
    <t xml:space="preserve">TOTAL PROPOSED REVENUES </t>
  </si>
  <si>
    <t>FEBRUARY 29, 2016</t>
  </si>
  <si>
    <t>12/31/17</t>
  </si>
  <si>
    <t>FORECASTED TEST YEAR - ORIGINAL FILING</t>
  </si>
  <si>
    <t>C. NOTESTONE</t>
  </si>
  <si>
    <t>12/31/2017</t>
  </si>
  <si>
    <t>DEMAND-COMMODITY</t>
  </si>
  <si>
    <t>Attachment</t>
  </si>
  <si>
    <t>Study</t>
  </si>
  <si>
    <t>Allocation Basis</t>
  </si>
  <si>
    <t>TME DECEMBER 31, 2017</t>
  </si>
  <si>
    <t>AS OF FEBRUARY 29, 2016</t>
  </si>
  <si>
    <t>As of February 29, 2016</t>
  </si>
  <si>
    <t xml:space="preserve">CINTAS CORPORATION               </t>
  </si>
  <si>
    <t xml:space="preserve">UK REAL ESTATE SERVICES          </t>
  </si>
  <si>
    <t xml:space="preserve">UNIVERSITY OF KENTUCKY           </t>
  </si>
  <si>
    <t xml:space="preserve">SOUTHERLANDS GREENHOUSES INC     </t>
  </si>
  <si>
    <t xml:space="preserve">MOUNTAIN ENTERPRISES INC         </t>
  </si>
  <si>
    <t xml:space="preserve">KNOTT COUNTY HOUSING AUTHORITY   </t>
  </si>
  <si>
    <t xml:space="preserve">HINDMAN SETTLEMENT SCHOOL        </t>
  </si>
  <si>
    <t xml:space="preserve">FLOYD COUNTY BOARD OF EDUCATION  </t>
  </si>
  <si>
    <t xml:space="preserve">PEPSI COLA EAST                  </t>
  </si>
  <si>
    <t xml:space="preserve">AVANTOR PERFORMANCE MATERIAL     </t>
  </si>
  <si>
    <t xml:space="preserve">CENTRAL MOTOR WHEEL OF AMERICA   </t>
  </si>
  <si>
    <t xml:space="preserve">CENTRAL MANUFACTURING            </t>
  </si>
  <si>
    <t xml:space="preserve">WALD LLC                         </t>
  </si>
  <si>
    <t xml:space="preserve">EMERSUB 15  LLC                  </t>
  </si>
  <si>
    <t xml:space="preserve">SOUTHERN STATES COOP INC FEED ML </t>
  </si>
  <si>
    <t xml:space="preserve">OSRAM SYLVANIA                   </t>
  </si>
  <si>
    <t xml:space="preserve">CONTECH ENGINEERED SOLUTIONS LLC </t>
  </si>
  <si>
    <t xml:space="preserve">A O SMITH CORP                   </t>
  </si>
  <si>
    <t xml:space="preserve">THE WALKER COMPANY               </t>
  </si>
  <si>
    <t xml:space="preserve">UNITED L-N GLASS INC             </t>
  </si>
  <si>
    <t xml:space="preserve">INTERNATIONAL PAPER              </t>
  </si>
  <si>
    <t xml:space="preserve">SAINT JOSEPH EAST HOSPITAL       </t>
  </si>
  <si>
    <t xml:space="preserve">LINK-BELT CONSTRUCTION EQUIPMENT </t>
  </si>
  <si>
    <t xml:space="preserve">DEPARTMENT OF VETERANS AFFAIRS   </t>
  </si>
  <si>
    <t xml:space="preserve">HOUSING AUTHORITY OF VERSAILLES  </t>
  </si>
  <si>
    <t xml:space="preserve">INGERSOLL-RAND COMPANY           </t>
  </si>
  <si>
    <t xml:space="preserve">TRANSYLVANIA UNIVERSITY          </t>
  </si>
  <si>
    <t xml:space="preserve">SQUARE D CO INC                  </t>
  </si>
  <si>
    <t xml:space="preserve">SHRINERS HOSPITAL                </t>
  </si>
  <si>
    <t xml:space="preserve">SAINT JOSEPH HOSPITAL            </t>
  </si>
  <si>
    <t xml:space="preserve">QUADGRAPHICS                     </t>
  </si>
  <si>
    <t xml:space="preserve">THE J M SMUCKER CO               </t>
  </si>
  <si>
    <t xml:space="preserve">FEDERAL MEDICAL CENTER           </t>
  </si>
  <si>
    <t xml:space="preserve">MIDWAY COLLEGE                   </t>
  </si>
  <si>
    <t xml:space="preserve">ARATEX SERVICES INC              </t>
  </si>
  <si>
    <t xml:space="preserve">LEX-FAY URBAN COUNTY AIRPORT     </t>
  </si>
  <si>
    <t xml:space="preserve">LEXINGTON CENTER CORPORATION     </t>
  </si>
  <si>
    <t xml:space="preserve">L-M ASPHALT PARTNERS LTD         </t>
  </si>
  <si>
    <t xml:space="preserve">KENTUCKY UTILITIES CO INC        </t>
  </si>
  <si>
    <t xml:space="preserve">LEX-FAY URBAN COUNTY GOVERNMENT  </t>
  </si>
  <si>
    <t xml:space="preserve">KEENELAND ASSOCIATION INC        </t>
  </si>
  <si>
    <t xml:space="preserve">LEXMARK INTERNATIONAL INC        </t>
  </si>
  <si>
    <t xml:space="preserve">G F VAUGHAN TOBACCO CO INC       </t>
  </si>
  <si>
    <t xml:space="preserve">G E COMPANY LEX PLP PLANT        </t>
  </si>
  <si>
    <t>PRESTRESS SERVICES INDUSTRIES LLC</t>
  </si>
  <si>
    <t>FAYETTE COUNTY BOARD OF EDUCATION</t>
  </si>
  <si>
    <t xml:space="preserve">DIXIE CONSUMER PRODUCTS LLC      </t>
  </si>
  <si>
    <t xml:space="preserve">CENTRAL BAPTIST HOSPITAL INC     </t>
  </si>
  <si>
    <t xml:space="preserve">JOHNSON CONTROLS INC             </t>
  </si>
  <si>
    <t xml:space="preserve">GEORGETOWN COLLEGE               </t>
  </si>
  <si>
    <t xml:space="preserve">TOYOTA MOTOR MFG  KENTUCKY       </t>
  </si>
  <si>
    <t>WESTERN PACIFIC STORAGE SOLUTIONS</t>
  </si>
  <si>
    <t xml:space="preserve">AMERICAN WIRE PRODUCTS           </t>
  </si>
  <si>
    <t xml:space="preserve">BUFFALO TRACE DISTILLERY INC     </t>
  </si>
  <si>
    <t xml:space="preserve">KINGS DAUGHTERS APARTMENTS       </t>
  </si>
  <si>
    <t xml:space="preserve">FRANKFORT HOSPITAL  INC.         </t>
  </si>
  <si>
    <t xml:space="preserve">FRANKFORT MUNICIPAL              </t>
  </si>
  <si>
    <t xml:space="preserve">COMMONWEALTH OF KENTUCKY         </t>
  </si>
  <si>
    <t xml:space="preserve">TOPY CORP                        </t>
  </si>
  <si>
    <t xml:space="preserve">MINNESOTA MINING &amp; MANUFACTURING </t>
  </si>
  <si>
    <t xml:space="preserve">SOLUTION DISPERSIONS             </t>
  </si>
  <si>
    <t xml:space="preserve">TI GROUP AUTOMOTIVE SYSTEMS LLC  </t>
  </si>
  <si>
    <t xml:space="preserve">PREGIS INNOVATIVE PACKAGING      </t>
  </si>
  <si>
    <t xml:space="preserve">HUNTINGTON ALLOYS CORPORATION    </t>
  </si>
  <si>
    <t xml:space="preserve">CALGON CARBON CORP               </t>
  </si>
  <si>
    <t xml:space="preserve">BRUCE APARTMENTS                 </t>
  </si>
  <si>
    <t xml:space="preserve">E I DU PONT DE NEMOURS           </t>
  </si>
  <si>
    <t xml:space="preserve">MARKWEST ENERGY APPALACHIA LLC   </t>
  </si>
  <si>
    <t xml:space="preserve">CSX TRANS.-24729                 </t>
  </si>
  <si>
    <t xml:space="preserve">HARBISON WALKER INTERNATIONAL    </t>
  </si>
  <si>
    <t xml:space="preserve">MARATHON ASHLAND PETROLEUM LLC   </t>
  </si>
  <si>
    <t xml:space="preserve">APPALACHIAN REGIONAL HEALTHCARE  </t>
  </si>
  <si>
    <t xml:space="preserve">AK STEEL CORPORATION             </t>
  </si>
  <si>
    <t xml:space="preserve">EVERBURN MANUFACTURING INC       </t>
  </si>
  <si>
    <t xml:space="preserve">HARDIN STREET MARINE LLC         </t>
  </si>
  <si>
    <t xml:space="preserve">JIM BEAM BRANDS COMPANY          </t>
  </si>
  <si>
    <t xml:space="preserve">KINGS DAUGHTERS MEDICAL CENTER   </t>
  </si>
  <si>
    <t xml:space="preserve">MANSBACK METAL CO                </t>
  </si>
  <si>
    <t xml:space="preserve">OSRAM SYLVANIA INC               </t>
  </si>
  <si>
    <t xml:space="preserve">AICHI FORGE USA  INC             </t>
  </si>
  <si>
    <t xml:space="preserve">SONOCO PRODUCTS CO               </t>
  </si>
  <si>
    <t xml:space="preserve">BROWN FORMAN CORPORATION         </t>
  </si>
  <si>
    <t xml:space="preserve">H G MAYS CORP                    </t>
  </si>
  <si>
    <t xml:space="preserve">HOTWORK USA LLC                  </t>
  </si>
  <si>
    <t xml:space="preserve">MARATHON PETROLEUM COMPANY LLC   </t>
  </si>
  <si>
    <t xml:space="preserve">MONTAPLAST OF NORTH AMERICA INC  </t>
  </si>
  <si>
    <t xml:space="preserve">VOJECARO PROPERTIES LLC          </t>
  </si>
  <si>
    <t xml:space="preserve">PEOPLES GAS INC                  </t>
  </si>
  <si>
    <t xml:space="preserve">KES ACQUISITION COMPANY          </t>
  </si>
  <si>
    <t xml:space="preserve">KENTUCKY INDUSTRIAL COATINGS LLC </t>
  </si>
  <si>
    <t xml:space="preserve">KENTUCKY HEAT TREATING CO        </t>
  </si>
  <si>
    <t xml:space="preserve">ATS ASPHALT TERMINAL LLC         </t>
  </si>
  <si>
    <t xml:space="preserve">KENTUCKY SMELTING TECHNOLOGIES   </t>
  </si>
  <si>
    <t xml:space="preserve">PROGRESS RAIL RACELAND CORPO     </t>
  </si>
  <si>
    <t xml:space="preserve">SEKISUI S-LEC AMERICA LLC        </t>
  </si>
  <si>
    <t>UK HEALTHCARE GOOD SAMARITAN HOSP</t>
  </si>
  <si>
    <t xml:space="preserve">CATALENT PHARMA SOLUTIONS        </t>
  </si>
  <si>
    <t xml:space="preserve">BEN TIRE DISTRIBUTERS            </t>
  </si>
  <si>
    <t xml:space="preserve">ALLTECH INC.                     </t>
  </si>
  <si>
    <t xml:space="preserve">HINKLE CONTRACTING COMPANY LLC   </t>
  </si>
  <si>
    <t xml:space="preserve">COLOR POINT LLC                  </t>
  </si>
  <si>
    <t xml:space="preserve">UPS FUEL SERVICES                </t>
  </si>
  <si>
    <t/>
  </si>
  <si>
    <t>index</t>
  </si>
  <si>
    <t xml:space="preserve">RATE </t>
  </si>
  <si>
    <t xml:space="preserve">CASE </t>
  </si>
  <si>
    <t>Subtotal</t>
  </si>
  <si>
    <t>Unknown</t>
  </si>
  <si>
    <t>Total 380</t>
  </si>
  <si>
    <t>Total Exc/. DS-ML</t>
  </si>
  <si>
    <t>Total Excl. DS-ML</t>
  </si>
  <si>
    <t>For the Twelve Months Ended December 31, 2017</t>
  </si>
  <si>
    <t>For the 12 Months Ended December 31, 2017</t>
  </si>
  <si>
    <t>GSR/GTR</t>
  </si>
  <si>
    <t>Residential</t>
  </si>
  <si>
    <t xml:space="preserve">M-2.1 </t>
  </si>
  <si>
    <t>M-2.2</t>
  </si>
  <si>
    <t>TOOLS,SHOP, &amp; GAR EQ-UND TANK CLEANUP</t>
  </si>
  <si>
    <t>Development of Factor 21 - Uncollectibles</t>
  </si>
  <si>
    <t>For TME February 28, 2016</t>
  </si>
  <si>
    <t>Net Charge-Offs</t>
  </si>
  <si>
    <t>Commercial</t>
  </si>
  <si>
    <t>Industrial</t>
  </si>
  <si>
    <t>Customer Class</t>
  </si>
  <si>
    <t>Total Company</t>
  </si>
  <si>
    <t>% Residential</t>
  </si>
  <si>
    <t>% Commercial &amp; Industrial</t>
  </si>
  <si>
    <t>Residential Customers</t>
  </si>
  <si>
    <t>Commercial &amp; Industrial Customers</t>
  </si>
  <si>
    <t>Factor 21</t>
  </si>
  <si>
    <t>UNCOLLECTIBLES</t>
  </si>
  <si>
    <t>Commodity</t>
  </si>
  <si>
    <t>Allocation Factor</t>
  </si>
  <si>
    <t>Classfication Allocations</t>
  </si>
  <si>
    <t>Classification Basis</t>
  </si>
  <si>
    <t>AVERAGE C/D &amp; D/C</t>
  </si>
  <si>
    <t>7DC</t>
  </si>
  <si>
    <t>7CD</t>
  </si>
  <si>
    <t>7AVG</t>
  </si>
  <si>
    <t>DIST. PLANT EXCL. ACCTS 375.70,375.71,387 - C/D</t>
  </si>
  <si>
    <t>DIST. PLANT EXCL. ACCTS 375.70,375.71,387 - D/C</t>
  </si>
  <si>
    <t>DIST. PLANT EXCL. ACCTS 375.70,375.71,387 - AVG</t>
  </si>
  <si>
    <t>10CD</t>
  </si>
  <si>
    <t>10DC</t>
  </si>
  <si>
    <t>10AVG</t>
  </si>
  <si>
    <t>11CD</t>
  </si>
  <si>
    <t>11DC</t>
  </si>
  <si>
    <t>11AVG</t>
  </si>
  <si>
    <t>12CD</t>
  </si>
  <si>
    <t>12DC</t>
  </si>
  <si>
    <t>12AVG</t>
  </si>
  <si>
    <t>13CD</t>
  </si>
  <si>
    <t>13DC</t>
  </si>
  <si>
    <t>13AVG</t>
  </si>
  <si>
    <t>14CD</t>
  </si>
  <si>
    <t>14DC</t>
  </si>
  <si>
    <t>14AVG</t>
  </si>
  <si>
    <t>18CD</t>
  </si>
  <si>
    <t>18DC</t>
  </si>
  <si>
    <t>18AVG</t>
  </si>
  <si>
    <t>19CD</t>
  </si>
  <si>
    <t>19DC</t>
  </si>
  <si>
    <t>19AVG</t>
  </si>
  <si>
    <t>7CUST</t>
  </si>
  <si>
    <t>10CUST</t>
  </si>
  <si>
    <t>11CUST</t>
  </si>
  <si>
    <t>12CUST</t>
  </si>
  <si>
    <t>13CUST</t>
  </si>
  <si>
    <t>14CUST</t>
  </si>
  <si>
    <t>18CUST</t>
  </si>
  <si>
    <t>19CUST</t>
  </si>
  <si>
    <t>7COMM</t>
  </si>
  <si>
    <t>10COMM</t>
  </si>
  <si>
    <t>11COMM</t>
  </si>
  <si>
    <t>12COMM</t>
  </si>
  <si>
    <t>13COMM</t>
  </si>
  <si>
    <t>14COMM</t>
  </si>
  <si>
    <t>18COMM</t>
  </si>
  <si>
    <t>19COMM</t>
  </si>
  <si>
    <t xml:space="preserve">  DEMAND  ALLOCATION FACTOR TABLE                    </t>
  </si>
  <si>
    <t xml:space="preserve">    COMMODITY ALLOCATION FACTOR TABLE                    </t>
  </si>
  <si>
    <t xml:space="preserve">  CUSTOMER  ALLOCATION FACTOR TABLE                    </t>
  </si>
  <si>
    <t>7DEM</t>
  </si>
  <si>
    <t>10DEM</t>
  </si>
  <si>
    <t>11DEM</t>
  </si>
  <si>
    <t>12DEM</t>
  </si>
  <si>
    <t>13DEM</t>
  </si>
  <si>
    <t>14DEM</t>
  </si>
  <si>
    <t>18DEM</t>
  </si>
  <si>
    <t>19DEM</t>
  </si>
  <si>
    <t>COMMODITY CHARGE REVENUE</t>
  </si>
  <si>
    <t>DEMAND CHARGE REVENUE</t>
  </si>
  <si>
    <t>FX2 (Com)</t>
  </si>
  <si>
    <t>487 Increase</t>
  </si>
  <si>
    <t>Computation of Pre-Tax Rate of Return Rate</t>
  </si>
  <si>
    <t>Weighted Cost of Debt</t>
  </si>
  <si>
    <t>Weighted Cost of Equity</t>
  </si>
  <si>
    <t>Gross Conversion Factor</t>
  </si>
  <si>
    <t>Federal and State Income Tax ((Line 2 X Line 3) - Line 2)</t>
  </si>
  <si>
    <t>Total Return &amp; Tax (Line 1 + Line 2 + Line 4)</t>
  </si>
  <si>
    <t>Proof:</t>
  </si>
  <si>
    <t>Return (Line 5)</t>
  </si>
  <si>
    <t>Interest (Line 2)</t>
  </si>
  <si>
    <t>State Income Tax Base (Line 7 - Line 8)</t>
  </si>
  <si>
    <t>State Tax Rate</t>
  </si>
  <si>
    <t>State Income Tax (Line 9 X Line 10)</t>
  </si>
  <si>
    <t>Federal Income Tax Base Line 9 - (Line 9 - Line 11)</t>
  </si>
  <si>
    <t>Federal Tax Rate</t>
  </si>
  <si>
    <t>Federal Income Tax (Line 12 X Line 13)</t>
  </si>
  <si>
    <t>Equity Return (Line 9 - Line 11 - Line 14)</t>
  </si>
  <si>
    <t>CAPITAL STRUCTURE</t>
  </si>
  <si>
    <t>WORKPAPER</t>
  </si>
  <si>
    <t>WEIGHTED</t>
  </si>
  <si>
    <t>CLASS OF CAPITAL</t>
  </si>
  <si>
    <t>OF TOTAL</t>
  </si>
  <si>
    <t>COST RATE</t>
  </si>
  <si>
    <t>(F=D*E)</t>
  </si>
  <si>
    <t>(%)</t>
  </si>
  <si>
    <t>1</t>
  </si>
  <si>
    <t>SHORT-TERM DEBT</t>
  </si>
  <si>
    <t>2</t>
  </si>
  <si>
    <t>LONG-TERM DEBT</t>
  </si>
  <si>
    <t>3</t>
  </si>
  <si>
    <t>TOTAL DEBT</t>
  </si>
  <si>
    <t>4</t>
  </si>
  <si>
    <t>PREFERRED STOCK</t>
  </si>
  <si>
    <t>5</t>
  </si>
  <si>
    <t>COMMON EQUITY</t>
  </si>
  <si>
    <t>6</t>
  </si>
  <si>
    <t>7</t>
  </si>
  <si>
    <t>TOTAL CAPITAL</t>
  </si>
  <si>
    <t>COMPUTATION OF GROSS REVENUE CONVERSION FACTOR</t>
  </si>
  <si>
    <t>PERCENTAGE OF</t>
  </si>
  <si>
    <t>INCREMENTAL</t>
  </si>
  <si>
    <t>GROSS REVENUE</t>
  </si>
  <si>
    <t>8</t>
  </si>
  <si>
    <t>9</t>
  </si>
  <si>
    <t>10</t>
  </si>
  <si>
    <t>As of December 31, 2017</t>
  </si>
  <si>
    <t>AS OF DECEMBER 31, 2017</t>
  </si>
  <si>
    <t>For the 12 Months Ending December 31, 2017</t>
  </si>
  <si>
    <t>EXPENSES AND OTHER TAXES</t>
  </si>
  <si>
    <t>REVENUE REQUIREMENT</t>
  </si>
  <si>
    <t>ONLY</t>
  </si>
  <si>
    <t>Calculation of Revenue Requirement Allocation Factor - Classification</t>
  </si>
  <si>
    <t>Calculation of Revenue Requirement Allocation Factor - Customer Only</t>
  </si>
  <si>
    <t>Calculation of Revenue Requirement Allocation Factor - Commodity</t>
  </si>
  <si>
    <t>Calculation of Revenue Requirement Allocation Factor - Demand Only</t>
  </si>
  <si>
    <t xml:space="preserve">REVREQ </t>
  </si>
  <si>
    <t xml:space="preserve">  ADMINISTRATIVE &amp; GENERAL 1/</t>
  </si>
  <si>
    <t>1/ Excluding Regulatory Commission Expense PSC Fees</t>
  </si>
  <si>
    <t>ALLOCATION FACTOR 22DEM</t>
  </si>
  <si>
    <t>ALLOCATION FACTOR 22COMM</t>
  </si>
  <si>
    <t>ALLOCATION FACTOR 22CUST</t>
  </si>
  <si>
    <t>ALLOCATION FACTOR 22</t>
  </si>
  <si>
    <t>CLASSIFICATION FACTORS</t>
  </si>
  <si>
    <t>DEMAND DESIGN DAY</t>
  </si>
  <si>
    <t>COMMODITY THROUGHPUT</t>
  </si>
  <si>
    <t>COMPOSITE OF 1 &amp; 4 - DEMAND/COMMODITY</t>
  </si>
  <si>
    <t xml:space="preserve">CUSTOMER </t>
  </si>
  <si>
    <t>SUMMARY</t>
  </si>
  <si>
    <t>ALLOCATION</t>
  </si>
  <si>
    <t xml:space="preserve">COMMODITY  </t>
  </si>
  <si>
    <t>ALLOCATION  FACTORS</t>
  </si>
  <si>
    <t>PAGE 35 OF 129</t>
  </si>
  <si>
    <t>PAGE 36 OF 129</t>
  </si>
  <si>
    <t>PAGE 37 OF 129</t>
  </si>
  <si>
    <t>PAGE 38 OF 129</t>
  </si>
  <si>
    <t>PAGE 39 OF 129</t>
  </si>
  <si>
    <t>PAGE 40 OF 129</t>
  </si>
  <si>
    <t>PAGE 41 OF 129</t>
  </si>
  <si>
    <t>PAGE 42 OF 129</t>
  </si>
  <si>
    <t>PAGE 43 OF 129</t>
  </si>
  <si>
    <t>PAGE 44 OF 129</t>
  </si>
  <si>
    <t>PAGE 45 OF 129</t>
  </si>
  <si>
    <t>PAGE 46 OF 129</t>
  </si>
  <si>
    <t>PAGE 47 OF 129</t>
  </si>
  <si>
    <t>PAGE 48 OF 129</t>
  </si>
  <si>
    <t>PAGE 49 OF 129</t>
  </si>
  <si>
    <t>PAGE 50 OF 129</t>
  </si>
  <si>
    <t>PAGE 51 OF 129</t>
  </si>
  <si>
    <t>RATE OF RETURN - PROFORMA @ PROPOSED RATES</t>
  </si>
  <si>
    <t>RATE OF RETURN - PROFORMA @ AUTHORIZED RETURN</t>
  </si>
  <si>
    <t>RATE OF RETURN - @ PROPOSED RATES</t>
  </si>
  <si>
    <t>RATE OF RETURN - @ AUTHORIZED RETURN</t>
  </si>
  <si>
    <t>RATE OF RETURN - @ CURRENT RATES</t>
  </si>
  <si>
    <t>REFERENCES: [1] PAGE 11, [2] PAGE 19, [3] PAGE 10, [4] PAGE 24, [5] PAGE 22, [6] PAGE 20, [7] PAGE 23, [8] PAGE 25.</t>
  </si>
  <si>
    <t>REFERENCES: [1] PAGE 36, [2] PAGE 44, [3] PAGE 35, [4] PAGE 49, [5] PAGE 47, [6] PAGE 45, [7] PAGE 48, [8] PAGE 50.</t>
  </si>
  <si>
    <t>REFERENCES: [1] PAGE 62, [2] PAGE 70, [3] PAGE 61, [4] PAGE 75, [5] PAGE 73, [6] PAGE 71, [7] PAGE 74, [8] PAGE 76.</t>
  </si>
  <si>
    <t>REFERENCES: [1] PAGE 88, [2] PAGE 96, [3] PAGE 87, [4] PAGE 101, [5] PAGE 99, [6] PAGE 97, [7] PAGE 100, [8] PAGE 102.</t>
  </si>
  <si>
    <t>REFERENCES: [1] PAGE 114, [2] PAGE 122, [3] PAGE 113, [4] PAGE 127, [5] PAGE 125, [6] PAGE 123, [7] PAGE 126, [8] PAGE 128.</t>
  </si>
  <si>
    <t>REFERENCES: [1] PAGE 6, [2] PAGE 8,</t>
  </si>
  <si>
    <t>REFERENCES: [1] PAGE 31, [2] PAGE 33,</t>
  </si>
  <si>
    <t>REFERENCES: [1] PAGE 57, [2] PAGE 59,</t>
  </si>
  <si>
    <t>REFERENCES: [1] PAGE 83, [2] PAGE 85,</t>
  </si>
  <si>
    <t>REFERENCES: [1] PAGE 109, [2] PAGE 111,</t>
  </si>
  <si>
    <t>ATTACHMENT:</t>
  </si>
  <si>
    <t>ATTACHMENT CEN-1</t>
  </si>
  <si>
    <t>ATTACHMENT CEN-2</t>
  </si>
  <si>
    <t>ATTACHMENT CEN-3</t>
  </si>
  <si>
    <t>DESIGN DAY EXCL. INTERR DEMAND (MCF)</t>
  </si>
  <si>
    <t>FOR TME DECEMBER 31, 2017</t>
  </si>
  <si>
    <t>Customers</t>
  </si>
  <si>
    <t>Rate Class</t>
  </si>
  <si>
    <t>2016 - 00162</t>
  </si>
  <si>
    <t>COMMERCIAL SALES - GS-Other</t>
  </si>
  <si>
    <t>INDUSTRIAL SALES - GS-Other</t>
  </si>
  <si>
    <t>INDUSTRIAL SALES - IUS</t>
  </si>
  <si>
    <t>RESIDENTIAL SALES - GS - Residential</t>
  </si>
  <si>
    <t>REVENUE FROM TRANSPORTATION - GS - Residential</t>
  </si>
  <si>
    <t>REVENUE FROM TRANSPORTATION - GS - Other</t>
  </si>
  <si>
    <t>REVENUE FROM TRANSPORTATION - GS - DS-ML</t>
  </si>
  <si>
    <t>REVENUE FROM TRANSPORTATION - GS - IS/DS</t>
  </si>
  <si>
    <t>AVERAGE OF CUSTOMER-DEMAND &amp; DEMAND-COMMODITY</t>
  </si>
  <si>
    <t>Comm</t>
  </si>
  <si>
    <t>Ind</t>
  </si>
  <si>
    <t>OTHER DIST. EXP - LABOR - C/D</t>
  </si>
  <si>
    <t>OTHER DIST. EXP - LABOR - D/C</t>
  </si>
  <si>
    <t>OTHER DIST. EXP - LABOR - AVG</t>
  </si>
  <si>
    <t>OTHER DIST. EXP EXCL - M &amp; E - C/D</t>
  </si>
  <si>
    <t>OTHER DIST. EXP EXCL - M &amp; E - D/C</t>
  </si>
  <si>
    <t>OTHER DIST. EXP EXCL - M &amp; E - AVG</t>
  </si>
  <si>
    <t>O &amp; M EXCL A &amp; G - LABOR - C/D</t>
  </si>
  <si>
    <t>O &amp; M EXCL A &amp; G - LABOR - D/C</t>
  </si>
  <si>
    <t>O &amp; M EXCL A &amp; G - LABOR - AVG</t>
  </si>
  <si>
    <t>O &amp; M EXCL GAS PUR, UNCOL, AND A &amp; G - M&amp;E - C/D</t>
  </si>
  <si>
    <t>O &amp; M EXCL GAS PUR, UNCOL, AND A &amp; G - M&amp;E - D/C</t>
  </si>
  <si>
    <t>O &amp; M EXCL GAS PUR, UNCOL, AND A &amp; G - M&amp;E - AVG</t>
  </si>
  <si>
    <t>ACCT 376/380 - MAINS/SERVICES - C/D</t>
  </si>
  <si>
    <t>ACCT 376/380 - MAINS/SERVICES - D/C</t>
  </si>
  <si>
    <t>ACCT 376/380 - MAINS/SERVICES - AVG</t>
  </si>
  <si>
    <t>ACCOUNT 376 MAINS - COMPOSITE/PLANT - C/D</t>
  </si>
  <si>
    <t>ACCOUNT 376 MAINS - COMPOSITE/PLANT - D/C</t>
  </si>
  <si>
    <t>ACCOUNT 376 MAINS - COMPOSITE/PLANT - AVG</t>
  </si>
  <si>
    <t>TOTAL PLANT - C/D</t>
  </si>
  <si>
    <t>TOTAL PLANT - D/C</t>
  </si>
  <si>
    <t>TOTAL PLANT - 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</si>
</sst>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hh:mm:ss\ AM/PM_)"/>
    <numFmt numFmtId="166" formatCode="0_)"/>
    <numFmt numFmtId="167" formatCode="#,##0.00000000_);\(#,##0.00000000\)"/>
    <numFmt numFmtId="168" formatCode="#,##0.0000_);\(#,##0.0000\)"/>
    <numFmt numFmtId="169" formatCode="#,##0.000000_);\(#,##0.000000\)"/>
    <numFmt numFmtId="170" formatCode="0.00_)"/>
    <numFmt numFmtId="171" formatCode="#,##0.00000_);\(#,##0.00000\)"/>
    <numFmt numFmtId="172" formatCode="#,##0.0_);\(#,##0.0\)"/>
    <numFmt numFmtId="173" formatCode="0.000%"/>
    <numFmt numFmtId="174" formatCode="0.00000_)"/>
    <numFmt numFmtId="175" formatCode=";;;"/>
    <numFmt numFmtId="176" formatCode="mmmm\ d\,\ yyyy"/>
    <numFmt numFmtId="177" formatCode="_(* #,##0_);_(* \(#,##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0.00_);\(0.00\)"/>
    <numFmt numFmtId="181" formatCode="#,##0;[Red]#,##0"/>
    <numFmt numFmtId="182" formatCode="0.00000"/>
    <numFmt numFmtId="183" formatCode="0_);\(0\)"/>
    <numFmt numFmtId="184" formatCode="0.0%"/>
    <numFmt numFmtId="185" formatCode="0.000000%"/>
    <numFmt numFmtId="186" formatCode="0.000000_)"/>
    <numFmt numFmtId="187" formatCode="0.00000%"/>
    <numFmt numFmtId="188" formatCode="_(&quot;$&quot;* #,##0_);_(&quot;$&quot;* \(#,##0\);_(&quot;$&quot;* &quot;-&quot;??_);_(@_)"/>
    <numFmt numFmtId="189" formatCode="_(&quot;$&quot;* #,##0.0000_);_(&quot;$&quot;* \(#,##0.0000\);_(&quot;$&quot;* &quot;-&quot;??_);_(@_)"/>
    <numFmt numFmtId="190" formatCode="0.0000%"/>
    <numFmt numFmtId="191" formatCode="#,##0.000_);\(#,##0.000\)"/>
  </numFmts>
  <fonts count="30" x14ac:knownFonts="1">
    <font>
      <sz val="9"/>
      <name val="Helv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Helv"/>
    </font>
    <font>
      <sz val="7"/>
      <name val="Helv"/>
    </font>
    <font>
      <sz val="10"/>
      <name val="Helv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8"/>
      <color indexed="12"/>
      <name val="Arial"/>
      <family val="2"/>
    </font>
    <font>
      <u/>
      <sz val="8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u val="singleAccounting"/>
      <sz val="9"/>
      <name val="Arial"/>
      <family val="2"/>
    </font>
    <font>
      <b/>
      <u val="singleAccounting"/>
      <sz val="9"/>
      <name val="Arial"/>
      <family val="2"/>
    </font>
    <font>
      <u val="doubleAccounting"/>
      <sz val="9"/>
      <name val="Arial"/>
      <family val="2"/>
    </font>
    <font>
      <b/>
      <u val="doubleAccounting"/>
      <sz val="9"/>
      <name val="Arial"/>
      <family val="2"/>
    </font>
    <font>
      <sz val="11"/>
      <color theme="1"/>
      <name val="Calibri"/>
      <family val="2"/>
      <scheme val="minor"/>
    </font>
    <font>
      <u/>
      <sz val="10"/>
      <name val="Arial"/>
      <family val="2"/>
    </font>
    <font>
      <b/>
      <sz val="10"/>
      <name val="Arial"/>
      <family val="2"/>
    </font>
    <font>
      <sz val="9"/>
      <name val="Helv"/>
    </font>
    <font>
      <b/>
      <u/>
      <sz val="10"/>
      <name val="Arial"/>
      <family val="2"/>
    </font>
    <font>
      <sz val="8"/>
      <name val="Times New Roman"/>
      <family val="1"/>
    </font>
    <font>
      <u val="double"/>
      <sz val="8"/>
      <name val="Arial"/>
      <family val="2"/>
    </font>
    <font>
      <sz val="8"/>
      <color rgb="FFFF0000"/>
      <name val="Arial"/>
      <family val="2"/>
    </font>
    <font>
      <sz val="8"/>
      <name val="Calibri"/>
      <family val="2"/>
      <scheme val="minor"/>
    </font>
    <font>
      <u val="double"/>
      <sz val="10"/>
      <name val="Arial"/>
      <family val="2"/>
    </font>
    <font>
      <u/>
      <sz val="9"/>
      <name val="Helv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7">
    <xf numFmtId="37" fontId="0" fillId="0" borderId="0"/>
    <xf numFmtId="43" fontId="2" fillId="0" borderId="0" applyFont="0" applyFill="0" applyBorder="0" applyAlignment="0" applyProtection="0"/>
    <xf numFmtId="0" fontId="4" fillId="0" borderId="0"/>
    <xf numFmtId="37" fontId="4" fillId="0" borderId="0"/>
    <xf numFmtId="37" fontId="5" fillId="0" borderId="0" applyFill="0" applyBorder="0"/>
    <xf numFmtId="37" fontId="3" fillId="0" borderId="0" applyFill="0" applyBorder="0"/>
    <xf numFmtId="9" fontId="2" fillId="0" borderId="0" applyFont="0" applyFill="0" applyBorder="0" applyAlignment="0" applyProtection="0"/>
    <xf numFmtId="0" fontId="19" fillId="0" borderId="0"/>
    <xf numFmtId="0" fontId="19" fillId="0" borderId="0"/>
    <xf numFmtId="0" fontId="1" fillId="0" borderId="0"/>
    <xf numFmtId="37" fontId="22" fillId="0" borderId="0"/>
    <xf numFmtId="9" fontId="2" fillId="0" borderId="0" applyFont="0" applyFill="0" applyBorder="0" applyAlignment="0" applyProtection="0"/>
    <xf numFmtId="0" fontId="2" fillId="0" borderId="0"/>
    <xf numFmtId="37" fontId="3" fillId="0" borderId="0"/>
    <xf numFmtId="0" fontId="5" fillId="0" borderId="0"/>
    <xf numFmtId="44" fontId="22" fillId="0" borderId="0" applyFont="0" applyFill="0" applyBorder="0" applyAlignment="0" applyProtection="0"/>
    <xf numFmtId="0" fontId="3" fillId="0" borderId="0" applyFill="0" applyBorder="0"/>
  </cellStyleXfs>
  <cellXfs count="454">
    <xf numFmtId="37" fontId="0" fillId="0" borderId="0" xfId="0"/>
    <xf numFmtId="37" fontId="6" fillId="0" borderId="0" xfId="0" applyFont="1" applyFill="1"/>
    <xf numFmtId="37" fontId="6" fillId="0" borderId="0" xfId="0" applyFont="1" applyFill="1" applyProtection="1">
      <protection locked="0"/>
    </xf>
    <xf numFmtId="37" fontId="6" fillId="0" borderId="0" xfId="0" applyFont="1"/>
    <xf numFmtId="37" fontId="7" fillId="0" borderId="0" xfId="0" applyFont="1"/>
    <xf numFmtId="37" fontId="6" fillId="0" borderId="0" xfId="0" applyFont="1" applyProtection="1">
      <protection locked="0"/>
    </xf>
    <xf numFmtId="37" fontId="6" fillId="0" borderId="0" xfId="0" applyFont="1" applyAlignment="1">
      <alignment horizontal="center"/>
    </xf>
    <xf numFmtId="37" fontId="11" fillId="0" borderId="0" xfId="0" applyFont="1"/>
    <xf numFmtId="37" fontId="11" fillId="0" borderId="0" xfId="0" applyFont="1" applyAlignment="1">
      <alignment horizontal="center"/>
    </xf>
    <xf numFmtId="37" fontId="12" fillId="0" borderId="0" xfId="0" applyFont="1" applyAlignment="1">
      <alignment horizontal="center"/>
    </xf>
    <xf numFmtId="37" fontId="11" fillId="0" borderId="0" xfId="0" applyFont="1" applyAlignment="1">
      <alignment horizontal="left"/>
    </xf>
    <xf numFmtId="37" fontId="11" fillId="0" borderId="0" xfId="0" applyFont="1" applyFill="1"/>
    <xf numFmtId="37" fontId="14" fillId="0" borderId="0" xfId="0" applyFont="1"/>
    <xf numFmtId="37" fontId="11" fillId="0" borderId="0" xfId="0" applyFont="1" applyBorder="1"/>
    <xf numFmtId="164" fontId="6" fillId="0" borderId="0" xfId="0" applyNumberFormat="1" applyFont="1" applyProtection="1"/>
    <xf numFmtId="165" fontId="6" fillId="0" borderId="0" xfId="0" applyNumberFormat="1" applyFont="1" applyProtection="1"/>
    <xf numFmtId="37" fontId="6" fillId="0" borderId="0" xfId="0" applyFont="1" applyAlignment="1">
      <alignment horizontal="fill"/>
    </xf>
    <xf numFmtId="37" fontId="6" fillId="0" borderId="1" xfId="0" applyFont="1" applyBorder="1"/>
    <xf numFmtId="37" fontId="6" fillId="0" borderId="2" xfId="0" applyFont="1" applyBorder="1"/>
    <xf numFmtId="37" fontId="6" fillId="0" borderId="1" xfId="0" applyFont="1" applyBorder="1" applyAlignment="1">
      <alignment horizontal="center"/>
    </xf>
    <xf numFmtId="37" fontId="10" fillId="0" borderId="0" xfId="0" applyFont="1" applyBorder="1" applyAlignment="1">
      <alignment horizontal="center"/>
    </xf>
    <xf numFmtId="37" fontId="6" fillId="0" borderId="0" xfId="0" applyFont="1" applyAlignment="1">
      <alignment horizontal="left"/>
    </xf>
    <xf numFmtId="37" fontId="10" fillId="0" borderId="0" xfId="0" applyFont="1" applyAlignment="1"/>
    <xf numFmtId="37" fontId="6" fillId="0" borderId="0" xfId="0" applyNumberFormat="1" applyFont="1" applyProtection="1"/>
    <xf numFmtId="39" fontId="6" fillId="0" borderId="0" xfId="0" applyNumberFormat="1" applyFont="1" applyProtection="1"/>
    <xf numFmtId="37" fontId="6" fillId="0" borderId="0" xfId="0" applyFont="1" applyProtection="1"/>
    <xf numFmtId="37" fontId="10" fillId="0" borderId="0" xfId="0" applyFont="1"/>
    <xf numFmtId="37" fontId="10" fillId="0" borderId="0" xfId="0" applyNumberFormat="1" applyFont="1" applyProtection="1"/>
    <xf numFmtId="37" fontId="9" fillId="0" borderId="0" xfId="0" applyFont="1" applyProtection="1">
      <protection locked="0"/>
    </xf>
    <xf numFmtId="37" fontId="6" fillId="0" borderId="0" xfId="0" applyNumberFormat="1" applyFont="1" applyProtection="1">
      <protection locked="0"/>
    </xf>
    <xf numFmtId="5" fontId="6" fillId="0" borderId="0" xfId="0" applyNumberFormat="1" applyFont="1" applyProtection="1"/>
    <xf numFmtId="10" fontId="6" fillId="0" borderId="0" xfId="0" applyNumberFormat="1" applyFont="1" applyProtection="1"/>
    <xf numFmtId="37" fontId="6" fillId="0" borderId="0" xfId="0" applyFont="1" applyAlignment="1">
      <alignment horizontal="right"/>
    </xf>
    <xf numFmtId="39" fontId="6" fillId="0" borderId="0" xfId="0" applyNumberFormat="1" applyFont="1" applyProtection="1">
      <protection locked="0"/>
    </xf>
    <xf numFmtId="37" fontId="6" fillId="0" borderId="2" xfId="0" applyFont="1" applyBorder="1" applyAlignment="1">
      <alignment horizontal="center"/>
    </xf>
    <xf numFmtId="170" fontId="6" fillId="0" borderId="0" xfId="0" applyNumberFormat="1" applyFont="1" applyProtection="1">
      <protection locked="0"/>
    </xf>
    <xf numFmtId="170" fontId="6" fillId="0" borderId="0" xfId="0" applyNumberFormat="1" applyFont="1" applyProtection="1"/>
    <xf numFmtId="39" fontId="6" fillId="0" borderId="0" xfId="0" applyNumberFormat="1" applyFont="1" applyAlignment="1" applyProtection="1">
      <alignment horizontal="center"/>
      <protection locked="0"/>
    </xf>
    <xf numFmtId="37" fontId="6" fillId="0" borderId="0" xfId="0" applyFont="1" applyAlignment="1" applyProtection="1">
      <alignment horizontal="center"/>
      <protection locked="0"/>
    </xf>
    <xf numFmtId="171" fontId="6" fillId="0" borderId="0" xfId="0" applyNumberFormat="1" applyFont="1" applyProtection="1"/>
    <xf numFmtId="171" fontId="6" fillId="0" borderId="0" xfId="0" applyNumberFormat="1" applyFont="1" applyProtection="1">
      <protection locked="0"/>
    </xf>
    <xf numFmtId="172" fontId="6" fillId="0" borderId="0" xfId="0" applyNumberFormat="1" applyFont="1" applyProtection="1"/>
    <xf numFmtId="172" fontId="6" fillId="0" borderId="0" xfId="0" applyNumberFormat="1" applyFont="1" applyProtection="1">
      <protection locked="0"/>
    </xf>
    <xf numFmtId="173" fontId="6" fillId="0" borderId="0" xfId="0" applyNumberFormat="1" applyFont="1" applyProtection="1"/>
    <xf numFmtId="174" fontId="6" fillId="0" borderId="0" xfId="0" applyNumberFormat="1" applyFont="1" applyProtection="1"/>
    <xf numFmtId="37" fontId="6" fillId="0" borderId="0" xfId="0" quotePrefix="1" applyFont="1"/>
    <xf numFmtId="37" fontId="6" fillId="0" borderId="0" xfId="5" applyFont="1"/>
    <xf numFmtId="37" fontId="6" fillId="0" borderId="0" xfId="0" applyFont="1" applyAlignment="1"/>
    <xf numFmtId="10" fontId="10" fillId="0" borderId="0" xfId="0" applyNumberFormat="1" applyFont="1" applyProtection="1"/>
    <xf numFmtId="10" fontId="7" fillId="0" borderId="0" xfId="0" applyNumberFormat="1" applyFont="1" applyProtection="1"/>
    <xf numFmtId="175" fontId="6" fillId="0" borderId="0" xfId="0" applyNumberFormat="1" applyFont="1" applyProtection="1"/>
    <xf numFmtId="37" fontId="13" fillId="0" borderId="0" xfId="0" applyFont="1"/>
    <xf numFmtId="177" fontId="11" fillId="0" borderId="0" xfId="1" applyNumberFormat="1" applyFont="1"/>
    <xf numFmtId="177" fontId="15" fillId="0" borderId="0" xfId="1" applyNumberFormat="1" applyFont="1"/>
    <xf numFmtId="37" fontId="14" fillId="0" borderId="0" xfId="0" applyFont="1" applyAlignment="1">
      <alignment horizontal="left"/>
    </xf>
    <xf numFmtId="37" fontId="13" fillId="0" borderId="0" xfId="0" applyFont="1" applyAlignment="1">
      <alignment horizontal="center"/>
    </xf>
    <xf numFmtId="177" fontId="17" fillId="0" borderId="0" xfId="1" applyNumberFormat="1" applyFont="1" applyAlignment="1"/>
    <xf numFmtId="37" fontId="14" fillId="0" borderId="0" xfId="0" applyFont="1" applyFill="1" applyAlignment="1">
      <alignment horizontal="center"/>
    </xf>
    <xf numFmtId="37" fontId="14" fillId="0" borderId="0" xfId="0" applyFont="1" applyFill="1"/>
    <xf numFmtId="37" fontId="13" fillId="0" borderId="0" xfId="0" applyFont="1" applyFill="1" applyAlignment="1"/>
    <xf numFmtId="37" fontId="13" fillId="0" borderId="0" xfId="0" applyFont="1" applyFill="1"/>
    <xf numFmtId="37" fontId="13" fillId="0" borderId="0" xfId="0" applyFont="1" applyFill="1" applyAlignment="1">
      <alignment horizontal="center"/>
    </xf>
    <xf numFmtId="37" fontId="11" fillId="0" borderId="0" xfId="0" applyFont="1" applyFill="1" applyAlignment="1">
      <alignment horizontal="center"/>
    </xf>
    <xf numFmtId="177" fontId="11" fillId="0" borderId="0" xfId="1" applyNumberFormat="1" applyFont="1" applyFill="1"/>
    <xf numFmtId="172" fontId="11" fillId="0" borderId="0" xfId="1" applyNumberFormat="1" applyFont="1" applyFill="1"/>
    <xf numFmtId="172" fontId="11" fillId="0" borderId="0" xfId="0" applyNumberFormat="1" applyFont="1" applyFill="1"/>
    <xf numFmtId="172" fontId="15" fillId="0" borderId="0" xfId="1" applyNumberFormat="1" applyFont="1" applyFill="1"/>
    <xf numFmtId="37" fontId="14" fillId="0" borderId="0" xfId="0" applyFont="1" applyFill="1" applyAlignment="1">
      <alignment horizontal="left"/>
    </xf>
    <xf numFmtId="172" fontId="17" fillId="0" borderId="0" xfId="1" applyNumberFormat="1" applyFont="1" applyFill="1" applyAlignment="1"/>
    <xf numFmtId="172" fontId="15" fillId="0" borderId="0" xfId="1" applyNumberFormat="1" applyFont="1" applyFill="1" applyAlignment="1"/>
    <xf numFmtId="172" fontId="11" fillId="0" borderId="0" xfId="1" applyNumberFormat="1" applyFont="1" applyFill="1" applyAlignment="1"/>
    <xf numFmtId="177" fontId="17" fillId="0" borderId="0" xfId="1" applyNumberFormat="1" applyFont="1" applyFill="1" applyAlignment="1"/>
    <xf numFmtId="177" fontId="12" fillId="0" borderId="0" xfId="1" applyNumberFormat="1" applyFont="1" applyFill="1" applyAlignment="1"/>
    <xf numFmtId="177" fontId="15" fillId="0" borderId="0" xfId="1" applyNumberFormat="1" applyFont="1" applyFill="1" applyAlignment="1"/>
    <xf numFmtId="177" fontId="14" fillId="0" borderId="0" xfId="1" applyNumberFormat="1" applyFont="1" applyFill="1" applyAlignment="1">
      <alignment horizontal="center"/>
    </xf>
    <xf numFmtId="177" fontId="18" fillId="0" borderId="0" xfId="1" applyNumberFormat="1" applyFont="1" applyFill="1" applyAlignment="1">
      <alignment horizontal="center"/>
    </xf>
    <xf numFmtId="37" fontId="11" fillId="0" borderId="0" xfId="0" applyFont="1" applyProtection="1">
      <protection locked="0"/>
    </xf>
    <xf numFmtId="37" fontId="13" fillId="0" borderId="0" xfId="0" applyNumberFormat="1" applyFont="1" applyFill="1" applyAlignment="1">
      <alignment horizontal="center"/>
    </xf>
    <xf numFmtId="37" fontId="11" fillId="0" borderId="0" xfId="0" applyNumberFormat="1" applyFont="1"/>
    <xf numFmtId="37" fontId="11" fillId="0" borderId="0" xfId="1" applyNumberFormat="1" applyFont="1" applyFill="1"/>
    <xf numFmtId="37" fontId="15" fillId="0" borderId="0" xfId="1" applyNumberFormat="1" applyFont="1" applyFill="1"/>
    <xf numFmtId="37" fontId="13" fillId="0" borderId="0" xfId="1" applyNumberFormat="1" applyFont="1" applyFill="1"/>
    <xf numFmtId="37" fontId="16" fillId="0" borderId="0" xfId="1" applyNumberFormat="1" applyFont="1" applyFill="1"/>
    <xf numFmtId="37" fontId="11" fillId="0" borderId="0" xfId="0" applyNumberFormat="1" applyFont="1" applyFill="1"/>
    <xf numFmtId="37" fontId="15" fillId="0" borderId="0" xfId="1" applyNumberFormat="1" applyFont="1" applyAlignment="1"/>
    <xf numFmtId="37" fontId="17" fillId="0" borderId="0" xfId="1" applyNumberFormat="1" applyFont="1"/>
    <xf numFmtId="37" fontId="11" fillId="0" borderId="0" xfId="1" applyNumberFormat="1" applyFont="1"/>
    <xf numFmtId="37" fontId="11" fillId="0" borderId="0" xfId="0" applyFont="1" applyAlignment="1">
      <alignment horizontal="right"/>
    </xf>
    <xf numFmtId="10" fontId="18" fillId="0" borderId="0" xfId="6" applyNumberFormat="1" applyFont="1"/>
    <xf numFmtId="10" fontId="11" fillId="0" borderId="0" xfId="6" applyNumberFormat="1" applyFont="1"/>
    <xf numFmtId="43" fontId="11" fillId="0" borderId="0" xfId="1" applyFont="1"/>
    <xf numFmtId="37" fontId="11" fillId="0" borderId="0" xfId="0" applyFont="1" applyAlignment="1">
      <alignment horizontal="left" indent="1"/>
    </xf>
    <xf numFmtId="10" fontId="17" fillId="0" borderId="0" xfId="6" applyNumberFormat="1" applyFont="1"/>
    <xf numFmtId="177" fontId="17" fillId="0" borderId="0" xfId="1" applyNumberFormat="1" applyFont="1"/>
    <xf numFmtId="173" fontId="14" fillId="0" borderId="0" xfId="6" applyNumberFormat="1" applyFont="1"/>
    <xf numFmtId="37" fontId="11" fillId="0" borderId="0" xfId="0" quotePrefix="1" applyFont="1" applyAlignment="1">
      <alignment horizontal="center"/>
    </xf>
    <xf numFmtId="173" fontId="11" fillId="0" borderId="0" xfId="6" applyNumberFormat="1" applyFont="1"/>
    <xf numFmtId="37" fontId="11" fillId="0" borderId="4" xfId="0" applyFont="1" applyBorder="1"/>
    <xf numFmtId="37" fontId="11" fillId="0" borderId="5" xfId="0" applyFont="1" applyBorder="1"/>
    <xf numFmtId="178" fontId="11" fillId="0" borderId="0" xfId="1" applyNumberFormat="1" applyFont="1"/>
    <xf numFmtId="37" fontId="11" fillId="0" borderId="0" xfId="0" quotePrefix="1" applyFont="1" applyBorder="1"/>
    <xf numFmtId="37" fontId="14" fillId="0" borderId="0" xfId="0" applyFont="1" applyAlignment="1">
      <alignment horizontal="centerContinuous"/>
    </xf>
    <xf numFmtId="177" fontId="14" fillId="0" borderId="0" xfId="1" applyNumberFormat="1" applyFont="1" applyAlignment="1">
      <alignment horizontal="centerContinuous"/>
    </xf>
    <xf numFmtId="43" fontId="14" fillId="0" borderId="0" xfId="1" applyFont="1" applyAlignment="1">
      <alignment horizontal="centerContinuous"/>
    </xf>
    <xf numFmtId="37" fontId="14" fillId="0" borderId="3" xfId="0" applyFont="1" applyBorder="1" applyAlignment="1">
      <alignment horizontal="center"/>
    </xf>
    <xf numFmtId="37" fontId="14" fillId="0" borderId="0" xfId="0" applyFont="1" applyBorder="1" applyAlignment="1">
      <alignment horizontal="center"/>
    </xf>
    <xf numFmtId="177" fontId="16" fillId="0" borderId="0" xfId="1" applyNumberFormat="1" applyFont="1" applyAlignment="1">
      <alignment horizontal="center"/>
    </xf>
    <xf numFmtId="43" fontId="16" fillId="0" borderId="0" xfId="1" applyFont="1" applyAlignment="1">
      <alignment horizontal="center"/>
    </xf>
    <xf numFmtId="37" fontId="17" fillId="0" borderId="0" xfId="1" applyNumberFormat="1" applyFont="1" applyFill="1" applyAlignment="1"/>
    <xf numFmtId="37" fontId="11" fillId="0" borderId="0" xfId="1" applyNumberFormat="1" applyFont="1" applyFill="1" applyAlignment="1"/>
    <xf numFmtId="37" fontId="15" fillId="0" borderId="0" xfId="1" applyNumberFormat="1" applyFont="1" applyFill="1" applyAlignment="1"/>
    <xf numFmtId="37" fontId="12" fillId="0" borderId="0" xfId="1" applyNumberFormat="1" applyFont="1" applyFill="1"/>
    <xf numFmtId="37" fontId="12" fillId="0" borderId="0" xfId="0" applyNumberFormat="1" applyFont="1" applyFill="1"/>
    <xf numFmtId="37" fontId="18" fillId="0" borderId="0" xfId="1" applyNumberFormat="1" applyFont="1" applyFill="1"/>
    <xf numFmtId="37" fontId="14" fillId="0" borderId="0" xfId="0" applyNumberFormat="1" applyFont="1" applyFill="1" applyAlignment="1">
      <alignment horizontal="center"/>
    </xf>
    <xf numFmtId="37" fontId="14" fillId="0" borderId="0" xfId="0" applyNumberFormat="1" applyFont="1" applyFill="1"/>
    <xf numFmtId="37" fontId="10" fillId="0" borderId="0" xfId="0" applyFont="1" applyFill="1"/>
    <xf numFmtId="37" fontId="6" fillId="0" borderId="1" xfId="0" applyFont="1" applyFill="1" applyBorder="1"/>
    <xf numFmtId="37" fontId="6" fillId="0" borderId="0" xfId="0" applyFont="1" applyFill="1" applyAlignment="1">
      <alignment horizontal="center"/>
    </xf>
    <xf numFmtId="37" fontId="10" fillId="0" borderId="0" xfId="0" applyFont="1" applyFill="1" applyAlignment="1">
      <alignment horizontal="center"/>
    </xf>
    <xf numFmtId="37" fontId="14" fillId="0" borderId="0" xfId="0" applyFont="1" applyFill="1" applyAlignment="1">
      <alignment horizontal="centerContinuous"/>
    </xf>
    <xf numFmtId="173" fontId="18" fillId="0" borderId="0" xfId="6" applyNumberFormat="1" applyFont="1"/>
    <xf numFmtId="10" fontId="18" fillId="0" borderId="0" xfId="0" applyNumberFormat="1" applyFont="1"/>
    <xf numFmtId="39" fontId="6" fillId="0" borderId="0" xfId="0" applyNumberFormat="1" applyFont="1" applyFill="1" applyProtection="1">
      <protection locked="0"/>
    </xf>
    <xf numFmtId="37" fontId="8" fillId="0" borderId="0" xfId="0" applyFont="1" applyFill="1" applyBorder="1"/>
    <xf numFmtId="37" fontId="6" fillId="0" borderId="0" xfId="0" applyFont="1" applyFill="1" applyBorder="1"/>
    <xf numFmtId="37" fontId="8" fillId="0" borderId="0" xfId="0" applyFont="1" applyFill="1" applyBorder="1" applyAlignment="1" applyProtection="1">
      <alignment horizontal="center"/>
      <protection locked="0"/>
    </xf>
    <xf numFmtId="37" fontId="8" fillId="0" borderId="0" xfId="0" applyFont="1" applyFill="1" applyBorder="1" applyAlignment="1">
      <alignment horizontal="center"/>
    </xf>
    <xf numFmtId="37" fontId="6" fillId="0" borderId="0" xfId="0" applyFont="1" applyFill="1" applyBorder="1" applyAlignment="1">
      <alignment horizontal="fill"/>
    </xf>
    <xf numFmtId="37" fontId="6" fillId="0" borderId="0" xfId="0" applyFont="1" applyFill="1" applyBorder="1" applyAlignment="1">
      <alignment horizontal="right"/>
    </xf>
    <xf numFmtId="37" fontId="6" fillId="0" borderId="0" xfId="0" applyFont="1" applyFill="1" applyBorder="1" applyAlignment="1">
      <alignment horizontal="center"/>
    </xf>
    <xf numFmtId="37" fontId="6" fillId="0" borderId="0" xfId="0" applyFont="1" applyFill="1" applyBorder="1" applyAlignment="1" applyProtection="1">
      <alignment horizontal="center"/>
      <protection locked="0"/>
    </xf>
    <xf numFmtId="37" fontId="6" fillId="0" borderId="0" xfId="0" applyFont="1" applyFill="1" applyBorder="1" applyProtection="1">
      <protection locked="0"/>
    </xf>
    <xf numFmtId="171" fontId="6" fillId="0" borderId="0" xfId="0" applyNumberFormat="1" applyFont="1" applyFill="1" applyBorder="1" applyProtection="1"/>
    <xf numFmtId="179" fontId="6" fillId="0" borderId="0" xfId="1" applyNumberFormat="1" applyFont="1" applyFill="1" applyBorder="1"/>
    <xf numFmtId="10" fontId="6" fillId="0" borderId="0" xfId="6" applyNumberFormat="1" applyFont="1" applyFill="1" applyBorder="1"/>
    <xf numFmtId="0" fontId="6" fillId="0" borderId="0" xfId="2" applyFont="1" applyFill="1" applyBorder="1" applyAlignment="1" applyProtection="1">
      <alignment horizontal="left"/>
    </xf>
    <xf numFmtId="0" fontId="6" fillId="0" borderId="0" xfId="2" applyFont="1" applyFill="1" applyBorder="1"/>
    <xf numFmtId="37" fontId="6" fillId="0" borderId="0" xfId="4" applyFont="1" applyFill="1" applyBorder="1" applyAlignment="1">
      <alignment horizontal="right"/>
    </xf>
    <xf numFmtId="0" fontId="6" fillId="0" borderId="0" xfId="2" applyFont="1" applyFill="1" applyBorder="1" applyAlignment="1" applyProtection="1">
      <alignment horizontal="right"/>
    </xf>
    <xf numFmtId="37" fontId="7" fillId="0" borderId="0" xfId="0" applyFont="1" applyFill="1" applyBorder="1"/>
    <xf numFmtId="37" fontId="7" fillId="0" borderId="0" xfId="0" quotePrefix="1" applyFont="1" applyFill="1" applyBorder="1" applyAlignment="1">
      <alignment horizontal="center"/>
    </xf>
    <xf numFmtId="9" fontId="7" fillId="0" borderId="0" xfId="6" quotePrefix="1" applyFont="1" applyFill="1" applyBorder="1" applyAlignment="1">
      <alignment horizontal="center"/>
    </xf>
    <xf numFmtId="37" fontId="6" fillId="0" borderId="0" xfId="3" applyFont="1" applyFill="1" applyBorder="1" applyAlignment="1" applyProtection="1">
      <alignment horizontal="left"/>
    </xf>
    <xf numFmtId="180" fontId="6" fillId="0" borderId="0" xfId="3" applyNumberFormat="1" applyFont="1" applyFill="1" applyBorder="1" applyAlignment="1" applyProtection="1">
      <alignment horizontal="center"/>
    </xf>
    <xf numFmtId="37" fontId="6" fillId="0" borderId="0" xfId="3" applyFont="1" applyFill="1" applyBorder="1"/>
    <xf numFmtId="37" fontId="6" fillId="0" borderId="0" xfId="0" applyNumberFormat="1" applyFont="1" applyFill="1" applyBorder="1" applyAlignment="1">
      <alignment horizontal="right"/>
    </xf>
    <xf numFmtId="39" fontId="6" fillId="0" borderId="0" xfId="2" applyNumberFormat="1" applyFont="1" applyFill="1" applyBorder="1" applyAlignment="1" applyProtection="1">
      <alignment horizontal="left"/>
    </xf>
    <xf numFmtId="2" fontId="6" fillId="0" borderId="0" xfId="2" applyNumberFormat="1" applyFont="1" applyFill="1" applyBorder="1" applyAlignment="1" applyProtection="1">
      <alignment horizontal="center"/>
    </xf>
    <xf numFmtId="39" fontId="6" fillId="0" borderId="0" xfId="2" applyNumberFormat="1" applyFont="1" applyFill="1" applyBorder="1" applyAlignment="1" applyProtection="1">
      <alignment horizontal="center"/>
    </xf>
    <xf numFmtId="37" fontId="6" fillId="0" borderId="0" xfId="0" applyFont="1" applyFill="1" applyAlignment="1">
      <alignment horizontal="fill"/>
    </xf>
    <xf numFmtId="173" fontId="11" fillId="0" borderId="0" xfId="0" applyNumberFormat="1" applyFont="1"/>
    <xf numFmtId="173" fontId="14" fillId="0" borderId="0" xfId="0" applyNumberFormat="1" applyFont="1"/>
    <xf numFmtId="173" fontId="11" fillId="0" borderId="0" xfId="6" applyNumberFormat="1" applyFont="1" applyFill="1"/>
    <xf numFmtId="182" fontId="11" fillId="0" borderId="6" xfId="1" applyNumberFormat="1" applyFont="1" applyBorder="1"/>
    <xf numFmtId="37" fontId="14" fillId="0" borderId="0" xfId="1" applyNumberFormat="1" applyFont="1" applyFill="1"/>
    <xf numFmtId="172" fontId="14" fillId="0" borderId="0" xfId="1" applyNumberFormat="1" applyFont="1" applyFill="1"/>
    <xf numFmtId="172" fontId="12" fillId="0" borderId="0" xfId="1" applyNumberFormat="1" applyFont="1" applyFill="1"/>
    <xf numFmtId="177" fontId="15" fillId="0" borderId="0" xfId="1" applyNumberFormat="1" applyFont="1" applyFill="1"/>
    <xf numFmtId="177" fontId="13" fillId="0" borderId="0" xfId="1" applyNumberFormat="1" applyFont="1" applyFill="1"/>
    <xf numFmtId="177" fontId="16" fillId="0" borderId="0" xfId="1" applyNumberFormat="1" applyFont="1" applyFill="1"/>
    <xf numFmtId="37" fontId="2" fillId="0" borderId="0" xfId="0" applyFont="1"/>
    <xf numFmtId="0" fontId="2" fillId="0" borderId="0" xfId="7" applyFont="1" applyFill="1"/>
    <xf numFmtId="39" fontId="2" fillId="0" borderId="0" xfId="0" applyNumberFormat="1" applyFont="1"/>
    <xf numFmtId="183" fontId="2" fillId="0" borderId="0" xfId="0" applyNumberFormat="1" applyFont="1"/>
    <xf numFmtId="37" fontId="2" fillId="0" borderId="0" xfId="0" applyFont="1" applyAlignment="1">
      <alignment horizontal="center"/>
    </xf>
    <xf numFmtId="37" fontId="20" fillId="0" borderId="0" xfId="0" applyFont="1" applyAlignment="1">
      <alignment horizontal="center"/>
    </xf>
    <xf numFmtId="37" fontId="2" fillId="2" borderId="0" xfId="0" applyFont="1" applyFill="1"/>
    <xf numFmtId="37" fontId="21" fillId="0" borderId="0" xfId="0" applyFont="1"/>
    <xf numFmtId="37" fontId="21" fillId="0" borderId="0" xfId="0" applyFont="1" applyFill="1"/>
    <xf numFmtId="37" fontId="2" fillId="0" borderId="0" xfId="10" applyFont="1" applyAlignment="1">
      <alignment horizontal="center"/>
    </xf>
    <xf numFmtId="37" fontId="2" fillId="0" borderId="0" xfId="10" applyFont="1"/>
    <xf numFmtId="37" fontId="2" fillId="0" borderId="0" xfId="10" applyFont="1" applyFill="1"/>
    <xf numFmtId="37" fontId="21" fillId="0" borderId="0" xfId="10" applyFont="1" applyFill="1" applyAlignment="1">
      <alignment horizontal="center"/>
    </xf>
    <xf numFmtId="37" fontId="21" fillId="0" borderId="0" xfId="10" applyFont="1" applyAlignment="1">
      <alignment horizontal="center"/>
    </xf>
    <xf numFmtId="37" fontId="23" fillId="0" borderId="0" xfId="10" applyFont="1" applyAlignment="1">
      <alignment horizontal="center"/>
    </xf>
    <xf numFmtId="37" fontId="23" fillId="0" borderId="0" xfId="10" applyFont="1" applyFill="1" applyAlignment="1">
      <alignment horizontal="center"/>
    </xf>
    <xf numFmtId="183" fontId="2" fillId="0" borderId="0" xfId="10" applyNumberFormat="1" applyFont="1" applyFill="1" applyAlignment="1">
      <alignment horizontal="right"/>
    </xf>
    <xf numFmtId="183" fontId="2" fillId="0" borderId="0" xfId="10" applyNumberFormat="1" applyFont="1" applyFill="1" applyAlignment="1">
      <alignment horizontal="left"/>
    </xf>
    <xf numFmtId="173" fontId="2" fillId="2" borderId="0" xfId="11" applyNumberFormat="1" applyFont="1" applyFill="1"/>
    <xf numFmtId="37" fontId="2" fillId="0" borderId="0" xfId="10" applyNumberFormat="1" applyFont="1" applyFill="1" applyAlignment="1">
      <alignment horizontal="right"/>
    </xf>
    <xf numFmtId="37" fontId="20" fillId="0" borderId="0" xfId="10" applyNumberFormat="1" applyFont="1" applyFill="1" applyAlignment="1">
      <alignment horizontal="right"/>
    </xf>
    <xf numFmtId="0" fontId="2" fillId="0" borderId="0" xfId="12" applyNumberFormat="1" applyFont="1" applyAlignment="1">
      <alignment horizontal="left"/>
    </xf>
    <xf numFmtId="37" fontId="6" fillId="0" borderId="1" xfId="0" applyFont="1" applyBorder="1" applyAlignment="1">
      <alignment horizontal="right"/>
    </xf>
    <xf numFmtId="37" fontId="12" fillId="0" borderId="0" xfId="0" applyFont="1"/>
    <xf numFmtId="37" fontId="24" fillId="0" borderId="0" xfId="13" applyFont="1" applyFill="1" applyBorder="1" applyAlignment="1">
      <alignment horizontal="left" vertical="center"/>
    </xf>
    <xf numFmtId="10" fontId="10" fillId="0" borderId="0" xfId="0" applyNumberFormat="1" applyFont="1" applyFill="1" applyProtection="1"/>
    <xf numFmtId="10" fontId="7" fillId="0" borderId="0" xfId="0" quotePrefix="1" applyNumberFormat="1" applyFont="1" applyFill="1" applyAlignment="1" applyProtection="1">
      <alignment horizontal="center"/>
    </xf>
    <xf numFmtId="10" fontId="7" fillId="0" borderId="0" xfId="0" applyNumberFormat="1" applyFont="1" applyFill="1" applyProtection="1"/>
    <xf numFmtId="39" fontId="6" fillId="0" borderId="0" xfId="0" applyNumberFormat="1" applyFont="1" applyFill="1" applyProtection="1"/>
    <xf numFmtId="10" fontId="6" fillId="0" borderId="0" xfId="0" applyNumberFormat="1" applyFont="1" applyFill="1" applyProtection="1"/>
    <xf numFmtId="37" fontId="6" fillId="0" borderId="0" xfId="0" applyNumberFormat="1" applyFont="1" applyFill="1" applyProtection="1"/>
    <xf numFmtId="37" fontId="6" fillId="0" borderId="8" xfId="0" applyFont="1" applyBorder="1" applyProtection="1">
      <protection locked="0"/>
    </xf>
    <xf numFmtId="37" fontId="6" fillId="0" borderId="9" xfId="0" applyFont="1" applyBorder="1"/>
    <xf numFmtId="37" fontId="6" fillId="0" borderId="9" xfId="0" applyFont="1" applyBorder="1" applyProtection="1">
      <protection locked="0"/>
    </xf>
    <xf numFmtId="37" fontId="6" fillId="0" borderId="10" xfId="0" applyFont="1" applyBorder="1"/>
    <xf numFmtId="37" fontId="6" fillId="0" borderId="11" xfId="0" applyFont="1" applyBorder="1" applyProtection="1">
      <protection locked="0"/>
    </xf>
    <xf numFmtId="37" fontId="6" fillId="0" borderId="0" xfId="0" applyFont="1" applyBorder="1"/>
    <xf numFmtId="37" fontId="6" fillId="0" borderId="0" xfId="0" applyFont="1" applyBorder="1" applyProtection="1">
      <protection locked="0"/>
    </xf>
    <xf numFmtId="37" fontId="6" fillId="0" borderId="12" xfId="0" applyFont="1" applyBorder="1"/>
    <xf numFmtId="0" fontId="6" fillId="0" borderId="11" xfId="14" applyFont="1" applyBorder="1" applyAlignment="1" applyProtection="1">
      <alignment horizontal="left"/>
    </xf>
    <xf numFmtId="0" fontId="6" fillId="0" borderId="0" xfId="14" applyFont="1" applyBorder="1"/>
    <xf numFmtId="185" fontId="6" fillId="0" borderId="12" xfId="14" applyNumberFormat="1" applyFont="1" applyBorder="1" applyProtection="1"/>
    <xf numFmtId="10" fontId="6" fillId="0" borderId="0" xfId="14" applyNumberFormat="1" applyFont="1" applyBorder="1" applyProtection="1"/>
    <xf numFmtId="185" fontId="6" fillId="0" borderId="13" xfId="14" applyNumberFormat="1" applyFont="1" applyBorder="1" applyProtection="1"/>
    <xf numFmtId="9" fontId="6" fillId="0" borderId="0" xfId="6" applyFont="1" applyBorder="1"/>
    <xf numFmtId="185" fontId="10" fillId="0" borderId="13" xfId="14" applyNumberFormat="1" applyFont="1" applyBorder="1" applyProtection="1"/>
    <xf numFmtId="0" fontId="6" fillId="0" borderId="11" xfId="14" applyFont="1" applyBorder="1"/>
    <xf numFmtId="0" fontId="6" fillId="0" borderId="12" xfId="14" applyFont="1" applyBorder="1"/>
    <xf numFmtId="0" fontId="6" fillId="0" borderId="14" xfId="14" applyFont="1" applyBorder="1" applyAlignment="1" applyProtection="1">
      <alignment horizontal="left"/>
    </xf>
    <xf numFmtId="0" fontId="6" fillId="0" borderId="15" xfId="14" applyFont="1" applyBorder="1"/>
    <xf numFmtId="186" fontId="25" fillId="0" borderId="16" xfId="14" applyNumberFormat="1" applyFont="1" applyBorder="1" applyProtection="1"/>
    <xf numFmtId="185" fontId="6" fillId="0" borderId="12" xfId="14" applyNumberFormat="1" applyFont="1" applyFill="1" applyBorder="1" applyProtection="1"/>
    <xf numFmtId="185" fontId="10" fillId="0" borderId="13" xfId="14" applyNumberFormat="1" applyFont="1" applyFill="1" applyBorder="1" applyProtection="1"/>
    <xf numFmtId="37" fontId="7" fillId="0" borderId="0" xfId="0" applyFont="1" applyFill="1"/>
    <xf numFmtId="39" fontId="7" fillId="0" borderId="0" xfId="0" applyNumberFormat="1" applyFont="1" applyFill="1" applyProtection="1"/>
    <xf numFmtId="173" fontId="2" fillId="0" borderId="0" xfId="6" applyNumberFormat="1" applyFont="1"/>
    <xf numFmtId="37" fontId="20" fillId="0" borderId="0" xfId="0" applyFont="1"/>
    <xf numFmtId="37" fontId="2" fillId="2" borderId="0" xfId="11" applyNumberFormat="1" applyFont="1" applyFill="1"/>
    <xf numFmtId="171" fontId="6" fillId="0" borderId="0" xfId="0" applyNumberFormat="1" applyFont="1" applyFill="1" applyProtection="1">
      <protection locked="0"/>
    </xf>
    <xf numFmtId="39" fontId="2" fillId="0" borderId="0" xfId="0" applyNumberFormat="1" applyFont="1" applyFill="1"/>
    <xf numFmtId="37" fontId="6" fillId="0" borderId="0" xfId="0" applyNumberFormat="1" applyFont="1"/>
    <xf numFmtId="177" fontId="11" fillId="0" borderId="0" xfId="1" applyNumberFormat="1" applyFont="1" applyAlignment="1">
      <alignment horizontal="center"/>
    </xf>
    <xf numFmtId="189" fontId="11" fillId="0" borderId="0" xfId="15" applyNumberFormat="1" applyFont="1"/>
    <xf numFmtId="188" fontId="15" fillId="0" borderId="0" xfId="15" applyNumberFormat="1" applyFont="1"/>
    <xf numFmtId="188" fontId="11" fillId="0" borderId="0" xfId="15" applyNumberFormat="1" applyFont="1"/>
    <xf numFmtId="178" fontId="11" fillId="0" borderId="0" xfId="1" applyNumberFormat="1" applyFont="1" applyFill="1"/>
    <xf numFmtId="184" fontId="11" fillId="0" borderId="0" xfId="6" applyNumberFormat="1" applyFont="1"/>
    <xf numFmtId="37" fontId="12" fillId="0" borderId="0" xfId="0" applyFont="1" applyAlignment="1">
      <alignment horizontal="left"/>
    </xf>
    <xf numFmtId="188" fontId="11" fillId="0" borderId="0" xfId="15" applyNumberFormat="1" applyFont="1" applyAlignment="1">
      <alignment horizontal="left"/>
    </xf>
    <xf numFmtId="37" fontId="11" fillId="0" borderId="0" xfId="0" applyFont="1" applyAlignment="1"/>
    <xf numFmtId="173" fontId="11" fillId="0" borderId="0" xfId="6" applyNumberFormat="1" applyFont="1" applyAlignment="1">
      <alignment horizontal="right"/>
    </xf>
    <xf numFmtId="177" fontId="11" fillId="0" borderId="0" xfId="1" applyNumberFormat="1" applyFont="1" applyAlignment="1">
      <alignment horizontal="left"/>
    </xf>
    <xf numFmtId="173" fontId="14" fillId="0" borderId="0" xfId="6" applyNumberFormat="1" applyFont="1" applyAlignment="1">
      <alignment horizontal="right"/>
    </xf>
    <xf numFmtId="177" fontId="6" fillId="0" borderId="0" xfId="1" applyNumberFormat="1" applyFont="1" applyProtection="1">
      <protection locked="0"/>
    </xf>
    <xf numFmtId="173" fontId="6" fillId="0" borderId="0" xfId="6" applyNumberFormat="1" applyFont="1" applyBorder="1"/>
    <xf numFmtId="37" fontId="6" fillId="0" borderId="0" xfId="0" applyFont="1" applyFill="1" applyBorder="1" applyAlignment="1">
      <alignment horizontal="left"/>
    </xf>
    <xf numFmtId="173" fontId="6" fillId="0" borderId="0" xfId="6" applyNumberFormat="1" applyFont="1" applyFill="1" applyBorder="1" applyProtection="1">
      <protection locked="0"/>
    </xf>
    <xf numFmtId="37" fontId="8" fillId="0" borderId="0" xfId="0" applyFont="1" applyBorder="1" applyAlignment="1">
      <alignment horizontal="center"/>
    </xf>
    <xf numFmtId="37" fontId="8" fillId="0" borderId="0" xfId="0" applyFont="1" applyBorder="1"/>
    <xf numFmtId="37" fontId="7" fillId="0" borderId="0" xfId="0" applyFont="1" applyAlignment="1">
      <alignment horizontal="fill"/>
    </xf>
    <xf numFmtId="37" fontId="6" fillId="0" borderId="0" xfId="0" applyFont="1" applyAlignment="1">
      <alignment horizontal="center"/>
    </xf>
    <xf numFmtId="187" fontId="6" fillId="0" borderId="0" xfId="6" applyNumberFormat="1" applyFont="1" applyProtection="1">
      <protection locked="0"/>
    </xf>
    <xf numFmtId="187" fontId="6" fillId="0" borderId="0" xfId="6" applyNumberFormat="1" applyFont="1"/>
    <xf numFmtId="173" fontId="0" fillId="0" borderId="0" xfId="6" applyNumberFormat="1" applyFont="1"/>
    <xf numFmtId="190" fontId="0" fillId="0" borderId="0" xfId="6" applyNumberFormat="1" applyFont="1"/>
    <xf numFmtId="171" fontId="6" fillId="0" borderId="0" xfId="0" applyNumberFormat="1" applyFont="1"/>
    <xf numFmtId="171" fontId="9" fillId="0" borderId="0" xfId="0" applyNumberFormat="1" applyFont="1" applyProtection="1">
      <protection locked="0"/>
    </xf>
    <xf numFmtId="37" fontId="7" fillId="0" borderId="0" xfId="0" applyFont="1" applyAlignment="1">
      <alignment horizontal="center"/>
    </xf>
    <xf numFmtId="37" fontId="6" fillId="0" borderId="0" xfId="0" applyNumberFormat="1" applyFont="1" applyAlignment="1" applyProtection="1">
      <alignment horizontal="center"/>
    </xf>
    <xf numFmtId="169" fontId="6" fillId="0" borderId="0" xfId="0" applyNumberFormat="1" applyFont="1"/>
    <xf numFmtId="173" fontId="26" fillId="0" borderId="0" xfId="0" applyNumberFormat="1" applyFont="1" applyProtection="1"/>
    <xf numFmtId="187" fontId="6" fillId="0" borderId="0" xfId="6" applyNumberFormat="1" applyFont="1" applyFill="1" applyProtection="1">
      <protection locked="0"/>
    </xf>
    <xf numFmtId="174" fontId="6" fillId="0" borderId="0" xfId="0" applyNumberFormat="1" applyFont="1" applyFill="1" applyProtection="1"/>
    <xf numFmtId="37" fontId="27" fillId="0" borderId="0" xfId="0" applyFont="1"/>
    <xf numFmtId="37" fontId="6" fillId="0" borderId="0" xfId="0" applyNumberFormat="1" applyFont="1" applyAlignment="1" applyProtection="1">
      <alignment horizontal="right"/>
      <protection locked="0"/>
    </xf>
    <xf numFmtId="37" fontId="10" fillId="0" borderId="0" xfId="0" applyFont="1" applyBorder="1"/>
    <xf numFmtId="177" fontId="3" fillId="0" borderId="0" xfId="1" applyNumberFormat="1" applyFont="1"/>
    <xf numFmtId="37" fontId="27" fillId="0" borderId="0" xfId="0" applyFont="1" applyFill="1"/>
    <xf numFmtId="0" fontId="20" fillId="0" borderId="0" xfId="12" applyFont="1" applyAlignment="1">
      <alignment horizontal="center"/>
    </xf>
    <xf numFmtId="0" fontId="21" fillId="0" borderId="0" xfId="12" applyFont="1" applyAlignment="1">
      <alignment horizontal="center"/>
    </xf>
    <xf numFmtId="0" fontId="21" fillId="0" borderId="0" xfId="12" applyFont="1"/>
    <xf numFmtId="10" fontId="21" fillId="0" borderId="0" xfId="12" applyNumberFormat="1" applyFont="1"/>
    <xf numFmtId="10" fontId="2" fillId="0" borderId="12" xfId="6" applyNumberFormat="1" applyFont="1" applyBorder="1"/>
    <xf numFmtId="0" fontId="2" fillId="0" borderId="0" xfId="12" applyFont="1"/>
    <xf numFmtId="0" fontId="2" fillId="0" borderId="0" xfId="16" applyFont="1"/>
    <xf numFmtId="0" fontId="6" fillId="0" borderId="0" xfId="16" applyFont="1"/>
    <xf numFmtId="0" fontId="2" fillId="0" borderId="1" xfId="16" applyFont="1" applyBorder="1" applyAlignment="1" applyProtection="1">
      <alignment horizontal="left"/>
    </xf>
    <xf numFmtId="0" fontId="2" fillId="0" borderId="1" xfId="16" applyFont="1" applyBorder="1"/>
    <xf numFmtId="0" fontId="6" fillId="0" borderId="2" xfId="16" applyFont="1" applyBorder="1"/>
    <xf numFmtId="0" fontId="2" fillId="0" borderId="2" xfId="16" applyFont="1" applyBorder="1"/>
    <xf numFmtId="0" fontId="2" fillId="0" borderId="1" xfId="16" applyFont="1" applyBorder="1" applyAlignment="1">
      <alignment horizontal="right"/>
    </xf>
    <xf numFmtId="0" fontId="2" fillId="0" borderId="7" xfId="16" applyFont="1" applyBorder="1" applyAlignment="1">
      <alignment horizontal="center"/>
    </xf>
    <xf numFmtId="0" fontId="2" fillId="0" borderId="1" xfId="16" applyFont="1" applyBorder="1" applyAlignment="1">
      <alignment horizontal="center"/>
    </xf>
    <xf numFmtId="0" fontId="2" fillId="0" borderId="0" xfId="16" applyFont="1" applyBorder="1" applyAlignment="1">
      <alignment horizontal="center"/>
    </xf>
    <xf numFmtId="0" fontId="2" fillId="0" borderId="0" xfId="16" quotePrefix="1" applyFont="1" applyAlignment="1">
      <alignment horizontal="center"/>
    </xf>
    <xf numFmtId="0" fontId="2" fillId="0" borderId="0" xfId="16" applyNumberFormat="1" applyFont="1" applyAlignment="1">
      <alignment horizontal="right"/>
    </xf>
    <xf numFmtId="0" fontId="2" fillId="0" borderId="0" xfId="16" applyFont="1" applyFill="1"/>
    <xf numFmtId="0" fontId="2" fillId="0" borderId="0" xfId="16" applyNumberFormat="1" applyFont="1" applyAlignment="1">
      <alignment horizontal="center"/>
    </xf>
    <xf numFmtId="10" fontId="2" fillId="0" borderId="0" xfId="16" applyNumberFormat="1" applyFont="1" applyFill="1"/>
    <xf numFmtId="10" fontId="2" fillId="0" borderId="0" xfId="16" applyNumberFormat="1" applyFont="1"/>
    <xf numFmtId="10" fontId="2" fillId="0" borderId="2" xfId="16" applyNumberFormat="1" applyFont="1" applyFill="1" applyBorder="1"/>
    <xf numFmtId="10" fontId="2" fillId="0" borderId="1" xfId="16" applyNumberFormat="1" applyFont="1" applyBorder="1"/>
    <xf numFmtId="37" fontId="2" fillId="0" borderId="0" xfId="16" applyNumberFormat="1" applyFont="1" applyFill="1"/>
    <xf numFmtId="0" fontId="6" fillId="0" borderId="0" xfId="16" applyNumberFormat="1" applyFont="1" applyAlignment="1">
      <alignment horizontal="right"/>
    </xf>
    <xf numFmtId="0" fontId="2" fillId="0" borderId="0" xfId="14" applyFont="1"/>
    <xf numFmtId="0" fontId="2" fillId="0" borderId="0" xfId="14" applyFont="1" applyAlignment="1" applyProtection="1">
      <alignment horizontal="left"/>
    </xf>
    <xf numFmtId="0" fontId="2" fillId="0" borderId="1" xfId="14" applyFont="1" applyBorder="1" applyAlignment="1" applyProtection="1">
      <alignment horizontal="left"/>
    </xf>
    <xf numFmtId="0" fontId="2" fillId="0" borderId="1" xfId="14" applyFont="1" applyBorder="1"/>
    <xf numFmtId="0" fontId="11" fillId="0" borderId="2" xfId="14" applyFont="1" applyBorder="1"/>
    <xf numFmtId="0" fontId="2" fillId="0" borderId="2" xfId="14" applyFont="1" applyBorder="1"/>
    <xf numFmtId="0" fontId="2" fillId="0" borderId="1" xfId="14" applyFont="1" applyBorder="1" applyAlignment="1" applyProtection="1">
      <alignment horizontal="right"/>
    </xf>
    <xf numFmtId="0" fontId="2" fillId="0" borderId="0" xfId="14" applyFont="1" applyAlignment="1">
      <alignment horizontal="center"/>
    </xf>
    <xf numFmtId="0" fontId="2" fillId="0" borderId="2" xfId="14" applyFont="1" applyBorder="1" applyAlignment="1" applyProtection="1">
      <alignment horizontal="center"/>
    </xf>
    <xf numFmtId="37" fontId="2" fillId="0" borderId="2" xfId="14" applyNumberFormat="1" applyFont="1" applyBorder="1" applyAlignment="1" applyProtection="1">
      <alignment horizontal="center"/>
    </xf>
    <xf numFmtId="0" fontId="2" fillId="0" borderId="2" xfId="14" applyFont="1" applyBorder="1" applyAlignment="1">
      <alignment horizontal="center"/>
    </xf>
    <xf numFmtId="0" fontId="20" fillId="0" borderId="2" xfId="14" applyFont="1" applyBorder="1" applyAlignment="1">
      <alignment horizontal="center"/>
    </xf>
    <xf numFmtId="0" fontId="2" fillId="0" borderId="0" xfId="14" applyFont="1" applyAlignment="1">
      <alignment horizontal="right"/>
    </xf>
    <xf numFmtId="185" fontId="2" fillId="0" borderId="0" xfId="14" applyNumberFormat="1" applyFont="1" applyProtection="1"/>
    <xf numFmtId="185" fontId="2" fillId="0" borderId="1" xfId="14" applyNumberFormat="1" applyFont="1" applyBorder="1" applyProtection="1"/>
    <xf numFmtId="9" fontId="2" fillId="0" borderId="0" xfId="6" applyFont="1"/>
    <xf numFmtId="186" fontId="28" fillId="0" borderId="0" xfId="14" applyNumberFormat="1" applyFont="1" applyProtection="1"/>
    <xf numFmtId="185" fontId="2" fillId="0" borderId="0" xfId="12" applyNumberFormat="1" applyFont="1"/>
    <xf numFmtId="0" fontId="6" fillId="0" borderId="0" xfId="12" applyFont="1"/>
    <xf numFmtId="10" fontId="2" fillId="0" borderId="0" xfId="12" applyNumberFormat="1" applyFont="1"/>
    <xf numFmtId="0" fontId="2" fillId="0" borderId="8" xfId="12" applyFont="1" applyBorder="1" applyAlignment="1">
      <alignment horizontal="center"/>
    </xf>
    <xf numFmtId="0" fontId="2" fillId="0" borderId="9" xfId="12" applyFont="1" applyBorder="1"/>
    <xf numFmtId="0" fontId="2" fillId="0" borderId="10" xfId="12" applyFont="1" applyBorder="1"/>
    <xf numFmtId="0" fontId="2" fillId="0" borderId="11" xfId="12" applyFont="1" applyBorder="1" applyAlignment="1">
      <alignment horizontal="center"/>
    </xf>
    <xf numFmtId="0" fontId="2" fillId="0" borderId="0" xfId="12" applyFont="1" applyBorder="1"/>
    <xf numFmtId="0" fontId="2" fillId="0" borderId="12" xfId="12" applyFont="1" applyBorder="1"/>
    <xf numFmtId="10" fontId="2" fillId="0" borderId="12" xfId="12" applyNumberFormat="1" applyFont="1" applyBorder="1"/>
    <xf numFmtId="0" fontId="2" fillId="0" borderId="14" xfId="12" applyFont="1" applyBorder="1"/>
    <xf numFmtId="0" fontId="2" fillId="0" borderId="15" xfId="12" applyFont="1" applyBorder="1"/>
    <xf numFmtId="0" fontId="2" fillId="0" borderId="16" xfId="12" applyFont="1" applyBorder="1"/>
    <xf numFmtId="10" fontId="2" fillId="0" borderId="0" xfId="6" applyNumberFormat="1" applyFont="1"/>
    <xf numFmtId="10" fontId="20" fillId="0" borderId="0" xfId="16" applyNumberFormat="1" applyFont="1" applyFill="1"/>
    <xf numFmtId="10" fontId="20" fillId="0" borderId="0" xfId="16" applyNumberFormat="1" applyFont="1"/>
    <xf numFmtId="173" fontId="7" fillId="0" borderId="0" xfId="0" applyNumberFormat="1" applyFont="1"/>
    <xf numFmtId="37" fontId="7" fillId="0" borderId="0" xfId="0" quotePrefix="1" applyFont="1"/>
    <xf numFmtId="173" fontId="6" fillId="0" borderId="0" xfId="6" applyNumberFormat="1" applyFont="1" applyFill="1" applyBorder="1"/>
    <xf numFmtId="37" fontId="0" fillId="0" borderId="0" xfId="0" applyFill="1"/>
    <xf numFmtId="37" fontId="6" fillId="0" borderId="0" xfId="0" applyNumberFormat="1" applyFont="1" applyFill="1" applyAlignment="1" applyProtection="1">
      <alignment horizontal="right"/>
      <protection locked="0"/>
    </xf>
    <xf numFmtId="173" fontId="6" fillId="0" borderId="0" xfId="0" applyNumberFormat="1" applyFont="1" applyFill="1" applyProtection="1"/>
    <xf numFmtId="177" fontId="6" fillId="0" borderId="0" xfId="1" applyNumberFormat="1" applyFont="1" applyFill="1" applyProtection="1">
      <protection locked="0"/>
    </xf>
    <xf numFmtId="37" fontId="6" fillId="0" borderId="0" xfId="0" applyFont="1" applyAlignment="1">
      <alignment horizontal="center"/>
    </xf>
    <xf numFmtId="37" fontId="14" fillId="0" borderId="0" xfId="0" applyFont="1" applyAlignment="1">
      <alignment horizontal="center"/>
    </xf>
    <xf numFmtId="37" fontId="6" fillId="0" borderId="0" xfId="0" applyNumberFormat="1" applyFont="1" applyFill="1" applyProtection="1">
      <protection locked="0"/>
    </xf>
    <xf numFmtId="37" fontId="6" fillId="0" borderId="0" xfId="0" applyFont="1" applyFill="1" applyAlignment="1">
      <alignment horizontal="right"/>
    </xf>
    <xf numFmtId="37" fontId="0" fillId="0" borderId="2" xfId="0" applyFont="1" applyBorder="1"/>
    <xf numFmtId="37" fontId="0" fillId="0" borderId="0" xfId="0" applyFont="1"/>
    <xf numFmtId="173" fontId="6" fillId="0" borderId="0" xfId="6" applyNumberFormat="1" applyFont="1"/>
    <xf numFmtId="176" fontId="14" fillId="0" borderId="0" xfId="0" quotePrefix="1" applyNumberFormat="1" applyFont="1" applyFill="1" applyAlignment="1">
      <alignment horizontal="center"/>
    </xf>
    <xf numFmtId="37" fontId="29" fillId="0" borderId="0" xfId="0" applyFont="1"/>
    <xf numFmtId="37" fontId="12" fillId="0" borderId="0" xfId="0" applyFont="1" applyFill="1"/>
    <xf numFmtId="37" fontId="11" fillId="0" borderId="0" xfId="0" applyFont="1" applyAlignment="1">
      <alignment horizontal="center"/>
    </xf>
    <xf numFmtId="37" fontId="11" fillId="0" borderId="0" xfId="0" applyFont="1" applyFill="1" applyProtection="1">
      <protection locked="0"/>
    </xf>
    <xf numFmtId="37" fontId="0" fillId="0" borderId="0" xfId="0" applyFont="1" applyAlignment="1">
      <alignment horizontal="center"/>
    </xf>
    <xf numFmtId="37" fontId="6" fillId="0" borderId="0" xfId="0" applyFont="1" applyAlignment="1" applyProtection="1">
      <alignment horizontal="left" indent="1"/>
      <protection locked="0"/>
    </xf>
    <xf numFmtId="37" fontId="7" fillId="0" borderId="0" xfId="0" applyFont="1" applyFill="1" applyBorder="1" applyAlignment="1">
      <alignment horizontal="center"/>
    </xf>
    <xf numFmtId="37" fontId="11" fillId="0" borderId="0" xfId="0" applyFont="1" applyAlignment="1">
      <alignment horizontal="center"/>
    </xf>
    <xf numFmtId="37" fontId="10" fillId="0" borderId="0" xfId="0" applyFont="1" applyAlignment="1">
      <alignment horizontal="center"/>
    </xf>
    <xf numFmtId="37" fontId="6" fillId="0" borderId="0" xfId="0" applyFont="1" applyAlignment="1" applyProtection="1">
      <alignment horizontal="center"/>
    </xf>
    <xf numFmtId="37" fontId="14" fillId="0" borderId="0" xfId="0" applyFont="1" applyAlignment="1">
      <alignment horizontal="center"/>
    </xf>
    <xf numFmtId="0" fontId="2" fillId="0" borderId="0" xfId="12" applyFont="1" applyAlignment="1">
      <alignment horizontal="center"/>
    </xf>
    <xf numFmtId="0" fontId="2" fillId="0" borderId="0" xfId="16" applyFont="1" applyAlignment="1">
      <alignment horizontal="center"/>
    </xf>
    <xf numFmtId="0" fontId="2" fillId="0" borderId="0" xfId="14" applyFont="1" applyAlignment="1" applyProtection="1">
      <alignment horizontal="center"/>
    </xf>
    <xf numFmtId="37" fontId="6" fillId="0" borderId="0" xfId="0" applyFont="1" applyBorder="1" applyAlignment="1">
      <alignment horizontal="left"/>
    </xf>
    <xf numFmtId="37" fontId="0" fillId="0" borderId="0" xfId="0" applyFont="1" applyFill="1"/>
    <xf numFmtId="9" fontId="6" fillId="0" borderId="0" xfId="6" applyFont="1"/>
    <xf numFmtId="176" fontId="6" fillId="0" borderId="0" xfId="0" quotePrefix="1" applyNumberFormat="1" applyFont="1" applyFill="1" applyProtection="1">
      <protection locked="0"/>
    </xf>
    <xf numFmtId="166" fontId="6" fillId="0" borderId="0" xfId="0" quotePrefix="1" applyNumberFormat="1" applyFont="1" applyFill="1" applyProtection="1">
      <protection locked="0"/>
    </xf>
    <xf numFmtId="37" fontId="6" fillId="0" borderId="0" xfId="0" quotePrefix="1" applyFont="1" applyFill="1" applyProtection="1">
      <protection locked="0"/>
    </xf>
    <xf numFmtId="37" fontId="6" fillId="0" borderId="0" xfId="0" applyFont="1" applyAlignment="1" applyProtection="1">
      <alignment horizontal="left"/>
      <protection locked="0"/>
    </xf>
    <xf numFmtId="10" fontId="6" fillId="0" borderId="0" xfId="0" applyNumberFormat="1" applyFont="1" applyFill="1" applyProtection="1">
      <protection locked="0"/>
    </xf>
    <xf numFmtId="167" fontId="6" fillId="0" borderId="0" xfId="0" applyNumberFormat="1" applyFont="1" applyFill="1" applyProtection="1">
      <protection locked="0"/>
    </xf>
    <xf numFmtId="9" fontId="6" fillId="0" borderId="0" xfId="0" applyNumberFormat="1" applyFont="1" applyFill="1" applyProtection="1">
      <protection locked="0"/>
    </xf>
    <xf numFmtId="184" fontId="6" fillId="0" borderId="0" xfId="0" applyNumberFormat="1" applyFont="1" applyFill="1" applyProtection="1">
      <protection locked="0"/>
    </xf>
    <xf numFmtId="168" fontId="6" fillId="0" borderId="0" xfId="0" applyNumberFormat="1" applyFont="1" applyFill="1" applyProtection="1">
      <protection locked="0"/>
    </xf>
    <xf numFmtId="169" fontId="6" fillId="0" borderId="0" xfId="0" applyNumberFormat="1" applyFont="1" applyFill="1" applyProtection="1">
      <protection locked="0"/>
    </xf>
    <xf numFmtId="168" fontId="6" fillId="0" borderId="0" xfId="0" applyNumberFormat="1" applyFont="1" applyFill="1"/>
    <xf numFmtId="173" fontId="7" fillId="0" borderId="0" xfId="0" applyNumberFormat="1" applyFont="1" applyFill="1" applyProtection="1">
      <protection locked="0"/>
    </xf>
    <xf numFmtId="9" fontId="7" fillId="0" borderId="0" xfId="6" applyFont="1" applyFill="1" applyBorder="1" applyAlignment="1">
      <alignment horizontal="center"/>
    </xf>
    <xf numFmtId="9" fontId="8" fillId="0" borderId="0" xfId="6" applyFont="1" applyFill="1" applyBorder="1" applyAlignment="1">
      <alignment horizontal="center"/>
    </xf>
    <xf numFmtId="37" fontId="7" fillId="0" borderId="0" xfId="0" applyFont="1" applyFill="1" applyBorder="1" applyAlignment="1">
      <alignment horizontal="left"/>
    </xf>
    <xf numFmtId="181" fontId="6" fillId="0" borderId="0" xfId="0" applyNumberFormat="1" applyFont="1" applyFill="1" applyBorder="1"/>
    <xf numFmtId="9" fontId="6" fillId="0" borderId="0" xfId="6" applyFont="1" applyFill="1" applyBorder="1" applyAlignment="1">
      <alignment horizontal="center"/>
    </xf>
    <xf numFmtId="37" fontId="10" fillId="0" borderId="0" xfId="0" applyFont="1" applyFill="1" applyBorder="1"/>
    <xf numFmtId="2" fontId="6" fillId="0" borderId="0" xfId="0" applyNumberFormat="1" applyFont="1" applyFill="1" applyBorder="1" applyAlignment="1">
      <alignment horizontal="center"/>
    </xf>
    <xf numFmtId="37" fontId="6" fillId="0" borderId="0" xfId="2" applyNumberFormat="1" applyFont="1" applyFill="1" applyBorder="1" applyProtection="1"/>
    <xf numFmtId="180" fontId="6" fillId="0" borderId="0" xfId="6" applyNumberFormat="1" applyFont="1" applyFill="1" applyBorder="1" applyProtection="1"/>
    <xf numFmtId="37" fontId="10" fillId="0" borderId="0" xfId="0" quotePrefix="1" applyFont="1" applyFill="1" applyBorder="1"/>
    <xf numFmtId="180" fontId="6" fillId="0" borderId="0" xfId="6" applyNumberFormat="1" applyFont="1" applyFill="1" applyBorder="1" applyAlignment="1" applyProtection="1">
      <alignment horizontal="center"/>
    </xf>
    <xf numFmtId="180" fontId="6" fillId="0" borderId="0" xfId="6" applyNumberFormat="1" applyFont="1" applyFill="1" applyBorder="1" applyAlignment="1" applyProtection="1">
      <alignment horizontal="right"/>
    </xf>
    <xf numFmtId="37" fontId="6" fillId="0" borderId="0" xfId="0" applyNumberFormat="1" applyFont="1" applyFill="1" applyBorder="1"/>
    <xf numFmtId="171" fontId="0" fillId="0" borderId="0" xfId="0" applyNumberFormat="1" applyFont="1"/>
    <xf numFmtId="191" fontId="0" fillId="0" borderId="0" xfId="0" applyNumberFormat="1" applyFont="1"/>
    <xf numFmtId="172" fontId="12" fillId="0" borderId="0" xfId="1" applyNumberFormat="1" applyFont="1" applyFill="1" applyAlignment="1"/>
    <xf numFmtId="172" fontId="12" fillId="0" borderId="0" xfId="0" applyNumberFormat="1" applyFont="1" applyFill="1"/>
    <xf numFmtId="37" fontId="12" fillId="0" borderId="0" xfId="1" applyNumberFormat="1" applyFont="1" applyFill="1" applyAlignment="1"/>
    <xf numFmtId="177" fontId="11" fillId="0" borderId="0" xfId="1" applyNumberFormat="1" applyFont="1" applyFill="1" applyAlignment="1"/>
    <xf numFmtId="10" fontId="17" fillId="0" borderId="0" xfId="6" applyNumberFormat="1" applyFont="1" applyFill="1"/>
    <xf numFmtId="0" fontId="2" fillId="0" borderId="0" xfId="7" applyFont="1"/>
    <xf numFmtId="0" fontId="2" fillId="0" borderId="0" xfId="7" applyFont="1" applyAlignment="1">
      <alignment horizontal="center"/>
    </xf>
    <xf numFmtId="0" fontId="20" fillId="0" borderId="0" xfId="7" applyFont="1" applyAlignment="1">
      <alignment horizontal="center"/>
    </xf>
    <xf numFmtId="0" fontId="2" fillId="0" borderId="0" xfId="7" quotePrefix="1" applyFont="1" applyFill="1"/>
    <xf numFmtId="37" fontId="2" fillId="3" borderId="0" xfId="0" applyFont="1" applyFill="1"/>
    <xf numFmtId="0" fontId="21" fillId="0" borderId="0" xfId="8" applyFont="1"/>
    <xf numFmtId="0" fontId="2" fillId="0" borderId="0" xfId="8" applyFont="1"/>
    <xf numFmtId="0" fontId="21" fillId="0" borderId="0" xfId="8" applyFont="1" applyAlignment="1">
      <alignment horizontal="center"/>
    </xf>
    <xf numFmtId="0" fontId="23" fillId="0" borderId="0" xfId="8" applyFont="1" applyAlignment="1">
      <alignment horizontal="center"/>
    </xf>
    <xf numFmtId="37" fontId="21" fillId="0" borderId="0" xfId="8" applyNumberFormat="1" applyFont="1"/>
    <xf numFmtId="173" fontId="21" fillId="0" borderId="0" xfId="8" applyNumberFormat="1" applyFont="1"/>
    <xf numFmtId="37" fontId="23" fillId="0" borderId="0" xfId="8" applyNumberFormat="1" applyFont="1"/>
    <xf numFmtId="173" fontId="23" fillId="0" borderId="0" xfId="8" applyNumberFormat="1" applyFont="1"/>
    <xf numFmtId="173" fontId="23" fillId="0" borderId="0" xfId="8" applyNumberFormat="1" applyFont="1" applyAlignment="1">
      <alignment horizontal="center"/>
    </xf>
    <xf numFmtId="0" fontId="2" fillId="0" borderId="0" xfId="9" applyFont="1" applyAlignment="1">
      <alignment horizontal="center"/>
    </xf>
    <xf numFmtId="0" fontId="2" fillId="0" borderId="0" xfId="9" applyFont="1"/>
    <xf numFmtId="0" fontId="20" fillId="0" borderId="0" xfId="9" applyFont="1" applyAlignment="1">
      <alignment horizontal="center"/>
    </xf>
    <xf numFmtId="37" fontId="2" fillId="0" borderId="0" xfId="9" applyNumberFormat="1" applyFont="1"/>
    <xf numFmtId="39" fontId="2" fillId="0" borderId="0" xfId="9" applyNumberFormat="1" applyFont="1"/>
    <xf numFmtId="37" fontId="20" fillId="0" borderId="0" xfId="9" applyNumberFormat="1" applyFont="1" applyAlignment="1">
      <alignment horizontal="center"/>
    </xf>
    <xf numFmtId="39" fontId="20" fillId="0" borderId="0" xfId="9" applyNumberFormat="1" applyFont="1" applyAlignment="1">
      <alignment horizontal="center"/>
    </xf>
    <xf numFmtId="37" fontId="20" fillId="0" borderId="0" xfId="9" applyNumberFormat="1" applyFont="1"/>
    <xf numFmtId="0" fontId="21" fillId="0" borderId="0" xfId="9" applyFont="1" applyAlignment="1">
      <alignment horizontal="center"/>
    </xf>
    <xf numFmtId="37" fontId="2" fillId="0" borderId="0" xfId="10" applyNumberFormat="1" applyFont="1" applyFill="1"/>
    <xf numFmtId="0" fontId="2" fillId="2" borderId="0" xfId="9" applyFont="1" applyFill="1"/>
    <xf numFmtId="37" fontId="2" fillId="2" borderId="0" xfId="9" applyNumberFormat="1" applyFont="1" applyFill="1"/>
    <xf numFmtId="37" fontId="20" fillId="2" borderId="0" xfId="9" applyNumberFormat="1" applyFont="1" applyFill="1"/>
    <xf numFmtId="0" fontId="2" fillId="0" borderId="4" xfId="9" applyFont="1" applyBorder="1"/>
    <xf numFmtId="0" fontId="2" fillId="0" borderId="5" xfId="9" applyFont="1" applyBorder="1"/>
    <xf numFmtId="37" fontId="2" fillId="0" borderId="5" xfId="9" applyNumberFormat="1" applyFont="1" applyBorder="1"/>
    <xf numFmtId="39" fontId="2" fillId="0" borderId="6" xfId="9" applyNumberFormat="1" applyFont="1" applyBorder="1"/>
    <xf numFmtId="0" fontId="2" fillId="0" borderId="0" xfId="9" applyFont="1" applyAlignment="1">
      <alignment horizontal="left"/>
    </xf>
    <xf numFmtId="3" fontId="2" fillId="0" borderId="0" xfId="9" applyNumberFormat="1" applyFont="1" applyAlignment="1">
      <alignment horizontal="left"/>
    </xf>
    <xf numFmtId="3" fontId="2" fillId="0" borderId="0" xfId="9" applyNumberFormat="1" applyFont="1"/>
    <xf numFmtId="177" fontId="2" fillId="0" borderId="0" xfId="1" applyNumberFormat="1" applyFont="1" applyFill="1"/>
    <xf numFmtId="0" fontId="21" fillId="0" borderId="0" xfId="9" applyFont="1"/>
    <xf numFmtId="37" fontId="2" fillId="0" borderId="0" xfId="9" applyNumberFormat="1" applyFont="1" applyAlignment="1">
      <alignment horizontal="center"/>
    </xf>
    <xf numFmtId="3" fontId="2" fillId="0" borderId="0" xfId="9" applyNumberFormat="1" applyFont="1" applyAlignment="1">
      <alignment horizontal="center"/>
    </xf>
    <xf numFmtId="3" fontId="20" fillId="0" borderId="0" xfId="9" applyNumberFormat="1" applyFont="1" applyAlignment="1">
      <alignment horizontal="center"/>
    </xf>
    <xf numFmtId="0" fontId="20" fillId="0" borderId="0" xfId="9" applyFont="1" applyFill="1" applyAlignment="1">
      <alignment horizontal="center"/>
    </xf>
    <xf numFmtId="37" fontId="20" fillId="2" borderId="0" xfId="9" applyNumberFormat="1" applyFont="1" applyFill="1" applyAlignment="1">
      <alignment horizontal="center"/>
    </xf>
    <xf numFmtId="0" fontId="20" fillId="0" borderId="0" xfId="9" applyFont="1"/>
    <xf numFmtId="0" fontId="2" fillId="0" borderId="0" xfId="9" applyFont="1" applyFill="1"/>
    <xf numFmtId="0" fontId="2" fillId="0" borderId="0" xfId="9" applyNumberFormat="1" applyFont="1" applyAlignment="1">
      <alignment horizontal="left"/>
    </xf>
    <xf numFmtId="0" fontId="2" fillId="0" borderId="0" xfId="9" applyFont="1" applyFill="1" applyAlignment="1">
      <alignment horizontal="left"/>
    </xf>
    <xf numFmtId="37" fontId="2" fillId="0" borderId="0" xfId="9" applyNumberFormat="1" applyFont="1" applyFill="1"/>
    <xf numFmtId="3" fontId="2" fillId="0" borderId="0" xfId="9" applyNumberFormat="1" applyFont="1" applyFill="1" applyAlignment="1">
      <alignment horizontal="left"/>
    </xf>
    <xf numFmtId="0" fontId="2" fillId="0" borderId="0" xfId="9" applyNumberFormat="1" applyFont="1" applyFill="1" applyAlignment="1">
      <alignment horizontal="left"/>
    </xf>
    <xf numFmtId="3" fontId="21" fillId="0" borderId="0" xfId="9" applyNumberFormat="1" applyFont="1" applyAlignment="1">
      <alignment horizontal="left"/>
    </xf>
    <xf numFmtId="3" fontId="21" fillId="0" borderId="0" xfId="9" applyNumberFormat="1" applyFont="1" applyAlignment="1">
      <alignment horizontal="right"/>
    </xf>
    <xf numFmtId="187" fontId="21" fillId="0" borderId="0" xfId="6" applyNumberFormat="1" applyFont="1" applyFill="1"/>
    <xf numFmtId="173" fontId="21" fillId="0" borderId="0" xfId="6" applyNumberFormat="1" applyFont="1" applyFill="1"/>
    <xf numFmtId="3" fontId="23" fillId="0" borderId="0" xfId="9" applyNumberFormat="1" applyFont="1" applyAlignment="1">
      <alignment horizontal="right"/>
    </xf>
    <xf numFmtId="173" fontId="23" fillId="0" borderId="0" xfId="6" applyNumberFormat="1" applyFont="1" applyFill="1"/>
    <xf numFmtId="3" fontId="20" fillId="0" borderId="0" xfId="9" applyNumberFormat="1" applyFont="1" applyAlignment="1">
      <alignment horizontal="right"/>
    </xf>
    <xf numFmtId="3" fontId="2" fillId="0" borderId="0" xfId="9" applyNumberFormat="1" applyFont="1" applyAlignment="1">
      <alignment horizontal="right"/>
    </xf>
    <xf numFmtId="15" fontId="14" fillId="0" borderId="0" xfId="0" quotePrefix="1" applyNumberFormat="1" applyFont="1" applyFill="1" applyAlignment="1">
      <alignment horizontal="centerContinuous"/>
    </xf>
    <xf numFmtId="188" fontId="11" fillId="0" borderId="0" xfId="15" applyNumberFormat="1" applyFont="1" applyFill="1"/>
    <xf numFmtId="188" fontId="15" fillId="0" borderId="0" xfId="15" applyNumberFormat="1" applyFont="1" applyAlignment="1">
      <alignment horizontal="left"/>
    </xf>
    <xf numFmtId="184" fontId="2" fillId="0" borderId="12" xfId="6" applyNumberFormat="1" applyFont="1" applyBorder="1"/>
    <xf numFmtId="37" fontId="2" fillId="0" borderId="1" xfId="16" applyNumberFormat="1" applyFont="1" applyFill="1" applyBorder="1"/>
    <xf numFmtId="37" fontId="20" fillId="0" borderId="0" xfId="16" applyNumberFormat="1" applyFont="1" applyFill="1"/>
    <xf numFmtId="185" fontId="2" fillId="0" borderId="0" xfId="14" applyNumberFormat="1" applyFont="1" applyFill="1" applyProtection="1"/>
    <xf numFmtId="9" fontId="2" fillId="0" borderId="0" xfId="14" applyNumberFormat="1" applyFont="1" applyProtection="1"/>
    <xf numFmtId="37" fontId="11" fillId="0" borderId="0" xfId="0" applyFont="1" applyAlignment="1">
      <alignment horizontal="center"/>
    </xf>
    <xf numFmtId="37" fontId="10" fillId="0" borderId="0" xfId="0" applyFont="1" applyAlignment="1">
      <alignment horizontal="center"/>
    </xf>
    <xf numFmtId="37" fontId="6" fillId="0" borderId="0" xfId="0" applyFont="1" applyAlignment="1" applyProtection="1">
      <alignment horizontal="center"/>
    </xf>
    <xf numFmtId="37" fontId="7" fillId="0" borderId="0" xfId="0" applyFont="1" applyFill="1" applyBorder="1" applyAlignment="1">
      <alignment horizontal="center"/>
    </xf>
    <xf numFmtId="37" fontId="14" fillId="0" borderId="0" xfId="0" applyFont="1" applyAlignment="1">
      <alignment horizontal="center"/>
    </xf>
    <xf numFmtId="0" fontId="2" fillId="0" borderId="0" xfId="12" applyFont="1" applyAlignment="1">
      <alignment horizontal="center"/>
    </xf>
    <xf numFmtId="0" fontId="2" fillId="0" borderId="0" xfId="16" applyFont="1" applyAlignment="1">
      <alignment horizontal="center"/>
    </xf>
    <xf numFmtId="0" fontId="2" fillId="0" borderId="0" xfId="14" applyFont="1" applyAlignment="1" applyProtection="1">
      <alignment horizontal="center"/>
    </xf>
  </cellXfs>
  <cellStyles count="17">
    <cellStyle name="Comma" xfId="1" builtinId="3"/>
    <cellStyle name="Currency" xfId="15" builtinId="4"/>
    <cellStyle name="Normal" xfId="0" builtinId="0"/>
    <cellStyle name="Normal 12" xfId="8"/>
    <cellStyle name="Normal 2" xfId="7"/>
    <cellStyle name="Normal 2 2" xfId="12"/>
    <cellStyle name="Normal 3" xfId="9"/>
    <cellStyle name="Normal 4" xfId="13"/>
    <cellStyle name="Normal_Account 380 tab" xfId="10"/>
    <cellStyle name="Normal_B-3 Depreciation" xfId="2"/>
    <cellStyle name="Normal_B-4" xfId="3"/>
    <cellStyle name="Normal_D-2.10" xfId="4"/>
    <cellStyle name="Normal_E-1 Income Taxes" xfId="5"/>
    <cellStyle name="Normal_H-1 GR Conversion Factor" xfId="14"/>
    <cellStyle name="Normal_Schedule J" xfId="16"/>
    <cellStyle name="Percent" xfId="6" builtinId="5"/>
    <cellStyle name="Percent 2" xfId="11"/>
  </cellStyles>
  <dxfs count="0"/>
  <tableStyles count="0" defaultTableStyle="TableStyleMedium2" defaultPivotStyle="PivotStyleLight16"/>
  <colors>
    <mruColors>
      <color rgb="FF00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0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5.xml"/><Relationship Id="rId42" Type="http://schemas.openxmlformats.org/officeDocument/2006/relationships/externalLink" Target="externalLinks/externalLink13.xml"/><Relationship Id="rId47" Type="http://schemas.openxmlformats.org/officeDocument/2006/relationships/externalLink" Target="externalLinks/externalLink18.xml"/><Relationship Id="rId50" Type="http://schemas.openxmlformats.org/officeDocument/2006/relationships/externalLink" Target="externalLinks/externalLink21.xml"/><Relationship Id="rId55" Type="http://schemas.openxmlformats.org/officeDocument/2006/relationships/externalLink" Target="externalLinks/externalLink26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2.xml"/><Relationship Id="rId54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externalLink" Target="externalLinks/externalLink8.xml"/><Relationship Id="rId40" Type="http://schemas.openxmlformats.org/officeDocument/2006/relationships/externalLink" Target="externalLinks/externalLink11.xml"/><Relationship Id="rId45" Type="http://schemas.openxmlformats.org/officeDocument/2006/relationships/externalLink" Target="externalLinks/externalLink16.xml"/><Relationship Id="rId53" Type="http://schemas.openxmlformats.org/officeDocument/2006/relationships/externalLink" Target="externalLinks/externalLink24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7.xml"/><Relationship Id="rId49" Type="http://schemas.openxmlformats.org/officeDocument/2006/relationships/externalLink" Target="externalLinks/externalLink20.xml"/><Relationship Id="rId57" Type="http://schemas.openxmlformats.org/officeDocument/2006/relationships/externalLink" Target="externalLinks/externalLink28.xml"/><Relationship Id="rId61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4" Type="http://schemas.openxmlformats.org/officeDocument/2006/relationships/externalLink" Target="externalLinks/externalLink15.xml"/><Relationship Id="rId52" Type="http://schemas.openxmlformats.org/officeDocument/2006/relationships/externalLink" Target="externalLinks/externalLink23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externalLink" Target="externalLinks/externalLink6.xml"/><Relationship Id="rId43" Type="http://schemas.openxmlformats.org/officeDocument/2006/relationships/externalLink" Target="externalLinks/externalLink14.xml"/><Relationship Id="rId48" Type="http://schemas.openxmlformats.org/officeDocument/2006/relationships/externalLink" Target="externalLinks/externalLink19.xml"/><Relationship Id="rId56" Type="http://schemas.openxmlformats.org/officeDocument/2006/relationships/externalLink" Target="externalLinks/externalLink27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openxmlformats.org/officeDocument/2006/relationships/externalLink" Target="externalLinks/externalLink9.xml"/><Relationship Id="rId46" Type="http://schemas.openxmlformats.org/officeDocument/2006/relationships/externalLink" Target="externalLinks/externalLink17.xml"/><Relationship Id="rId5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Documents%20and%20Settings\Catharine%20Lacy\My%20Documents\Work%20Projects\Columbia3\TS1&amp;TS2\DataFar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GV\RATE%20CASE\2010%20Rate%20Filing%20&amp;%20ET%20(Actual%2012-31-09)\Schedules%20&amp;%20Adjustments\Schedules\Sch%2040b%20-%20Jurisdictional%20Allocations%20(Rate%20Case)\Schedule%2040b%20(Old%20Sch%2030)%20GAAP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GV/RATE%20CASE/2014%20Rate%20Case%20(Actual%2012-31-13)/Schedules/Sch%2040b%20-%20Juris%20Allocations%20(Rate%20Case)/(Final)%20Sch%2040b%2012-31-2013%20(Rate%20Case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PayorConsolidated/Accounts/Blue%20Cross/Financials/2003/05/PYR_SVC_BLUERI_AP%20IMAG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Models/IT/IT%20Financial%20Model%20Tool/Financial%20Models/Nisource%20-%20Customer%20Contact%20Center%20Financial%20Management%20Tool%20v1%20(10.18.05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BMS%20People%20Analysis2.ppt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Documents%20and%20Settings\Catharine%20Lacy\My%20Documents\Work%20Projects\Columbia3\PGA-ACA\(WORKINGCOPY)PGA-EffectiveNovember29,2005\(WORKINGCOPY)PGA-EffectiveNovember29,200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nts%20and%20Settings\MMeade\Desktop\BT%20quote%20template-%20May%202004%20V1.02%20-%20TEST%20FILE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PA\Rate%20Case\2014\Revenue\CPA%202014%20Rate%20Case%20Exh%20103%20FFRY%20Sch%2001%20Thru%208%20and%20pgs%20%209-11%20and%2016-17%20to%20be%20updated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NU%20Return%20on%20Rate%20Base/2003/2003%203rd%20Qtr/NH%20Return%20on%20Rate%20Base%20ReportFiled%20-%2009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CKY/Ratecase%20-%202007/Schedules/Workpapers/Payroll%20Tax%20Adjustm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otes/data/Schedule%20E%20-%20Income%20Taxes/E-1%20Income%20Tax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ourcing%20Initiative\ADM%20Support\APR04IMSS,%20v2.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arlouJ/Local%20Settings/Temporary%20Internet%20Files/OLK8/208522/0901Wellpoin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CKY/Ratecase%20-%202007/Schedules/Schedule%20A%20thru%20L%20Updates%20&amp;%20Revisions/Copy%20of%20Schedules%20A%20thru%20L%20Cost%20of%20Servive%20September30,%202006%20Outcome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notes/data/Schedule%20B%20-%20Rate%20Base%20&amp;%20Balance%20Sheet/B-2%20Plant%20&amp;%20Property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~1\npatel\LOCALS~1\Temp\IPBS%20Quotation%20Tool%20v2.1%20-%20November%20Issue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PA\Rate%20Case\2016\Allocated%20Cost%20of%20Service\CPA%202016%20ACOS%20-%20Master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erler/My%20Documents/Cendant/Denver%20Resource%20Baselines/Asset%20Tracking%2010_16_01.Lee1%20Rev%20PC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701433~1\LOCALS~1\Temp\PB06BaseSept2004BMSGlobalOutsourceallocations_MA4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parkegj\LOCALS~1\Temp\d.My%20Documents.Notes.Data\2004%20GIS\Submitted%20Files\20458p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Cgv\RATECASE\2006%20Rate%20Case%20TME%2012-31-05,%20Proforma%209-30-06\Revenue\TS1&amp;TS2splitworksheet-2005-(4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PA\Rate%20Case\2014\Cost%20of%20Service\First%20Draft\Exhibit%20No.%20102\Cost%20of%20Service%20Model%20-%2011-30-14%20%20-%2012-31-15%20maste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PA/Rate%20Case/2010/Digest%20of%20Principal%20Exhibits/Historic/Cost%20of%20Service%2009-30-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PA/Rate%20Case/2008/Forecasted/Adjustments%20-%20O&amp;M%20Expense/Projected%20CAP%20for%20PA%20rate%20case%20test%20year%209-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Models/IT/IT%20Financial%20Model%20Tool/Nisource%20-%20MTC%20Financial%20Management%20Tool%20v20%20(11.1.05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Models/IT/IT%20Financial%20Model%20Tool/2006-08-08%20Nisource%20-%20IT%20Financial%20Management%20Tool_Amendment%203%20Updat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loyd%20Spann/My%20Documents/Excel/2004/BCBSRI/Governance%20Financial%20Management/Service%20Credits/BCBSRI%20Service%20Level%20Credit%20Tracking%20Draft_v11_LDS_0128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&amp;B"/>
      <sheetName val="PGA 95 B&amp;B Monica"/>
      <sheetName val="Demand Data"/>
      <sheetName val="Demand Summary"/>
      <sheetName val="ACAvsCGVStorage&amp;Peaking"/>
      <sheetName val="TRANSPORTS-revised"/>
      <sheetName val="TS1&amp;TS2data"/>
      <sheetName val="B&amp;B Tol LVTS"/>
      <sheetName val="B&amp;B Tol TS1"/>
      <sheetName val="B&amp;B Tol TS2"/>
      <sheetName val="B&amp;B Tol All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S 1-11"/>
      <sheetName val="ALLOCATIONS"/>
      <sheetName val="INPUT"/>
      <sheetName val="Gas Cost"/>
      <sheetName val="PR&amp;E"/>
      <sheetName val="Customers"/>
      <sheetName val="Volumes"/>
      <sheetName val="Design Day Development &amp; Factor"/>
      <sheetName val="Revenue"/>
      <sheetName val="Account 380 allocation"/>
      <sheetName val="Account 380 unit cost"/>
      <sheetName val="Account 380 master taps"/>
      <sheetName val="381 Allocations"/>
      <sheetName val="2&quot; Min System Calc"/>
      <sheetName val="385 Allocations"/>
      <sheetName val="385 Detail"/>
      <sheetName val="385 Stations"/>
      <sheetName val="Customer Deposit Allocation"/>
    </sheetNames>
    <sheetDataSet>
      <sheetData sheetId="0" refreshError="1"/>
      <sheetData sheetId="1">
        <row r="7">
          <cell r="A7">
            <v>1</v>
          </cell>
        </row>
        <row r="37">
          <cell r="A37">
            <v>1</v>
          </cell>
          <cell r="B37" t="str">
            <v>DIRECT</v>
          </cell>
        </row>
        <row r="38">
          <cell r="A38">
            <v>2</v>
          </cell>
          <cell r="B38" t="str">
            <v>AVG # OF CUSTOMERS</v>
          </cell>
        </row>
        <row r="39">
          <cell r="A39">
            <v>3</v>
          </cell>
          <cell r="B39" t="str">
            <v>IND CUST EXCL LVTS</v>
          </cell>
        </row>
        <row r="40">
          <cell r="A40">
            <v>4</v>
          </cell>
          <cell r="B40" t="str">
            <v>DESIGN DAY EXCL LVTS &amp; DIR NJ</v>
          </cell>
        </row>
        <row r="41">
          <cell r="A41">
            <v>5</v>
          </cell>
          <cell r="B41" t="str">
            <v>THROUGHPUT EXCL TRANS</v>
          </cell>
        </row>
        <row r="42">
          <cell r="A42">
            <v>6</v>
          </cell>
          <cell r="B42" t="str">
            <v>THROUGHPUT EXCL LVTS &amp; DIR NJ</v>
          </cell>
        </row>
        <row r="43">
          <cell r="A43">
            <v>7</v>
          </cell>
          <cell r="B43" t="str">
            <v>CUST (2" MIN) / DEMAND</v>
          </cell>
        </row>
        <row r="44">
          <cell r="A44">
            <v>8</v>
          </cell>
          <cell r="B44" t="str">
            <v>DEM / COMM (COMPOSITE #4 &amp; #6)</v>
          </cell>
        </row>
        <row r="45">
          <cell r="A45">
            <v>9</v>
          </cell>
          <cell r="B45" t="str">
            <v>AVG CUST/DEM &amp; DEM/COMM</v>
          </cell>
        </row>
        <row r="46">
          <cell r="A46">
            <v>10</v>
          </cell>
          <cell r="B46" t="str">
            <v>RESULT - ACCT 376</v>
          </cell>
        </row>
        <row r="47">
          <cell r="A47">
            <v>11</v>
          </cell>
          <cell r="B47" t="str">
            <v>ACCT 380 ALLOCATOR</v>
          </cell>
        </row>
        <row r="48">
          <cell r="A48">
            <v>12</v>
          </cell>
          <cell r="B48" t="str">
            <v>RESULT - ACCTS 376 &amp; 380</v>
          </cell>
        </row>
        <row r="49">
          <cell r="A49">
            <v>13</v>
          </cell>
          <cell r="B49" t="str">
            <v>ACCT 381 ALLOCATOR</v>
          </cell>
        </row>
        <row r="50">
          <cell r="A50">
            <v>14</v>
          </cell>
          <cell r="B50" t="str">
            <v>ACCT 385 ALLOCATOR</v>
          </cell>
        </row>
        <row r="51">
          <cell r="A51">
            <v>15</v>
          </cell>
          <cell r="B51" t="str">
            <v>RESULT - ACCT 385</v>
          </cell>
        </row>
        <row r="52">
          <cell r="A52">
            <v>16</v>
          </cell>
          <cell r="B52" t="str">
            <v>RSLT DIS PLT EX 37570,37571&amp;387</v>
          </cell>
        </row>
        <row r="53">
          <cell r="A53">
            <v>17</v>
          </cell>
          <cell r="B53" t="str">
            <v>RESULT - TOTAL PLANT</v>
          </cell>
        </row>
        <row r="54">
          <cell r="A54">
            <v>18</v>
          </cell>
          <cell r="B54" t="str">
            <v>CUSTOMER DEPOSITS</v>
          </cell>
        </row>
        <row r="55">
          <cell r="A55">
            <v>19</v>
          </cell>
          <cell r="B55" t="str">
            <v>SALES &amp; TRANSPORTATION REVENUE</v>
          </cell>
        </row>
        <row r="56">
          <cell r="A56">
            <v>20</v>
          </cell>
          <cell r="B56" t="str">
            <v>GAS PURCHASE EXPENSE</v>
          </cell>
        </row>
        <row r="57">
          <cell r="A57">
            <v>21</v>
          </cell>
          <cell r="B57" t="str">
            <v>OTHER DISTRIBUTION EXPENSE</v>
          </cell>
        </row>
        <row r="58">
          <cell r="A58">
            <v>22</v>
          </cell>
          <cell r="B58" t="str">
            <v>O&amp;M EX GAS PUR EXP &amp; A&amp;G EXP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S 1-14"/>
      <sheetName val="ALLOCATIONS"/>
      <sheetName val="INPUT"/>
      <sheetName val="Gas Cost"/>
      <sheetName val="PR&amp;E"/>
      <sheetName val="2013 BG Direct "/>
      <sheetName val="Customers"/>
      <sheetName val="Revenue"/>
      <sheetName val="Volumes"/>
      <sheetName val="Design Day Development &amp; Factor"/>
      <sheetName val="Design Day 712"/>
      <sheetName val="Account 380 allocation"/>
      <sheetName val="Account 380 unit cost"/>
      <sheetName val="Account 380 master taps"/>
      <sheetName val="Service Pivot"/>
      <sheetName val="Master Tap Codes"/>
      <sheetName val="Service Codes"/>
      <sheetName val="381 Allocations"/>
      <sheetName val="2&quot; Min System Calc"/>
      <sheetName val="376 Detail"/>
      <sheetName val="385 Allocations"/>
      <sheetName val="385 Detail"/>
      <sheetName val="Customer Deposit Allocation"/>
    </sheetNames>
    <sheetDataSet>
      <sheetData sheetId="0"/>
      <sheetData sheetId="1">
        <row r="10">
          <cell r="A10">
            <v>1</v>
          </cell>
          <cell r="B10" t="str">
            <v>DIRECT</v>
          </cell>
        </row>
        <row r="11">
          <cell r="A11">
            <v>2</v>
          </cell>
          <cell r="B11" t="str">
            <v>AVERAGE NUMBER OF CUSTOMERS</v>
          </cell>
          <cell r="C11">
            <v>248075</v>
          </cell>
          <cell r="D11">
            <v>7.2700000000000004E-3</v>
          </cell>
          <cell r="E11">
            <v>1804</v>
          </cell>
          <cell r="F11">
            <v>6.0000000000000002E-5</v>
          </cell>
          <cell r="G11">
            <v>14</v>
          </cell>
          <cell r="H11">
            <v>0.99267000000000005</v>
          </cell>
          <cell r="I11">
            <v>246257</v>
          </cell>
        </row>
        <row r="12">
          <cell r="A12">
            <v>3</v>
          </cell>
          <cell r="B12" t="str">
            <v>INDUSTRIAL CUSTOMERS ONLY EXCLUDING LVTS</v>
          </cell>
          <cell r="C12">
            <v>223</v>
          </cell>
          <cell r="D12">
            <v>4.9329999999999999E-2</v>
          </cell>
          <cell r="E12">
            <v>11</v>
          </cell>
          <cell r="F12">
            <v>0</v>
          </cell>
          <cell r="G12">
            <v>0</v>
          </cell>
          <cell r="H12">
            <v>0.95067000000000002</v>
          </cell>
          <cell r="I12">
            <v>212</v>
          </cell>
        </row>
        <row r="13">
          <cell r="A13">
            <v>4</v>
          </cell>
          <cell r="B13" t="str">
            <v xml:space="preserve">DESIGN DAY EXCLUDING LVTS </v>
          </cell>
          <cell r="C13">
            <v>403600</v>
          </cell>
          <cell r="D13">
            <v>7.5149999999999995E-2</v>
          </cell>
          <cell r="E13">
            <v>30330</v>
          </cell>
          <cell r="F13">
            <v>0</v>
          </cell>
          <cell r="G13">
            <v>0</v>
          </cell>
          <cell r="H13">
            <v>0.92484999999999995</v>
          </cell>
          <cell r="I13">
            <v>373270</v>
          </cell>
        </row>
        <row r="14">
          <cell r="A14">
            <v>5</v>
          </cell>
          <cell r="B14" t="str">
            <v>THROUGHPUT EXCLUDING TRANSPORTATION</v>
          </cell>
          <cell r="C14">
            <v>26095967.400000002</v>
          </cell>
          <cell r="D14">
            <v>8.6249999999999993E-2</v>
          </cell>
          <cell r="E14">
            <v>2250734.2999999998</v>
          </cell>
          <cell r="F14">
            <v>0</v>
          </cell>
          <cell r="G14">
            <v>0</v>
          </cell>
          <cell r="H14">
            <v>0.91375000000000006</v>
          </cell>
          <cell r="I14">
            <v>23845233.100000001</v>
          </cell>
        </row>
        <row r="15">
          <cell r="A15">
            <v>6</v>
          </cell>
          <cell r="B15" t="str">
            <v>THROUGHPUT EXCLUDING LVTS</v>
          </cell>
          <cell r="C15">
            <v>52508461.699999996</v>
          </cell>
          <cell r="D15">
            <v>8.8270000000000001E-2</v>
          </cell>
          <cell r="E15">
            <v>4634919.3</v>
          </cell>
          <cell r="F15">
            <v>0</v>
          </cell>
          <cell r="G15">
            <v>0</v>
          </cell>
          <cell r="H15">
            <v>0.91173000000000004</v>
          </cell>
          <cell r="I15">
            <v>47873542.399999999</v>
          </cell>
        </row>
        <row r="16">
          <cell r="A16">
            <v>7</v>
          </cell>
          <cell r="B16" t="str">
            <v>CUSTOMER (2" MINIMUM SYSTEM) / DEMAND</v>
          </cell>
          <cell r="D16">
            <v>3.943E-2</v>
          </cell>
          <cell r="G16">
            <v>0</v>
          </cell>
          <cell r="H16">
            <v>0.96057000000000003</v>
          </cell>
        </row>
        <row r="17">
          <cell r="A17">
            <v>8</v>
          </cell>
          <cell r="B17" t="str">
            <v>DEMAND / COMMODITY (COMPOSITE OF  4 &amp; 6)</v>
          </cell>
          <cell r="D17">
            <v>8.1710000000000005E-2</v>
          </cell>
          <cell r="G17">
            <v>0</v>
          </cell>
          <cell r="H17">
            <v>0.91829000000000005</v>
          </cell>
        </row>
        <row r="18">
          <cell r="A18">
            <v>9</v>
          </cell>
          <cell r="B18" t="str">
            <v>AVERAGE OF CUSTOMER/DEMAND &amp; DEMAND/COMMODITY</v>
          </cell>
          <cell r="D18">
            <v>6.0569999999999999E-2</v>
          </cell>
          <cell r="G18">
            <v>0</v>
          </cell>
          <cell r="H18">
            <v>0.93942999999999999</v>
          </cell>
        </row>
        <row r="19">
          <cell r="A19">
            <v>10</v>
          </cell>
          <cell r="B19" t="str">
            <v xml:space="preserve">RESULTS OF ACCOUNT 37600 </v>
          </cell>
          <cell r="C19">
            <v>423839676.17000002</v>
          </cell>
          <cell r="D19">
            <v>5.7450000000000001E-2</v>
          </cell>
          <cell r="E19">
            <v>24349558</v>
          </cell>
          <cell r="F19">
            <v>5.151E-2</v>
          </cell>
          <cell r="G19">
            <v>21832769.84</v>
          </cell>
          <cell r="H19">
            <v>0.89104000000000005</v>
          </cell>
          <cell r="I19">
            <v>377657348.33000004</v>
          </cell>
        </row>
        <row r="20">
          <cell r="A20">
            <v>11</v>
          </cell>
          <cell r="B20" t="str">
            <v>ACCOUNT 38000 ALLOCATOR</v>
          </cell>
          <cell r="D20">
            <v>1.2559999999999794E-2</v>
          </cell>
          <cell r="G20">
            <v>0</v>
          </cell>
          <cell r="H20">
            <v>0.98744000000000021</v>
          </cell>
        </row>
        <row r="21">
          <cell r="A21">
            <v>12</v>
          </cell>
          <cell r="B21" t="str">
            <v>RESULTS OF ACCOUNTS 37600 &amp; 38000</v>
          </cell>
          <cell r="C21">
            <v>671803700.85000002</v>
          </cell>
          <cell r="D21">
            <v>4.088E-2</v>
          </cell>
          <cell r="E21">
            <v>27462894</v>
          </cell>
          <cell r="F21">
            <v>3.2629999999999999E-2</v>
          </cell>
          <cell r="G21">
            <v>21919751.699999999</v>
          </cell>
          <cell r="H21">
            <v>0.92648999999999992</v>
          </cell>
          <cell r="I21">
            <v>622421055.1500001</v>
          </cell>
        </row>
        <row r="22">
          <cell r="A22">
            <v>13</v>
          </cell>
          <cell r="B22" t="str">
            <v>ACCOUNT 38100 ALLOCATOR</v>
          </cell>
          <cell r="D22">
            <v>5.0530000000000075E-2</v>
          </cell>
          <cell r="F22">
            <v>1.4400000000000001E-3</v>
          </cell>
          <cell r="G22">
            <v>0</v>
          </cell>
          <cell r="H22">
            <v>0.94802999999999993</v>
          </cell>
        </row>
        <row r="23">
          <cell r="A23">
            <v>14</v>
          </cell>
          <cell r="B23" t="str">
            <v>ACCOUNT 38500 ALLOCATOR</v>
          </cell>
          <cell r="D23">
            <v>0.17732000000000001</v>
          </cell>
          <cell r="G23">
            <v>0</v>
          </cell>
          <cell r="H23">
            <v>0.82267999999999997</v>
          </cell>
        </row>
        <row r="24">
          <cell r="A24">
            <v>15</v>
          </cell>
          <cell r="B24" t="str">
            <v>RESULTS OF ACCOUNT 38500</v>
          </cell>
          <cell r="C24">
            <v>13586688.460000001</v>
          </cell>
          <cell r="D24">
            <v>0.10166</v>
          </cell>
          <cell r="E24">
            <v>1381172</v>
          </cell>
          <cell r="F24">
            <v>0.42670999999999998</v>
          </cell>
          <cell r="G24">
            <v>5797537.4900000002</v>
          </cell>
          <cell r="H24">
            <v>0.47163000000000005</v>
          </cell>
          <cell r="I24">
            <v>6407978.9699999997</v>
          </cell>
        </row>
        <row r="25">
          <cell r="A25">
            <v>16</v>
          </cell>
          <cell r="B25" t="str">
            <v>RESULTS OF DIST PLANT EXCL ACCTS 37570, 37571 &amp; 387</v>
          </cell>
          <cell r="C25">
            <v>795904042.56999993</v>
          </cell>
          <cell r="D25">
            <v>4.3130000000000002E-2</v>
          </cell>
          <cell r="E25">
            <v>34324896</v>
          </cell>
          <cell r="F25">
            <v>4.5629999999999997E-2</v>
          </cell>
          <cell r="G25">
            <v>36315220.090000011</v>
          </cell>
          <cell r="H25">
            <v>0.91124000000000005</v>
          </cell>
          <cell r="I25">
            <v>725263926.48000014</v>
          </cell>
        </row>
        <row r="26">
          <cell r="A26">
            <v>17</v>
          </cell>
          <cell r="B26" t="str">
            <v>RESULTS OF TOTAL PLANT</v>
          </cell>
          <cell r="C26">
            <v>880009676</v>
          </cell>
          <cell r="D26">
            <v>4.165E-2</v>
          </cell>
          <cell r="E26">
            <v>36655705</v>
          </cell>
          <cell r="F26">
            <v>8.6559999999999998E-2</v>
          </cell>
          <cell r="G26">
            <v>76171439.910000011</v>
          </cell>
          <cell r="H26">
            <v>0.87179000000000006</v>
          </cell>
          <cell r="I26">
            <v>767182531.09000015</v>
          </cell>
        </row>
        <row r="27">
          <cell r="A27">
            <v>18</v>
          </cell>
          <cell r="B27" t="str">
            <v>CUSTOMER DEPOSITS</v>
          </cell>
          <cell r="C27">
            <v>7836957</v>
          </cell>
          <cell r="D27">
            <v>3.3700000000000002E-3</v>
          </cell>
          <cell r="E27">
            <v>26374</v>
          </cell>
          <cell r="F27">
            <v>0</v>
          </cell>
          <cell r="G27">
            <v>0</v>
          </cell>
          <cell r="H27">
            <v>0.99663000000000002</v>
          </cell>
          <cell r="I27">
            <v>7810583</v>
          </cell>
        </row>
        <row r="28">
          <cell r="A28">
            <v>19</v>
          </cell>
          <cell r="B28" t="str">
            <v>SALES &amp; TRANSPORTATION REVENUE</v>
          </cell>
          <cell r="C28">
            <v>330068007</v>
          </cell>
          <cell r="D28">
            <v>3.7999999999999999E-2</v>
          </cell>
          <cell r="E28">
            <v>12543065</v>
          </cell>
          <cell r="F28">
            <v>3.567E-2</v>
          </cell>
          <cell r="G28">
            <v>11774703</v>
          </cell>
          <cell r="H28">
            <v>0.92632999999999999</v>
          </cell>
          <cell r="I28">
            <v>305750239</v>
          </cell>
        </row>
        <row r="29">
          <cell r="A29">
            <v>20</v>
          </cell>
          <cell r="B29" t="str">
            <v>GAS PURCHASE EXPENSE</v>
          </cell>
          <cell r="C29">
            <v>165499257</v>
          </cell>
          <cell r="D29">
            <v>5.228E-2</v>
          </cell>
          <cell r="E29">
            <v>8653127</v>
          </cell>
          <cell r="F29">
            <v>0</v>
          </cell>
          <cell r="G29">
            <v>0</v>
          </cell>
          <cell r="H29">
            <v>0.94772000000000001</v>
          </cell>
          <cell r="I29">
            <v>156846130</v>
          </cell>
        </row>
        <row r="30">
          <cell r="A30">
            <v>21</v>
          </cell>
          <cell r="B30" t="str">
            <v>OTHER DISTRIBUTION EXPENSE</v>
          </cell>
          <cell r="C30">
            <v>22537666</v>
          </cell>
          <cell r="D30">
            <v>4.0469999999999999E-2</v>
          </cell>
          <cell r="E30">
            <v>912174</v>
          </cell>
          <cell r="F30">
            <v>2.9960000000000001E-2</v>
          </cell>
          <cell r="G30">
            <v>675250.59000000008</v>
          </cell>
          <cell r="H30">
            <v>0.92957000000000001</v>
          </cell>
          <cell r="I30">
            <v>20950241.409999996</v>
          </cell>
        </row>
        <row r="31">
          <cell r="A31">
            <v>22</v>
          </cell>
          <cell r="B31" t="str">
            <v>O &amp; M EXCLUDING GAS PURCHASE EXP AND A &amp; G EXP</v>
          </cell>
          <cell r="C31">
            <v>36239130</v>
          </cell>
          <cell r="D31">
            <v>3.1559999999999998E-2</v>
          </cell>
          <cell r="E31">
            <v>1143682</v>
          </cell>
          <cell r="F31">
            <v>2.0629999999999999E-2</v>
          </cell>
          <cell r="G31">
            <v>747599.07000000007</v>
          </cell>
          <cell r="H31">
            <v>0.94780999999999993</v>
          </cell>
          <cell r="I31">
            <v>34347848.93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"/>
      <sheetName val="EX"/>
      <sheetName val="END FXrates"/>
      <sheetName val="AVG FXrat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I(a) (Ref) Mnth Baseline %"/>
      <sheetName val="J (Ref) -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S List"/>
      <sheetName val="Assumptions"/>
      <sheetName val="Analysi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Sources"/>
      <sheetName val="Input"/>
      <sheetName val="Cover"/>
      <sheetName val="Table of Contents"/>
      <sheetName val="Sheet 1- Summary"/>
      <sheetName val="Pg. 2 - Composite"/>
      <sheetName val="Pg. 3 - Daily Demand"/>
      <sheetName val="Pg. 4 - Ann. Demand"/>
      <sheetName val="Pg. 5 - Commodity"/>
      <sheetName val="Pg. 6 - Comm. Rates &amp; Vol."/>
      <sheetName val="Pg. 7 - TCO&amp;CGT Rates"/>
      <sheetName val="Pg. 8 - Transco Rates"/>
      <sheetName val="Pg. 9 - Sales"/>
      <sheetName val="Pg. 10 - Banking"/>
      <sheetName val="Pg. 11 - Misc."/>
      <sheetName val="Pg. 12 PDS"/>
      <sheetName val="Pg. 13 - Balancing Charge"/>
      <sheetName val="Pg. 14 - Variable Storage"/>
      <sheetName val="Pg. 15 - Total Gas Cost"/>
      <sheetName val="Pg 16- Comm. Actual"/>
      <sheetName val="Pg. 17 - Dem Actual"/>
      <sheetName val="Pg. 18 - Alloc"/>
      <sheetName val="Pg. 19 - EBS"/>
      <sheetName val="Pg. 20 - SIS"/>
      <sheetName val="Tabs"/>
    </sheetNames>
    <sheetDataSet>
      <sheetData sheetId="0"/>
      <sheetData sheetId="1">
        <row r="11">
          <cell r="B11">
            <v>1.0379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ter Configuration"/>
      <sheetName val="Location"/>
      <sheetName val="BT Order Form - Equipment"/>
      <sheetName val="BT Order Form - Services"/>
      <sheetName val="Maint Countries"/>
      <sheetName val="Clarification"/>
      <sheetName val="Cisco Price List"/>
      <sheetName val="Baseline Support"/>
      <sheetName val="Getronics in-Country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103, Pg 10-11"/>
      <sheetName val="Ex 103, Pg 16-17"/>
      <sheetName val="Sch1"/>
      <sheetName val="Sch2"/>
      <sheetName val="Sch3"/>
      <sheetName val="Sch4"/>
      <sheetName val="Sch4-2"/>
      <sheetName val="Sch4-3"/>
      <sheetName val="Sch5"/>
      <sheetName val="Sch6"/>
      <sheetName val="Sch 7"/>
      <sheetName val="Macros"/>
      <sheetName val=" SCH 8 - Rate Design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B"/>
      <sheetName val="526849-48"/>
      <sheetName val="106200"/>
      <sheetName val="Input"/>
      <sheetName val="Weather"/>
      <sheetName val="Calculations"/>
      <sheetName val="Cash Working Cap"/>
      <sheetName val="Debt and Equity"/>
      <sheetName val="issue nxt qtr"/>
      <sheetName val="NH Return on Rate Base ReportFi"/>
      <sheetName val="#REF"/>
    </sheetNames>
    <sheetDataSet>
      <sheetData sheetId="0" refreshError="1">
        <row r="2">
          <cell r="B2" t="str">
            <v>New Hampshire Division</v>
          </cell>
        </row>
        <row r="3">
          <cell r="B3" t="str">
            <v>Historical Rates of Return - Normalized</v>
          </cell>
        </row>
        <row r="4">
          <cell r="B4" t="str">
            <v>12 Months Ending  09/30/03</v>
          </cell>
        </row>
        <row r="7">
          <cell r="B7" t="str">
            <v>Cost of Service :</v>
          </cell>
          <cell r="D7" t="str">
            <v>Actuals</v>
          </cell>
          <cell r="E7" t="str">
            <v>Per Settlement</v>
          </cell>
        </row>
        <row r="9">
          <cell r="B9" t="str">
            <v xml:space="preserve">Revenues </v>
          </cell>
          <cell r="D9">
            <v>55676556.019999996</v>
          </cell>
          <cell r="E9">
            <v>47746999</v>
          </cell>
        </row>
        <row r="10">
          <cell r="B10" t="str">
            <v>Weather Adjustment ( After Tax )</v>
          </cell>
          <cell r="D10">
            <v>-579544.02674999996</v>
          </cell>
        </row>
        <row r="11">
          <cell r="B11" t="str">
            <v>Gas Costs</v>
          </cell>
          <cell r="D11">
            <v>-35263858.420000002</v>
          </cell>
          <cell r="E11">
            <v>-28866180</v>
          </cell>
        </row>
        <row r="12">
          <cell r="B12" t="str">
            <v>Normalized Revenues</v>
          </cell>
          <cell r="D12">
            <v>19833153.573249996</v>
          </cell>
          <cell r="E12">
            <v>18880819</v>
          </cell>
        </row>
        <row r="13">
          <cell r="F13">
            <v>513401</v>
          </cell>
        </row>
        <row r="14">
          <cell r="B14" t="str">
            <v>O&amp;M:</v>
          </cell>
        </row>
        <row r="15">
          <cell r="B15" t="str">
            <v>Other Production</v>
          </cell>
          <cell r="D15">
            <v>87642.079999999987</v>
          </cell>
          <cell r="E15">
            <v>94112</v>
          </cell>
        </row>
        <row r="16">
          <cell r="B16" t="str">
            <v>Distribution</v>
          </cell>
          <cell r="D16">
            <v>1613597.9500000002</v>
          </cell>
          <cell r="E16">
            <v>2435651</v>
          </cell>
        </row>
        <row r="17">
          <cell r="B17" t="str">
            <v>Customer Accounting</v>
          </cell>
          <cell r="D17">
            <v>1375486.29</v>
          </cell>
          <cell r="E17">
            <v>651787</v>
          </cell>
        </row>
        <row r="18">
          <cell r="B18" t="str">
            <v>Sales &amp; New Business</v>
          </cell>
          <cell r="D18">
            <v>786319.4</v>
          </cell>
          <cell r="E18">
            <v>362580</v>
          </cell>
        </row>
        <row r="19">
          <cell r="B19" t="str">
            <v>Admin. &amp; General</v>
          </cell>
          <cell r="D19">
            <v>5400521.0600000005</v>
          </cell>
          <cell r="E19">
            <v>4185559</v>
          </cell>
          <cell r="F19" t="str">
            <v>(a)</v>
          </cell>
        </row>
        <row r="20">
          <cell r="B20" t="str">
            <v>Subtotal O&amp;M</v>
          </cell>
          <cell r="D20">
            <v>9263566.7800000012</v>
          </cell>
          <cell r="E20">
            <v>7729689</v>
          </cell>
        </row>
        <row r="21">
          <cell r="F21" t="str">
            <v>523722</v>
          </cell>
        </row>
        <row r="22">
          <cell r="B22" t="str">
            <v>Federal &amp; State Income Tax</v>
          </cell>
          <cell r="D22">
            <v>2728469.0292175002</v>
          </cell>
          <cell r="E22">
            <v>2072231</v>
          </cell>
        </row>
        <row r="23">
          <cell r="B23" t="str">
            <v>Property Tax</v>
          </cell>
          <cell r="D23">
            <v>1325069.69</v>
          </cell>
          <cell r="E23">
            <v>1415023</v>
          </cell>
        </row>
        <row r="24">
          <cell r="B24" t="str">
            <v>Other Tax</v>
          </cell>
          <cell r="C24" t="str">
            <v>?</v>
          </cell>
          <cell r="D24">
            <v>198077.43999999994</v>
          </cell>
          <cell r="E24">
            <v>388546</v>
          </cell>
          <cell r="F24" t="str">
            <v>523603</v>
          </cell>
        </row>
        <row r="25">
          <cell r="B25" t="str">
            <v>Depreciation</v>
          </cell>
          <cell r="D25">
            <v>2980385.88</v>
          </cell>
          <cell r="E25">
            <v>2869213</v>
          </cell>
          <cell r="F25" t="str">
            <v>523611</v>
          </cell>
          <cell r="G25" t="str">
            <v>Pension &amp; Benefit Reserves</v>
          </cell>
        </row>
        <row r="26">
          <cell r="B26" t="str">
            <v>Amortization</v>
          </cell>
          <cell r="D26">
            <v>414129.72</v>
          </cell>
          <cell r="E26">
            <v>164759</v>
          </cell>
          <cell r="F26" t="str">
            <v>(a)</v>
          </cell>
        </row>
        <row r="27">
          <cell r="B27" t="str">
            <v>Operating Rents</v>
          </cell>
          <cell r="D27">
            <v>-404214.45</v>
          </cell>
          <cell r="E27">
            <v>-400982</v>
          </cell>
          <cell r="F27" t="str">
            <v>526300</v>
          </cell>
          <cell r="G27" t="str">
            <v>Total Rate Base</v>
          </cell>
        </row>
        <row r="28">
          <cell r="B28" t="str">
            <v>Interest on Customer Deposits</v>
          </cell>
          <cell r="D28">
            <v>19051.25</v>
          </cell>
          <cell r="E28">
            <v>18676</v>
          </cell>
        </row>
        <row r="29">
          <cell r="G29" t="str">
            <v>Utility Operating Income</v>
          </cell>
        </row>
        <row r="30">
          <cell r="B30" t="str">
            <v xml:space="preserve">     Subtotal Operating Expenses</v>
          </cell>
          <cell r="D30">
            <v>16524535.339217499</v>
          </cell>
          <cell r="E30">
            <v>14257155</v>
          </cell>
        </row>
        <row r="33">
          <cell r="G33" t="str">
            <v>Return on Rate Base</v>
          </cell>
        </row>
        <row r="35">
          <cell r="B35" t="str">
            <v>Total Operating Expenses</v>
          </cell>
          <cell r="D35">
            <v>16524535.339217499</v>
          </cell>
          <cell r="E35">
            <v>14257155</v>
          </cell>
          <cell r="G35" t="str">
            <v>Return on Common Equity</v>
          </cell>
        </row>
        <row r="37">
          <cell r="B37" t="str">
            <v>Utility Operating Income</v>
          </cell>
          <cell r="D37">
            <v>3308618.2340324968</v>
          </cell>
          <cell r="E37">
            <v>4623664</v>
          </cell>
        </row>
        <row r="40">
          <cell r="A40" t="str">
            <v xml:space="preserve"> </v>
          </cell>
          <cell r="B40" t="str">
            <v>Return Surplus (Deficiency)</v>
          </cell>
          <cell r="D40">
            <v>-1117794.9672567276</v>
          </cell>
        </row>
        <row r="41">
          <cell r="B41" t="str">
            <v>Revenue Surplus (Deficiency)</v>
          </cell>
          <cell r="D41">
            <v>-1879436.683071421</v>
          </cell>
        </row>
        <row r="45">
          <cell r="B45" t="str">
            <v>Notes:</v>
          </cell>
        </row>
        <row r="47">
          <cell r="B47" t="str">
            <v>Northern's last rate case, D601-182, was settled.  The per</v>
          </cell>
          <cell r="G47" t="str">
            <v>Debt</v>
          </cell>
        </row>
        <row r="48">
          <cell r="B48" t="str">
            <v>settlement numbers are from the Staff's schedules.</v>
          </cell>
          <cell r="G48" t="str">
            <v>Preferred Stock</v>
          </cell>
        </row>
        <row r="49">
          <cell r="G49" t="str">
            <v>Common Equity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A2" t="str">
            <v>CASE NO. 2002-00145</v>
          </cell>
        </row>
        <row r="3">
          <cell r="A3" t="str">
            <v>ADJUSTMENT TO PAYROLL TAXES</v>
          </cell>
        </row>
        <row r="4">
          <cell r="A4" t="str">
            <v>FOR THE TWELVE MONTHS ENDED DECEMBER 31, 2001</v>
          </cell>
        </row>
        <row r="6">
          <cell r="F6" t="str">
            <v>WPD-2.10</v>
          </cell>
        </row>
        <row r="7">
          <cell r="F7" t="str">
            <v>SHEET 1 OF 1</v>
          </cell>
        </row>
        <row r="8">
          <cell r="F8" t="str">
            <v>REFERENCE: WPD-2.4</v>
          </cell>
        </row>
        <row r="11">
          <cell r="A11" t="str">
            <v>LINE</v>
          </cell>
          <cell r="E11" t="str">
            <v xml:space="preserve">TAXABLE @ </v>
          </cell>
          <cell r="G11" t="str">
            <v xml:space="preserve">TAXABLE @ </v>
          </cell>
        </row>
        <row r="12">
          <cell r="A12" t="str">
            <v>NO.</v>
          </cell>
          <cell r="C12" t="str">
            <v>DESCRIPTION</v>
          </cell>
          <cell r="E12" t="str">
            <v>OASDI &amp; HI</v>
          </cell>
          <cell r="G12" t="str">
            <v>HI ONLY</v>
          </cell>
        </row>
        <row r="13">
          <cell r="E13" t="str">
            <v>(1)</v>
          </cell>
          <cell r="G13" t="str">
            <v>(2)</v>
          </cell>
        </row>
        <row r="14">
          <cell r="E14" t="str">
            <v>$</v>
          </cell>
        </row>
        <row r="15">
          <cell r="A15">
            <v>1</v>
          </cell>
          <cell r="C15" t="str">
            <v>O&amp;M PAYROLL ADJUSTMENT [1]</v>
          </cell>
          <cell r="E15">
            <v>129205</v>
          </cell>
        </row>
        <row r="17">
          <cell r="A17">
            <v>2</v>
          </cell>
          <cell r="C17" t="str">
            <v>TAX RATE</v>
          </cell>
          <cell r="E17">
            <v>7.6499999999999999E-2</v>
          </cell>
        </row>
        <row r="19">
          <cell r="A19">
            <v>3</v>
          </cell>
          <cell r="C19" t="str">
            <v>SUBTOTAL</v>
          </cell>
          <cell r="E19">
            <v>9884</v>
          </cell>
        </row>
        <row r="21">
          <cell r="A21">
            <v>4</v>
          </cell>
          <cell r="C21" t="str">
            <v>INCREASE IN MAXIMUM SUBJECT TO SOCIAL SECURITY</v>
          </cell>
          <cell r="E21">
            <v>4500</v>
          </cell>
        </row>
        <row r="22">
          <cell r="A22">
            <v>5</v>
          </cell>
          <cell r="C22" t="str">
            <v>($84,900 - $80,400)</v>
          </cell>
        </row>
        <row r="24">
          <cell r="A24">
            <v>6</v>
          </cell>
          <cell r="C24" t="str">
            <v>NUMBER OF EMPLOYEES</v>
          </cell>
          <cell r="E24">
            <v>4</v>
          </cell>
        </row>
        <row r="26">
          <cell r="A26">
            <v>7</v>
          </cell>
          <cell r="C26" t="str">
            <v>INCREASE IN BASE</v>
          </cell>
          <cell r="E26">
            <v>18000</v>
          </cell>
        </row>
        <row r="28">
          <cell r="A28">
            <v>8</v>
          </cell>
          <cell r="C28" t="str">
            <v>TAX RATE</v>
          </cell>
          <cell r="E28">
            <v>6.2E-2</v>
          </cell>
        </row>
        <row r="30">
          <cell r="A30">
            <v>9</v>
          </cell>
          <cell r="C30" t="str">
            <v>SUBTOTAL</v>
          </cell>
          <cell r="E30">
            <v>1116</v>
          </cell>
        </row>
        <row r="32">
          <cell r="A32">
            <v>10</v>
          </cell>
          <cell r="C32" t="str">
            <v>TOTAL FICA ADJUSTMENT</v>
          </cell>
          <cell r="E32">
            <v>11000</v>
          </cell>
        </row>
        <row r="35">
          <cell r="C35" t="str">
            <v>NOTES:</v>
          </cell>
        </row>
        <row r="36">
          <cell r="C36" t="str">
            <v>[1]  SEE SHEET 1 OF WPD-2.4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-1.1"/>
      <sheetName val="E-2"/>
    </sheetNames>
    <sheetDataSet>
      <sheetData sheetId="0"/>
      <sheetData sheetId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heet"/>
      <sheetName val="Instructions"/>
      <sheetName val="Reconciliation"/>
      <sheetName val="US Detail"/>
      <sheetName val="AS"/>
      <sheetName val="Client Svcs"/>
      <sheetName val="GNS"/>
      <sheetName val="Tech Svcs"/>
      <sheetName val="Client Mgmt"/>
      <sheetName val="HQ"/>
      <sheetName val="INTL Other"/>
      <sheetName val="Total"/>
      <sheetName val="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Remit"/>
      <sheetName val="August Timesheets"/>
      <sheetName val="September Timesheets"/>
      <sheetName val="September Travel Detail"/>
      <sheetName val="HWS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Corrections &amp; Updat "/>
      <sheetName val="Schedule M Input"/>
      <sheetName val="Pensions &amp; Retirement Income"/>
      <sheetName val="Overall Fin Sum Sch-A"/>
      <sheetName val="Rate Base Summary Sch B-1"/>
      <sheetName val="Plant in Service B-2"/>
      <sheetName val="PP&amp;E  by Accounts B-2.1"/>
      <sheetName val="PP&amp;E by Accts by Type B-2.1a"/>
      <sheetName val="PP&amp;E Add. Retire. Trans. B-2.3"/>
      <sheetName val="Accum Depr &amp; Amort Summary B-3"/>
      <sheetName val="Dep Accur Rates &amp; Acc Bal B-3.2"/>
      <sheetName val="CWIP B-4"/>
      <sheetName val="Allowance for Work Capital B-5"/>
      <sheetName val="WC Comp 13 Mon Avg Bal B-5.1"/>
      <sheetName val="WC Comp 1-8 O&amp;M Exp  B-5.2"/>
      <sheetName val="Def Cr &amp; Accum Def Inc Tax B-6"/>
      <sheetName val="Comparative Bal Sheets B-8"/>
      <sheetName val="Operating Income Summary C-1"/>
      <sheetName val="Adj Operating Income Sum C-2"/>
      <sheetName val="Oper Rev&amp;Exp by Accts C2.1p1-2"/>
      <sheetName val="Total Co Accts Activ C2.2p1-10"/>
      <sheetName val="Sum Adj  Oper Inc D-1, Sht 1-2"/>
      <sheetName val="Ann of Sales Rev D-2.1, Sht 1-6"/>
      <sheetName val="Labor Adj D-2.2"/>
      <sheetName val="Bonus Accrual-Incen Comp  D-2.3"/>
      <sheetName val="Benefits Adj D-2.4"/>
      <sheetName val="Rent Exp. Civic Cent Bldg D-2.5"/>
      <sheetName val="Depr Exp Adj D-2.6"/>
      <sheetName val="Depr Exp Adj D-2.6 p2"/>
      <sheetName val="Rate Case Expense D-2.7"/>
      <sheetName val="NCSC D-2.8 p1"/>
      <sheetName val="NCSC D-2.8 p2 "/>
      <sheetName val="Corporate Insurance  D-2.9"/>
      <sheetName val="Payroll Tax Adj D-2.10"/>
      <sheetName val="Property Tax Adj D-2.11"/>
      <sheetName val="Fed &amp; State Income Taxes E-1.1"/>
      <sheetName val="Gross Conversion Factor H-1"/>
      <sheetName val="Cost of Capital Summary J-1"/>
      <sheetName val="Avg Base Period  Cap Str J-1.1"/>
      <sheetName val="Embedded Cost of STD J-2"/>
      <sheetName val="Embedded Cost of LTD J-3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2"/>
      <sheetName val="B2.1"/>
      <sheetName val="B-2.1a"/>
      <sheetName val="B-2.2"/>
      <sheetName val="B-2.3"/>
      <sheetName val="B-2.4"/>
      <sheetName val="B-2.5"/>
      <sheetName val="B-2.6"/>
      <sheetName val="B-2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ote Data, Margins, Discounts"/>
      <sheetName val="Price Workout Sheet"/>
      <sheetName val="Customer Issue"/>
      <sheetName val="Deal Summary"/>
      <sheetName val="Product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ab &amp; Text Color Legend"/>
      <sheetName val="Title Exh 111, Sch. 1"/>
      <sheetName val="Pg 1"/>
      <sheetName val="Pg 2"/>
      <sheetName val="Pg 3"/>
      <sheetName val="Pg 4"/>
      <sheetName val="Pg 5"/>
      <sheetName val="Pg 6"/>
      <sheetName val="Pg 7"/>
      <sheetName val="Pg 8"/>
      <sheetName val="Pg 9"/>
      <sheetName val="Pg 10"/>
      <sheetName val="Pg 11"/>
      <sheetName val="Pg 12"/>
      <sheetName val="Pg 13"/>
      <sheetName val="Pg 14"/>
      <sheetName val="Pg 15"/>
      <sheetName val="Pg 16"/>
      <sheetName val="Pg 17"/>
      <sheetName val="Pg 18"/>
      <sheetName val="Pg 19"/>
      <sheetName val="Gross Plant in Service"/>
      <sheetName val="Depreciation Reserve"/>
      <sheetName val="Depr &amp; Amort Exp"/>
      <sheetName val="Rate Base &amp; Taxes"/>
      <sheetName val="Revenue"/>
      <sheetName val="O&amp;M Exp"/>
      <sheetName val="Alloc 1-Design Day"/>
      <sheetName val="Alloc 2, 3 &amp; 25-Throughputs"/>
      <sheetName val="Alloc 4-Gas Purchase"/>
      <sheetName val="Alloc 5-Peak &amp; Average (Mains)"/>
      <sheetName val="Alloc 6 &amp; 21-Avg No. Cust"/>
      <sheetName val="Alloc 7,8-Curr DIS&amp;GMB GTS Rev"/>
      <sheetName val="Alloc 9-DA Cust Dep"/>
      <sheetName val="Alloc 10-Forfeited Discounts"/>
      <sheetName val="Alloc 11-Dist Plant exclude"/>
      <sheetName val="Alloc 12-Gross Plant"/>
      <sheetName val="Alloc 13-DA Mains"/>
      <sheetName val="Alloc 14-Comp Dir Plant"/>
      <sheetName val="Alloc 15-Services"/>
      <sheetName val="Alloc 16-Meters"/>
      <sheetName val="Alloc 17-Ind M&amp;R"/>
      <sheetName val="Alloc 18-Other O&amp;M Dist Exp"/>
      <sheetName val="Alloc 19-O&amp;M exclude"/>
      <sheetName val="Alloc 20-Cust Demand (Mains)"/>
      <sheetName val="Alloc 22-Average 5&amp;20"/>
      <sheetName val="Alloc 23-Unbundled Uncoll"/>
      <sheetName val="Alloc 24-Labor"/>
      <sheetName val="Alloc 26-House Regulators"/>
      <sheetName val="Alloc 27-Meters &amp; House Regul"/>
      <sheetName val="VLOOKUP ALLOC TABLE"/>
      <sheetName val="Dev of Cust Related Gen Plant"/>
      <sheetName val="Dev of Other Rate Base Items"/>
      <sheetName val="Cost of Service from Exh 102"/>
      <sheetName val="Revenue Exh 103 Sch1"/>
      <sheetName val="Revenue Exh 103 Sch 7"/>
      <sheetName val="O&amp;M From Exhibit No. 104"/>
      <sheetName val="Exh 106 Other Taxes"/>
      <sheetName val="Exh 107, pg 16 "/>
      <sheetName val="Exh 107, pg 17"/>
      <sheetName val="Plant from Rate Base Sch 108"/>
      <sheetName val="Deprec Sched from Spanos"/>
      <sheetName val="Exh 108 Rate Base Summary"/>
      <sheetName val="Exh 108 Deferred Taxes"/>
      <sheetName val="Summary Input Plant &amp; Dep"/>
      <sheetName val="Historical Throughput"/>
      <sheetName val="Historical O&amp;M for Allocation"/>
      <sheetName val="O&amp;M Conversion Table"/>
      <sheetName val="Alloc 17-Rate Index"/>
      <sheetName val="Services-Size Index"/>
      <sheetName val="Services-Plant Records"/>
      <sheetName val="Services-AUC"/>
      <sheetName val="Services-Master Taps"/>
      <sheetName val="Pg 27"/>
      <sheetName val="Pg 28"/>
      <sheetName val="Pg 29"/>
      <sheetName val="Pg 30"/>
      <sheetName val="Pg 31"/>
      <sheetName val="Pg 20"/>
      <sheetName val="Pg 21"/>
      <sheetName val="Pg 22"/>
      <sheetName val="Pg 23"/>
      <sheetName val="Pg 24"/>
      <sheetName val="Pg 25"/>
      <sheetName val="Pg 26"/>
      <sheetName val="Revenue Exh 103 Sch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42">
          <cell r="B42">
            <v>376</v>
          </cell>
        </row>
      </sheetData>
      <sheetData sheetId="23"/>
      <sheetData sheetId="24"/>
      <sheetData sheetId="25"/>
      <sheetData sheetId="26">
        <row r="24">
          <cell r="A24" t="str">
            <v>PAGES 2/6 - OPERATING REVENUES @ CURRENT RATES</v>
          </cell>
        </row>
      </sheetData>
      <sheetData sheetId="27">
        <row r="23">
          <cell r="B23" t="str">
            <v>SUPERVISION &amp; ENGINEERING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2">
          <cell r="A2">
            <v>1</v>
          </cell>
          <cell r="B2" t="str">
            <v>DESIGN DAY</v>
          </cell>
        </row>
        <row r="3">
          <cell r="A3">
            <v>2</v>
          </cell>
          <cell r="B3" t="str">
            <v>THROUGHPUT EXCLUDING TRANSPORTATION</v>
          </cell>
        </row>
        <row r="4">
          <cell r="A4">
            <v>3</v>
          </cell>
          <cell r="B4" t="str">
            <v>THROUGHPUT EXCLUDING MDS</v>
          </cell>
        </row>
        <row r="5">
          <cell r="A5">
            <v>4</v>
          </cell>
          <cell r="B5" t="str">
            <v>GAS PURCHASED EXPENSE</v>
          </cell>
        </row>
        <row r="6">
          <cell r="A6">
            <v>5</v>
          </cell>
          <cell r="B6" t="str">
            <v>PEAK &amp; AVERAGE MAINS</v>
          </cell>
          <cell r="C6" t="str">
            <v>PEAK &amp; AVERAGE</v>
          </cell>
          <cell r="D6" t="str">
            <v>111, SCHEDULE 2</v>
          </cell>
        </row>
        <row r="7">
          <cell r="A7">
            <v>6</v>
          </cell>
          <cell r="B7" t="str">
            <v>AVERAGE NO. OF CUSTOMERS</v>
          </cell>
        </row>
        <row r="8">
          <cell r="A8">
            <v>7</v>
          </cell>
          <cell r="B8" t="str">
            <v>DISTRIBUTION UNCOLLECTIBLES</v>
          </cell>
        </row>
        <row r="9">
          <cell r="A9">
            <v>8</v>
          </cell>
          <cell r="B9" t="str">
            <v>CURRENT GMB/GTS REVENUE</v>
          </cell>
        </row>
        <row r="10">
          <cell r="A10">
            <v>9</v>
          </cell>
          <cell r="B10" t="str">
            <v>DIRECT ASSIGNMENT - CUSTOMER DEPOSITS</v>
          </cell>
        </row>
        <row r="11">
          <cell r="A11">
            <v>10</v>
          </cell>
          <cell r="B11" t="str">
            <v>FORFEITED DISCOUNTS</v>
          </cell>
        </row>
        <row r="12">
          <cell r="A12">
            <v>11</v>
          </cell>
          <cell r="B12" t="str">
            <v>DIST. PLANT EXCL ACCTS 375.70, 375.71, &amp; 387</v>
          </cell>
        </row>
        <row r="13">
          <cell r="A13">
            <v>12</v>
          </cell>
          <cell r="B13" t="str">
            <v>GROSS PLANT</v>
          </cell>
        </row>
        <row r="14">
          <cell r="A14">
            <v>13</v>
          </cell>
          <cell r="B14" t="str">
            <v>MAINS - ACCOUNT 376</v>
          </cell>
        </row>
        <row r="15">
          <cell r="A15">
            <v>14</v>
          </cell>
          <cell r="B15" t="str">
            <v>COMPOSITE DIRECT PLANT - ACCTS 376 &amp; 380</v>
          </cell>
        </row>
        <row r="16">
          <cell r="A16">
            <v>15</v>
          </cell>
          <cell r="B16" t="str">
            <v>DIRECT ASSIGNMENT - SERVICES</v>
          </cell>
        </row>
        <row r="17">
          <cell r="A17">
            <v>16</v>
          </cell>
          <cell r="B17" t="str">
            <v>DIRECT ASSIGNMENT - METERS</v>
          </cell>
        </row>
        <row r="18">
          <cell r="A18">
            <v>17</v>
          </cell>
          <cell r="B18" t="str">
            <v>DIRECT ASSIGNMENT - IND M &amp; R</v>
          </cell>
        </row>
        <row r="19">
          <cell r="A19">
            <v>18</v>
          </cell>
          <cell r="B19" t="str">
            <v>OTHER DISTRIBUTION O &amp; M EXPENSES</v>
          </cell>
        </row>
        <row r="20">
          <cell r="A20">
            <v>19</v>
          </cell>
          <cell r="B20" t="str">
            <v xml:space="preserve">O &amp; M EXCL GAS PUR, UNCOLLECTIBLES, &amp; A &amp; G </v>
          </cell>
        </row>
        <row r="21">
          <cell r="A21">
            <v>20</v>
          </cell>
          <cell r="B21" t="str">
            <v>CUSTOMER/DEMAND MAINS</v>
          </cell>
          <cell r="C21" t="str">
            <v>CUSTOMER/DEMAND</v>
          </cell>
          <cell r="D21" t="str">
            <v>111, SCHEDULE 1</v>
          </cell>
        </row>
        <row r="22">
          <cell r="A22">
            <v>21</v>
          </cell>
          <cell r="B22" t="str">
            <v>LARGE CUSTOMER RELATIONS</v>
          </cell>
        </row>
        <row r="23">
          <cell r="A23">
            <v>22</v>
          </cell>
          <cell r="B23" t="str">
            <v>AVERAGE - ALLOCATORS 5 &amp; 20</v>
          </cell>
          <cell r="C23" t="str">
            <v>AVERAGE STUDY- ALLOCATORS 5 &amp; 20</v>
          </cell>
          <cell r="D23" t="str">
            <v>111, SCHEDULE 3</v>
          </cell>
        </row>
        <row r="24">
          <cell r="A24">
            <v>23</v>
          </cell>
          <cell r="B24" t="str">
            <v>UNBUNDLED UNCOLLECTIBLES</v>
          </cell>
        </row>
        <row r="25">
          <cell r="A25">
            <v>24</v>
          </cell>
          <cell r="B25" t="str">
            <v>LABOR</v>
          </cell>
        </row>
      </sheetData>
      <sheetData sheetId="52" refreshError="1"/>
      <sheetData sheetId="53" refreshError="1"/>
      <sheetData sheetId="54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 Details"/>
      <sheetName val="Count of Nodes by Type"/>
      <sheetName val="Complete Listing incl LCN"/>
      <sheetName val="LCN Nod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T Summary"/>
      <sheetName val="Sheet3"/>
      <sheetName val="P&amp;L"/>
      <sheetName val="BT Summary ASC 101504"/>
      <sheetName val="Signed off PB Finsumm"/>
      <sheetName val="Finsumm"/>
      <sheetName val="Equipt"/>
      <sheetName val="Price Summ"/>
      <sheetName val="Revised Position"/>
      <sheetName val="Bus Case 101304"/>
      <sheetName val="CAPEX Normalization - BT Ca (3)"/>
      <sheetName val="CAPEX Normalization - BT Case"/>
      <sheetName val="BT Summary ASC 101304 (2)"/>
      <sheetName val="I. Summary ASC 101304"/>
      <sheetName val="Roll-Forward"/>
      <sheetName val="Normalization Change"/>
      <sheetName val="Bus Case 091004"/>
      <sheetName val="I. Summary ASC 090104 (2)"/>
      <sheetName val="CAPEX Normalization - BT Ca (2)"/>
      <sheetName val="Original Technology"/>
      <sheetName val="BT Yr 1 Base Case Review"/>
      <sheetName val="BT 7 Year Base Case Review"/>
      <sheetName val="Consider Revised Target"/>
      <sheetName val="BT Pricing Initiatives"/>
      <sheetName val="BMS Actions"/>
      <sheetName val="BMS Scars"/>
      <sheetName val="D - Global Remote Access"/>
      <sheetName val="Dial Internet User"/>
      <sheetName val="Managed Broadband User"/>
      <sheetName val="MPLS"/>
      <sheetName val="Nwks"/>
      <sheetName val="Bus Case Total"/>
      <sheetName val="Pay1"/>
      <sheetName val="Pay2"/>
      <sheetName val="Pay3"/>
      <sheetName val="I. Summary ASC 101304 (2)"/>
      <sheetName val="Base Inputs"/>
      <sheetName val="Sheet1"/>
      <sheetName val="XI. Resource Baselines"/>
      <sheetName val="Revised Bus Case (2)"/>
      <sheetName val="I. Summary ASC 101204"/>
      <sheetName val="I. Summary ASC 090104"/>
      <sheetName val="Voice Transport 2003"/>
      <sheetName val="BMS - Base Case Control Sheet"/>
      <sheetName val="Refresh&amp;Depn (2)"/>
      <sheetName val="In Scope Business Case"/>
      <sheetName val="Original Fin summ incremental"/>
      <sheetName val="Voice Reconciliation"/>
      <sheetName val="Voice"/>
      <sheetName val="PB Reconciliation"/>
      <sheetName val="Sheet2"/>
      <sheetName val="Revised Bus Case"/>
      <sheetName val="Original Buy Back"/>
      <sheetName val="Future State Savings Initiative"/>
      <sheetName val="New Wan Summary"/>
      <sheetName val="MPLS Transport future"/>
      <sheetName val="New Lan Summary"/>
      <sheetName val="New Remote Access"/>
      <sheetName val="New Internet Infrastructue"/>
      <sheetName val="New Jersey Man"/>
      <sheetName val="New Global Enterprise Service"/>
      <sheetName val="Product Summary"/>
      <sheetName val="Roll Out"/>
      <sheetName val="N Business Partner Connectivity"/>
      <sheetName val="New Voice Support"/>
      <sheetName val="Wireless Support Services"/>
      <sheetName val="E Bonding Mgmt"/>
      <sheetName val="Volumetrics"/>
      <sheetName val="MPLS Savings"/>
      <sheetName val="Assumptions"/>
      <sheetName val="Peer Review"/>
      <sheetName val="FX Rates"/>
      <sheetName val="Access savings"/>
      <sheetName val="Error Checks"/>
      <sheetName val="Resource"/>
      <sheetName val="Resource Costs"/>
      <sheetName val="BMS Salary Costs"/>
      <sheetName val="Tech Des Res"/>
      <sheetName val="Transition res"/>
      <sheetName val="HR Costs"/>
      <sheetName val="MPLS P&amp;L"/>
      <sheetName val="Wan circuit costs"/>
      <sheetName val="Management Links"/>
      <sheetName val="Voice IP cards"/>
      <sheetName val="Rolloutdetail"/>
      <sheetName val="Voice refresh"/>
      <sheetName val="Parallel Run costs"/>
      <sheetName val="site type"/>
      <sheetName val="Refresh&amp;Depn"/>
      <sheetName val="Misc."/>
      <sheetName val="Voice Commun"/>
      <sheetName val="Price Pres"/>
      <sheetName val="3rd party contracts"/>
      <sheetName val="Original Asset Depreciation"/>
      <sheetName val="FB BT"/>
      <sheetName val="Signed off PB FB BT"/>
      <sheetName val="FB BTGsol"/>
      <sheetName val="FB BTGsol VA"/>
      <sheetName val="Names"/>
      <sheetName val="IPR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"/>
      <sheetName val="Rating Tables"/>
      <sheetName val="Hourly"/>
      <sheetName val="Contractor"/>
      <sheetName val="Consulting"/>
      <sheetName val="Outside Purchased Services"/>
      <sheetName val="Expense Worksheet"/>
      <sheetName val="BUDGET SUMMARY"/>
      <sheetName val="xref acct"/>
      <sheetName val="Headcount"/>
      <sheetName val="Print File"/>
      <sheetName val="Chart of Accounts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>
        <row r="3">
          <cell r="A3" t="str">
            <v>Acct</v>
          </cell>
          <cell r="B3" t="str">
            <v>ACCOUNTS</v>
          </cell>
          <cell r="C3" t="str">
            <v>Classification</v>
          </cell>
        </row>
        <row r="4">
          <cell r="A4">
            <v>601000</v>
          </cell>
          <cell r="B4" t="str">
            <v>601000  SALARIES-EXEMPT</v>
          </cell>
          <cell r="C4" t="str">
            <v>SALARIES AND BENEFITS</v>
          </cell>
        </row>
        <row r="5">
          <cell r="A5">
            <v>601001</v>
          </cell>
          <cell r="B5" t="str">
            <v>601001  SALARIES-NON-EXEMPT</v>
          </cell>
          <cell r="C5" t="str">
            <v>SALARIES AND BENEFITS</v>
          </cell>
        </row>
        <row r="6">
          <cell r="A6">
            <v>601005</v>
          </cell>
          <cell r="B6" t="str">
            <v>601005  SALARIES-OVERTIME</v>
          </cell>
          <cell r="C6" t="str">
            <v>SALARIES AND BENEFITS</v>
          </cell>
        </row>
        <row r="7">
          <cell r="A7">
            <v>601007</v>
          </cell>
          <cell r="B7" t="str">
            <v>601007  SAL-SHIFT DIFF</v>
          </cell>
          <cell r="C7" t="str">
            <v>SALARIES AND BENEFITS</v>
          </cell>
        </row>
        <row r="8">
          <cell r="A8">
            <v>601010</v>
          </cell>
          <cell r="B8" t="str">
            <v>601010  SAL-TEMP LABOR</v>
          </cell>
          <cell r="C8" t="str">
            <v>SALARIES AND BENEFITS</v>
          </cell>
        </row>
        <row r="9">
          <cell r="A9">
            <v>601012</v>
          </cell>
          <cell r="B9" t="str">
            <v>601012  SALARIES-EXEMPT FLEX</v>
          </cell>
          <cell r="C9" t="str">
            <v>SALARIES AND BENEFITS</v>
          </cell>
        </row>
        <row r="10">
          <cell r="A10">
            <v>601055</v>
          </cell>
          <cell r="B10" t="str">
            <v>601055  SAL-OTHER PAID TIME</v>
          </cell>
          <cell r="C10" t="str">
            <v>SALARIES AND BENEFITS</v>
          </cell>
        </row>
        <row r="11">
          <cell r="A11">
            <v>601056</v>
          </cell>
          <cell r="B11" t="str">
            <v>601056  SAL-GAIN SHARING</v>
          </cell>
          <cell r="C11" t="str">
            <v>SALARIES AND BENEFITS</v>
          </cell>
        </row>
        <row r="12">
          <cell r="A12">
            <v>601061</v>
          </cell>
          <cell r="B12" t="str">
            <v>601061  EXEMPT/PER FRINGE</v>
          </cell>
          <cell r="C12" t="str">
            <v>SALARIES AND BENEFITS</v>
          </cell>
        </row>
        <row r="13">
          <cell r="A13">
            <v>601062</v>
          </cell>
          <cell r="B13" t="str">
            <v>601062  NON-EX/PER FRINGE</v>
          </cell>
          <cell r="C13" t="str">
            <v>SALARIES AND BENEFITS</v>
          </cell>
        </row>
        <row r="14">
          <cell r="A14">
            <v>601069</v>
          </cell>
          <cell r="B14" t="str">
            <v>601069  TEMP/PER FRINGE</v>
          </cell>
          <cell r="C14" t="str">
            <v>SALARIES AND BENEFITS</v>
          </cell>
        </row>
        <row r="15">
          <cell r="A15">
            <v>601070</v>
          </cell>
          <cell r="B15" t="str">
            <v>601070  TEMP FRINGE % OF SAL</v>
          </cell>
          <cell r="C15" t="str">
            <v>SALARIES AND BENEFITS</v>
          </cell>
        </row>
        <row r="16">
          <cell r="A16">
            <v>601071</v>
          </cell>
          <cell r="B16" t="str">
            <v>601071  EXEMPT FRINGE % OF S</v>
          </cell>
          <cell r="C16" t="str">
            <v>SALARIES AND BENEFITS</v>
          </cell>
        </row>
        <row r="17">
          <cell r="A17">
            <v>601072</v>
          </cell>
          <cell r="B17" t="str">
            <v>601072  NON-EX FRINGE % OF S</v>
          </cell>
          <cell r="C17" t="str">
            <v>SALARIES AND BENEFITS</v>
          </cell>
        </row>
        <row r="18">
          <cell r="A18">
            <v>601161</v>
          </cell>
          <cell r="B18" t="str">
            <v>601161  WELLNESS PROGRAM</v>
          </cell>
          <cell r="C18" t="str">
            <v>SALARIES AND BENEFITS</v>
          </cell>
        </row>
        <row r="19">
          <cell r="A19">
            <v>602000</v>
          </cell>
          <cell r="B19" t="str">
            <v>602000  HRLY-SALARIES</v>
          </cell>
          <cell r="C19" t="str">
            <v>SALARIES AND BENEFITS</v>
          </cell>
        </row>
        <row r="20">
          <cell r="A20">
            <v>603002</v>
          </cell>
          <cell r="B20" t="str">
            <v>603002  SAFETY PROGRAM</v>
          </cell>
          <cell r="C20" t="str">
            <v>SALARIES AND BENEFITS</v>
          </cell>
        </row>
        <row r="21">
          <cell r="A21">
            <v>603010</v>
          </cell>
          <cell r="B21" t="str">
            <v>603010  EMPL REWARD AND REC</v>
          </cell>
          <cell r="C21" t="str">
            <v>SALARIES AND BENEFITS</v>
          </cell>
        </row>
        <row r="22">
          <cell r="A22">
            <v>603024</v>
          </cell>
          <cell r="B22" t="str">
            <v>603024  EMPLOYEE PROGRAMS</v>
          </cell>
          <cell r="C22" t="str">
            <v>SALARIES AND BENEFITS</v>
          </cell>
        </row>
        <row r="23">
          <cell r="A23">
            <v>603025</v>
          </cell>
          <cell r="B23" t="str">
            <v>603025  EMPLOYEE RELATIONS</v>
          </cell>
          <cell r="C23" t="str">
            <v>SALARIES AND BENEFITS</v>
          </cell>
        </row>
        <row r="24">
          <cell r="A24">
            <v>603028</v>
          </cell>
          <cell r="B24" t="str">
            <v>603028  SPOT AWARDS</v>
          </cell>
          <cell r="C24" t="str">
            <v>SALARIES AND BENEFITS</v>
          </cell>
        </row>
        <row r="25">
          <cell r="A25">
            <v>603115</v>
          </cell>
          <cell r="B25" t="str">
            <v>603115  PROD INTL CONS CLEAR</v>
          </cell>
          <cell r="C25" t="str">
            <v>SALARIES AND BENEFITS</v>
          </cell>
        </row>
        <row r="26">
          <cell r="A26">
            <v>602014</v>
          </cell>
          <cell r="B26" t="str">
            <v>602014  HOURLY-CAPITALIZED LABOR</v>
          </cell>
          <cell r="C26" t="str">
            <v>SALARIES AND BENEFITS</v>
          </cell>
        </row>
        <row r="27">
          <cell r="A27">
            <v>601901</v>
          </cell>
          <cell r="B27" t="str">
            <v>601901  ACTUAL DIRECT LABOR</v>
          </cell>
          <cell r="C27" t="str">
            <v>SALARIES AND BENEFITS</v>
          </cell>
        </row>
        <row r="28">
          <cell r="A28" t="e">
            <v>#VALUE!</v>
          </cell>
          <cell r="B28" t="str">
            <v>SALARIES AND BENEFITS</v>
          </cell>
          <cell r="C28" t="str">
            <v>SALARIES AND BENEFITS</v>
          </cell>
        </row>
        <row r="29">
          <cell r="A29">
            <v>601130</v>
          </cell>
          <cell r="B29" t="str">
            <v>601130  PROF&amp;CIVIC DUES/FEES</v>
          </cell>
          <cell r="C29" t="str">
            <v>EDUCATION AND TRAINING</v>
          </cell>
        </row>
        <row r="30">
          <cell r="A30">
            <v>601165</v>
          </cell>
          <cell r="B30" t="str">
            <v>601165  SAL-EXT SEMINARS</v>
          </cell>
          <cell r="C30" t="str">
            <v>EDUCATION AND TRAINING</v>
          </cell>
        </row>
        <row r="31">
          <cell r="A31">
            <v>601170</v>
          </cell>
          <cell r="B31" t="str">
            <v>601170  SAL-EDUC BENEFIT</v>
          </cell>
          <cell r="C31" t="str">
            <v>EDUCATION AND TRAINING</v>
          </cell>
        </row>
        <row r="32">
          <cell r="A32">
            <v>604105</v>
          </cell>
          <cell r="B32" t="str">
            <v>604105  SAL-INTERNAL TRAING</v>
          </cell>
          <cell r="C32" t="str">
            <v>EDUCATION AND TRAINING</v>
          </cell>
        </row>
        <row r="33">
          <cell r="A33">
            <v>604135</v>
          </cell>
          <cell r="B33" t="str">
            <v>604135  TRAINING MATERIAL</v>
          </cell>
          <cell r="C33" t="str">
            <v>EDUCATION AND TRAINING</v>
          </cell>
        </row>
        <row r="34">
          <cell r="A34">
            <v>604140</v>
          </cell>
          <cell r="B34" t="str">
            <v>604140  TRAINING-OTHER</v>
          </cell>
          <cell r="C34" t="str">
            <v>EDUCATION AND TRAINING</v>
          </cell>
        </row>
        <row r="35">
          <cell r="A35">
            <v>604142</v>
          </cell>
          <cell r="B35" t="str">
            <v>604142  TRAINING DEVELOPMENT</v>
          </cell>
          <cell r="C35" t="str">
            <v>EDUCATION AND TRAINING</v>
          </cell>
        </row>
        <row r="36">
          <cell r="A36">
            <v>604230</v>
          </cell>
          <cell r="B36" t="str">
            <v>604230  DEALR TRAIN-OTHER</v>
          </cell>
          <cell r="C36" t="str">
            <v>EDUCATION AND TRAINING</v>
          </cell>
        </row>
        <row r="37">
          <cell r="A37">
            <v>610400</v>
          </cell>
          <cell r="B37" t="str">
            <v>610400  SUBSCRIPT-TRADE</v>
          </cell>
          <cell r="C37" t="str">
            <v>EDUCATION AND TRAINING</v>
          </cell>
        </row>
        <row r="38">
          <cell r="A38" t="e">
            <v>#VALUE!</v>
          </cell>
          <cell r="B38" t="str">
            <v>EDUCATION AND TRAINING</v>
          </cell>
          <cell r="C38" t="str">
            <v>EDUCATION AND TRAINING</v>
          </cell>
        </row>
        <row r="39">
          <cell r="A39">
            <v>605000</v>
          </cell>
          <cell r="B39" t="str">
            <v>605000  TRAVEL EXPENSE</v>
          </cell>
          <cell r="C39" t="str">
            <v>TRAVEL EXPENSE</v>
          </cell>
        </row>
        <row r="40">
          <cell r="A40">
            <v>605100</v>
          </cell>
          <cell r="B40" t="str">
            <v>605100  TRAVEL INTERNATIONAL</v>
          </cell>
          <cell r="C40" t="str">
            <v>TRAVEL EXPENSE</v>
          </cell>
        </row>
        <row r="41">
          <cell r="A41">
            <v>605500</v>
          </cell>
          <cell r="B41" t="str">
            <v>605500  TRAVEL-MEAL COST</v>
          </cell>
          <cell r="C41" t="str">
            <v>TRAVEL EXPENSE</v>
          </cell>
        </row>
        <row r="42">
          <cell r="A42">
            <v>605600</v>
          </cell>
          <cell r="B42" t="str">
            <v>605600  TRAVEL-MEAL COST INT</v>
          </cell>
          <cell r="C42" t="str">
            <v>TRAVEL EXPENSE</v>
          </cell>
        </row>
        <row r="43">
          <cell r="A43">
            <v>606230</v>
          </cell>
          <cell r="B43" t="str">
            <v>606230  OWNED AUTO-REPAIRS</v>
          </cell>
          <cell r="C43" t="str">
            <v>TRAVEL EXPENSE</v>
          </cell>
        </row>
        <row r="44">
          <cell r="A44">
            <v>606100</v>
          </cell>
          <cell r="B44" t="str">
            <v>606100  LEASED AUTO-CAR</v>
          </cell>
          <cell r="C44" t="str">
            <v>TRAVEL EXPENSE</v>
          </cell>
        </row>
        <row r="45">
          <cell r="A45" t="e">
            <v>#VALUE!</v>
          </cell>
          <cell r="B45" t="str">
            <v>TRAVEL EXPENSE</v>
          </cell>
          <cell r="C45" t="str">
            <v>TRAVEL EXPENSE</v>
          </cell>
        </row>
        <row r="46">
          <cell r="A46">
            <v>603031</v>
          </cell>
          <cell r="B46" t="str">
            <v>603031  TRANSF MOVING &amp; LIVI</v>
          </cell>
          <cell r="C46" t="str">
            <v>RECRUITING &amp; RELOCATION</v>
          </cell>
        </row>
        <row r="47">
          <cell r="A47">
            <v>603032</v>
          </cell>
          <cell r="B47" t="str">
            <v>603032  RECRUIT/EMPLOYMENT</v>
          </cell>
          <cell r="C47" t="str">
            <v>RECRUITING &amp; RELOCATION</v>
          </cell>
        </row>
        <row r="48">
          <cell r="A48">
            <v>603035</v>
          </cell>
          <cell r="B48" t="str">
            <v>603035  FOREIGN ALLOWANCE</v>
          </cell>
          <cell r="C48" t="str">
            <v>RECRUITING &amp; RELOCATION</v>
          </cell>
        </row>
        <row r="49">
          <cell r="A49">
            <v>603036</v>
          </cell>
          <cell r="B49" t="str">
            <v>603036  EXPAT FOREIGN TAXES</v>
          </cell>
          <cell r="C49" t="str">
            <v>RECRUITING &amp; RELOCATION</v>
          </cell>
        </row>
        <row r="50">
          <cell r="A50">
            <v>603047</v>
          </cell>
          <cell r="B50" t="str">
            <v>603047  VISA-HR SERVICES</v>
          </cell>
          <cell r="C50" t="str">
            <v>RECRUITING &amp; RELOCATION</v>
          </cell>
        </row>
        <row r="51">
          <cell r="A51" t="e">
            <v>#VALUE!</v>
          </cell>
          <cell r="B51" t="str">
            <v>RECRUITING &amp; RELOCATION</v>
          </cell>
          <cell r="C51" t="str">
            <v>RECRUITING &amp; RELOCATION</v>
          </cell>
        </row>
        <row r="52">
          <cell r="A52" t="e">
            <v>#VALUE!</v>
          </cell>
          <cell r="B52" t="str">
            <v>WHIRLPOOL PERSONNEL</v>
          </cell>
          <cell r="C52" t="str">
            <v>WHIRLPOOL PERSONNEL</v>
          </cell>
        </row>
        <row r="53">
          <cell r="A53">
            <v>613000</v>
          </cell>
          <cell r="B53" t="str">
            <v>613000  OUTSIDE SVCS CONSULT</v>
          </cell>
          <cell r="C53" t="str">
            <v>CONSULTING</v>
          </cell>
        </row>
        <row r="54">
          <cell r="A54">
            <v>613010</v>
          </cell>
          <cell r="B54" t="str">
            <v>613010  CONSULTANT LIVING EX</v>
          </cell>
          <cell r="C54" t="str">
            <v>CONSULTING</v>
          </cell>
        </row>
        <row r="55">
          <cell r="A55">
            <v>613040</v>
          </cell>
          <cell r="B55" t="str">
            <v>613040  IT CONSULTING</v>
          </cell>
          <cell r="C55" t="str">
            <v>CONSULTING</v>
          </cell>
        </row>
        <row r="56">
          <cell r="A56" t="e">
            <v>#VALUE!</v>
          </cell>
          <cell r="B56" t="str">
            <v>CONSULTING</v>
          </cell>
          <cell r="C56" t="str">
            <v>CONSULTING</v>
          </cell>
        </row>
        <row r="57">
          <cell r="A57">
            <v>603003</v>
          </cell>
          <cell r="B57" t="str">
            <v>603003  CONTRACT WAGES &amp; BEN</v>
          </cell>
          <cell r="C57" t="str">
            <v>CONTRACTING</v>
          </cell>
        </row>
        <row r="58">
          <cell r="A58">
            <v>613120</v>
          </cell>
          <cell r="B58" t="str">
            <v>613120  OUTSIDE PURCHASE SVC</v>
          </cell>
          <cell r="C58" t="str">
            <v>CONTRACTING</v>
          </cell>
        </row>
        <row r="59">
          <cell r="A59" t="e">
            <v>#VALUE!</v>
          </cell>
          <cell r="B59" t="str">
            <v>CONTRACTING</v>
          </cell>
          <cell r="C59" t="str">
            <v>CONTRACTING</v>
          </cell>
        </row>
        <row r="60">
          <cell r="A60">
            <v>613050</v>
          </cell>
          <cell r="B60" t="str">
            <v>613050  OUTSOURCED SERVICES</v>
          </cell>
          <cell r="C60" t="str">
            <v>OUTSOURCE</v>
          </cell>
        </row>
        <row r="61">
          <cell r="A61" t="e">
            <v>#VALUE!</v>
          </cell>
          <cell r="B61" t="str">
            <v>OUTSOURCE</v>
          </cell>
          <cell r="C61" t="str">
            <v>OUTSOURCE</v>
          </cell>
        </row>
        <row r="62">
          <cell r="A62" t="e">
            <v>#VALUE!</v>
          </cell>
          <cell r="B62" t="str">
            <v>OUTSIDE PERSONNEL</v>
          </cell>
          <cell r="C62" t="str">
            <v>OUTSIDE PERSONNEL</v>
          </cell>
        </row>
        <row r="63">
          <cell r="A63">
            <v>609210</v>
          </cell>
          <cell r="B63" t="str">
            <v>609210  MAINT-HARDWARE</v>
          </cell>
          <cell r="C63" t="str">
            <v>HW MAINTENANCE</v>
          </cell>
        </row>
        <row r="64">
          <cell r="A64">
            <v>609230</v>
          </cell>
          <cell r="B64" t="str">
            <v>609230  MAINT-OFFICE EQUIP</v>
          </cell>
          <cell r="C64" t="str">
            <v>HW MAINTENANCE</v>
          </cell>
        </row>
        <row r="65">
          <cell r="A65">
            <v>609244</v>
          </cell>
          <cell r="B65" t="str">
            <v>609244  PURCH MAINT M&amp;E</v>
          </cell>
          <cell r="C65" t="str">
            <v>HW MAINTENANCE</v>
          </cell>
        </row>
        <row r="66">
          <cell r="A66" t="e">
            <v>#VALUE!</v>
          </cell>
          <cell r="B66" t="str">
            <v>HW MAINTENANCE</v>
          </cell>
          <cell r="C66" t="str">
            <v>HW MAINTENANCE</v>
          </cell>
        </row>
        <row r="67">
          <cell r="A67">
            <v>607500</v>
          </cell>
          <cell r="B67" t="str">
            <v>607500  PROPERTY-EQUIPMENT</v>
          </cell>
          <cell r="C67" t="str">
            <v>HARWARE RENT &amp; LEASING</v>
          </cell>
        </row>
        <row r="68">
          <cell r="A68">
            <v>608110</v>
          </cell>
          <cell r="B68" t="str">
            <v>608110  RENTAL-HARDWARE</v>
          </cell>
          <cell r="C68" t="str">
            <v>HARWARE RENT &amp; LEASING</v>
          </cell>
        </row>
        <row r="69">
          <cell r="A69">
            <v>608131</v>
          </cell>
          <cell r="B69" t="str">
            <v>608131  RENTAL-COMM EQUIP</v>
          </cell>
          <cell r="C69" t="str">
            <v>HARWARE RENT &amp; LEASING</v>
          </cell>
        </row>
        <row r="70">
          <cell r="A70">
            <v>608210</v>
          </cell>
          <cell r="B70" t="str">
            <v>608210  LEASED-HARDWARE</v>
          </cell>
          <cell r="C70" t="str">
            <v>HARWARE RENT &amp; LEASING</v>
          </cell>
        </row>
        <row r="71">
          <cell r="A71">
            <v>608215</v>
          </cell>
          <cell r="B71" t="str">
            <v>608215  LEASED-PC EQUIP</v>
          </cell>
          <cell r="C71" t="str">
            <v>HARWARE RENT &amp; LEASING</v>
          </cell>
        </row>
        <row r="72">
          <cell r="A72">
            <v>608250</v>
          </cell>
          <cell r="B72" t="str">
            <v>608250  LEASING COSTS-OTHER</v>
          </cell>
          <cell r="C72" t="str">
            <v>HARWARE RENT &amp; LEASING</v>
          </cell>
        </row>
        <row r="73">
          <cell r="A73" t="e">
            <v>#VALUE!</v>
          </cell>
          <cell r="B73" t="str">
            <v>HARWARE RENT &amp; LEASING</v>
          </cell>
          <cell r="C73" t="str">
            <v>HARWARE RENT &amp; LEASING</v>
          </cell>
        </row>
        <row r="74">
          <cell r="A74">
            <v>608100</v>
          </cell>
          <cell r="B74" t="str">
            <v>608100  RENTAL-SOFTWARE</v>
          </cell>
          <cell r="C74" t="str">
            <v>SOFTWARE RENT &amp; LEASING</v>
          </cell>
        </row>
        <row r="75">
          <cell r="A75">
            <v>608200</v>
          </cell>
          <cell r="B75" t="str">
            <v>608200  LEASED-SOFTWARE</v>
          </cell>
          <cell r="C75" t="str">
            <v>SOFTWARE RENT &amp; LEASING</v>
          </cell>
        </row>
        <row r="76">
          <cell r="A76">
            <v>609200</v>
          </cell>
          <cell r="B76" t="str">
            <v>609200  MAINT-SOFTWARE</v>
          </cell>
          <cell r="C76" t="str">
            <v>SOFTWARE RENT &amp; LEASING</v>
          </cell>
        </row>
        <row r="77">
          <cell r="A77" t="e">
            <v>#VALUE!</v>
          </cell>
          <cell r="B77" t="str">
            <v>SOFTWARE RENT &amp; LEASING</v>
          </cell>
          <cell r="C77" t="str">
            <v>SOFTWARE RENT &amp; LEASING</v>
          </cell>
        </row>
        <row r="78">
          <cell r="A78">
            <v>607050</v>
          </cell>
          <cell r="B78" t="str">
            <v>607050  PRPTY-DEPRECIATION</v>
          </cell>
          <cell r="C78" t="str">
            <v>HW / SW DEPRECIATION</v>
          </cell>
        </row>
        <row r="79">
          <cell r="A79" t="e">
            <v>#VALUE!</v>
          </cell>
          <cell r="B79" t="str">
            <v>HW / SW DEPRECIATION</v>
          </cell>
          <cell r="C79" t="str">
            <v>HW / SW DEPRECIATION</v>
          </cell>
        </row>
        <row r="80">
          <cell r="A80">
            <v>610200</v>
          </cell>
          <cell r="B80" t="str">
            <v>610200  OFFICE SOFTWARE PURC</v>
          </cell>
          <cell r="C80" t="str">
            <v>PURCHASED SOFTWARE</v>
          </cell>
        </row>
        <row r="81">
          <cell r="A81" t="e">
            <v>#VALUE!</v>
          </cell>
          <cell r="B81" t="str">
            <v>PURCHASED SOFTWARE</v>
          </cell>
          <cell r="C81" t="str">
            <v>PURCHASED SOFTWARE</v>
          </cell>
        </row>
        <row r="82">
          <cell r="A82" t="e">
            <v>#VALUE!</v>
          </cell>
          <cell r="B82" t="str">
            <v>HARDWARE SOFTWARE COSTS</v>
          </cell>
          <cell r="C82" t="str">
            <v>HARDWARE SOFTWARE COSTS</v>
          </cell>
        </row>
        <row r="83">
          <cell r="A83">
            <v>612135</v>
          </cell>
          <cell r="B83" t="str">
            <v>612135  DATA TRANS LINES</v>
          </cell>
          <cell r="C83" t="str">
            <v>DATA COMMUNICATIONS</v>
          </cell>
        </row>
        <row r="84">
          <cell r="A84">
            <v>612100</v>
          </cell>
          <cell r="B84" t="str">
            <v>612100  WIDE AREA NETWORK</v>
          </cell>
          <cell r="C84" t="str">
            <v>DATA COMMUNICATIONS</v>
          </cell>
        </row>
        <row r="85">
          <cell r="A85" t="e">
            <v>#VALUE!</v>
          </cell>
          <cell r="B85" t="str">
            <v>DATA COMMUNICATIONS</v>
          </cell>
          <cell r="C85" t="str">
            <v>DATA COMMUNICATIONS</v>
          </cell>
        </row>
        <row r="86">
          <cell r="A86">
            <v>612110</v>
          </cell>
          <cell r="B86" t="str">
            <v>612110  LOCAL AREA NETWORK</v>
          </cell>
          <cell r="C86" t="str">
            <v>VOICE AND VIDEO</v>
          </cell>
        </row>
        <row r="87">
          <cell r="A87">
            <v>612210</v>
          </cell>
          <cell r="B87" t="str">
            <v>612210  INDIVIDUAL TELEPHONE</v>
          </cell>
          <cell r="C87" t="str">
            <v>VOICE AND VIDEO</v>
          </cell>
        </row>
        <row r="88">
          <cell r="A88">
            <v>612220</v>
          </cell>
          <cell r="B88" t="str">
            <v>612220  MOBIL TELEPHONE CHAR</v>
          </cell>
          <cell r="C88" t="str">
            <v>VOICE AND VIDEO</v>
          </cell>
        </row>
        <row r="89">
          <cell r="A89">
            <v>613125</v>
          </cell>
          <cell r="B89" t="str">
            <v>613125  THIRD PARTY INV FEE</v>
          </cell>
          <cell r="C89" t="str">
            <v>VOICE AND VIDEO</v>
          </cell>
        </row>
        <row r="90">
          <cell r="A90">
            <v>612120</v>
          </cell>
          <cell r="B90" t="str">
            <v>612120  NETWORK SERVICE</v>
          </cell>
          <cell r="C90" t="str">
            <v>VOICE AND VIDEO</v>
          </cell>
        </row>
        <row r="91">
          <cell r="A91">
            <v>612130</v>
          </cell>
          <cell r="B91" t="str">
            <v>612130  NETWORK-OTHER</v>
          </cell>
          <cell r="C91" t="str">
            <v>VOICE AND VIDEO</v>
          </cell>
        </row>
        <row r="92">
          <cell r="A92">
            <v>610350</v>
          </cell>
          <cell r="B92" t="str">
            <v>610350  COMMUNICATIONS</v>
          </cell>
          <cell r="C92" t="str">
            <v>VOICE AND VIDEO</v>
          </cell>
        </row>
        <row r="93">
          <cell r="A93">
            <v>612200</v>
          </cell>
          <cell r="B93" t="str">
            <v>612200  GENERAL TELEPHONE</v>
          </cell>
          <cell r="C93" t="str">
            <v>VOICE AND VIDEO</v>
          </cell>
        </row>
        <row r="94">
          <cell r="A94" t="e">
            <v>#VALUE!</v>
          </cell>
          <cell r="B94" t="str">
            <v>VOICE AND VIDEO</v>
          </cell>
          <cell r="C94" t="str">
            <v>VOICE AND VIDEO</v>
          </cell>
        </row>
        <row r="95">
          <cell r="A95">
            <v>613127</v>
          </cell>
          <cell r="B95" t="str">
            <v>613127  COMMUNICATIONS REBIL</v>
          </cell>
          <cell r="C95" t="str">
            <v>COMMUNICATIONS REBILL</v>
          </cell>
        </row>
        <row r="96">
          <cell r="A96" t="e">
            <v>#VALUE!</v>
          </cell>
          <cell r="B96" t="str">
            <v>COMMUNICATIONS REBILL</v>
          </cell>
          <cell r="C96" t="str">
            <v>COMMUNICATIONS REBILL</v>
          </cell>
        </row>
        <row r="97">
          <cell r="A97" t="e">
            <v>#VALUE!</v>
          </cell>
          <cell r="B97" t="str">
            <v>COMMUNICATIONS</v>
          </cell>
          <cell r="C97" t="str">
            <v>COMMUNICATIONS REBILL</v>
          </cell>
        </row>
        <row r="98">
          <cell r="A98">
            <v>603017</v>
          </cell>
          <cell r="B98" t="str">
            <v>603017  FLOWERS &amp; MEMORIAL</v>
          </cell>
          <cell r="C98" t="str">
            <v>MISCELLANEOUS</v>
          </cell>
        </row>
        <row r="99">
          <cell r="A99">
            <v>603030</v>
          </cell>
          <cell r="B99" t="str">
            <v>603030  EMPLOYEE STOCK PURCH</v>
          </cell>
          <cell r="C99" t="str">
            <v>MISCELLANEOUS</v>
          </cell>
        </row>
        <row r="100">
          <cell r="A100">
            <v>603100</v>
          </cell>
          <cell r="B100" t="str">
            <v>603100  CASH DONATIONS</v>
          </cell>
          <cell r="C100" t="str">
            <v>MISCELLANEOUS</v>
          </cell>
        </row>
        <row r="101">
          <cell r="A101">
            <v>603102</v>
          </cell>
          <cell r="B101" t="str">
            <v>603102  EXEC PROD INTERCHNG</v>
          </cell>
          <cell r="C101" t="str">
            <v>MISCELLANEOUS</v>
          </cell>
        </row>
        <row r="102">
          <cell r="A102">
            <v>603103</v>
          </cell>
          <cell r="B102" t="str">
            <v>603103  PROD INTERNAL CONSUM</v>
          </cell>
          <cell r="C102" t="str">
            <v>MISCELLANEOUS</v>
          </cell>
        </row>
        <row r="103">
          <cell r="A103">
            <v>603106</v>
          </cell>
          <cell r="B103" t="str">
            <v>603106  PROD INTL CONS DROP</v>
          </cell>
          <cell r="C103" t="str">
            <v>MISCELLANEOUS</v>
          </cell>
        </row>
        <row r="104">
          <cell r="A104">
            <v>603112</v>
          </cell>
          <cell r="B104" t="str">
            <v>603112  LAPORTE EPI</v>
          </cell>
          <cell r="C104" t="str">
            <v>MISCELLANEOUS</v>
          </cell>
        </row>
        <row r="105">
          <cell r="A105">
            <v>603113</v>
          </cell>
          <cell r="B105" t="str">
            <v>603113  EPI-ADD'L EXPENSES</v>
          </cell>
          <cell r="C105" t="str">
            <v>MISCELLANEOUS</v>
          </cell>
        </row>
        <row r="106">
          <cell r="A106">
            <v>605800</v>
          </cell>
          <cell r="B106" t="str">
            <v>605800  ENTERTAINING 3RD PTY</v>
          </cell>
          <cell r="C106" t="str">
            <v>MISCELLANEOUS</v>
          </cell>
        </row>
        <row r="107">
          <cell r="A107">
            <v>607064</v>
          </cell>
          <cell r="B107" t="str">
            <v>607064  PROP-PER TOOLS REQ</v>
          </cell>
          <cell r="C107" t="str">
            <v>MISCELLANEOUS</v>
          </cell>
        </row>
        <row r="108">
          <cell r="A108">
            <v>607400</v>
          </cell>
          <cell r="B108" t="str">
            <v>607400  PROPERTY-TAXES</v>
          </cell>
          <cell r="C108" t="str">
            <v>MISCELLANEOUS</v>
          </cell>
        </row>
        <row r="109">
          <cell r="A109">
            <v>607501</v>
          </cell>
          <cell r="B109" t="str">
            <v>607501  PROP EQUIP &lt; $3000</v>
          </cell>
          <cell r="C109" t="str">
            <v>MISCELLANEOUS</v>
          </cell>
        </row>
        <row r="110">
          <cell r="A110">
            <v>610000</v>
          </cell>
          <cell r="B110" t="str">
            <v>610000  OFFICE SUPPLIES</v>
          </cell>
          <cell r="C110" t="str">
            <v>MISCELLANEOUS</v>
          </cell>
        </row>
        <row r="111">
          <cell r="A111">
            <v>610050</v>
          </cell>
          <cell r="B111" t="str">
            <v>610050  PC SUPPLIES</v>
          </cell>
          <cell r="C111" t="str">
            <v>MISCELLANEOUS</v>
          </cell>
        </row>
        <row r="112">
          <cell r="A112">
            <v>610100</v>
          </cell>
          <cell r="B112" t="str">
            <v>610100  PRINTING</v>
          </cell>
          <cell r="C112" t="str">
            <v>MISCELLANEOUS</v>
          </cell>
        </row>
        <row r="113">
          <cell r="A113">
            <v>610110</v>
          </cell>
          <cell r="B113" t="str">
            <v>610110  PURCHASED FORMS</v>
          </cell>
          <cell r="C113" t="str">
            <v>MISCELLANEOUS</v>
          </cell>
        </row>
        <row r="114">
          <cell r="A114">
            <v>610300</v>
          </cell>
          <cell r="B114" t="str">
            <v>610300  BOOKS, MAGAZINES, PA</v>
          </cell>
          <cell r="C114" t="str">
            <v>MISCELLANEOUS</v>
          </cell>
        </row>
        <row r="115">
          <cell r="A115">
            <v>610600</v>
          </cell>
          <cell r="B115" t="str">
            <v>610600  MEETING EXPENSE</v>
          </cell>
          <cell r="C115" t="str">
            <v>MISCELLANEOUS</v>
          </cell>
        </row>
        <row r="116">
          <cell r="A116">
            <v>610601</v>
          </cell>
          <cell r="B116" t="str">
            <v>610601  DINNER MEETING EXP</v>
          </cell>
          <cell r="C116" t="str">
            <v>MISCELLANEOUS</v>
          </cell>
        </row>
        <row r="117">
          <cell r="A117">
            <v>612115</v>
          </cell>
          <cell r="B117" t="str">
            <v>612115  EQUIPMENT CHARGES</v>
          </cell>
          <cell r="C117" t="str">
            <v>MISCELLANEOUS</v>
          </cell>
        </row>
        <row r="118">
          <cell r="A118">
            <v>613020</v>
          </cell>
          <cell r="B118" t="str">
            <v>613020  LEGAL FEES</v>
          </cell>
          <cell r="C118" t="str">
            <v>MISCELLANEOUS</v>
          </cell>
        </row>
        <row r="119">
          <cell r="A119">
            <v>613118</v>
          </cell>
          <cell r="B119" t="str">
            <v>613118  GROUND TRANS SERV</v>
          </cell>
          <cell r="C119" t="str">
            <v>MISCELLANEOUS</v>
          </cell>
        </row>
        <row r="120">
          <cell r="A120">
            <v>616100</v>
          </cell>
          <cell r="B120" t="str">
            <v>616100  POSTAGE</v>
          </cell>
          <cell r="C120" t="str">
            <v>MISCELLANEOUS</v>
          </cell>
        </row>
        <row r="121">
          <cell r="A121">
            <v>616319</v>
          </cell>
          <cell r="B121" t="str">
            <v>616319  SUP-FACTORY REQ</v>
          </cell>
          <cell r="C121" t="str">
            <v>MISCELLANEOUS</v>
          </cell>
        </row>
        <row r="122">
          <cell r="A122">
            <v>616326</v>
          </cell>
          <cell r="B122" t="str">
            <v>616326  VISA-MISC SUPPLIES</v>
          </cell>
          <cell r="C122" t="str">
            <v>MISCELLANEOUS</v>
          </cell>
        </row>
        <row r="123">
          <cell r="A123">
            <v>616327</v>
          </cell>
          <cell r="B123" t="str">
            <v>616327  MISC SUPPLIES</v>
          </cell>
          <cell r="C123" t="str">
            <v>MISCELLANEOUS</v>
          </cell>
        </row>
        <row r="124">
          <cell r="A124">
            <v>616333</v>
          </cell>
          <cell r="B124" t="str">
            <v>616333  TEST PROD PURCH</v>
          </cell>
          <cell r="C124" t="str">
            <v>MISCELLANEOUS</v>
          </cell>
        </row>
        <row r="125">
          <cell r="A125">
            <v>616334</v>
          </cell>
          <cell r="B125" t="str">
            <v>616334  PROJECT MATERIALS</v>
          </cell>
          <cell r="C125" t="str">
            <v>MISCELLANEOUS</v>
          </cell>
        </row>
        <row r="126">
          <cell r="A126">
            <v>616340</v>
          </cell>
          <cell r="B126" t="str">
            <v>616340  SUPPLIES-PRODUCTION</v>
          </cell>
          <cell r="C126" t="str">
            <v>MISCELLANEOUS</v>
          </cell>
        </row>
        <row r="127">
          <cell r="A127">
            <v>616600</v>
          </cell>
          <cell r="B127" t="str">
            <v>616600  CANTEEN AND CATERING</v>
          </cell>
          <cell r="C127" t="str">
            <v>MISCELLANEOUS</v>
          </cell>
        </row>
        <row r="128">
          <cell r="A128">
            <v>619600</v>
          </cell>
          <cell r="B128" t="str">
            <v>619600  FIELD ADJUSTMENTS</v>
          </cell>
          <cell r="C128" t="str">
            <v>MISCELLANEOUS</v>
          </cell>
        </row>
        <row r="129">
          <cell r="A129">
            <v>620008</v>
          </cell>
          <cell r="B129" t="str">
            <v>620008  PROMO MATL EMPL ORD</v>
          </cell>
          <cell r="C129" t="str">
            <v>MISCELLANEOUS</v>
          </cell>
        </row>
        <row r="130">
          <cell r="A130">
            <v>620082</v>
          </cell>
          <cell r="B130" t="str">
            <v>620082  PROMO COSTS-FIX REV</v>
          </cell>
          <cell r="C130" t="str">
            <v>MISCELLANEOUS</v>
          </cell>
        </row>
        <row r="131">
          <cell r="A131">
            <v>620090</v>
          </cell>
          <cell r="B131" t="str">
            <v>620090  SALES PROMO ITEMS</v>
          </cell>
          <cell r="C131" t="str">
            <v>MISCELLANEOUS</v>
          </cell>
        </row>
        <row r="132">
          <cell r="A132">
            <v>622500</v>
          </cell>
          <cell r="B132" t="str">
            <v>622500  FOOD/BEV ENTERTAINMT</v>
          </cell>
          <cell r="C132" t="str">
            <v>MISCELLANEOUS</v>
          </cell>
        </row>
        <row r="133">
          <cell r="A133">
            <v>626195</v>
          </cell>
          <cell r="B133" t="str">
            <v>626195  3-PRTY LOG SVCS CHGS</v>
          </cell>
          <cell r="C133" t="str">
            <v>MISCELLANEOUS</v>
          </cell>
        </row>
        <row r="134">
          <cell r="A134">
            <v>626343</v>
          </cell>
          <cell r="B134" t="str">
            <v>626343  EXCESS FREIGHT</v>
          </cell>
          <cell r="C134" t="str">
            <v>MISCELLANEOUS</v>
          </cell>
        </row>
        <row r="135">
          <cell r="A135">
            <v>626400</v>
          </cell>
          <cell r="B135" t="str">
            <v>626400  FREIGHT CHARGES</v>
          </cell>
          <cell r="C135" t="str">
            <v>MISCELLANEOUS</v>
          </cell>
        </row>
        <row r="136">
          <cell r="A136">
            <v>626410</v>
          </cell>
          <cell r="B136" t="str">
            <v>626410  FREIGHT NP MTL</v>
          </cell>
          <cell r="C136" t="str">
            <v>MISCELLANEOUS</v>
          </cell>
        </row>
        <row r="137">
          <cell r="A137">
            <v>628500</v>
          </cell>
          <cell r="B137" t="str">
            <v>628500  SUNDRY EXPENSE</v>
          </cell>
          <cell r="C137" t="str">
            <v>MISCELLANEOUS</v>
          </cell>
        </row>
        <row r="138">
          <cell r="A138">
            <v>629050</v>
          </cell>
          <cell r="B138" t="str">
            <v>629050  REARRANGE-MISC</v>
          </cell>
          <cell r="C138" t="str">
            <v>MISCELLANEOUS</v>
          </cell>
        </row>
        <row r="139">
          <cell r="A139">
            <v>629500</v>
          </cell>
          <cell r="B139" t="str">
            <v>629500  SPECIAL PROJECTS</v>
          </cell>
          <cell r="C139" t="str">
            <v>MISCELLANEOUS</v>
          </cell>
        </row>
        <row r="140">
          <cell r="A140">
            <v>630000</v>
          </cell>
          <cell r="B140" t="str">
            <v>630000  SALES TAX EXPENSE</v>
          </cell>
          <cell r="C140" t="str">
            <v>MISCELLANEOUS</v>
          </cell>
        </row>
        <row r="141">
          <cell r="A141">
            <v>631000</v>
          </cell>
          <cell r="B141" t="str">
            <v>631000  TAX ON FREE GOODS</v>
          </cell>
          <cell r="C141" t="str">
            <v>MISCELLANEOUS</v>
          </cell>
        </row>
        <row r="142">
          <cell r="A142">
            <v>603019</v>
          </cell>
          <cell r="B142" t="str">
            <v>603019  COMPANY PICNIC</v>
          </cell>
          <cell r="C142" t="str">
            <v>MISCELLANEOUS</v>
          </cell>
        </row>
        <row r="143">
          <cell r="A143">
            <v>609121</v>
          </cell>
          <cell r="B143" t="str">
            <v>609121  REPAIRS-T&amp;D MATERIAL</v>
          </cell>
          <cell r="C143" t="str">
            <v>MISCELLANEOUS</v>
          </cell>
        </row>
        <row r="144">
          <cell r="A144">
            <v>999977</v>
          </cell>
          <cell r="B144" t="str">
            <v>999977  CAPITAL ACQUISITIONS</v>
          </cell>
          <cell r="C144" t="str">
            <v>MISCELLANEOUS</v>
          </cell>
        </row>
        <row r="145">
          <cell r="A145">
            <v>603022</v>
          </cell>
          <cell r="B145" t="str">
            <v>603022  RECREATION PROGRAMS</v>
          </cell>
          <cell r="C145" t="str">
            <v>MISCELLANEOUS</v>
          </cell>
        </row>
        <row r="146">
          <cell r="A146">
            <v>603049</v>
          </cell>
          <cell r="B146" t="str">
            <v>603049  SEPARATION ALLOWANCE</v>
          </cell>
          <cell r="C146" t="str">
            <v>MISCELLANEOUS</v>
          </cell>
        </row>
        <row r="147">
          <cell r="A147">
            <v>607056</v>
          </cell>
          <cell r="B147" t="str">
            <v>607056  GAIN/LOSS ON DISP</v>
          </cell>
          <cell r="C147" t="str">
            <v>MISCELLANEOUS</v>
          </cell>
        </row>
        <row r="148">
          <cell r="A148" t="e">
            <v>#VALUE!</v>
          </cell>
          <cell r="B148" t="str">
            <v>MISCELLANEOUS</v>
          </cell>
          <cell r="C148" t="str">
            <v>MISCELLANEOUS</v>
          </cell>
        </row>
        <row r="149">
          <cell r="A149">
            <v>699025</v>
          </cell>
          <cell r="B149" t="str">
            <v>699025  TRANSFERS-WAREHOUSE</v>
          </cell>
          <cell r="C149" t="str">
            <v>MISCELLANEOUS</v>
          </cell>
        </row>
        <row r="150">
          <cell r="A150">
            <v>699035</v>
          </cell>
          <cell r="B150" t="str">
            <v>699035  TRANSFERS-CENT SERV</v>
          </cell>
          <cell r="C150" t="str">
            <v>MISCELLANEOUS</v>
          </cell>
        </row>
        <row r="151">
          <cell r="A151" t="e">
            <v>#VALUE!</v>
          </cell>
          <cell r="B151" t="str">
            <v>TRANSFERS MISCELLANEOUS</v>
          </cell>
          <cell r="C151" t="str">
            <v>MISCELLANEOUS</v>
          </cell>
        </row>
        <row r="152">
          <cell r="A152" t="e">
            <v>#VALUE!</v>
          </cell>
          <cell r="B152" t="str">
            <v>MISCELLANEOUS TOTAL</v>
          </cell>
          <cell r="C152" t="str">
            <v>MISCELLANEOUS</v>
          </cell>
        </row>
        <row r="153">
          <cell r="A153" t="e">
            <v>#VALUE!</v>
          </cell>
          <cell r="B153" t="str">
            <v>GROSS EXPENSE</v>
          </cell>
          <cell r="C153" t="str">
            <v>GROSS EXPENSE</v>
          </cell>
        </row>
        <row r="154">
          <cell r="A154">
            <v>699000</v>
          </cell>
          <cell r="B154" t="str">
            <v>699000  TRANSFERS-CAPITAL</v>
          </cell>
          <cell r="C154" t="str">
            <v>TRANSFERS CAPITAL</v>
          </cell>
        </row>
        <row r="155">
          <cell r="A155" t="e">
            <v>#VALUE!</v>
          </cell>
          <cell r="B155" t="str">
            <v>TRANSFERS CAPITAL</v>
          </cell>
          <cell r="C155" t="str">
            <v>TRANSFERS MISCELLANEOUS</v>
          </cell>
        </row>
        <row r="156">
          <cell r="A156">
            <v>699005</v>
          </cell>
          <cell r="B156" t="str">
            <v>699005  TRANSFERS-OTHER</v>
          </cell>
          <cell r="C156" t="str">
            <v>TRANSFERS REBILL</v>
          </cell>
        </row>
        <row r="157">
          <cell r="A157">
            <v>699010</v>
          </cell>
          <cell r="B157" t="str">
            <v>699010  TRANSFERS-REBILL</v>
          </cell>
          <cell r="C157" t="str">
            <v>TRANSFERS REBILL</v>
          </cell>
        </row>
        <row r="158">
          <cell r="A158">
            <v>699015</v>
          </cell>
          <cell r="B158" t="str">
            <v>699015  TRANSFERS-IT</v>
          </cell>
          <cell r="C158" t="str">
            <v>TRANSFERS REBILL</v>
          </cell>
        </row>
        <row r="159">
          <cell r="A159">
            <v>699017</v>
          </cell>
          <cell r="B159" t="str">
            <v>699017  TRANSFERS-PC LEASE</v>
          </cell>
          <cell r="C159" t="str">
            <v>TRANSFERS REBILL</v>
          </cell>
        </row>
        <row r="160">
          <cell r="A160">
            <v>699090</v>
          </cell>
          <cell r="B160" t="str">
            <v>699090  TRANSFERS-INTL ALLOC</v>
          </cell>
          <cell r="C160" t="str">
            <v>TRANSFERS REBILL</v>
          </cell>
        </row>
        <row r="161">
          <cell r="A161">
            <v>699075</v>
          </cell>
          <cell r="B161" t="str">
            <v>699075  TRANSFERS-CORPORATE</v>
          </cell>
          <cell r="C161" t="str">
            <v>TRANSFERS REBILL</v>
          </cell>
        </row>
        <row r="162">
          <cell r="A162">
            <v>699085</v>
          </cell>
          <cell r="B162" t="str">
            <v>699085  TRANSFERS-MISC ADJ</v>
          </cell>
          <cell r="C162" t="str">
            <v>TRANSFERS REBILL</v>
          </cell>
        </row>
        <row r="163">
          <cell r="A163">
            <v>690263</v>
          </cell>
          <cell r="B163" t="str">
            <v>690263  TRANS-GIS INTERNAL</v>
          </cell>
          <cell r="C163" t="str">
            <v>TRANSFERS REBILL</v>
          </cell>
        </row>
        <row r="164">
          <cell r="A164" t="e">
            <v>#VALUE!</v>
          </cell>
          <cell r="B164" t="str">
            <v>TRANSFERS REBILL</v>
          </cell>
          <cell r="C164" t="str">
            <v>TRANSFERS MISCELLANEOUS</v>
          </cell>
        </row>
        <row r="165">
          <cell r="A165" t="e">
            <v>#VALUE!</v>
          </cell>
          <cell r="B165" t="str">
            <v>TRANSFERS</v>
          </cell>
          <cell r="C165" t="str">
            <v>TRANSFERS MISCELLANEOUS</v>
          </cell>
        </row>
        <row r="166">
          <cell r="A166" t="e">
            <v>#VALUE!</v>
          </cell>
          <cell r="B166" t="str">
            <v>Total</v>
          </cell>
          <cell r="C166" t="str">
            <v>Total</v>
          </cell>
        </row>
        <row r="167">
          <cell r="A167" t="e">
            <v>#VALUE!</v>
          </cell>
          <cell r="B167" t="str">
            <v>Grand Total</v>
          </cell>
          <cell r="C167" t="str">
            <v>Grand Total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33 A REV."/>
      <sheetName val="ATTACH REH-5A REV"/>
      <sheetName val="TS1 &amp; TS2 ALLOCATION"/>
    </sheetNames>
    <sheetDataSet>
      <sheetData sheetId="0">
        <row r="1">
          <cell r="H1" t="str">
            <v>Schedule 33</v>
          </cell>
        </row>
        <row r="3">
          <cell r="D3" t="str">
            <v>COLUMBIA GAS OF VIRGINIA,  INC.</v>
          </cell>
        </row>
        <row r="5">
          <cell r="D5" t="str">
            <v xml:space="preserve">      Schedule of Additional Gross Revenues</v>
          </cell>
        </row>
        <row r="6">
          <cell r="D6" t="str">
            <v>By Rate Schedule Produced By Proposed Rates</v>
          </cell>
        </row>
        <row r="9">
          <cell r="D9" t="str">
            <v>Adjusted</v>
          </cell>
          <cell r="G9" t="str">
            <v>Proposed</v>
          </cell>
          <cell r="H9" t="str">
            <v>Proposed</v>
          </cell>
        </row>
        <row r="10">
          <cell r="C10" t="str">
            <v>Adjusted</v>
          </cell>
          <cell r="D10" t="str">
            <v>Rate</v>
          </cell>
          <cell r="E10" t="str">
            <v>Proposed</v>
          </cell>
          <cell r="F10" t="str">
            <v>Adjusted</v>
          </cell>
          <cell r="G10" t="str">
            <v>Increase</v>
          </cell>
          <cell r="H10" t="str">
            <v>Increase</v>
          </cell>
        </row>
        <row r="11">
          <cell r="B11" t="str">
            <v>Description</v>
          </cell>
          <cell r="C11" t="str">
            <v>Volumes (a)</v>
          </cell>
          <cell r="D11" t="str">
            <v>Revenue (b)</v>
          </cell>
          <cell r="E11" t="str">
            <v>Increase</v>
          </cell>
          <cell r="F11" t="str">
            <v>Revenues</v>
          </cell>
          <cell r="G11" t="str">
            <v>Per Mcf</v>
          </cell>
          <cell r="H11" t="str">
            <v>Percent</v>
          </cell>
        </row>
        <row r="12">
          <cell r="C12" t="str">
            <v>(1)</v>
          </cell>
          <cell r="D12" t="str">
            <v>(2)</v>
          </cell>
          <cell r="E12" t="str">
            <v>(3)</v>
          </cell>
          <cell r="F12" t="str">
            <v>(4=2+3)</v>
          </cell>
          <cell r="G12" t="str">
            <v>(5=3/1)</v>
          </cell>
          <cell r="H12" t="str">
            <v>(6)</v>
          </cell>
        </row>
        <row r="13">
          <cell r="C13" t="str">
            <v>Mcf</v>
          </cell>
          <cell r="D13" t="str">
            <v>$</v>
          </cell>
          <cell r="E13" t="str">
            <v>$</v>
          </cell>
          <cell r="F13" t="str">
            <v>$</v>
          </cell>
          <cell r="G13" t="str">
            <v>$/Mcf</v>
          </cell>
        </row>
        <row r="15">
          <cell r="B15" t="str">
            <v>Residential Service</v>
          </cell>
        </row>
        <row r="16">
          <cell r="B16" t="str">
            <v xml:space="preserve">  East and West</v>
          </cell>
          <cell r="C16">
            <v>11467918.199999999</v>
          </cell>
          <cell r="D16">
            <v>105546782</v>
          </cell>
          <cell r="E16">
            <v>9268974.945700001</v>
          </cell>
          <cell r="F16">
            <v>114815756.9457</v>
          </cell>
        </row>
        <row r="17">
          <cell r="B17" t="str">
            <v xml:space="preserve">  Central</v>
          </cell>
          <cell r="C17">
            <v>917057.1</v>
          </cell>
          <cell r="D17">
            <v>8272167</v>
          </cell>
          <cell r="E17">
            <v>796152.52987344749</v>
          </cell>
          <cell r="F17">
            <v>9068319.5298734475</v>
          </cell>
        </row>
        <row r="18">
          <cell r="B18" t="str">
            <v xml:space="preserve">  Total</v>
          </cell>
          <cell r="C18">
            <v>12384975.299999999</v>
          </cell>
          <cell r="D18">
            <v>113818949</v>
          </cell>
          <cell r="E18">
            <v>10065127.475573448</v>
          </cell>
          <cell r="F18">
            <v>123884076.47557345</v>
          </cell>
          <cell r="G18">
            <v>0.81269999999999998</v>
          </cell>
          <cell r="H18">
            <v>8.8400000000000006E-2</v>
          </cell>
        </row>
        <row r="20">
          <cell r="B20" t="str">
            <v>Small General Service</v>
          </cell>
        </row>
        <row r="21">
          <cell r="B21" t="str">
            <v xml:space="preserve">  Commercial</v>
          </cell>
          <cell r="C21">
            <v>6998572.9000000004</v>
          </cell>
          <cell r="D21">
            <v>47132884</v>
          </cell>
          <cell r="E21">
            <v>2635048.8509999998</v>
          </cell>
          <cell r="F21">
            <v>49767932.850999996</v>
          </cell>
        </row>
        <row r="22">
          <cell r="B22" t="str">
            <v xml:space="preserve">  Industrial</v>
          </cell>
          <cell r="C22">
            <v>522998.3</v>
          </cell>
          <cell r="D22">
            <v>3243215</v>
          </cell>
          <cell r="E22">
            <v>180918.85170088289</v>
          </cell>
          <cell r="F22">
            <v>3424133.8517008829</v>
          </cell>
        </row>
        <row r="23">
          <cell r="B23" t="str">
            <v xml:space="preserve">  Total</v>
          </cell>
          <cell r="C23">
            <v>7521571.2000000002</v>
          </cell>
          <cell r="D23">
            <v>50376099</v>
          </cell>
          <cell r="E23">
            <v>2815967.7027008827</v>
          </cell>
          <cell r="F23">
            <v>53192066.702700876</v>
          </cell>
          <cell r="G23">
            <v>0.37440000000000001</v>
          </cell>
          <cell r="H23">
            <v>5.5899999999999998E-2</v>
          </cell>
        </row>
        <row r="25">
          <cell r="B25" t="str">
            <v xml:space="preserve">Large General Service 1/  </v>
          </cell>
        </row>
        <row r="26">
          <cell r="B26" t="str">
            <v>Transportation Service 1</v>
          </cell>
        </row>
        <row r="27">
          <cell r="B27" t="str">
            <v xml:space="preserve">  Commercial (LGS 1)</v>
          </cell>
          <cell r="C27">
            <v>427682.9</v>
          </cell>
          <cell r="D27">
            <v>1115423</v>
          </cell>
          <cell r="E27">
            <v>32711.53581999999</v>
          </cell>
          <cell r="F27">
            <v>1148134.5358199999</v>
          </cell>
        </row>
        <row r="28">
          <cell r="B28" t="str">
            <v xml:space="preserve">  Industrial (LGS 1)</v>
          </cell>
          <cell r="C28">
            <v>740335</v>
          </cell>
          <cell r="D28">
            <v>3449616</v>
          </cell>
          <cell r="E28">
            <v>74045.791333959671</v>
          </cell>
          <cell r="F28">
            <v>3523661.7913339594</v>
          </cell>
        </row>
        <row r="29">
          <cell r="B29" t="str">
            <v xml:space="preserve">  Commercial (TS-1)</v>
          </cell>
          <cell r="C29">
            <v>2101300.2000000002</v>
          </cell>
          <cell r="D29">
            <v>1368179</v>
          </cell>
          <cell r="E29">
            <v>167328.92973999999</v>
          </cell>
          <cell r="F29">
            <v>1535507.9297400001</v>
          </cell>
        </row>
        <row r="30">
          <cell r="B30" t="str">
            <v xml:space="preserve">  Industrial (TS-1)</v>
          </cell>
          <cell r="C30">
            <v>6947728.5999999996</v>
          </cell>
          <cell r="D30">
            <v>3734034</v>
          </cell>
          <cell r="E30">
            <v>495300.92672000005</v>
          </cell>
          <cell r="F30">
            <v>4229334.9267199999</v>
          </cell>
        </row>
        <row r="31">
          <cell r="B31" t="str">
            <v xml:space="preserve">  Total</v>
          </cell>
          <cell r="C31">
            <v>10217046.699999999</v>
          </cell>
          <cell r="D31">
            <v>9667252</v>
          </cell>
          <cell r="E31">
            <v>769387.1836139597</v>
          </cell>
          <cell r="F31">
            <v>10436639.18361396</v>
          </cell>
          <cell r="G31">
            <v>7.5300000000000006E-2</v>
          </cell>
          <cell r="H31">
            <v>7.9600000000000004E-2</v>
          </cell>
        </row>
        <row r="33">
          <cell r="B33" t="str">
            <v>Large General Service 2/</v>
          </cell>
        </row>
        <row r="34">
          <cell r="B34" t="str">
            <v>Transportation Service 2</v>
          </cell>
        </row>
        <row r="35">
          <cell r="B35" t="str">
            <v xml:space="preserve">  Commercial (LGS 2)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B36" t="str">
            <v xml:space="preserve">  Industrial (LGS 2)</v>
          </cell>
          <cell r="C36">
            <v>1052107</v>
          </cell>
          <cell r="D36">
            <v>4040109</v>
          </cell>
          <cell r="E36">
            <v>21383.575000000001</v>
          </cell>
          <cell r="F36">
            <v>4061492.5750000002</v>
          </cell>
        </row>
        <row r="37">
          <cell r="B37" t="str">
            <v xml:space="preserve">  Commercial (TS-2)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 t="str">
            <v xml:space="preserve">  Industrial (TS-2)</v>
          </cell>
          <cell r="C38">
            <v>13598016</v>
          </cell>
          <cell r="D38">
            <v>3105475</v>
          </cell>
          <cell r="E38">
            <v>353886.06311170897</v>
          </cell>
          <cell r="F38">
            <v>3459361.063111709</v>
          </cell>
        </row>
        <row r="39">
          <cell r="B39" t="str">
            <v xml:space="preserve">  Total</v>
          </cell>
          <cell r="C39">
            <v>14650123</v>
          </cell>
          <cell r="D39">
            <v>7145584</v>
          </cell>
          <cell r="E39">
            <v>375269.63811170898</v>
          </cell>
          <cell r="F39">
            <v>7520853.6381117087</v>
          </cell>
          <cell r="G39">
            <v>2.5600000000000001E-2</v>
          </cell>
          <cell r="H39">
            <v>5.2499999999999998E-2</v>
          </cell>
        </row>
        <row r="42">
          <cell r="B42" t="str">
            <v xml:space="preserve">  Special Contract</v>
          </cell>
          <cell r="C42">
            <v>16993404</v>
          </cell>
          <cell r="D42">
            <v>2615185</v>
          </cell>
          <cell r="E42">
            <v>0</v>
          </cell>
          <cell r="F42">
            <v>2615185</v>
          </cell>
          <cell r="G42">
            <v>0</v>
          </cell>
          <cell r="H42">
            <v>0</v>
          </cell>
        </row>
        <row r="44">
          <cell r="B44" t="str">
            <v xml:space="preserve">  Total Transportation</v>
          </cell>
          <cell r="C44">
            <v>39640448.799999997</v>
          </cell>
          <cell r="D44">
            <v>10822873</v>
          </cell>
          <cell r="E44">
            <v>1016515.919571709</v>
          </cell>
          <cell r="F44">
            <v>11839388.919571709</v>
          </cell>
        </row>
        <row r="46">
          <cell r="B46" t="str">
            <v>Total</v>
          </cell>
          <cell r="C46">
            <v>61767120.200000003</v>
          </cell>
          <cell r="D46">
            <v>183623069</v>
          </cell>
          <cell r="E46">
            <v>14025752</v>
          </cell>
          <cell r="F46">
            <v>197648821</v>
          </cell>
        </row>
        <row r="48">
          <cell r="B48" t="str">
            <v>Other Operating Revenue</v>
          </cell>
          <cell r="D48">
            <v>2113419</v>
          </cell>
          <cell r="E48">
            <v>0</v>
          </cell>
          <cell r="F48">
            <v>2113419</v>
          </cell>
        </row>
        <row r="49">
          <cell r="B49" t="str">
            <v>Total Revenue</v>
          </cell>
          <cell r="C49">
            <v>61767120.200000003</v>
          </cell>
          <cell r="D49">
            <v>185736488</v>
          </cell>
          <cell r="E49">
            <v>14025752</v>
          </cell>
          <cell r="F49">
            <v>199762240</v>
          </cell>
        </row>
        <row r="52">
          <cell r="B52" t="str">
            <v>(a) Test period adjusted per schedule 14.</v>
          </cell>
        </row>
        <row r="54">
          <cell r="B54" t="str">
            <v>(b) Rates based on those in approved in Case No. PUE950033.</v>
          </cell>
        </row>
        <row r="56">
          <cell r="B56" t="str">
            <v>X:\CGV\RATECASE\98\SCHEDULE\SCHEDULE 33 FOR 1998</v>
          </cell>
        </row>
      </sheetData>
      <sheetData sheetId="1">
        <row r="2">
          <cell r="H2" t="str">
            <v>ATTACHMENT REH-5</v>
          </cell>
        </row>
        <row r="5">
          <cell r="E5" t="str">
            <v>COLUMBIA GAS OF VIRGINIA, INC.</v>
          </cell>
        </row>
        <row r="7">
          <cell r="E7" t="str">
            <v>SCHEDULE OF ADDITIONAL GROSS REVENUES</v>
          </cell>
        </row>
        <row r="9">
          <cell r="E9" t="str">
            <v>BY RATE SCHEDULE PRODUCED BY PROPOSED RATES</v>
          </cell>
        </row>
        <row r="13">
          <cell r="C13" t="str">
            <v>ADJUSTED</v>
          </cell>
          <cell r="D13" t="str">
            <v>ADJUSTED</v>
          </cell>
        </row>
        <row r="14">
          <cell r="C14" t="str">
            <v>VOLUMES</v>
          </cell>
          <cell r="D14" t="str">
            <v>RATE</v>
          </cell>
          <cell r="E14" t="str">
            <v>PROPOSED</v>
          </cell>
          <cell r="F14" t="str">
            <v>ADJUSTED</v>
          </cell>
          <cell r="G14" t="str">
            <v>PROPOSED</v>
          </cell>
          <cell r="H14" t="str">
            <v>PROPOSED</v>
          </cell>
        </row>
        <row r="15">
          <cell r="B15" t="str">
            <v>DESCRIPTION</v>
          </cell>
          <cell r="C15" t="str">
            <v>(a)</v>
          </cell>
          <cell r="D15" t="str">
            <v>REVENUE</v>
          </cell>
          <cell r="E15" t="str">
            <v xml:space="preserve">INCREASE </v>
          </cell>
          <cell r="F15" t="str">
            <v>REVENUE</v>
          </cell>
          <cell r="G15" t="str">
            <v>INCREASE</v>
          </cell>
          <cell r="H15" t="str">
            <v>INCREASE</v>
          </cell>
        </row>
        <row r="16">
          <cell r="C16" t="str">
            <v>(1)</v>
          </cell>
          <cell r="D16" t="str">
            <v>(2)</v>
          </cell>
          <cell r="E16" t="str">
            <v>(3)</v>
          </cell>
          <cell r="F16" t="str">
            <v>(4)</v>
          </cell>
          <cell r="G16" t="str">
            <v>(5=3/1)</v>
          </cell>
          <cell r="H16" t="str">
            <v>(6=3/2)</v>
          </cell>
        </row>
        <row r="17">
          <cell r="C17" t="str">
            <v>MCF</v>
          </cell>
          <cell r="D17" t="str">
            <v>$</v>
          </cell>
          <cell r="E17" t="str">
            <v>$</v>
          </cell>
          <cell r="F17" t="str">
            <v>$</v>
          </cell>
          <cell r="G17" t="str">
            <v>$/MCF</v>
          </cell>
          <cell r="H17" t="str">
            <v>%</v>
          </cell>
        </row>
        <row r="18">
          <cell r="B18" t="str">
            <v>GAS SERVICE REVENUES:</v>
          </cell>
        </row>
        <row r="20">
          <cell r="B20" t="str">
            <v xml:space="preserve">   RESIDENTIAL</v>
          </cell>
          <cell r="C20">
            <v>12384975.299999999</v>
          </cell>
          <cell r="D20">
            <v>113818949</v>
          </cell>
          <cell r="E20">
            <v>10065127.475573448</v>
          </cell>
          <cell r="F20">
            <v>123884076.47557345</v>
          </cell>
          <cell r="G20">
            <v>0.81269999999999998</v>
          </cell>
          <cell r="H20">
            <v>8.8400000000000006E-2</v>
          </cell>
        </row>
        <row r="21">
          <cell r="B21" t="str">
            <v xml:space="preserve">   SGS</v>
          </cell>
          <cell r="C21">
            <v>7521571.2000000002</v>
          </cell>
          <cell r="D21">
            <v>50376099</v>
          </cell>
          <cell r="E21">
            <v>2815967.7027008827</v>
          </cell>
          <cell r="F21">
            <v>53192066.702700883</v>
          </cell>
          <cell r="G21">
            <v>0.37440000000000001</v>
          </cell>
          <cell r="H21">
            <v>5.5899999999999998E-2</v>
          </cell>
        </row>
        <row r="22">
          <cell r="B22" t="str">
            <v xml:space="preserve">   TS-1/LGS</v>
          </cell>
          <cell r="C22">
            <v>10217046.699999999</v>
          </cell>
          <cell r="D22">
            <v>9667252</v>
          </cell>
          <cell r="E22">
            <v>769387.1836139597</v>
          </cell>
          <cell r="F22">
            <v>10436639.18361396</v>
          </cell>
          <cell r="G22">
            <v>7.5300000000000006E-2</v>
          </cell>
          <cell r="H22">
            <v>7.9600000000000004E-2</v>
          </cell>
        </row>
        <row r="23">
          <cell r="B23" t="str">
            <v xml:space="preserve">   TS-2/LGS2</v>
          </cell>
          <cell r="C23">
            <v>14650123</v>
          </cell>
          <cell r="D23">
            <v>7145584</v>
          </cell>
          <cell r="E23">
            <v>375269.63811170898</v>
          </cell>
          <cell r="F23">
            <v>7520853.6381117087</v>
          </cell>
          <cell r="G23">
            <v>2.5600000000000001E-2</v>
          </cell>
          <cell r="H23">
            <v>5.2499999999999998E-2</v>
          </cell>
        </row>
        <row r="24">
          <cell r="B24" t="str">
            <v xml:space="preserve">   LVTS/LVEDTS</v>
          </cell>
          <cell r="C24">
            <v>16993404</v>
          </cell>
          <cell r="D24">
            <v>2615185</v>
          </cell>
          <cell r="E24">
            <v>0</v>
          </cell>
          <cell r="F24">
            <v>2615185</v>
          </cell>
          <cell r="G24">
            <v>0</v>
          </cell>
          <cell r="H24">
            <v>0</v>
          </cell>
        </row>
        <row r="26">
          <cell r="B26" t="str">
            <v>TOTAL GAS SERVICE REVENUE</v>
          </cell>
          <cell r="C26">
            <v>61767120.200000003</v>
          </cell>
          <cell r="D26">
            <v>183623069</v>
          </cell>
          <cell r="E26">
            <v>14025752</v>
          </cell>
          <cell r="F26">
            <v>197648821</v>
          </cell>
          <cell r="G26" t="str">
            <v>N/A</v>
          </cell>
          <cell r="H26">
            <v>7.6399999999999996E-2</v>
          </cell>
        </row>
        <row r="28">
          <cell r="B28" t="str">
            <v>MISCELLANEOUS REVENUE</v>
          </cell>
          <cell r="D28">
            <v>2113419</v>
          </cell>
          <cell r="E28">
            <v>0</v>
          </cell>
          <cell r="F28">
            <v>2113419</v>
          </cell>
        </row>
        <row r="30">
          <cell r="B30" t="str">
            <v>TOTAL REVENUE</v>
          </cell>
          <cell r="D30">
            <v>185736488</v>
          </cell>
          <cell r="E30">
            <v>14025752</v>
          </cell>
          <cell r="F30">
            <v>199762240</v>
          </cell>
          <cell r="H30">
            <v>7.5499999999999998E-2</v>
          </cell>
        </row>
        <row r="33">
          <cell r="B33" t="str">
            <v>(a) TEST PERIOD ADJUSTED PER SCHEDULE 14-REVENUE.</v>
          </cell>
        </row>
        <row r="39">
          <cell r="B39" t="str">
            <v>X:\CGV\RATECASE\98\SCHEDULE\SCHEDULE 33 FOR 1998</v>
          </cell>
        </row>
        <row r="52">
          <cell r="D52" t="str">
            <v>COLUMBIA GAS OF VIRGINIA, INC.</v>
          </cell>
        </row>
        <row r="53">
          <cell r="D53" t="str">
            <v xml:space="preserve">RATE BLOCK INCREASE WORK PAPER </v>
          </cell>
        </row>
        <row r="55">
          <cell r="B55" t="str">
            <v xml:space="preserve"> </v>
          </cell>
        </row>
        <row r="62">
          <cell r="B62" t="str">
            <v xml:space="preserve">TOTAL RESIDENTIAL INCREASE: </v>
          </cell>
          <cell r="G62">
            <v>10065127.475573448</v>
          </cell>
        </row>
        <row r="67">
          <cell r="B67" t="str">
            <v>PROPOSED INCREASE TO ELIMINATE LYNCHBURG RATE DIFFERENTIAL:</v>
          </cell>
        </row>
        <row r="71">
          <cell r="E71" t="str">
            <v>ADJUSTED</v>
          </cell>
          <cell r="F71" t="str">
            <v>CURRENT</v>
          </cell>
        </row>
        <row r="72">
          <cell r="B72" t="str">
            <v xml:space="preserve"> VOLUMETRIC RATE INCREASE:</v>
          </cell>
          <cell r="E72" t="str">
            <v>CENTRAL</v>
          </cell>
          <cell r="F72" t="str">
            <v>DIFFERENTIAL</v>
          </cell>
        </row>
        <row r="73">
          <cell r="E73" t="str">
            <v>VOLUMES</v>
          </cell>
          <cell r="F73" t="str">
            <v>PER MCF</v>
          </cell>
        </row>
        <row r="74">
          <cell r="B74" t="str">
            <v>FIRST 5 MCF</v>
          </cell>
          <cell r="E74">
            <v>314094.5</v>
          </cell>
          <cell r="F74">
            <v>8.8999999999999996E-2</v>
          </cell>
          <cell r="G74">
            <v>27954.410499999998</v>
          </cell>
        </row>
        <row r="75">
          <cell r="B75" t="str">
            <v>NEXT 45</v>
          </cell>
          <cell r="E75">
            <v>535032.9</v>
          </cell>
          <cell r="F75">
            <v>9.0999999999999998E-2</v>
          </cell>
          <cell r="G75">
            <v>48687.993900000001</v>
          </cell>
          <cell r="I75">
            <v>0</v>
          </cell>
        </row>
        <row r="76">
          <cell r="B76" t="str">
            <v>OVER 50</v>
          </cell>
          <cell r="E76">
            <v>67929.7</v>
          </cell>
          <cell r="F76">
            <v>9.2999999999999999E-2</v>
          </cell>
          <cell r="G76">
            <v>6317.4620999999997</v>
          </cell>
          <cell r="I76">
            <v>0</v>
          </cell>
        </row>
        <row r="77">
          <cell r="B77" t="str">
            <v>TOTAL</v>
          </cell>
          <cell r="E77">
            <v>917057.1</v>
          </cell>
          <cell r="G77">
            <v>82959.866500000004</v>
          </cell>
        </row>
        <row r="79">
          <cell r="B79" t="str">
            <v>INCREASE TO RS REMAINING AFTER DIFFERENTIAL ELIMINATION:</v>
          </cell>
          <cell r="G79">
            <v>9982167.6090734489</v>
          </cell>
        </row>
        <row r="81">
          <cell r="B81" t="str">
            <v xml:space="preserve">RATE INCREASE TO </v>
          </cell>
        </row>
        <row r="82">
          <cell r="B82" t="str">
            <v xml:space="preserve">   RESIDENTIAL SERVICE</v>
          </cell>
          <cell r="E82" t="str">
            <v>NUMBER</v>
          </cell>
          <cell r="F82" t="str">
            <v>INCREASE</v>
          </cell>
        </row>
        <row r="83">
          <cell r="B83" t="str">
            <v xml:space="preserve"> CUSTOMER CHARGE INCREASE:</v>
          </cell>
          <cell r="E83" t="str">
            <v>OF BILLS</v>
          </cell>
          <cell r="F83" t="str">
            <v>PER BILL</v>
          </cell>
        </row>
        <row r="84">
          <cell r="E84">
            <v>1870988</v>
          </cell>
          <cell r="F84">
            <v>1</v>
          </cell>
          <cell r="G84">
            <v>1870988</v>
          </cell>
          <cell r="I84" t="str">
            <v>RS E&amp;W</v>
          </cell>
        </row>
        <row r="85">
          <cell r="I85" t="str">
            <v>Bills</v>
          </cell>
        </row>
        <row r="86">
          <cell r="B86" t="str">
            <v>INCREASE TO RS REMAINING AFTER CUSTOMER CHARGE INCREASE:</v>
          </cell>
          <cell r="G86">
            <v>8111179.6090734489</v>
          </cell>
          <cell r="I86">
            <v>1758835</v>
          </cell>
          <cell r="J86">
            <v>1</v>
          </cell>
          <cell r="K86">
            <v>1758835</v>
          </cell>
        </row>
        <row r="87">
          <cell r="C87" t="str">
            <v>RS</v>
          </cell>
        </row>
        <row r="88">
          <cell r="B88" t="str">
            <v xml:space="preserve"> VOLUMETRIC RATE INCREASE:</v>
          </cell>
          <cell r="C88" t="str">
            <v>NON-GAS</v>
          </cell>
          <cell r="E88" t="str">
            <v>RS</v>
          </cell>
        </row>
        <row r="89">
          <cell r="C89" t="str">
            <v>REVENUE</v>
          </cell>
          <cell r="D89" t="str">
            <v>RATIO</v>
          </cell>
          <cell r="E89" t="str">
            <v>VOLUMES</v>
          </cell>
          <cell r="F89" t="str">
            <v>PER MCF</v>
          </cell>
          <cell r="I89" t="str">
            <v>RS E&amp;W</v>
          </cell>
          <cell r="J89" t="str">
            <v>Rate</v>
          </cell>
        </row>
        <row r="90">
          <cell r="B90" t="str">
            <v>FIRST 5 MCF</v>
          </cell>
          <cell r="C90">
            <v>14822694</v>
          </cell>
          <cell r="D90">
            <v>0.41845165119467403</v>
          </cell>
          <cell r="E90">
            <v>5078881.0999999996</v>
          </cell>
          <cell r="F90">
            <v>0.66800000000000004</v>
          </cell>
          <cell r="G90">
            <v>3394137</v>
          </cell>
          <cell r="H90">
            <v>0</v>
          </cell>
          <cell r="I90">
            <v>4764786</v>
          </cell>
          <cell r="J90">
            <v>0.66800000000000004</v>
          </cell>
          <cell r="K90">
            <v>3182877.048</v>
          </cell>
        </row>
        <row r="91">
          <cell r="B91" t="str">
            <v>NEXT 45</v>
          </cell>
          <cell r="C91">
            <v>18891575</v>
          </cell>
          <cell r="D91">
            <v>0.53331808323224006</v>
          </cell>
          <cell r="E91">
            <v>6673806.6000000006</v>
          </cell>
          <cell r="F91">
            <v>0.64800000000000002</v>
          </cell>
          <cell r="G91">
            <v>4325839</v>
          </cell>
          <cell r="I91">
            <v>6138773.7000000002</v>
          </cell>
          <cell r="J91">
            <v>0.64800000000000002</v>
          </cell>
          <cell r="K91">
            <v>3977925.3576000002</v>
          </cell>
        </row>
        <row r="92">
          <cell r="B92" t="str">
            <v>OVER 50</v>
          </cell>
          <cell r="C92">
            <v>1708447</v>
          </cell>
          <cell r="D92">
            <v>4.8230265573085927E-2</v>
          </cell>
          <cell r="E92">
            <v>632287.6</v>
          </cell>
          <cell r="F92">
            <v>0.61899999999999999</v>
          </cell>
          <cell r="G92">
            <v>391204</v>
          </cell>
          <cell r="I92">
            <v>564357.9</v>
          </cell>
          <cell r="J92">
            <v>0.61899999999999999</v>
          </cell>
          <cell r="K92">
            <v>349337.54009999998</v>
          </cell>
        </row>
        <row r="93">
          <cell r="B93" t="str">
            <v>TOTAL</v>
          </cell>
          <cell r="C93">
            <v>35422716</v>
          </cell>
          <cell r="D93">
            <v>1</v>
          </cell>
          <cell r="E93">
            <v>12384975.299999999</v>
          </cell>
          <cell r="G93">
            <v>8111180</v>
          </cell>
          <cell r="I93">
            <v>11467917.6</v>
          </cell>
          <cell r="K93">
            <v>7510139.9457</v>
          </cell>
        </row>
        <row r="95">
          <cell r="B95" t="str">
            <v>INCREASE TO RS REMAINING AFTER VOLUMETRIC INCREASE:</v>
          </cell>
          <cell r="G95">
            <v>-0.3909265510737896</v>
          </cell>
          <cell r="K95">
            <v>9268974.945700001</v>
          </cell>
        </row>
        <row r="97">
          <cell r="B97" t="str">
            <v>INCREASE TO RATE SCHEDULE SGS:</v>
          </cell>
          <cell r="G97">
            <v>2815967.7027008827</v>
          </cell>
        </row>
        <row r="99">
          <cell r="E99" t="str">
            <v>NUMBER</v>
          </cell>
          <cell r="F99" t="str">
            <v>INCREASE</v>
          </cell>
        </row>
        <row r="100">
          <cell r="B100" t="str">
            <v xml:space="preserve"> CUSTOMER CHARGE INCREASE:</v>
          </cell>
          <cell r="E100" t="str">
            <v>OF BILLS</v>
          </cell>
          <cell r="F100" t="str">
            <v>PER BILL</v>
          </cell>
          <cell r="I100" t="str">
            <v>Bills</v>
          </cell>
        </row>
        <row r="101">
          <cell r="E101">
            <v>200713</v>
          </cell>
          <cell r="F101">
            <v>1</v>
          </cell>
          <cell r="G101">
            <v>200713</v>
          </cell>
          <cell r="I101">
            <v>199167</v>
          </cell>
          <cell r="J101">
            <v>1</v>
          </cell>
          <cell r="K101">
            <v>199167</v>
          </cell>
        </row>
        <row r="103">
          <cell r="B103" t="str">
            <v>INCREASE TO SGS REMAINING AFTER CUSTOMER CHARGE INCREASE:</v>
          </cell>
          <cell r="G103">
            <v>2615254.7027008827</v>
          </cell>
        </row>
        <row r="104">
          <cell r="I104" t="str">
            <v>Volume</v>
          </cell>
          <cell r="K104" t="str">
            <v>Increase</v>
          </cell>
        </row>
        <row r="105">
          <cell r="B105" t="str">
            <v xml:space="preserve"> VOLUMETRIC RATE INCREASE:</v>
          </cell>
          <cell r="C105" t="str">
            <v>NON-GAS</v>
          </cell>
          <cell r="E105" t="str">
            <v>SGS</v>
          </cell>
          <cell r="I105" t="str">
            <v>SGS-COM</v>
          </cell>
          <cell r="J105" t="str">
            <v>Rate</v>
          </cell>
          <cell r="K105" t="str">
            <v>SGS-COM</v>
          </cell>
        </row>
        <row r="106">
          <cell r="C106" t="str">
            <v>REVENUE</v>
          </cell>
          <cell r="D106" t="str">
            <v>RATIO</v>
          </cell>
          <cell r="E106" t="str">
            <v>VOLUMES</v>
          </cell>
          <cell r="F106" t="str">
            <v>PER MCF</v>
          </cell>
        </row>
        <row r="107">
          <cell r="B107" t="str">
            <v>FIRST 20 MCF</v>
          </cell>
          <cell r="C107">
            <v>2675511</v>
          </cell>
          <cell r="D107">
            <v>0.2091650747749364</v>
          </cell>
          <cell r="E107">
            <v>1459634.8</v>
          </cell>
          <cell r="F107">
            <v>0.375</v>
          </cell>
          <cell r="G107">
            <v>547020</v>
          </cell>
          <cell r="H107">
            <v>0</v>
          </cell>
          <cell r="I107">
            <v>1438829.8</v>
          </cell>
          <cell r="J107">
            <v>0.375</v>
          </cell>
          <cell r="K107">
            <v>539561.17500000005</v>
          </cell>
        </row>
        <row r="108">
          <cell r="B108" t="str">
            <v>NEXT 80</v>
          </cell>
          <cell r="C108">
            <v>2659318</v>
          </cell>
          <cell r="D108">
            <v>0.20789914461960141</v>
          </cell>
          <cell r="E108">
            <v>1556977.5999999999</v>
          </cell>
          <cell r="F108">
            <v>0.34899999999999998</v>
          </cell>
          <cell r="G108">
            <v>543709</v>
          </cell>
          <cell r="I108">
            <v>1490593.2</v>
          </cell>
          <cell r="J108">
            <v>0.34899999999999998</v>
          </cell>
          <cell r="K108">
            <v>520217.02679999993</v>
          </cell>
        </row>
        <row r="109">
          <cell r="B109" t="str">
            <v>NEXT 900</v>
          </cell>
          <cell r="C109">
            <v>5635554</v>
          </cell>
          <cell r="D109">
            <v>0.44057418332729409</v>
          </cell>
          <cell r="E109">
            <v>3364510.1</v>
          </cell>
          <cell r="F109">
            <v>0.34200000000000003</v>
          </cell>
          <cell r="G109">
            <v>1152214</v>
          </cell>
          <cell r="I109">
            <v>3072051</v>
          </cell>
          <cell r="J109">
            <v>0.34200000000000003</v>
          </cell>
          <cell r="K109">
            <v>1050641.442</v>
          </cell>
        </row>
        <row r="110">
          <cell r="B110" t="str">
            <v>NEXT 1500</v>
          </cell>
          <cell r="C110">
            <v>815904</v>
          </cell>
          <cell r="D110">
            <v>6.3785430584725578E-2</v>
          </cell>
          <cell r="E110">
            <v>505516.69999999995</v>
          </cell>
          <cell r="F110">
            <v>0.33</v>
          </cell>
          <cell r="G110">
            <v>166815</v>
          </cell>
          <cell r="I110">
            <v>400360.6</v>
          </cell>
          <cell r="J110">
            <v>0.33</v>
          </cell>
          <cell r="K110">
            <v>132118.99799999999</v>
          </cell>
        </row>
        <row r="111">
          <cell r="B111" t="str">
            <v>OVER 2500</v>
          </cell>
          <cell r="C111">
            <v>1005098</v>
          </cell>
          <cell r="D111">
            <v>7.8576166693442501E-2</v>
          </cell>
          <cell r="E111">
            <v>634932</v>
          </cell>
          <cell r="F111">
            <v>0.32400000000000001</v>
          </cell>
          <cell r="G111">
            <v>205497</v>
          </cell>
          <cell r="I111">
            <v>596738.30000000005</v>
          </cell>
          <cell r="J111">
            <v>0.32400000000000001</v>
          </cell>
          <cell r="K111">
            <v>193343.20920000001</v>
          </cell>
        </row>
        <row r="112">
          <cell r="B112" t="str">
            <v>TOTAL</v>
          </cell>
          <cell r="C112">
            <v>12791385</v>
          </cell>
          <cell r="D112">
            <v>0.99999999999999989</v>
          </cell>
          <cell r="E112">
            <v>7521571.2000000002</v>
          </cell>
          <cell r="G112">
            <v>2615255</v>
          </cell>
          <cell r="I112">
            <v>6998572.8999999994</v>
          </cell>
          <cell r="K112">
            <v>2435881.8509999998</v>
          </cell>
        </row>
        <row r="114">
          <cell r="B114" t="str">
            <v>INCREASE TO SGS REMAINING AFTER VOLUMETRIC INCREASE:</v>
          </cell>
          <cell r="G114">
            <v>-0.29729911731556058</v>
          </cell>
          <cell r="J114" t="str">
            <v>SGS Comm. Inc</v>
          </cell>
          <cell r="K114">
            <v>2635048.8509999998</v>
          </cell>
        </row>
        <row r="115">
          <cell r="J115" t="str">
            <v>SGS Ind. Inc</v>
          </cell>
          <cell r="K115">
            <v>180918.85170088289</v>
          </cell>
        </row>
        <row r="116">
          <cell r="B116" t="str">
            <v xml:space="preserve">INCREASE TO RATE SCHEDULE LGS / TS-1 </v>
          </cell>
          <cell r="G116">
            <v>769387.1836139597</v>
          </cell>
          <cell r="J116" t="str">
            <v>Total</v>
          </cell>
          <cell r="K116">
            <v>2815967.7027008827</v>
          </cell>
        </row>
        <row r="117">
          <cell r="B117" t="str">
            <v xml:space="preserve"> </v>
          </cell>
          <cell r="E117" t="str">
            <v>NUMBER</v>
          </cell>
          <cell r="F117" t="str">
            <v>INCREASE</v>
          </cell>
        </row>
        <row r="118">
          <cell r="B118" t="str">
            <v xml:space="preserve"> CUSTOMER CHARGE INCREASE:</v>
          </cell>
          <cell r="E118" t="str">
            <v>OF BILLS</v>
          </cell>
          <cell r="F118" t="str">
            <v>PER BILL</v>
          </cell>
        </row>
        <row r="119">
          <cell r="E119">
            <v>2592</v>
          </cell>
          <cell r="F119">
            <v>0</v>
          </cell>
          <cell r="G119">
            <v>0</v>
          </cell>
          <cell r="I119" t="str">
            <v>Bills</v>
          </cell>
        </row>
        <row r="120">
          <cell r="I120">
            <v>840</v>
          </cell>
          <cell r="J120">
            <v>0</v>
          </cell>
          <cell r="K120">
            <v>0</v>
          </cell>
        </row>
        <row r="121">
          <cell r="B121" t="str">
            <v>INCREASE TO LGS / TS-1 REMAINING AFTER CUSTOMER CHARGE INCREASE:</v>
          </cell>
          <cell r="G121">
            <v>769387.1836139597</v>
          </cell>
        </row>
        <row r="123">
          <cell r="C123" t="str">
            <v>NON-GAS</v>
          </cell>
          <cell r="I123" t="str">
            <v>Volume</v>
          </cell>
          <cell r="K123" t="str">
            <v>Increase</v>
          </cell>
        </row>
        <row r="124">
          <cell r="B124" t="str">
            <v xml:space="preserve"> VOLUMETRIC RATE INCREASE:</v>
          </cell>
          <cell r="C124" t="str">
            <v>REVENUE</v>
          </cell>
          <cell r="D124" t="str">
            <v>RATIO</v>
          </cell>
          <cell r="E124" t="str">
            <v>VOLUMES</v>
          </cell>
          <cell r="F124" t="str">
            <v>PER MCF</v>
          </cell>
          <cell r="I124" t="str">
            <v>LGS1-COM</v>
          </cell>
          <cell r="J124" t="str">
            <v>Rate</v>
          </cell>
          <cell r="K124" t="str">
            <v>LGS1-COM</v>
          </cell>
        </row>
        <row r="125">
          <cell r="B125" t="str">
            <v>LGS ADMIN CHARGE</v>
          </cell>
          <cell r="C125">
            <v>73701.929489999995</v>
          </cell>
          <cell r="D125">
            <v>0</v>
          </cell>
          <cell r="E125">
            <v>1168017.8999999999</v>
          </cell>
          <cell r="F125">
            <v>0</v>
          </cell>
          <cell r="G125">
            <v>0</v>
          </cell>
        </row>
        <row r="126">
          <cell r="B126" t="str">
            <v>DEMAND/SS CHARGE</v>
          </cell>
          <cell r="C126">
            <v>30216.899999999998</v>
          </cell>
          <cell r="D126">
            <v>0</v>
          </cell>
          <cell r="E126">
            <v>100723</v>
          </cell>
          <cell r="F126">
            <v>0</v>
          </cell>
          <cell r="G126">
            <v>0</v>
          </cell>
          <cell r="K126">
            <v>0</v>
          </cell>
        </row>
        <row r="127">
          <cell r="B127" t="str">
            <v>FIRST 1000</v>
          </cell>
          <cell r="C127">
            <v>1785355.689</v>
          </cell>
          <cell r="D127">
            <v>0.3805714388983556</v>
          </cell>
          <cell r="E127">
            <v>2215081.5</v>
          </cell>
          <cell r="F127">
            <v>0.13220000000000001</v>
          </cell>
          <cell r="G127">
            <v>292807</v>
          </cell>
          <cell r="H127">
            <v>0</v>
          </cell>
          <cell r="I127">
            <v>663684.19999999995</v>
          </cell>
          <cell r="J127">
            <v>0.13220000000000001</v>
          </cell>
          <cell r="K127">
            <v>87739.051240000001</v>
          </cell>
        </row>
        <row r="128">
          <cell r="B128" t="str">
            <v>NEXT 4000</v>
          </cell>
          <cell r="C128">
            <v>2142668.5434000003</v>
          </cell>
          <cell r="D128">
            <v>0.45673725166816426</v>
          </cell>
          <cell r="E128">
            <v>4637810.7</v>
          </cell>
          <cell r="F128">
            <v>7.5800000000000006E-2</v>
          </cell>
          <cell r="G128">
            <v>351408</v>
          </cell>
          <cell r="I128">
            <v>1123298.3999999999</v>
          </cell>
          <cell r="J128">
            <v>7.5800000000000006E-2</v>
          </cell>
          <cell r="K128">
            <v>85146.018719999993</v>
          </cell>
        </row>
        <row r="129">
          <cell r="B129" t="str">
            <v>NEXT 15000</v>
          </cell>
          <cell r="C129">
            <v>752368.81409999996</v>
          </cell>
          <cell r="D129">
            <v>0.16037705199498001</v>
          </cell>
          <cell r="E129">
            <v>3295527</v>
          </cell>
          <cell r="F129">
            <v>3.7400000000000003E-2</v>
          </cell>
          <cell r="G129">
            <v>123392</v>
          </cell>
          <cell r="I129">
            <v>689772</v>
          </cell>
          <cell r="J129">
            <v>3.7400000000000003E-2</v>
          </cell>
          <cell r="K129">
            <v>25797.472800000003</v>
          </cell>
        </row>
        <row r="130">
          <cell r="B130" t="str">
            <v>OVER 20000</v>
          </cell>
          <cell r="C130">
            <v>10856.759760000001</v>
          </cell>
          <cell r="D130">
            <v>2.3142574385002371E-3</v>
          </cell>
          <cell r="E130">
            <v>68626.8</v>
          </cell>
          <cell r="F130">
            <v>2.5999999999999999E-2</v>
          </cell>
          <cell r="G130">
            <v>1781</v>
          </cell>
          <cell r="I130">
            <v>52227.8</v>
          </cell>
          <cell r="J130">
            <v>2.5999999999999999E-2</v>
          </cell>
          <cell r="K130">
            <v>1357.9228000000001</v>
          </cell>
        </row>
        <row r="131">
          <cell r="B131" t="str">
            <v>TOTAL</v>
          </cell>
          <cell r="C131">
            <v>4691249.80626</v>
          </cell>
          <cell r="D131">
            <v>1.0000000000000002</v>
          </cell>
          <cell r="E131">
            <v>10217046</v>
          </cell>
          <cell r="G131">
            <v>769388</v>
          </cell>
          <cell r="I131">
            <v>2528982.3999999994</v>
          </cell>
          <cell r="K131">
            <v>200040.46555999998</v>
          </cell>
        </row>
        <row r="133">
          <cell r="B133" t="str">
            <v>INCREASE TO LGS / TS-1 REMAINING AFTER VOLUMETRIC INCREASE:</v>
          </cell>
          <cell r="G133">
            <v>-0.81638604030013084</v>
          </cell>
          <cell r="J133" t="str">
            <v>LGS / TS-1 Comm. Inc</v>
          </cell>
          <cell r="K133">
            <v>200040.46555999998</v>
          </cell>
        </row>
        <row r="134">
          <cell r="J134" t="str">
            <v>LGS / TS-1 Ind. Inc</v>
          </cell>
          <cell r="K134">
            <v>569346.71805395978</v>
          </cell>
        </row>
        <row r="135">
          <cell r="B135" t="str">
            <v xml:space="preserve">INCREASE TO RATE SCHEDULE LGS / TS-2 </v>
          </cell>
          <cell r="G135">
            <v>375269.63811170898</v>
          </cell>
          <cell r="J135" t="str">
            <v>Total</v>
          </cell>
          <cell r="K135">
            <v>769387.1836139597</v>
          </cell>
        </row>
        <row r="136">
          <cell r="E136" t="str">
            <v>NUMBER</v>
          </cell>
          <cell r="F136" t="str">
            <v>INCREASE</v>
          </cell>
        </row>
        <row r="137">
          <cell r="B137" t="str">
            <v xml:space="preserve"> CUSTOMER CHARGE :</v>
          </cell>
          <cell r="E137" t="str">
            <v>OF BILLS</v>
          </cell>
          <cell r="F137" t="str">
            <v>PER BILL</v>
          </cell>
          <cell r="I137" t="str">
            <v>Bills</v>
          </cell>
        </row>
        <row r="138">
          <cell r="E138">
            <v>336</v>
          </cell>
          <cell r="F138">
            <v>350</v>
          </cell>
          <cell r="G138">
            <v>117600</v>
          </cell>
          <cell r="I138">
            <v>24</v>
          </cell>
          <cell r="J138">
            <v>350</v>
          </cell>
          <cell r="K138">
            <v>8400</v>
          </cell>
        </row>
        <row r="140">
          <cell r="B140" t="str">
            <v>INCREASE TO LGS / TS-2 REMAINING AFTER CUSTOMER CHARGE INCREASE:</v>
          </cell>
          <cell r="G140">
            <v>257669.63811170898</v>
          </cell>
        </row>
        <row r="141">
          <cell r="I141" t="str">
            <v>Volume</v>
          </cell>
          <cell r="K141" t="str">
            <v>Increase</v>
          </cell>
        </row>
        <row r="142">
          <cell r="B142" t="str">
            <v xml:space="preserve"> VOLUMETRIC RATE INCREASE:</v>
          </cell>
          <cell r="C142" t="str">
            <v>NON-GAS</v>
          </cell>
          <cell r="D142" t="str">
            <v>RATIO</v>
          </cell>
          <cell r="E142" t="str">
            <v>VOLUMES</v>
          </cell>
          <cell r="F142" t="str">
            <v>PER MCF</v>
          </cell>
          <cell r="I142" t="str">
            <v>LGS 2-Ind</v>
          </cell>
          <cell r="J142" t="str">
            <v>Rate</v>
          </cell>
          <cell r="K142" t="str">
            <v>LGS 2-Ind</v>
          </cell>
        </row>
        <row r="143">
          <cell r="B143" t="str">
            <v>LGS ADMIN CHARGE</v>
          </cell>
          <cell r="C143">
            <v>66387.951700000005</v>
          </cell>
          <cell r="D143">
            <v>0</v>
          </cell>
          <cell r="E143">
            <v>1052107</v>
          </cell>
          <cell r="F143">
            <v>0</v>
          </cell>
          <cell r="G143">
            <v>0</v>
          </cell>
        </row>
        <row r="144">
          <cell r="B144" t="str">
            <v>DEMAND/SS CHARGE</v>
          </cell>
          <cell r="C144">
            <v>27870.6</v>
          </cell>
          <cell r="D144">
            <v>0</v>
          </cell>
          <cell r="E144">
            <v>92902</v>
          </cell>
          <cell r="F144">
            <v>0</v>
          </cell>
          <cell r="G144">
            <v>0</v>
          </cell>
          <cell r="K144">
            <v>0</v>
          </cell>
        </row>
        <row r="145">
          <cell r="B145" t="str">
            <v>FIRST 20,000</v>
          </cell>
          <cell r="C145">
            <v>1731115.1410999999</v>
          </cell>
          <cell r="D145">
            <v>0.57793649238510825</v>
          </cell>
          <cell r="E145">
            <v>6175937</v>
          </cell>
          <cell r="F145">
            <v>2.41E-2</v>
          </cell>
          <cell r="G145">
            <v>148917</v>
          </cell>
          <cell r="H145">
            <v>0</v>
          </cell>
          <cell r="I145">
            <v>699221</v>
          </cell>
          <cell r="J145">
            <v>2.41E-2</v>
          </cell>
          <cell r="K145">
            <v>16851.2261</v>
          </cell>
        </row>
        <row r="146">
          <cell r="B146" t="str">
            <v>NEXT 80,000</v>
          </cell>
          <cell r="C146">
            <v>1049143.3581000001</v>
          </cell>
          <cell r="D146">
            <v>0.35025875402150491</v>
          </cell>
          <cell r="E146">
            <v>6943371</v>
          </cell>
          <cell r="F146">
            <v>1.2999999999999999E-2</v>
          </cell>
          <cell r="G146">
            <v>90251</v>
          </cell>
          <cell r="I146">
            <v>291587</v>
          </cell>
          <cell r="J146">
            <v>1.2999999999999999E-2</v>
          </cell>
          <cell r="K146">
            <v>3790.6309999999999</v>
          </cell>
        </row>
        <row r="147">
          <cell r="B147" t="str">
            <v>OVER 100,000</v>
          </cell>
          <cell r="C147">
            <v>215079.50750000001</v>
          </cell>
          <cell r="D147">
            <v>7.1804753593386852E-2</v>
          </cell>
          <cell r="E147">
            <v>1530815</v>
          </cell>
          <cell r="F147">
            <v>1.21E-2</v>
          </cell>
          <cell r="G147">
            <v>18502</v>
          </cell>
          <cell r="I147">
            <v>61299</v>
          </cell>
          <cell r="J147">
            <v>1.21E-2</v>
          </cell>
          <cell r="K147">
            <v>741.71789999999999</v>
          </cell>
        </row>
        <row r="148">
          <cell r="B148" t="str">
            <v>TOTAL</v>
          </cell>
          <cell r="C148">
            <v>2995338.0066999998</v>
          </cell>
          <cell r="D148">
            <v>1</v>
          </cell>
          <cell r="E148">
            <v>14650123</v>
          </cell>
          <cell r="G148">
            <v>257670</v>
          </cell>
        </row>
        <row r="149">
          <cell r="I149">
            <v>1052107</v>
          </cell>
          <cell r="K149">
            <v>21383.575000000001</v>
          </cell>
        </row>
        <row r="150">
          <cell r="B150" t="str">
            <v>INCREASE TO LGS / TS-2 REMAINING AFTER VOLUMETRIC INCREASE:</v>
          </cell>
          <cell r="G150">
            <v>-0.36188829102320597</v>
          </cell>
        </row>
        <row r="151">
          <cell r="J151" t="str">
            <v>LGS-2 Ind. Inc</v>
          </cell>
          <cell r="K151">
            <v>29783.575000000001</v>
          </cell>
        </row>
        <row r="152">
          <cell r="J152" t="str">
            <v>TS-2 Ind. Inc</v>
          </cell>
          <cell r="K152">
            <v>345486.06311170897</v>
          </cell>
        </row>
        <row r="153">
          <cell r="J153" t="str">
            <v>Total</v>
          </cell>
          <cell r="K153">
            <v>375269.63811170898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 102 Sch 3"/>
      <sheetName val="Exh 102 Pg 4"/>
      <sheetName val="Exh 102 Pg 5"/>
      <sheetName val="Exh 102 Pg 6"/>
      <sheetName val="Exh 104 Sch1"/>
      <sheetName val="Module1"/>
      <sheetName val="STOP POINT"/>
      <sheetName val="Ex 103 Pg 10-11 FTY"/>
      <sheetName val="Ex 103 Pg14-15 FFRY"/>
      <sheetName val="Exh 105  Page 1"/>
      <sheetName val="Exh 106 Sch 2 Page 2"/>
      <sheetName val="Exh 106 Sch 2 Page 3"/>
      <sheetName val="Exh 106 Sch 2 Page 4 "/>
      <sheetName val="Exh 106 Sch 2 Page 5 "/>
      <sheetName val="INPUT"/>
      <sheetName val="Exh 107, pg 16 "/>
      <sheetName val="Exh 107, pg 17"/>
      <sheetName val="Exh 108"/>
      <sheetName val="Exhibit 400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 2 Pg 3"/>
      <sheetName val="Exh 2 Pg 4"/>
      <sheetName val="Exh 2 Pg 5"/>
      <sheetName val="Exh 2 Pg 6"/>
      <sheetName val="Ex 3, Pg 6-8"/>
      <sheetName val="Ex 3, Pg 9"/>
      <sheetName val="Ex 3, Pg 10"/>
      <sheetName val="Summary Sch 1"/>
      <sheetName val="Labor Summary"/>
      <sheetName val="Annualized Labor Summary"/>
      <sheetName val="Gross Payroll Summary"/>
      <sheetName val="Incentive"/>
      <sheetName val="O&amp;M Percentage"/>
      <sheetName val="Rents and Leases Sch 12"/>
      <sheetName val="Corp Insurance"/>
      <sheetName val="Injuries and Damages"/>
      <sheetName val="Co Memberships"/>
      <sheetName val="Fuel Used Co. Oper"/>
      <sheetName val="System Services"/>
      <sheetName val="System Services (2)"/>
      <sheetName val="System Services (3)"/>
      <sheetName val="Uncollectibles"/>
      <sheetName val="CAP Rev "/>
      <sheetName val="USP Rider"/>
      <sheetName val="Advertising"/>
      <sheetName val="Other O&amp;M-Postage"/>
      <sheetName val="Regulatory Deferrals"/>
      <sheetName val="Interest on Customer Deposits"/>
      <sheetName val="Lobbying "/>
      <sheetName val="PUC,OCA,OSBA"/>
      <sheetName val="Charitable"/>
      <sheetName val="Exh 5  Page 1"/>
      <sheetName val="Exh 5 Page 2"/>
      <sheetName val="Exh 5 Page 3 "/>
      <sheetName val="Exh 5 Page 4  "/>
      <sheetName val="Exh 5 Page 5"/>
      <sheetName val="Exh 6 Sch 1 Page 2"/>
      <sheetName val="Exh 6 Sch 1 Page 3"/>
      <sheetName val="Exh 6 Sch 1 Page 4"/>
      <sheetName val="Exh 6 Sch 1 Page 5"/>
      <sheetName val="Lotus Exh 7, pg 13"/>
      <sheetName val="Lotus Exh 7, pg 14"/>
      <sheetName val="Exh 8 Page 3"/>
      <sheetName val="Exh 8 Page 4"/>
      <sheetName val="Exh 8 Sch 1"/>
      <sheetName val="Exh 8 Sch 2"/>
      <sheetName val="Exh 8 Sch 3"/>
      <sheetName val="Exh 8 Sch 4 Page 2 - Sum."/>
      <sheetName val="Exh 8 Sch 4 Page 3 Rev. Lag"/>
      <sheetName val="Exh 8 Sch 4 Page 4 - Rev."/>
      <sheetName val="Exh 8 Sch 4 Page 5 - Accct. Rec"/>
      <sheetName val="Exh 8 Sch 4 Page 6 Bill lag"/>
      <sheetName val="Exh 8 Sch 4 Page 7 Gas Pur"/>
      <sheetName val="Exh 8 Sch 4 Page 8 - Pay"/>
      <sheetName val="Exh 8 Sch 4 Page 9 - OPEB"/>
      <sheetName val="Exh 8 Sch 4 Page 10 - Pensions"/>
      <sheetName val="Exh 8 Sch 4 Page 11 - Benefits"/>
      <sheetName val="Exh 8 Sch 4 Page 12 - NCSC"/>
      <sheetName val="Exh 8 Sch 4 Page 13 O&amp;M"/>
      <sheetName val="Exh 8 Sch 4 Page 14 - Pay. Tax"/>
      <sheetName val="Exh 8 Sch 4 Page 15 - Prop Tax"/>
      <sheetName val="Exh 8 Sch 4 Page 16 - Sales Tax"/>
      <sheetName val="Exh 8 Sch 4 Page 17 - Inc. Tax"/>
      <sheetName val="Exh 8 Sch 4 Page 18 - Int"/>
      <sheetName val="Exh 8 Sch 5"/>
      <sheetName val="Exh 8 Sch 6 "/>
      <sheetName val="Exh 8 Sch  7"/>
      <sheetName val="Exh 8 Sch 8"/>
      <sheetName val="Exh 8 Sch 9"/>
      <sheetName val="Exh 8 Sch 10"/>
      <sheetName val="Exhibit 400"/>
      <sheetName val="CCOS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ortfall"/>
      <sheetName val="Revenue Calculation"/>
      <sheetName val="Payment Calculation"/>
      <sheetName val="Inputs"/>
    </sheetNames>
    <sheetDataSet>
      <sheetData sheetId="0"/>
      <sheetData sheetId="1"/>
      <sheetData sheetId="2">
        <row r="24">
          <cell r="C24">
            <v>15704800</v>
          </cell>
        </row>
        <row r="25">
          <cell r="C25">
            <v>120640</v>
          </cell>
        </row>
      </sheetData>
      <sheetData sheetId="3">
        <row r="4">
          <cell r="B4">
            <v>19768</v>
          </cell>
        </row>
        <row r="5">
          <cell r="B5">
            <v>24451.25</v>
          </cell>
        </row>
        <row r="7">
          <cell r="B7">
            <v>45</v>
          </cell>
        </row>
        <row r="8">
          <cell r="B8">
            <v>2022000</v>
          </cell>
        </row>
        <row r="12">
          <cell r="B12">
            <v>117.58544989650554</v>
          </cell>
        </row>
        <row r="17">
          <cell r="B17">
            <v>187.83333333333212</v>
          </cell>
        </row>
        <row r="32">
          <cell r="B32">
            <v>0</v>
          </cell>
        </row>
        <row r="34">
          <cell r="B34">
            <v>0</v>
          </cell>
        </row>
        <row r="50">
          <cell r="B50">
            <v>272400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Pivot"/>
      <sheetName val="A (Input) Inv MO Service Charge"/>
      <sheetName val="B (Input) MO Volumes"/>
      <sheetName val="C (Input) MO ARC RRC Charges"/>
      <sheetName val="D (Output) Volume Analysis"/>
      <sheetName val="E (Calc) MO ARC-RRC Charge"/>
      <sheetName val="F (Valid) MO Service Charge"/>
      <sheetName val="G (Valid) MO ARC-RRC Charge"/>
      <sheetName val="H (Ref) Mnthly Svc Fees"/>
      <sheetName val="I (Ref) Mnthly Baseline Units"/>
      <sheetName val="I(a) (Ref) Mnth Baseline Unit %"/>
      <sheetName val="J (Ref)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R (Input) SLA Achieved"/>
      <sheetName val="S (Calc) Service Credit"/>
      <sheetName val="T (Calc) Srvice Credt True Up"/>
      <sheetName val="U (Valid) Service Credit Sum"/>
      <sheetName val="V (Ref) At Risk"/>
      <sheetName val="W (Ref) Pool Allocation"/>
      <sheetName val="X (Ref) Original SLA"/>
      <sheetName val="(Ref) Invoice Detail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J (Ref) - ARC RRC Rates"/>
      <sheetName val="K Graph (Input)"/>
      <sheetName val="L Graph (Data)"/>
      <sheetName val="M Graph (Baseline)"/>
      <sheetName val="N Graph (RU)"/>
      <sheetName val="New Graph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Q (Ref) SLA Consolidation"/>
      <sheetName val="R (Ref) SLA Updated"/>
      <sheetName val="(Ref) IT Tower (Original)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LCs Due &amp; Recd"/>
      <sheetName val="1 - Totals"/>
      <sheetName val="2 - All Towers"/>
      <sheetName val="3-Pie Chart"/>
      <sheetName val="4-Indiv Towers"/>
      <sheetName val="% Invoice"/>
      <sheetName val="DSUM Explanation"/>
      <sheetName val="DB Functions"/>
      <sheetName val="Membership"/>
      <sheetName val="Infrastructure"/>
      <sheetName val="Blue Card"/>
      <sheetName val="FEP"/>
      <sheetName val="Basic Claims"/>
      <sheetName val="Applications"/>
      <sheetName val="Claims"/>
      <sheetName val="Mo1"/>
      <sheetName val="Mo2"/>
      <sheetName val="Mo3"/>
      <sheetName val="Mo4"/>
      <sheetName val="Mo5"/>
      <sheetName val="Mo6"/>
      <sheetName val="Mo7"/>
      <sheetName val="Mo8"/>
      <sheetName val="Mo9"/>
      <sheetName val="Mo10"/>
      <sheetName val="Mo11"/>
      <sheetName val="Mo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Normal="100" zoomScaleSheetLayoutView="90" workbookViewId="0">
      <selection activeCell="D1" sqref="D1"/>
    </sheetView>
  </sheetViews>
  <sheetFormatPr defaultRowHeight="10.5" x14ac:dyDescent="0.15"/>
  <cols>
    <col min="1" max="1" width="20.33203125" bestFit="1" customWidth="1"/>
    <col min="2" max="2" width="19.6640625" bestFit="1" customWidth="1"/>
    <col min="3" max="3" width="15.5" bestFit="1" customWidth="1"/>
    <col min="4" max="4" width="15.83203125" bestFit="1" customWidth="1"/>
    <col min="5" max="5" width="15.5" bestFit="1" customWidth="1"/>
    <col min="6" max="6" width="66.6640625" style="330" customWidth="1"/>
    <col min="7" max="7" width="4.83203125" customWidth="1"/>
  </cols>
  <sheetData>
    <row r="1" spans="1:11" ht="12" x14ac:dyDescent="0.2">
      <c r="F1" s="446" t="str">
        <f>Input!B3</f>
        <v>ATTACHMENT CEN-2</v>
      </c>
      <c r="G1" s="446"/>
      <c r="H1" s="446"/>
      <c r="I1" s="446"/>
      <c r="J1" s="446"/>
      <c r="K1" s="446"/>
    </row>
    <row r="2" spans="1:11" ht="12" x14ac:dyDescent="0.2">
      <c r="A2" s="446" t="str">
        <f>""&amp;+Input!$B$1</f>
        <v>COLUMBIA GAS OF KENTUCKY, INC.</v>
      </c>
      <c r="B2" s="446"/>
      <c r="C2" s="446"/>
      <c r="D2" s="446"/>
      <c r="E2" s="446"/>
      <c r="F2" s="446"/>
      <c r="G2" s="47"/>
    </row>
    <row r="3" spans="1:11" ht="12" x14ac:dyDescent="0.2">
      <c r="A3" s="7"/>
      <c r="B3" s="7"/>
      <c r="C3" s="7"/>
      <c r="D3" s="7"/>
      <c r="E3" s="8"/>
      <c r="F3" s="7"/>
      <c r="G3" s="3"/>
    </row>
    <row r="4" spans="1:11" ht="12" x14ac:dyDescent="0.2">
      <c r="A4" s="446" t="s">
        <v>3</v>
      </c>
      <c r="B4" s="446"/>
      <c r="C4" s="446"/>
      <c r="D4" s="446"/>
      <c r="E4" s="446"/>
      <c r="F4" s="446"/>
      <c r="G4" s="47"/>
    </row>
    <row r="5" spans="1:11" ht="12" x14ac:dyDescent="0.2">
      <c r="A5" s="7"/>
      <c r="B5" s="7"/>
      <c r="C5" s="7"/>
      <c r="D5" s="7"/>
      <c r="E5" s="8"/>
      <c r="F5" s="7"/>
      <c r="G5" s="3"/>
    </row>
    <row r="6" spans="1:11" ht="12" x14ac:dyDescent="0.2">
      <c r="A6" s="446" t="str">
        <f>"STUDY: "&amp;+Input!B2</f>
        <v>STUDY: ATTACHMENT CEN-2</v>
      </c>
      <c r="B6" s="446"/>
      <c r="C6" s="446"/>
      <c r="D6" s="446"/>
      <c r="E6" s="446"/>
      <c r="F6" s="446"/>
      <c r="G6" s="47"/>
    </row>
    <row r="7" spans="1:11" ht="12" x14ac:dyDescent="0.2">
      <c r="A7" s="446" t="str">
        <f>"CASE NO.: "&amp;+Input!B10</f>
        <v>CASE NO.: 2016 - 00162</v>
      </c>
      <c r="B7" s="446"/>
      <c r="C7" s="446"/>
      <c r="D7" s="446"/>
      <c r="E7" s="446"/>
      <c r="F7" s="446"/>
      <c r="G7" s="47"/>
    </row>
    <row r="8" spans="1:11" ht="12" x14ac:dyDescent="0.2">
      <c r="A8" s="446" t="str">
        <f>"WITNESS: "&amp;+Input!B5</f>
        <v>WITNESS: C. NOTESTONE</v>
      </c>
      <c r="B8" s="446"/>
      <c r="C8" s="446"/>
      <c r="D8" s="446"/>
      <c r="E8" s="446"/>
      <c r="F8" s="446"/>
      <c r="G8" s="47"/>
    </row>
    <row r="9" spans="1:11" ht="12" x14ac:dyDescent="0.2">
      <c r="A9" s="446" t="str">
        <f>"STUDY TYPE: "&amp;+Input!B6</f>
        <v>STUDY TYPE: FORECASTED TEST YEAR - ORIGINAL FILING</v>
      </c>
      <c r="B9" s="446"/>
      <c r="C9" s="446"/>
      <c r="D9" s="446"/>
      <c r="E9" s="446"/>
      <c r="F9" s="446"/>
      <c r="G9" s="47"/>
    </row>
    <row r="10" spans="1:11" ht="12" x14ac:dyDescent="0.2">
      <c r="A10" s="446" t="str">
        <f>"ALLOCATION BASIS: "&amp;+Input!B7</f>
        <v>ALLOCATION BASIS: DEMAND-COMMODITY</v>
      </c>
      <c r="B10" s="446"/>
      <c r="C10" s="446"/>
      <c r="D10" s="446"/>
      <c r="E10" s="446"/>
      <c r="F10" s="446"/>
      <c r="G10" s="47"/>
    </row>
    <row r="11" spans="1:11" ht="12" x14ac:dyDescent="0.2">
      <c r="A11" s="446" t="str">
        <f>"TEST YEAR: "&amp;+Input!B4</f>
        <v>TEST YEAR: 12/31/2017</v>
      </c>
      <c r="B11" s="446"/>
      <c r="C11" s="446"/>
      <c r="D11" s="446"/>
      <c r="E11" s="446"/>
      <c r="F11" s="446"/>
      <c r="G11" s="47"/>
    </row>
    <row r="12" spans="1:11" ht="12" x14ac:dyDescent="0.2">
      <c r="A12" s="446" t="str">
        <f>"RATE BASE: "&amp;+Input!B11</f>
        <v>RATE BASE: 12/31/17</v>
      </c>
      <c r="B12" s="446"/>
      <c r="C12" s="446"/>
      <c r="D12" s="446"/>
      <c r="E12" s="446"/>
      <c r="F12" s="446"/>
      <c r="G12" s="47"/>
    </row>
    <row r="13" spans="1:11" ht="11.25" x14ac:dyDescent="0.2">
      <c r="A13" s="325"/>
      <c r="B13" s="325"/>
      <c r="C13" s="325"/>
      <c r="D13" s="325"/>
      <c r="E13" s="325"/>
      <c r="F13" s="325"/>
      <c r="G13" s="47"/>
    </row>
    <row r="14" spans="1:11" ht="11.25" x14ac:dyDescent="0.2">
      <c r="A14" s="325"/>
      <c r="B14" s="325"/>
      <c r="C14" s="325"/>
      <c r="D14" s="325"/>
      <c r="E14" s="325"/>
      <c r="F14" s="325"/>
      <c r="G14" s="47"/>
    </row>
    <row r="15" spans="1:11" ht="12" x14ac:dyDescent="0.2">
      <c r="A15" s="326" t="s">
        <v>810</v>
      </c>
      <c r="B15" s="8"/>
      <c r="C15" s="326" t="s">
        <v>804</v>
      </c>
      <c r="D15" s="326" t="s">
        <v>1109</v>
      </c>
      <c r="E15" s="326" t="s">
        <v>813</v>
      </c>
      <c r="F15" s="335"/>
      <c r="G15" s="47"/>
    </row>
    <row r="16" spans="1:11" ht="12" x14ac:dyDescent="0.2">
      <c r="A16" s="61" t="s">
        <v>1107</v>
      </c>
      <c r="B16" s="60" t="s">
        <v>811</v>
      </c>
      <c r="C16" s="61" t="s">
        <v>1108</v>
      </c>
      <c r="D16" s="61" t="s">
        <v>1108</v>
      </c>
      <c r="E16" s="61" t="s">
        <v>1108</v>
      </c>
      <c r="F16" s="55" t="s">
        <v>24</v>
      </c>
      <c r="G16" s="3"/>
    </row>
    <row r="17" spans="1:7" ht="12" x14ac:dyDescent="0.2">
      <c r="A17" s="8" t="s">
        <v>29</v>
      </c>
      <c r="B17" s="8" t="s">
        <v>29</v>
      </c>
      <c r="C17" s="8" t="s">
        <v>29</v>
      </c>
      <c r="D17" s="8" t="s">
        <v>29</v>
      </c>
      <c r="E17" s="8" t="s">
        <v>29</v>
      </c>
      <c r="G17" s="3"/>
    </row>
    <row r="18" spans="1:7" ht="12" x14ac:dyDescent="0.2">
      <c r="A18" s="8">
        <v>1</v>
      </c>
      <c r="B18" s="8">
        <v>26</v>
      </c>
      <c r="C18" s="8">
        <f>B43+1</f>
        <v>52</v>
      </c>
      <c r="D18" s="8">
        <f>C43+1</f>
        <v>78</v>
      </c>
      <c r="E18" s="8">
        <f>D43+1</f>
        <v>104</v>
      </c>
      <c r="F18" s="336" t="s">
        <v>1128</v>
      </c>
      <c r="G18" s="1"/>
    </row>
    <row r="19" spans="1:7" ht="12" x14ac:dyDescent="0.2">
      <c r="A19" s="8">
        <f t="shared" ref="A19:A42" si="0">A18+1</f>
        <v>2</v>
      </c>
      <c r="B19" s="8">
        <f t="shared" ref="B19:E34" si="1">B18+1</f>
        <v>27</v>
      </c>
      <c r="C19" s="8">
        <f t="shared" si="1"/>
        <v>53</v>
      </c>
      <c r="D19" s="8">
        <f t="shared" si="1"/>
        <v>79</v>
      </c>
      <c r="E19" s="8">
        <f t="shared" si="1"/>
        <v>105</v>
      </c>
      <c r="F19" s="336" t="s">
        <v>1129</v>
      </c>
      <c r="G19" s="1"/>
    </row>
    <row r="20" spans="1:7" ht="12" x14ac:dyDescent="0.2">
      <c r="A20" s="8">
        <f t="shared" si="0"/>
        <v>3</v>
      </c>
      <c r="B20" s="8">
        <f t="shared" si="1"/>
        <v>28</v>
      </c>
      <c r="C20" s="8">
        <f t="shared" si="1"/>
        <v>54</v>
      </c>
      <c r="D20" s="8">
        <f t="shared" si="1"/>
        <v>80</v>
      </c>
      <c r="E20" s="8">
        <f t="shared" si="1"/>
        <v>106</v>
      </c>
      <c r="F20" s="336" t="s">
        <v>4</v>
      </c>
      <c r="G20" s="1"/>
    </row>
    <row r="21" spans="1:7" ht="12" x14ac:dyDescent="0.2">
      <c r="A21" s="8">
        <f t="shared" si="0"/>
        <v>4</v>
      </c>
      <c r="B21" s="8">
        <f t="shared" si="1"/>
        <v>29</v>
      </c>
      <c r="C21" s="8">
        <f t="shared" si="1"/>
        <v>55</v>
      </c>
      <c r="D21" s="8">
        <f t="shared" si="1"/>
        <v>81</v>
      </c>
      <c r="E21" s="8">
        <f t="shared" si="1"/>
        <v>107</v>
      </c>
      <c r="F21" s="336" t="s">
        <v>34</v>
      </c>
      <c r="G21" s="1"/>
    </row>
    <row r="22" spans="1:7" ht="12" x14ac:dyDescent="0.2">
      <c r="A22" s="8">
        <f t="shared" si="0"/>
        <v>5</v>
      </c>
      <c r="B22" s="8">
        <f t="shared" si="1"/>
        <v>30</v>
      </c>
      <c r="C22" s="8">
        <f t="shared" si="1"/>
        <v>56</v>
      </c>
      <c r="D22" s="8">
        <f t="shared" si="1"/>
        <v>82</v>
      </c>
      <c r="E22" s="8">
        <f t="shared" si="1"/>
        <v>108</v>
      </c>
      <c r="F22" s="336" t="s">
        <v>36</v>
      </c>
      <c r="G22" s="1"/>
    </row>
    <row r="23" spans="1:7" ht="12" x14ac:dyDescent="0.2">
      <c r="A23" s="8">
        <f t="shared" si="0"/>
        <v>6</v>
      </c>
      <c r="B23" s="8">
        <f t="shared" si="1"/>
        <v>31</v>
      </c>
      <c r="C23" s="8">
        <f t="shared" si="1"/>
        <v>57</v>
      </c>
      <c r="D23" s="8">
        <f t="shared" si="1"/>
        <v>83</v>
      </c>
      <c r="E23" s="8">
        <f t="shared" si="1"/>
        <v>109</v>
      </c>
      <c r="F23" s="336" t="s">
        <v>39</v>
      </c>
      <c r="G23" s="1"/>
    </row>
    <row r="24" spans="1:7" ht="12" x14ac:dyDescent="0.2">
      <c r="A24" s="8">
        <f t="shared" si="0"/>
        <v>7</v>
      </c>
      <c r="B24" s="8">
        <f t="shared" si="1"/>
        <v>32</v>
      </c>
      <c r="C24" s="8">
        <f t="shared" si="1"/>
        <v>58</v>
      </c>
      <c r="D24" s="8">
        <f t="shared" si="1"/>
        <v>84</v>
      </c>
      <c r="E24" s="8">
        <f t="shared" si="1"/>
        <v>110</v>
      </c>
      <c r="F24" s="336" t="s">
        <v>45</v>
      </c>
      <c r="G24" s="1"/>
    </row>
    <row r="25" spans="1:7" ht="12" x14ac:dyDescent="0.2">
      <c r="A25" s="8">
        <f t="shared" si="0"/>
        <v>8</v>
      </c>
      <c r="B25" s="8">
        <f t="shared" si="1"/>
        <v>33</v>
      </c>
      <c r="C25" s="8">
        <f t="shared" si="1"/>
        <v>59</v>
      </c>
      <c r="D25" s="8">
        <f t="shared" si="1"/>
        <v>85</v>
      </c>
      <c r="E25" s="8">
        <f t="shared" si="1"/>
        <v>111</v>
      </c>
      <c r="F25" s="336" t="s">
        <v>49</v>
      </c>
      <c r="G25" s="1"/>
    </row>
    <row r="26" spans="1:7" ht="12" x14ac:dyDescent="0.2">
      <c r="A26" s="8">
        <f t="shared" si="0"/>
        <v>9</v>
      </c>
      <c r="B26" s="8">
        <f t="shared" si="1"/>
        <v>34</v>
      </c>
      <c r="C26" s="8">
        <f t="shared" si="1"/>
        <v>60</v>
      </c>
      <c r="D26" s="8">
        <f t="shared" si="1"/>
        <v>86</v>
      </c>
      <c r="E26" s="8">
        <f t="shared" si="1"/>
        <v>112</v>
      </c>
      <c r="F26" s="336" t="s">
        <v>51</v>
      </c>
      <c r="G26" s="1"/>
    </row>
    <row r="27" spans="1:7" ht="12" x14ac:dyDescent="0.2">
      <c r="A27" s="8">
        <f t="shared" si="0"/>
        <v>10</v>
      </c>
      <c r="B27" s="8">
        <f t="shared" si="1"/>
        <v>35</v>
      </c>
      <c r="C27" s="8">
        <f t="shared" si="1"/>
        <v>61</v>
      </c>
      <c r="D27" s="8">
        <f t="shared" si="1"/>
        <v>87</v>
      </c>
      <c r="E27" s="8">
        <f t="shared" si="1"/>
        <v>113</v>
      </c>
      <c r="F27" s="336" t="s">
        <v>54</v>
      </c>
      <c r="G27" s="1"/>
    </row>
    <row r="28" spans="1:7" ht="12" x14ac:dyDescent="0.2">
      <c r="A28" s="8">
        <f t="shared" si="0"/>
        <v>11</v>
      </c>
      <c r="B28" s="8">
        <f t="shared" si="1"/>
        <v>36</v>
      </c>
      <c r="C28" s="8">
        <f t="shared" si="1"/>
        <v>62</v>
      </c>
      <c r="D28" s="8">
        <f t="shared" si="1"/>
        <v>88</v>
      </c>
      <c r="E28" s="8">
        <f t="shared" si="1"/>
        <v>114</v>
      </c>
      <c r="F28" s="336" t="s">
        <v>57</v>
      </c>
      <c r="G28" s="1"/>
    </row>
    <row r="29" spans="1:7" ht="12" x14ac:dyDescent="0.2">
      <c r="A29" s="8">
        <f t="shared" si="0"/>
        <v>12</v>
      </c>
      <c r="B29" s="8">
        <f t="shared" si="1"/>
        <v>37</v>
      </c>
      <c r="C29" s="8">
        <f t="shared" si="1"/>
        <v>63</v>
      </c>
      <c r="D29" s="8">
        <f t="shared" si="1"/>
        <v>89</v>
      </c>
      <c r="E29" s="8">
        <f t="shared" si="1"/>
        <v>115</v>
      </c>
      <c r="F29" s="336" t="s">
        <v>60</v>
      </c>
      <c r="G29" s="1"/>
    </row>
    <row r="30" spans="1:7" ht="12" x14ac:dyDescent="0.2">
      <c r="A30" s="8">
        <f t="shared" si="0"/>
        <v>13</v>
      </c>
      <c r="B30" s="8">
        <f t="shared" si="1"/>
        <v>38</v>
      </c>
      <c r="C30" s="8">
        <f t="shared" si="1"/>
        <v>64</v>
      </c>
      <c r="D30" s="8">
        <f t="shared" si="1"/>
        <v>90</v>
      </c>
      <c r="E30" s="8">
        <f t="shared" si="1"/>
        <v>116</v>
      </c>
      <c r="F30" s="336" t="s">
        <v>62</v>
      </c>
      <c r="G30" s="1"/>
    </row>
    <row r="31" spans="1:7" ht="12" x14ac:dyDescent="0.2">
      <c r="A31" s="8">
        <f t="shared" si="0"/>
        <v>14</v>
      </c>
      <c r="B31" s="8">
        <f t="shared" si="1"/>
        <v>39</v>
      </c>
      <c r="C31" s="8">
        <f t="shared" si="1"/>
        <v>65</v>
      </c>
      <c r="D31" s="8">
        <f t="shared" si="1"/>
        <v>91</v>
      </c>
      <c r="E31" s="8">
        <f t="shared" si="1"/>
        <v>117</v>
      </c>
      <c r="F31" s="336" t="s">
        <v>32</v>
      </c>
      <c r="G31" s="1"/>
    </row>
    <row r="32" spans="1:7" ht="12" x14ac:dyDescent="0.2">
      <c r="A32" s="8">
        <f t="shared" si="0"/>
        <v>15</v>
      </c>
      <c r="B32" s="8">
        <f t="shared" si="1"/>
        <v>40</v>
      </c>
      <c r="C32" s="8">
        <f t="shared" si="1"/>
        <v>66</v>
      </c>
      <c r="D32" s="8">
        <f t="shared" si="1"/>
        <v>92</v>
      </c>
      <c r="E32" s="8">
        <f t="shared" si="1"/>
        <v>118</v>
      </c>
      <c r="F32" s="336" t="s">
        <v>33</v>
      </c>
      <c r="G32" s="1"/>
    </row>
    <row r="33" spans="1:6" ht="12" x14ac:dyDescent="0.2">
      <c r="A33" s="8">
        <f t="shared" si="0"/>
        <v>16</v>
      </c>
      <c r="B33" s="8">
        <f t="shared" si="1"/>
        <v>41</v>
      </c>
      <c r="C33" s="8">
        <f t="shared" si="1"/>
        <v>67</v>
      </c>
      <c r="D33" s="8">
        <f t="shared" si="1"/>
        <v>93</v>
      </c>
      <c r="E33" s="8">
        <f t="shared" si="1"/>
        <v>119</v>
      </c>
      <c r="F33" s="336" t="s">
        <v>35</v>
      </c>
    </row>
    <row r="34" spans="1:6" ht="12" x14ac:dyDescent="0.2">
      <c r="A34" s="8">
        <f t="shared" si="0"/>
        <v>17</v>
      </c>
      <c r="B34" s="8">
        <f t="shared" si="1"/>
        <v>42</v>
      </c>
      <c r="C34" s="8">
        <f t="shared" si="1"/>
        <v>68</v>
      </c>
      <c r="D34" s="8">
        <f t="shared" si="1"/>
        <v>94</v>
      </c>
      <c r="E34" s="8">
        <f t="shared" si="1"/>
        <v>120</v>
      </c>
      <c r="F34" s="336" t="s">
        <v>37</v>
      </c>
    </row>
    <row r="35" spans="1:6" ht="12" x14ac:dyDescent="0.2">
      <c r="A35" s="8">
        <f t="shared" si="0"/>
        <v>18</v>
      </c>
      <c r="B35" s="8">
        <f t="shared" ref="B35:E43" si="2">B34+1</f>
        <v>43</v>
      </c>
      <c r="C35" s="8">
        <f t="shared" si="2"/>
        <v>69</v>
      </c>
      <c r="D35" s="8">
        <f t="shared" si="2"/>
        <v>95</v>
      </c>
      <c r="E35" s="8">
        <f t="shared" si="2"/>
        <v>121</v>
      </c>
      <c r="F35" s="336" t="s">
        <v>40</v>
      </c>
    </row>
    <row r="36" spans="1:6" ht="12" x14ac:dyDescent="0.2">
      <c r="A36" s="8">
        <f t="shared" si="0"/>
        <v>19</v>
      </c>
      <c r="B36" s="8">
        <f t="shared" si="2"/>
        <v>44</v>
      </c>
      <c r="C36" s="8">
        <f t="shared" si="2"/>
        <v>70</v>
      </c>
      <c r="D36" s="8">
        <f t="shared" si="2"/>
        <v>96</v>
      </c>
      <c r="E36" s="8">
        <f t="shared" si="2"/>
        <v>122</v>
      </c>
      <c r="F36" s="336" t="s">
        <v>42</v>
      </c>
    </row>
    <row r="37" spans="1:6" ht="12" x14ac:dyDescent="0.2">
      <c r="A37" s="8">
        <f t="shared" si="0"/>
        <v>20</v>
      </c>
      <c r="B37" s="8">
        <f t="shared" si="2"/>
        <v>45</v>
      </c>
      <c r="C37" s="8">
        <f t="shared" si="2"/>
        <v>71</v>
      </c>
      <c r="D37" s="8">
        <f t="shared" si="2"/>
        <v>97</v>
      </c>
      <c r="E37" s="8">
        <f t="shared" si="2"/>
        <v>123</v>
      </c>
      <c r="F37" s="336" t="s">
        <v>43</v>
      </c>
    </row>
    <row r="38" spans="1:6" ht="12" x14ac:dyDescent="0.2">
      <c r="A38" s="8">
        <f t="shared" si="0"/>
        <v>21</v>
      </c>
      <c r="B38" s="8">
        <f t="shared" si="2"/>
        <v>46</v>
      </c>
      <c r="C38" s="8">
        <f t="shared" si="2"/>
        <v>72</v>
      </c>
      <c r="D38" s="8">
        <f t="shared" si="2"/>
        <v>98</v>
      </c>
      <c r="E38" s="8">
        <f t="shared" si="2"/>
        <v>124</v>
      </c>
      <c r="F38" s="336" t="s">
        <v>46</v>
      </c>
    </row>
    <row r="39" spans="1:6" ht="12" x14ac:dyDescent="0.2">
      <c r="A39" s="8">
        <f t="shared" si="0"/>
        <v>22</v>
      </c>
      <c r="B39" s="8">
        <f t="shared" si="2"/>
        <v>47</v>
      </c>
      <c r="C39" s="8">
        <f t="shared" si="2"/>
        <v>73</v>
      </c>
      <c r="D39" s="8">
        <f t="shared" si="2"/>
        <v>99</v>
      </c>
      <c r="E39" s="8">
        <f t="shared" si="2"/>
        <v>125</v>
      </c>
      <c r="F39" s="336" t="s">
        <v>50</v>
      </c>
    </row>
    <row r="40" spans="1:6" ht="12" x14ac:dyDescent="0.2">
      <c r="A40" s="8">
        <f t="shared" si="0"/>
        <v>23</v>
      </c>
      <c r="B40" s="8">
        <f t="shared" si="2"/>
        <v>48</v>
      </c>
      <c r="C40" s="8">
        <f t="shared" si="2"/>
        <v>74</v>
      </c>
      <c r="D40" s="8">
        <f t="shared" si="2"/>
        <v>100</v>
      </c>
      <c r="E40" s="8">
        <f t="shared" si="2"/>
        <v>126</v>
      </c>
      <c r="F40" s="336" t="s">
        <v>52</v>
      </c>
    </row>
    <row r="41" spans="1:6" ht="12" x14ac:dyDescent="0.2">
      <c r="A41" s="8">
        <f t="shared" si="0"/>
        <v>24</v>
      </c>
      <c r="B41" s="8">
        <f t="shared" si="2"/>
        <v>49</v>
      </c>
      <c r="C41" s="8">
        <f t="shared" si="2"/>
        <v>75</v>
      </c>
      <c r="D41" s="8">
        <f t="shared" si="2"/>
        <v>101</v>
      </c>
      <c r="E41" s="8">
        <f t="shared" si="2"/>
        <v>127</v>
      </c>
      <c r="F41" s="336" t="s">
        <v>55</v>
      </c>
    </row>
    <row r="42" spans="1:6" ht="12" x14ac:dyDescent="0.2">
      <c r="A42" s="8">
        <f t="shared" si="0"/>
        <v>25</v>
      </c>
      <c r="B42" s="8">
        <f t="shared" si="2"/>
        <v>50</v>
      </c>
      <c r="C42" s="8">
        <f t="shared" si="2"/>
        <v>76</v>
      </c>
      <c r="D42" s="8">
        <f t="shared" si="2"/>
        <v>102</v>
      </c>
      <c r="E42" s="8">
        <f t="shared" si="2"/>
        <v>128</v>
      </c>
      <c r="F42" s="336" t="s">
        <v>58</v>
      </c>
    </row>
    <row r="43" spans="1:6" ht="12" x14ac:dyDescent="0.2">
      <c r="A43" s="8" t="s">
        <v>697</v>
      </c>
      <c r="B43" s="8">
        <f t="shared" si="2"/>
        <v>51</v>
      </c>
      <c r="C43" s="8">
        <f t="shared" si="2"/>
        <v>77</v>
      </c>
      <c r="D43" s="8">
        <f t="shared" si="2"/>
        <v>103</v>
      </c>
      <c r="E43" s="8">
        <f t="shared" si="2"/>
        <v>129</v>
      </c>
      <c r="F43" s="336" t="s">
        <v>1110</v>
      </c>
    </row>
  </sheetData>
  <mergeCells count="10">
    <mergeCell ref="F1:K1"/>
    <mergeCell ref="A9:F9"/>
    <mergeCell ref="A10:F10"/>
    <mergeCell ref="A11:F11"/>
    <mergeCell ref="A12:F12"/>
    <mergeCell ref="A2:F2"/>
    <mergeCell ref="A4:F4"/>
    <mergeCell ref="A6:F6"/>
    <mergeCell ref="A7:F7"/>
    <mergeCell ref="A8:F8"/>
  </mergeCells>
  <pageMargins left="0.5" right="0.5" top="0.5" bottom="0.5" header="0.3" footer="0.3"/>
  <pageSetup scale="8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C39" sqref="C39"/>
    </sheetView>
  </sheetViews>
  <sheetFormatPr defaultRowHeight="12" x14ac:dyDescent="0.2"/>
  <cols>
    <col min="1" max="1" width="9.5" style="7" bestFit="1" customWidth="1"/>
    <col min="2" max="2" width="10.33203125" style="7" bestFit="1" customWidth="1"/>
    <col min="3" max="3" width="46" style="7" bestFit="1" customWidth="1"/>
    <col min="4" max="4" width="14.83203125" style="7" bestFit="1" customWidth="1"/>
    <col min="5" max="5" width="13.5" style="7" bestFit="1" customWidth="1"/>
    <col min="6" max="6" width="11.83203125" style="7" bestFit="1" customWidth="1"/>
    <col min="7" max="16384" width="9.33203125" style="7"/>
  </cols>
  <sheetData>
    <row r="1" spans="1:6" x14ac:dyDescent="0.2">
      <c r="A1" s="450" t="s">
        <v>671</v>
      </c>
      <c r="B1" s="450"/>
      <c r="C1" s="450"/>
      <c r="D1" s="450"/>
      <c r="E1" s="450"/>
      <c r="F1" s="450"/>
    </row>
    <row r="2" spans="1:6" x14ac:dyDescent="0.2">
      <c r="A2" s="450" t="s">
        <v>677</v>
      </c>
      <c r="B2" s="450"/>
      <c r="C2" s="450"/>
      <c r="D2" s="450"/>
      <c r="E2" s="450"/>
      <c r="F2" s="450"/>
    </row>
    <row r="3" spans="1:6" x14ac:dyDescent="0.2">
      <c r="A3" s="450" t="s">
        <v>959</v>
      </c>
      <c r="B3" s="450"/>
      <c r="C3" s="450"/>
      <c r="D3" s="450"/>
      <c r="E3" s="450"/>
      <c r="F3" s="450"/>
    </row>
    <row r="4" spans="1:6" x14ac:dyDescent="0.2">
      <c r="A4" s="343"/>
      <c r="B4" s="343"/>
      <c r="C4" s="343"/>
      <c r="D4" s="343"/>
      <c r="E4" s="343"/>
      <c r="F4" s="343"/>
    </row>
    <row r="5" spans="1:6" x14ac:dyDescent="0.2">
      <c r="A5" s="340" t="s">
        <v>648</v>
      </c>
      <c r="B5" s="340"/>
      <c r="C5" s="340"/>
      <c r="D5" s="340"/>
      <c r="E5" s="340"/>
      <c r="F5" s="340" t="s">
        <v>672</v>
      </c>
    </row>
    <row r="6" spans="1:6" x14ac:dyDescent="0.2">
      <c r="A6" s="9" t="s">
        <v>524</v>
      </c>
      <c r="B6" s="9"/>
      <c r="C6" s="9"/>
      <c r="D6" s="9" t="s">
        <v>649</v>
      </c>
      <c r="E6" s="9" t="s">
        <v>477</v>
      </c>
      <c r="F6" s="9" t="s">
        <v>673</v>
      </c>
    </row>
    <row r="7" spans="1:6" x14ac:dyDescent="0.2">
      <c r="A7" s="340"/>
      <c r="B7" s="340"/>
      <c r="C7" s="340"/>
      <c r="D7" s="340"/>
      <c r="E7" s="340" t="s">
        <v>650</v>
      </c>
      <c r="F7" s="340" t="s">
        <v>650</v>
      </c>
    </row>
    <row r="9" spans="1:6" x14ac:dyDescent="0.2">
      <c r="A9" s="7">
        <v>1</v>
      </c>
      <c r="C9" s="7" t="s">
        <v>652</v>
      </c>
    </row>
    <row r="11" spans="1:6" x14ac:dyDescent="0.2">
      <c r="A11" s="7">
        <f>A9+1</f>
        <v>2</v>
      </c>
      <c r="B11" s="7" t="s">
        <v>960</v>
      </c>
      <c r="C11" s="7" t="s">
        <v>961</v>
      </c>
      <c r="D11" s="7" t="s">
        <v>651</v>
      </c>
      <c r="E11" s="7">
        <f>'Sales &amp; Rev'!C59+'Sales &amp; Rev'!C75</f>
        <v>58710247.770000011</v>
      </c>
      <c r="F11" s="7">
        <f t="shared" ref="F11:F26" si="0">ROUND(E11/$E$28*$F$28,0)</f>
        <v>305532</v>
      </c>
    </row>
    <row r="12" spans="1:6" x14ac:dyDescent="0.2">
      <c r="A12" s="7">
        <f t="shared" ref="A12:A13" si="1">A10+1</f>
        <v>1</v>
      </c>
      <c r="B12" s="7" t="s">
        <v>501</v>
      </c>
      <c r="C12" s="7" t="s">
        <v>653</v>
      </c>
      <c r="D12" s="7" t="s">
        <v>651</v>
      </c>
      <c r="E12" s="7">
        <f>'Sales &amp; Rev'!C60</f>
        <v>9744.43</v>
      </c>
      <c r="F12" s="7">
        <f t="shared" si="0"/>
        <v>51</v>
      </c>
    </row>
    <row r="13" spans="1:6" x14ac:dyDescent="0.2">
      <c r="A13" s="7">
        <f t="shared" si="1"/>
        <v>3</v>
      </c>
      <c r="B13" s="7" t="s">
        <v>500</v>
      </c>
      <c r="C13" s="7" t="s">
        <v>654</v>
      </c>
      <c r="D13" s="7" t="s">
        <v>651</v>
      </c>
      <c r="E13" s="7">
        <f>'Sales &amp; Rev'!C67</f>
        <v>18510324.209999997</v>
      </c>
      <c r="F13" s="7">
        <f t="shared" si="0"/>
        <v>96329</v>
      </c>
    </row>
    <row r="14" spans="1:6" x14ac:dyDescent="0.2">
      <c r="A14" s="7">
        <f t="shared" ref="A14:A28" si="2">A13+1</f>
        <v>4</v>
      </c>
      <c r="B14" s="7" t="s">
        <v>500</v>
      </c>
      <c r="C14" s="7" t="s">
        <v>655</v>
      </c>
      <c r="D14" s="7" t="s">
        <v>651</v>
      </c>
      <c r="E14" s="7">
        <f>'Sales &amp; Rev'!C68</f>
        <v>1410901.5999999999</v>
      </c>
      <c r="F14" s="7">
        <f t="shared" si="0"/>
        <v>7342</v>
      </c>
    </row>
    <row r="15" spans="1:6" x14ac:dyDescent="0.2">
      <c r="A15" s="7">
        <f t="shared" si="2"/>
        <v>5</v>
      </c>
      <c r="B15" s="7" t="s">
        <v>486</v>
      </c>
      <c r="C15" s="7" t="s">
        <v>656</v>
      </c>
      <c r="D15" s="7" t="s">
        <v>651</v>
      </c>
      <c r="E15" s="7">
        <f>'Sales &amp; Rev'!C73</f>
        <v>47824.330000000009</v>
      </c>
      <c r="F15" s="7">
        <f t="shared" si="0"/>
        <v>249</v>
      </c>
    </row>
    <row r="16" spans="1:6" x14ac:dyDescent="0.2">
      <c r="A16" s="7">
        <f t="shared" si="2"/>
        <v>6</v>
      </c>
      <c r="B16" s="7" t="s">
        <v>506</v>
      </c>
      <c r="C16" s="7" t="s">
        <v>657</v>
      </c>
      <c r="D16" s="7" t="s">
        <v>651</v>
      </c>
      <c r="E16" s="7">
        <f>'Sales &amp; Rev'!C76</f>
        <v>5787037.3699999992</v>
      </c>
      <c r="F16" s="7">
        <f t="shared" si="0"/>
        <v>30116</v>
      </c>
    </row>
    <row r="17" spans="1:6" x14ac:dyDescent="0.2">
      <c r="A17" s="7">
        <f t="shared" si="2"/>
        <v>7</v>
      </c>
      <c r="B17" s="7" t="s">
        <v>506</v>
      </c>
      <c r="C17" s="7" t="s">
        <v>658</v>
      </c>
      <c r="D17" s="7" t="s">
        <v>651</v>
      </c>
      <c r="E17" s="7">
        <f>'Sales &amp; Rev'!C77</f>
        <v>127654.24000000002</v>
      </c>
      <c r="F17" s="7">
        <f t="shared" si="0"/>
        <v>664</v>
      </c>
    </row>
    <row r="18" spans="1:6" x14ac:dyDescent="0.2">
      <c r="A18" s="7">
        <f t="shared" si="2"/>
        <v>8</v>
      </c>
      <c r="B18" s="7" t="s">
        <v>635</v>
      </c>
      <c r="C18" s="7" t="s">
        <v>659</v>
      </c>
      <c r="D18" s="7" t="s">
        <v>651</v>
      </c>
      <c r="E18" s="7">
        <f>'Sales &amp; Rev'!C78</f>
        <v>1398811.3699999999</v>
      </c>
      <c r="F18" s="7">
        <f t="shared" si="0"/>
        <v>7280</v>
      </c>
    </row>
    <row r="19" spans="1:6" x14ac:dyDescent="0.2">
      <c r="A19" s="7">
        <f t="shared" si="2"/>
        <v>9</v>
      </c>
      <c r="B19" s="7" t="s">
        <v>635</v>
      </c>
      <c r="C19" s="7" t="s">
        <v>660</v>
      </c>
      <c r="D19" s="7" t="s">
        <v>651</v>
      </c>
      <c r="E19" s="7">
        <f>'Sales &amp; Rev'!C79</f>
        <v>3222464.1300000004</v>
      </c>
      <c r="F19" s="7">
        <f t="shared" si="0"/>
        <v>16770</v>
      </c>
    </row>
    <row r="20" spans="1:6" x14ac:dyDescent="0.2">
      <c r="A20" s="7">
        <f t="shared" si="2"/>
        <v>10</v>
      </c>
      <c r="B20" s="7" t="s">
        <v>634</v>
      </c>
      <c r="C20" s="7" t="s">
        <v>661</v>
      </c>
      <c r="D20" s="7" t="s">
        <v>651</v>
      </c>
      <c r="E20" s="7">
        <f>'Sales &amp; Rev'!C80</f>
        <v>351127.13</v>
      </c>
      <c r="F20" s="7">
        <f t="shared" si="0"/>
        <v>1827</v>
      </c>
    </row>
    <row r="21" spans="1:6" x14ac:dyDescent="0.2">
      <c r="A21" s="7">
        <f t="shared" si="2"/>
        <v>11</v>
      </c>
      <c r="B21" s="7" t="s">
        <v>634</v>
      </c>
      <c r="C21" s="7" t="s">
        <v>662</v>
      </c>
      <c r="D21" s="7" t="s">
        <v>651</v>
      </c>
      <c r="E21" s="7">
        <f>'Sales &amp; Rev'!C81</f>
        <v>276061.19</v>
      </c>
      <c r="F21" s="7">
        <f t="shared" si="0"/>
        <v>1437</v>
      </c>
    </row>
    <row r="22" spans="1:6" x14ac:dyDescent="0.2">
      <c r="A22" s="7">
        <f t="shared" si="2"/>
        <v>12</v>
      </c>
      <c r="B22" s="7" t="s">
        <v>509</v>
      </c>
      <c r="C22" s="7" t="s">
        <v>663</v>
      </c>
      <c r="D22" s="7" t="s">
        <v>651</v>
      </c>
      <c r="E22" s="7">
        <f>'Sales &amp; Rev'!C82</f>
        <v>67640.579999999987</v>
      </c>
      <c r="F22" s="7">
        <f t="shared" si="0"/>
        <v>352</v>
      </c>
    </row>
    <row r="23" spans="1:6" x14ac:dyDescent="0.2">
      <c r="A23" s="7">
        <f t="shared" si="2"/>
        <v>13</v>
      </c>
      <c r="B23" s="7" t="s">
        <v>510</v>
      </c>
      <c r="C23" s="7" t="s">
        <v>664</v>
      </c>
      <c r="D23" s="7" t="s">
        <v>651</v>
      </c>
      <c r="E23" s="7">
        <f>'Sales &amp; Rev'!C83</f>
        <v>224062.07999999999</v>
      </c>
      <c r="F23" s="7">
        <f t="shared" si="0"/>
        <v>1166</v>
      </c>
    </row>
    <row r="24" spans="1:6" x14ac:dyDescent="0.2">
      <c r="A24" s="7">
        <f t="shared" si="2"/>
        <v>14</v>
      </c>
      <c r="B24" s="7" t="s">
        <v>511</v>
      </c>
      <c r="C24" s="7" t="s">
        <v>665</v>
      </c>
      <c r="D24" s="7" t="s">
        <v>651</v>
      </c>
      <c r="E24" s="7">
        <f>'Sales &amp; Rev'!C84</f>
        <v>221010.72000000003</v>
      </c>
      <c r="F24" s="7">
        <f t="shared" si="0"/>
        <v>1150</v>
      </c>
    </row>
    <row r="25" spans="1:6" x14ac:dyDescent="0.2">
      <c r="A25" s="7">
        <f t="shared" si="2"/>
        <v>15</v>
      </c>
      <c r="B25" s="7" t="s">
        <v>507</v>
      </c>
      <c r="C25" s="7" t="s">
        <v>665</v>
      </c>
      <c r="D25" s="7" t="s">
        <v>651</v>
      </c>
      <c r="E25" s="7">
        <f>'Sales &amp; Rev'!C85</f>
        <v>411572.36</v>
      </c>
      <c r="F25" s="7">
        <f t="shared" si="0"/>
        <v>2142</v>
      </c>
    </row>
    <row r="26" spans="1:6" x14ac:dyDescent="0.2">
      <c r="A26" s="7">
        <f t="shared" si="2"/>
        <v>16</v>
      </c>
      <c r="B26" s="7" t="s">
        <v>606</v>
      </c>
      <c r="C26" s="7" t="s">
        <v>665</v>
      </c>
      <c r="D26" s="7" t="s">
        <v>651</v>
      </c>
      <c r="E26" s="7">
        <f>'Sales &amp; Rev'!C86</f>
        <v>189660.33</v>
      </c>
      <c r="F26" s="7">
        <f t="shared" si="0"/>
        <v>987</v>
      </c>
    </row>
    <row r="27" spans="1:6" x14ac:dyDescent="0.2">
      <c r="A27" s="7">
        <f t="shared" si="2"/>
        <v>17</v>
      </c>
      <c r="B27" s="7" t="s">
        <v>508</v>
      </c>
      <c r="C27" s="7" t="s">
        <v>666</v>
      </c>
      <c r="D27" s="7" t="s">
        <v>651</v>
      </c>
      <c r="E27" s="184">
        <f>'Sales &amp; Rev'!C87</f>
        <v>500855.40000000008</v>
      </c>
      <c r="F27" s="184">
        <f>F28-SUM(F11:F26)</f>
        <v>2606</v>
      </c>
    </row>
    <row r="28" spans="1:6" x14ac:dyDescent="0.2">
      <c r="A28" s="7">
        <f t="shared" si="2"/>
        <v>18</v>
      </c>
      <c r="B28" s="7" t="s">
        <v>12</v>
      </c>
      <c r="E28" s="7">
        <f>SUM(E11:E27)</f>
        <v>91466999.239999995</v>
      </c>
      <c r="F28" s="7">
        <v>476000</v>
      </c>
    </row>
    <row r="30" spans="1:6" x14ac:dyDescent="0.2">
      <c r="A30" s="7">
        <f>A28+1</f>
        <v>19</v>
      </c>
      <c r="B30" s="12" t="s">
        <v>674</v>
      </c>
    </row>
    <row r="32" spans="1:6" x14ac:dyDescent="0.2">
      <c r="A32" s="12">
        <f>A30+1</f>
        <v>20</v>
      </c>
      <c r="B32" s="12"/>
      <c r="C32" s="12" t="s">
        <v>675</v>
      </c>
      <c r="D32" s="12"/>
      <c r="E32" s="12"/>
      <c r="F32" s="12">
        <f>F11</f>
        <v>305532</v>
      </c>
    </row>
    <row r="33" spans="1:6" x14ac:dyDescent="0.2">
      <c r="A33" s="12">
        <f>A32+1</f>
        <v>21</v>
      </c>
      <c r="B33" s="12"/>
      <c r="C33" s="12" t="s">
        <v>526</v>
      </c>
      <c r="D33" s="12"/>
      <c r="E33" s="12"/>
      <c r="F33" s="12">
        <f>F12+F13+F14+F16+F17+F20+F21</f>
        <v>137766</v>
      </c>
    </row>
    <row r="34" spans="1:6" x14ac:dyDescent="0.2">
      <c r="A34" s="12">
        <f>A33+1</f>
        <v>22</v>
      </c>
      <c r="B34" s="12"/>
      <c r="C34" s="12" t="s">
        <v>486</v>
      </c>
      <c r="D34" s="12"/>
      <c r="E34" s="12"/>
      <c r="F34" s="12">
        <f>F15</f>
        <v>249</v>
      </c>
    </row>
    <row r="35" spans="1:6" x14ac:dyDescent="0.2">
      <c r="A35" s="12">
        <f>A34+1</f>
        <v>23</v>
      </c>
      <c r="B35" s="12"/>
      <c r="C35" s="12" t="s">
        <v>487</v>
      </c>
      <c r="D35" s="12"/>
      <c r="E35" s="12"/>
      <c r="F35" s="12">
        <f>F22+F25</f>
        <v>2494</v>
      </c>
    </row>
    <row r="36" spans="1:6" x14ac:dyDescent="0.2">
      <c r="A36" s="12">
        <f>A35+1</f>
        <v>24</v>
      </c>
      <c r="B36" s="12"/>
      <c r="C36" s="12" t="s">
        <v>632</v>
      </c>
      <c r="D36" s="12"/>
      <c r="E36" s="12"/>
      <c r="F36" s="51">
        <f>F18+F19+F23+F24+F27+F26</f>
        <v>29959</v>
      </c>
    </row>
    <row r="37" spans="1:6" x14ac:dyDescent="0.2">
      <c r="A37" s="12">
        <f>A36+1</f>
        <v>25</v>
      </c>
      <c r="B37" s="12"/>
      <c r="C37" s="12" t="s">
        <v>12</v>
      </c>
      <c r="D37" s="12"/>
      <c r="E37" s="12"/>
      <c r="F37" s="12">
        <f>SUM(F32:F36)</f>
        <v>476000</v>
      </c>
    </row>
    <row r="40" spans="1:6" x14ac:dyDescent="0.2">
      <c r="A40" s="450" t="s">
        <v>671</v>
      </c>
      <c r="B40" s="450"/>
      <c r="C40" s="450"/>
      <c r="D40" s="450"/>
      <c r="E40" s="450"/>
      <c r="F40" s="450"/>
    </row>
    <row r="41" spans="1:6" x14ac:dyDescent="0.2">
      <c r="A41" s="450" t="s">
        <v>676</v>
      </c>
      <c r="B41" s="450"/>
      <c r="C41" s="450"/>
      <c r="D41" s="450"/>
      <c r="E41" s="450"/>
      <c r="F41" s="450"/>
    </row>
    <row r="42" spans="1:6" x14ac:dyDescent="0.2">
      <c r="A42" s="450" t="s">
        <v>959</v>
      </c>
      <c r="B42" s="450"/>
      <c r="C42" s="450"/>
      <c r="D42" s="450"/>
      <c r="E42" s="450"/>
      <c r="F42" s="450"/>
    </row>
    <row r="43" spans="1:6" x14ac:dyDescent="0.2">
      <c r="A43" s="343"/>
      <c r="B43" s="343"/>
      <c r="C43" s="343"/>
      <c r="D43" s="343"/>
      <c r="E43" s="343"/>
      <c r="F43" s="343"/>
    </row>
    <row r="44" spans="1:6" x14ac:dyDescent="0.2">
      <c r="A44" s="340" t="s">
        <v>648</v>
      </c>
      <c r="B44" s="340"/>
      <c r="C44" s="340"/>
      <c r="D44" s="340"/>
      <c r="E44" s="340"/>
      <c r="F44" s="340" t="s">
        <v>672</v>
      </c>
    </row>
    <row r="45" spans="1:6" x14ac:dyDescent="0.2">
      <c r="A45" s="9" t="s">
        <v>524</v>
      </c>
      <c r="B45" s="9"/>
      <c r="C45" s="9"/>
      <c r="D45" s="9" t="s">
        <v>649</v>
      </c>
      <c r="E45" s="9" t="s">
        <v>477</v>
      </c>
      <c r="F45" s="9" t="s">
        <v>673</v>
      </c>
    </row>
    <row r="46" spans="1:6" x14ac:dyDescent="0.2">
      <c r="A46" s="340"/>
      <c r="B46" s="340"/>
      <c r="C46" s="340"/>
      <c r="D46" s="340"/>
      <c r="E46" s="340" t="s">
        <v>650</v>
      </c>
      <c r="F46" s="340" t="s">
        <v>650</v>
      </c>
    </row>
    <row r="48" spans="1:6" x14ac:dyDescent="0.2">
      <c r="A48" s="7">
        <v>1</v>
      </c>
      <c r="C48" s="7" t="s">
        <v>667</v>
      </c>
    </row>
    <row r="50" spans="1:6" x14ac:dyDescent="0.2">
      <c r="A50" s="7">
        <f>A48+1</f>
        <v>2</v>
      </c>
      <c r="C50" s="7" t="s">
        <v>668</v>
      </c>
      <c r="D50" s="7" t="s">
        <v>669</v>
      </c>
      <c r="E50" s="11">
        <f>'Prop Rev.'!C9+'Prop Rev.'!C31</f>
        <v>75096497.570000008</v>
      </c>
      <c r="F50" s="7">
        <f t="shared" ref="F50:F60" si="3">ROUND(E50/$E$62*$F$62,0)</f>
        <v>391088</v>
      </c>
    </row>
    <row r="51" spans="1:6" x14ac:dyDescent="0.2">
      <c r="A51" s="7">
        <f>A50+1</f>
        <v>3</v>
      </c>
      <c r="C51" s="7" t="s">
        <v>670</v>
      </c>
      <c r="D51" s="7" t="s">
        <v>669</v>
      </c>
      <c r="E51" s="11">
        <f>'Prop Rev.'!C18+'Prop Rev.'!C19+'Prop Rev.'!C32+'Prop Rev.'!C33+'Prop Rev.'!C36+'Prop Rev.'!C37</f>
        <v>33254549.129999995</v>
      </c>
      <c r="F51" s="7">
        <f t="shared" si="3"/>
        <v>173183</v>
      </c>
    </row>
    <row r="52" spans="1:6" x14ac:dyDescent="0.2">
      <c r="A52" s="7">
        <f t="shared" ref="A52:A62" si="4">A51+1</f>
        <v>4</v>
      </c>
      <c r="C52" s="7" t="s">
        <v>678</v>
      </c>
      <c r="D52" s="7" t="s">
        <v>669</v>
      </c>
      <c r="E52" s="11">
        <f>'Prop Rev.'!C34+'Prop Rev.'!C35</f>
        <v>6711801.4499999993</v>
      </c>
      <c r="F52" s="7">
        <f t="shared" si="3"/>
        <v>34954</v>
      </c>
    </row>
    <row r="53" spans="1:6" x14ac:dyDescent="0.2">
      <c r="A53" s="7">
        <f t="shared" si="4"/>
        <v>5</v>
      </c>
      <c r="C53" s="7" t="s">
        <v>486</v>
      </c>
      <c r="D53" s="7" t="s">
        <v>669</v>
      </c>
      <c r="E53" s="11">
        <f>'Prop Rev.'!C25</f>
        <v>55929.760000000009</v>
      </c>
      <c r="F53" s="7">
        <f t="shared" si="3"/>
        <v>291</v>
      </c>
    </row>
    <row r="54" spans="1:6" x14ac:dyDescent="0.2">
      <c r="A54" s="7">
        <f t="shared" si="4"/>
        <v>6</v>
      </c>
      <c r="C54" s="7" t="s">
        <v>501</v>
      </c>
      <c r="D54" s="7" t="s">
        <v>669</v>
      </c>
      <c r="E54" s="11">
        <f>'Prop Rev.'!C10</f>
        <v>9744.43</v>
      </c>
      <c r="F54" s="7">
        <f t="shared" si="3"/>
        <v>51</v>
      </c>
    </row>
    <row r="55" spans="1:6" x14ac:dyDescent="0.2">
      <c r="A55" s="7">
        <f t="shared" si="4"/>
        <v>7</v>
      </c>
      <c r="C55" s="7" t="s">
        <v>439</v>
      </c>
      <c r="D55" s="7" t="s">
        <v>669</v>
      </c>
      <c r="E55" s="11">
        <f>'Prop Rev.'!C11</f>
        <v>13751.73</v>
      </c>
      <c r="F55" s="7">
        <f t="shared" si="3"/>
        <v>72</v>
      </c>
    </row>
    <row r="56" spans="1:6" x14ac:dyDescent="0.2">
      <c r="A56" s="7">
        <f t="shared" si="4"/>
        <v>8</v>
      </c>
      <c r="C56" s="7" t="s">
        <v>509</v>
      </c>
      <c r="D56" s="7" t="s">
        <v>669</v>
      </c>
      <c r="E56" s="11">
        <f>'Prop Rev.'!C38</f>
        <v>67641</v>
      </c>
      <c r="F56" s="7">
        <f t="shared" si="3"/>
        <v>352</v>
      </c>
    </row>
    <row r="57" spans="1:6" x14ac:dyDescent="0.2">
      <c r="A57" s="7">
        <f t="shared" si="4"/>
        <v>9</v>
      </c>
      <c r="C57" s="7" t="s">
        <v>510</v>
      </c>
      <c r="D57" s="7" t="s">
        <v>669</v>
      </c>
      <c r="E57" s="11">
        <f>'Prop Rev.'!C39</f>
        <v>224062.07999999999</v>
      </c>
      <c r="F57" s="7">
        <f t="shared" si="3"/>
        <v>1167</v>
      </c>
    </row>
    <row r="58" spans="1:6" x14ac:dyDescent="0.2">
      <c r="A58" s="7">
        <f t="shared" si="4"/>
        <v>10</v>
      </c>
      <c r="C58" s="7" t="s">
        <v>511</v>
      </c>
      <c r="D58" s="7" t="s">
        <v>669</v>
      </c>
      <c r="E58" s="11">
        <f>'Prop Rev.'!C40</f>
        <v>221010.72000000003</v>
      </c>
      <c r="F58" s="7">
        <f t="shared" si="3"/>
        <v>1151</v>
      </c>
    </row>
    <row r="59" spans="1:6" x14ac:dyDescent="0.2">
      <c r="A59" s="7">
        <f t="shared" si="4"/>
        <v>11</v>
      </c>
      <c r="C59" s="7" t="s">
        <v>507</v>
      </c>
      <c r="D59" s="7" t="s">
        <v>669</v>
      </c>
      <c r="E59" s="11">
        <f>'Prop Rev.'!C42</f>
        <v>411572.36</v>
      </c>
      <c r="F59" s="7">
        <f t="shared" si="3"/>
        <v>2143</v>
      </c>
    </row>
    <row r="60" spans="1:6" x14ac:dyDescent="0.2">
      <c r="A60" s="7">
        <f t="shared" si="4"/>
        <v>12</v>
      </c>
      <c r="C60" s="7" t="s">
        <v>606</v>
      </c>
      <c r="D60" s="7" t="s">
        <v>669</v>
      </c>
      <c r="E60" s="11">
        <f>'Prop Rev.'!C43</f>
        <v>189660</v>
      </c>
      <c r="F60" s="7">
        <f t="shared" si="3"/>
        <v>988</v>
      </c>
    </row>
    <row r="61" spans="1:6" x14ac:dyDescent="0.2">
      <c r="A61" s="7">
        <f t="shared" si="4"/>
        <v>13</v>
      </c>
      <c r="C61" s="7" t="s">
        <v>508</v>
      </c>
      <c r="D61" s="7" t="s">
        <v>669</v>
      </c>
      <c r="E61" s="334">
        <f>'Prop Rev.'!C46</f>
        <v>500855.40000000008</v>
      </c>
      <c r="F61" s="184">
        <f>F62-SUM(F50:F60)</f>
        <v>2608</v>
      </c>
    </row>
    <row r="62" spans="1:6" x14ac:dyDescent="0.2">
      <c r="A62" s="7">
        <f t="shared" si="4"/>
        <v>14</v>
      </c>
      <c r="B62" s="7" t="s">
        <v>12</v>
      </c>
      <c r="E62" s="7">
        <f>SUM(E50:E61)</f>
        <v>116757075.63000003</v>
      </c>
      <c r="F62" s="11">
        <v>608048</v>
      </c>
    </row>
    <row r="64" spans="1:6" x14ac:dyDescent="0.2">
      <c r="A64" s="7">
        <f>A62+1</f>
        <v>15</v>
      </c>
      <c r="B64" s="12" t="s">
        <v>674</v>
      </c>
    </row>
    <row r="66" spans="1:6" x14ac:dyDescent="0.2">
      <c r="A66" s="12">
        <f>A64+1</f>
        <v>16</v>
      </c>
      <c r="B66" s="12"/>
      <c r="C66" s="12" t="s">
        <v>675</v>
      </c>
      <c r="D66" s="12"/>
      <c r="E66" s="12"/>
      <c r="F66" s="12">
        <f>F50+F55</f>
        <v>391160</v>
      </c>
    </row>
    <row r="67" spans="1:6" x14ac:dyDescent="0.2">
      <c r="A67" s="12">
        <f>A66+1</f>
        <v>17</v>
      </c>
      <c r="B67" s="12"/>
      <c r="C67" s="12" t="s">
        <v>526</v>
      </c>
      <c r="D67" s="12"/>
      <c r="E67" s="12"/>
      <c r="F67" s="12">
        <f>F51+F54</f>
        <v>173234</v>
      </c>
    </row>
    <row r="68" spans="1:6" x14ac:dyDescent="0.2">
      <c r="A68" s="12">
        <f>A67+1</f>
        <v>18</v>
      </c>
      <c r="B68" s="12"/>
      <c r="C68" s="12" t="s">
        <v>486</v>
      </c>
      <c r="D68" s="12"/>
      <c r="E68" s="12"/>
      <c r="F68" s="12">
        <f>F53</f>
        <v>291</v>
      </c>
    </row>
    <row r="69" spans="1:6" x14ac:dyDescent="0.2">
      <c r="A69" s="12">
        <f>A68+1</f>
        <v>19</v>
      </c>
      <c r="B69" s="12"/>
      <c r="C69" s="12" t="s">
        <v>487</v>
      </c>
      <c r="D69" s="12"/>
      <c r="E69" s="12"/>
      <c r="F69" s="12">
        <f>F56+F59</f>
        <v>2495</v>
      </c>
    </row>
    <row r="70" spans="1:6" x14ac:dyDescent="0.2">
      <c r="A70" s="12">
        <f>A69+1</f>
        <v>20</v>
      </c>
      <c r="B70" s="12"/>
      <c r="C70" s="12" t="s">
        <v>632</v>
      </c>
      <c r="D70" s="12"/>
      <c r="E70" s="12"/>
      <c r="F70" s="51">
        <f>F52+F57+F58+F61+F60</f>
        <v>40868</v>
      </c>
    </row>
    <row r="71" spans="1:6" x14ac:dyDescent="0.2">
      <c r="A71" s="12">
        <f>A70+1</f>
        <v>21</v>
      </c>
      <c r="B71" s="12"/>
      <c r="C71" s="12" t="s">
        <v>12</v>
      </c>
      <c r="D71" s="12"/>
      <c r="E71" s="12"/>
      <c r="F71" s="12">
        <f>SUM(F66:F70)</f>
        <v>608048</v>
      </c>
    </row>
  </sheetData>
  <mergeCells count="6">
    <mergeCell ref="A41:F41"/>
    <mergeCell ref="A42:F42"/>
    <mergeCell ref="A1:F1"/>
    <mergeCell ref="A2:F2"/>
    <mergeCell ref="A3:F3"/>
    <mergeCell ref="A40:F40"/>
  </mergeCells>
  <phoneticPr fontId="3" type="noConversion"/>
  <pageMargins left="0" right="0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zoomScaleNormal="100" workbookViewId="0">
      <selection activeCell="C39" sqref="C39"/>
    </sheetView>
  </sheetViews>
  <sheetFormatPr defaultRowHeight="12" x14ac:dyDescent="0.2"/>
  <cols>
    <col min="1" max="1" width="15.83203125" style="7" customWidth="1"/>
    <col min="2" max="2" width="9.33203125" style="7"/>
    <col min="3" max="3" width="16.33203125" style="7" customWidth="1"/>
    <col min="4" max="4" width="17" style="7" bestFit="1" customWidth="1"/>
    <col min="5" max="5" width="14" style="7" customWidth="1"/>
    <col min="6" max="6" width="11.5" style="7" customWidth="1"/>
    <col min="7" max="7" width="13.5" style="7" customWidth="1"/>
    <col min="8" max="8" width="11.33203125" style="7" customWidth="1"/>
    <col min="9" max="9" width="12.5" style="7" customWidth="1"/>
    <col min="10" max="16384" width="9.33203125" style="7"/>
  </cols>
  <sheetData>
    <row r="1" spans="1:9" x14ac:dyDescent="0.2">
      <c r="E1" s="343" t="s">
        <v>580</v>
      </c>
    </row>
    <row r="2" spans="1:9" x14ac:dyDescent="0.2">
      <c r="E2" s="343" t="s">
        <v>647</v>
      </c>
    </row>
    <row r="3" spans="1:9" x14ac:dyDescent="0.2">
      <c r="C3" s="11"/>
      <c r="D3" s="11"/>
      <c r="E3" s="57" t="s">
        <v>958</v>
      </c>
      <c r="F3" s="11"/>
      <c r="G3" s="11"/>
      <c r="H3" s="11"/>
    </row>
    <row r="4" spans="1:9" x14ac:dyDescent="0.2">
      <c r="C4" s="11"/>
      <c r="D4" s="11"/>
      <c r="E4" s="57"/>
      <c r="F4" s="11"/>
      <c r="G4" s="11"/>
      <c r="H4" s="11"/>
    </row>
    <row r="5" spans="1:9" x14ac:dyDescent="0.2">
      <c r="A5" s="12" t="s">
        <v>436</v>
      </c>
      <c r="B5" s="7" t="s">
        <v>585</v>
      </c>
      <c r="E5" s="343"/>
    </row>
    <row r="6" spans="1:9" x14ac:dyDescent="0.2">
      <c r="C6" s="11"/>
      <c r="D6" s="11"/>
      <c r="E6" s="11"/>
      <c r="F6" s="11"/>
      <c r="G6" s="11"/>
      <c r="H6" s="11"/>
      <c r="I6" s="11"/>
    </row>
    <row r="7" spans="1:9" x14ac:dyDescent="0.2">
      <c r="A7" s="51" t="s">
        <v>477</v>
      </c>
      <c r="B7" s="51"/>
      <c r="C7" s="61"/>
      <c r="D7" s="61"/>
      <c r="E7" s="61"/>
      <c r="F7" s="61"/>
      <c r="G7" s="61"/>
      <c r="H7" s="11"/>
      <c r="I7" s="11"/>
    </row>
    <row r="8" spans="1:9" x14ac:dyDescent="0.2">
      <c r="A8" s="340" t="s">
        <v>437</v>
      </c>
      <c r="B8" s="340"/>
      <c r="C8" s="61" t="s">
        <v>12</v>
      </c>
      <c r="D8" s="61" t="str">
        <f>Input!C12</f>
        <v>GS-RESIDENTIAL</v>
      </c>
      <c r="E8" s="61" t="str">
        <f>Input!C13</f>
        <v>GS-OTHER</v>
      </c>
      <c r="F8" s="61" t="str">
        <f>Input!C14</f>
        <v>IUS</v>
      </c>
      <c r="G8" s="61" t="str">
        <f>Input!C15</f>
        <v>DS-ML</v>
      </c>
      <c r="H8" s="61" t="str">
        <f>Input!C16</f>
        <v>DS/IS</v>
      </c>
      <c r="I8" s="58" t="str">
        <f>Input!C17</f>
        <v>NOT USED</v>
      </c>
    </row>
    <row r="9" spans="1:9" x14ac:dyDescent="0.2">
      <c r="A9" s="340" t="s">
        <v>438</v>
      </c>
      <c r="B9" s="340"/>
      <c r="C9" s="63">
        <f>SUM(D9:L9)</f>
        <v>62630985.830000006</v>
      </c>
      <c r="D9" s="63">
        <v>62630985.830000006</v>
      </c>
      <c r="E9" s="63"/>
      <c r="F9" s="63"/>
      <c r="G9" s="63"/>
      <c r="H9" s="63"/>
      <c r="I9" s="11"/>
    </row>
    <row r="10" spans="1:9" x14ac:dyDescent="0.2">
      <c r="A10" s="340" t="s">
        <v>448</v>
      </c>
      <c r="B10" s="340"/>
      <c r="C10" s="63">
        <f t="shared" ref="C10:C23" si="0">SUM(D10:L10)</f>
        <v>9744.43</v>
      </c>
      <c r="D10" s="63"/>
      <c r="E10" s="63">
        <v>9744.43</v>
      </c>
      <c r="F10" s="63"/>
      <c r="G10" s="63"/>
      <c r="H10" s="63"/>
      <c r="I10" s="11"/>
    </row>
    <row r="11" spans="1:9" x14ac:dyDescent="0.2">
      <c r="A11" s="340" t="s">
        <v>439</v>
      </c>
      <c r="B11" s="340"/>
      <c r="C11" s="63">
        <f t="shared" si="0"/>
        <v>13751.73</v>
      </c>
      <c r="D11" s="63">
        <v>13751.73</v>
      </c>
      <c r="E11" s="63"/>
      <c r="F11" s="63"/>
      <c r="G11" s="63"/>
      <c r="H11" s="63"/>
      <c r="I11" s="11"/>
    </row>
    <row r="12" spans="1:9" x14ac:dyDescent="0.2">
      <c r="A12" s="340" t="s">
        <v>450</v>
      </c>
      <c r="B12" s="340"/>
      <c r="C12" s="63">
        <f t="shared" si="0"/>
        <v>396.08</v>
      </c>
      <c r="D12" s="63">
        <v>396.08</v>
      </c>
      <c r="E12" s="63"/>
      <c r="F12" s="63"/>
      <c r="G12" s="63"/>
      <c r="H12" s="63"/>
      <c r="I12" s="11"/>
    </row>
    <row r="13" spans="1:9" x14ac:dyDescent="0.2">
      <c r="A13" s="340" t="s">
        <v>434</v>
      </c>
      <c r="B13" s="340"/>
      <c r="C13" s="63">
        <f t="shared" si="0"/>
        <v>0</v>
      </c>
      <c r="D13" s="63">
        <v>0</v>
      </c>
      <c r="E13" s="63"/>
      <c r="F13" s="63"/>
      <c r="G13" s="63"/>
      <c r="H13" s="63"/>
      <c r="I13" s="11"/>
    </row>
    <row r="14" spans="1:9" x14ac:dyDescent="0.2">
      <c r="A14" s="340" t="s">
        <v>435</v>
      </c>
      <c r="B14" s="340"/>
      <c r="C14" s="63">
        <f t="shared" si="0"/>
        <v>200.16</v>
      </c>
      <c r="D14" s="63">
        <v>200.16</v>
      </c>
      <c r="E14" s="63"/>
      <c r="F14" s="63"/>
      <c r="G14" s="63"/>
      <c r="H14" s="63"/>
      <c r="I14" s="11"/>
    </row>
    <row r="15" spans="1:9" x14ac:dyDescent="0.2">
      <c r="A15" s="340" t="s">
        <v>449</v>
      </c>
      <c r="B15" s="340"/>
      <c r="C15" s="63">
        <f t="shared" si="0"/>
        <v>460.68000000000006</v>
      </c>
      <c r="D15" s="63">
        <v>211.84000000000003</v>
      </c>
      <c r="E15" s="63">
        <v>248.84000000000003</v>
      </c>
      <c r="F15" s="63"/>
      <c r="G15" s="63"/>
      <c r="H15" s="63"/>
      <c r="I15" s="11"/>
    </row>
    <row r="16" spans="1:9" x14ac:dyDescent="0.2">
      <c r="A16" s="340" t="s">
        <v>441</v>
      </c>
      <c r="B16" s="340"/>
      <c r="C16" s="63">
        <f t="shared" si="0"/>
        <v>255.82</v>
      </c>
      <c r="D16" s="380">
        <v>255.82</v>
      </c>
      <c r="E16" s="63"/>
      <c r="F16" s="63"/>
      <c r="G16" s="63"/>
      <c r="H16" s="63"/>
      <c r="I16" s="11"/>
    </row>
    <row r="17" spans="1:9" x14ac:dyDescent="0.2">
      <c r="A17" s="340" t="s">
        <v>442</v>
      </c>
      <c r="B17" s="340"/>
      <c r="C17" s="63">
        <f t="shared" si="0"/>
        <v>103.04000000000002</v>
      </c>
      <c r="D17" s="63">
        <v>103.04000000000002</v>
      </c>
      <c r="E17" s="63"/>
      <c r="F17" s="63"/>
      <c r="G17" s="63"/>
      <c r="H17" s="63"/>
      <c r="I17" s="11"/>
    </row>
    <row r="18" spans="1:9" x14ac:dyDescent="0.2">
      <c r="A18" s="340" t="s">
        <v>451</v>
      </c>
      <c r="B18" s="340"/>
      <c r="C18" s="63">
        <f t="shared" si="0"/>
        <v>22437013.989999998</v>
      </c>
      <c r="D18" s="63"/>
      <c r="E18" s="63">
        <v>22437013.989999998</v>
      </c>
      <c r="F18" s="63"/>
      <c r="G18" s="63"/>
      <c r="H18" s="63"/>
      <c r="I18" s="11"/>
    </row>
    <row r="19" spans="1:9" x14ac:dyDescent="0.2">
      <c r="A19" s="340" t="s">
        <v>452</v>
      </c>
      <c r="B19" s="340"/>
      <c r="C19" s="63">
        <f t="shared" si="0"/>
        <v>1723026.5999999999</v>
      </c>
      <c r="D19" s="63"/>
      <c r="E19" s="63">
        <v>1723026.5999999999</v>
      </c>
      <c r="F19" s="63"/>
      <c r="G19" s="63"/>
      <c r="H19" s="63"/>
      <c r="I19" s="11"/>
    </row>
    <row r="20" spans="1:9" x14ac:dyDescent="0.2">
      <c r="A20" s="10" t="s">
        <v>596</v>
      </c>
      <c r="B20" s="340"/>
      <c r="C20" s="63">
        <f t="shared" si="0"/>
        <v>0</v>
      </c>
      <c r="D20" s="63"/>
      <c r="E20" s="63">
        <v>0</v>
      </c>
      <c r="F20" s="63"/>
      <c r="G20" s="11"/>
      <c r="H20" s="63"/>
      <c r="I20" s="11"/>
    </row>
    <row r="21" spans="1:9" x14ac:dyDescent="0.2">
      <c r="A21" s="10" t="s">
        <v>597</v>
      </c>
      <c r="B21" s="340"/>
      <c r="C21" s="63">
        <f t="shared" si="0"/>
        <v>0</v>
      </c>
      <c r="D21" s="63"/>
      <c r="E21" s="63">
        <v>0</v>
      </c>
      <c r="F21" s="63"/>
      <c r="G21" s="11"/>
      <c r="H21" s="63"/>
      <c r="I21" s="11"/>
    </row>
    <row r="22" spans="1:9" x14ac:dyDescent="0.2">
      <c r="A22" s="340" t="s">
        <v>594</v>
      </c>
      <c r="B22" s="340"/>
      <c r="C22" s="63">
        <f t="shared" si="0"/>
        <v>0</v>
      </c>
      <c r="D22" s="63"/>
      <c r="E22" s="63">
        <v>0</v>
      </c>
      <c r="F22" s="63"/>
      <c r="G22" s="63"/>
      <c r="H22" s="63">
        <v>0</v>
      </c>
      <c r="I22" s="11"/>
    </row>
    <row r="23" spans="1:9" x14ac:dyDescent="0.2">
      <c r="A23" s="340" t="s">
        <v>598</v>
      </c>
      <c r="B23" s="340"/>
      <c r="C23" s="63">
        <f t="shared" si="0"/>
        <v>0</v>
      </c>
      <c r="D23" s="63"/>
      <c r="E23" s="63">
        <v>0</v>
      </c>
      <c r="F23" s="63"/>
      <c r="G23" s="63">
        <v>0</v>
      </c>
      <c r="H23" s="63">
        <v>0</v>
      </c>
      <c r="I23" s="11"/>
    </row>
    <row r="24" spans="1:9" x14ac:dyDescent="0.2">
      <c r="A24" s="340" t="s">
        <v>453</v>
      </c>
      <c r="B24" s="340"/>
      <c r="C24" s="63">
        <f>SUM(D24:K24)</f>
        <v>0</v>
      </c>
      <c r="D24" s="380"/>
      <c r="E24" s="380"/>
      <c r="F24" s="380"/>
      <c r="G24" s="11"/>
      <c r="H24" s="63"/>
      <c r="I24" s="11"/>
    </row>
    <row r="25" spans="1:9" x14ac:dyDescent="0.2">
      <c r="A25" s="340" t="s">
        <v>470</v>
      </c>
      <c r="B25" s="340"/>
      <c r="C25" s="63">
        <f>SUM(D25:L25)</f>
        <v>55929.760000000009</v>
      </c>
      <c r="D25" s="380">
        <v>0</v>
      </c>
      <c r="E25" s="380">
        <v>0</v>
      </c>
      <c r="F25" s="63">
        <v>55929.760000000009</v>
      </c>
      <c r="G25" s="380"/>
      <c r="H25" s="11"/>
      <c r="I25" s="11"/>
    </row>
    <row r="26" spans="1:9" x14ac:dyDescent="0.2">
      <c r="A26" s="340" t="s">
        <v>491</v>
      </c>
      <c r="B26" s="340"/>
      <c r="C26" s="63">
        <f>SUM(D26:L26)</f>
        <v>0</v>
      </c>
      <c r="D26" s="380"/>
      <c r="E26" s="11"/>
      <c r="F26" s="380"/>
      <c r="G26" s="380"/>
      <c r="H26" s="63">
        <v>0</v>
      </c>
      <c r="I26" s="11"/>
    </row>
    <row r="27" spans="1:9" x14ac:dyDescent="0.2">
      <c r="A27" s="340" t="s">
        <v>490</v>
      </c>
      <c r="B27" s="340"/>
      <c r="C27" s="63">
        <f>SUM(D27:L27)</f>
        <v>0</v>
      </c>
      <c r="D27" s="380"/>
      <c r="E27" s="11"/>
      <c r="F27" s="380"/>
      <c r="G27" s="380"/>
      <c r="H27" s="63">
        <v>0</v>
      </c>
      <c r="I27" s="11"/>
    </row>
    <row r="28" spans="1:9" x14ac:dyDescent="0.2">
      <c r="A28" s="340" t="s">
        <v>488</v>
      </c>
      <c r="B28" s="340"/>
      <c r="C28" s="63">
        <f>SUM(D28:L28)</f>
        <v>0</v>
      </c>
      <c r="D28" s="380"/>
      <c r="E28" s="11"/>
      <c r="F28" s="380"/>
      <c r="G28" s="380"/>
      <c r="H28" s="63">
        <v>0</v>
      </c>
      <c r="I28" s="11"/>
    </row>
    <row r="29" spans="1:9" ht="14.25" x14ac:dyDescent="0.35">
      <c r="A29" s="340" t="s">
        <v>489</v>
      </c>
      <c r="B29" s="340"/>
      <c r="C29" s="158">
        <f>SUM(D29:L29)</f>
        <v>0</v>
      </c>
      <c r="D29" s="158">
        <v>0</v>
      </c>
      <c r="E29" s="158">
        <v>0</v>
      </c>
      <c r="F29" s="158">
        <v>0</v>
      </c>
      <c r="G29" s="158">
        <v>0</v>
      </c>
      <c r="H29" s="158">
        <v>0</v>
      </c>
      <c r="I29" s="11"/>
    </row>
    <row r="30" spans="1:9" ht="14.25" x14ac:dyDescent="0.35">
      <c r="A30" s="54" t="s">
        <v>471</v>
      </c>
      <c r="B30" s="54"/>
      <c r="C30" s="159">
        <f t="shared" ref="C30:H30" si="1">SUM(C9:C29)</f>
        <v>86871868.11999999</v>
      </c>
      <c r="D30" s="159">
        <f t="shared" si="1"/>
        <v>62645904.5</v>
      </c>
      <c r="E30" s="159">
        <f t="shared" si="1"/>
        <v>24170033.859999999</v>
      </c>
      <c r="F30" s="159">
        <f t="shared" si="1"/>
        <v>55929.760000000009</v>
      </c>
      <c r="G30" s="160">
        <f t="shared" si="1"/>
        <v>0</v>
      </c>
      <c r="H30" s="159">
        <f t="shared" si="1"/>
        <v>0</v>
      </c>
      <c r="I30" s="11"/>
    </row>
    <row r="31" spans="1:9" x14ac:dyDescent="0.2">
      <c r="A31" s="340" t="s">
        <v>446</v>
      </c>
      <c r="B31" s="340"/>
      <c r="C31" s="63">
        <f t="shared" ref="C31:C38" si="2">SUM(D31:L31)</f>
        <v>12465511.74</v>
      </c>
      <c r="D31" s="63">
        <v>12465511.74</v>
      </c>
      <c r="E31" s="63"/>
      <c r="F31" s="63"/>
      <c r="G31" s="63"/>
      <c r="H31" s="63"/>
      <c r="I31" s="11"/>
    </row>
    <row r="32" spans="1:9" x14ac:dyDescent="0.2">
      <c r="A32" s="340" t="s">
        <v>454</v>
      </c>
      <c r="B32" s="340"/>
      <c r="C32" s="63">
        <f t="shared" si="2"/>
        <v>7975145.7399999974</v>
      </c>
      <c r="D32" s="63"/>
      <c r="E32" s="63">
        <v>7975145.7399999974</v>
      </c>
      <c r="F32" s="63"/>
      <c r="G32" s="63"/>
      <c r="H32" s="63"/>
      <c r="I32" s="11"/>
    </row>
    <row r="33" spans="1:9" x14ac:dyDescent="0.2">
      <c r="A33" s="340" t="s">
        <v>455</v>
      </c>
      <c r="B33" s="340"/>
      <c r="C33" s="63">
        <f t="shared" si="2"/>
        <v>192716.81000000003</v>
      </c>
      <c r="D33" s="63"/>
      <c r="E33" s="63">
        <v>192716.81000000003</v>
      </c>
      <c r="F33" s="63"/>
      <c r="G33" s="63"/>
      <c r="H33" s="63"/>
      <c r="I33" s="11"/>
    </row>
    <row r="34" spans="1:9" x14ac:dyDescent="0.2">
      <c r="A34" s="340" t="s">
        <v>588</v>
      </c>
      <c r="B34" s="340"/>
      <c r="C34" s="63">
        <f t="shared" si="2"/>
        <v>1868525</v>
      </c>
      <c r="D34" s="63"/>
      <c r="E34" s="63"/>
      <c r="F34" s="63"/>
      <c r="G34" s="63"/>
      <c r="H34" s="63">
        <v>1868525</v>
      </c>
      <c r="I34" s="11"/>
    </row>
    <row r="35" spans="1:9" x14ac:dyDescent="0.2">
      <c r="A35" s="340" t="s">
        <v>589</v>
      </c>
      <c r="B35" s="340"/>
      <c r="C35" s="63">
        <f t="shared" si="2"/>
        <v>4843276.4499999993</v>
      </c>
      <c r="D35" s="380"/>
      <c r="E35" s="380"/>
      <c r="F35" s="380"/>
      <c r="G35" s="380"/>
      <c r="H35" s="63">
        <v>4843276.4499999993</v>
      </c>
      <c r="I35" s="11"/>
    </row>
    <row r="36" spans="1:9" x14ac:dyDescent="0.2">
      <c r="A36" s="340" t="s">
        <v>590</v>
      </c>
      <c r="B36" s="340"/>
      <c r="C36" s="63">
        <f t="shared" si="2"/>
        <v>522630.61</v>
      </c>
      <c r="D36" s="380"/>
      <c r="E36" s="63">
        <v>522630.61</v>
      </c>
      <c r="F36" s="380"/>
      <c r="G36" s="380"/>
      <c r="H36" s="63"/>
      <c r="I36" s="11"/>
    </row>
    <row r="37" spans="1:9" x14ac:dyDescent="0.2">
      <c r="A37" s="340" t="s">
        <v>591</v>
      </c>
      <c r="B37" s="340"/>
      <c r="C37" s="63">
        <f t="shared" si="2"/>
        <v>404015.38</v>
      </c>
      <c r="D37" s="380"/>
      <c r="E37" s="63">
        <v>404015.38</v>
      </c>
      <c r="F37" s="380"/>
      <c r="G37" s="380"/>
      <c r="H37" s="63"/>
      <c r="I37" s="11"/>
    </row>
    <row r="38" spans="1:9" x14ac:dyDescent="0.2">
      <c r="A38" s="340" t="s">
        <v>459</v>
      </c>
      <c r="B38" s="340"/>
      <c r="C38" s="63">
        <f t="shared" si="2"/>
        <v>67641</v>
      </c>
      <c r="D38" s="380"/>
      <c r="E38" s="380"/>
      <c r="F38" s="380"/>
      <c r="G38" s="63">
        <v>67641</v>
      </c>
      <c r="H38" s="11"/>
      <c r="I38" s="11"/>
    </row>
    <row r="39" spans="1:9" x14ac:dyDescent="0.2">
      <c r="A39" s="340" t="s">
        <v>462</v>
      </c>
      <c r="B39" s="340"/>
      <c r="C39" s="63">
        <f t="shared" ref="C39:C46" si="3">SUM(D39:K39)</f>
        <v>224062.07999999999</v>
      </c>
      <c r="D39" s="380"/>
      <c r="E39" s="380"/>
      <c r="F39" s="63"/>
      <c r="G39" s="380"/>
      <c r="H39" s="11">
        <v>224062.07999999999</v>
      </c>
      <c r="I39" s="11"/>
    </row>
    <row r="40" spans="1:9" x14ac:dyDescent="0.2">
      <c r="A40" s="340" t="s">
        <v>1039</v>
      </c>
      <c r="B40" s="340"/>
      <c r="C40" s="63">
        <f t="shared" si="3"/>
        <v>221010.72000000003</v>
      </c>
      <c r="D40" s="380"/>
      <c r="E40" s="380"/>
      <c r="F40" s="63"/>
      <c r="G40" s="380"/>
      <c r="H40" s="11">
        <v>221010.72000000003</v>
      </c>
      <c r="I40" s="11"/>
    </row>
    <row r="41" spans="1:9" x14ac:dyDescent="0.2">
      <c r="A41" s="340" t="s">
        <v>461</v>
      </c>
      <c r="B41" s="340"/>
      <c r="C41" s="63">
        <f t="shared" si="3"/>
        <v>0</v>
      </c>
      <c r="D41" s="380"/>
      <c r="E41" s="380"/>
      <c r="F41" s="63"/>
      <c r="G41" s="380"/>
      <c r="H41" s="11"/>
      <c r="I41" s="11"/>
    </row>
    <row r="42" spans="1:9" x14ac:dyDescent="0.2">
      <c r="A42" s="340" t="s">
        <v>464</v>
      </c>
      <c r="B42" s="340"/>
      <c r="C42" s="63">
        <f t="shared" si="3"/>
        <v>411572.36</v>
      </c>
      <c r="D42" s="380"/>
      <c r="E42" s="380"/>
      <c r="F42" s="63"/>
      <c r="G42" s="11">
        <v>411572.36</v>
      </c>
      <c r="H42" s="63"/>
      <c r="I42" s="11"/>
    </row>
    <row r="43" spans="1:9" x14ac:dyDescent="0.2">
      <c r="A43" s="340" t="s">
        <v>592</v>
      </c>
      <c r="B43" s="340"/>
      <c r="C43" s="63">
        <f>SUM(D43:K43)</f>
        <v>189660</v>
      </c>
      <c r="D43" s="380"/>
      <c r="E43" s="380"/>
      <c r="F43" s="63"/>
      <c r="G43" s="11"/>
      <c r="H43" s="63">
        <v>189660</v>
      </c>
      <c r="I43" s="11"/>
    </row>
    <row r="44" spans="1:9" x14ac:dyDescent="0.2">
      <c r="A44" s="340" t="s">
        <v>593</v>
      </c>
      <c r="B44" s="340"/>
      <c r="C44" s="63">
        <f>SUM(D44:K44)</f>
        <v>0</v>
      </c>
      <c r="D44" s="380"/>
      <c r="E44" s="380"/>
      <c r="F44" s="63"/>
      <c r="G44" s="11"/>
      <c r="H44" s="11"/>
      <c r="I44" s="11"/>
    </row>
    <row r="45" spans="1:9" x14ac:dyDescent="0.2">
      <c r="A45" s="340" t="s">
        <v>466</v>
      </c>
      <c r="B45" s="340"/>
      <c r="C45" s="63">
        <f t="shared" si="3"/>
        <v>0</v>
      </c>
      <c r="D45" s="380"/>
      <c r="E45" s="380"/>
      <c r="F45" s="380"/>
      <c r="G45" s="380"/>
      <c r="H45" s="63">
        <v>0</v>
      </c>
      <c r="I45" s="11"/>
    </row>
    <row r="46" spans="1:9" ht="14.25" x14ac:dyDescent="0.35">
      <c r="A46" s="340" t="s">
        <v>467</v>
      </c>
      <c r="B46" s="340"/>
      <c r="C46" s="158">
        <f t="shared" si="3"/>
        <v>500855.40000000008</v>
      </c>
      <c r="D46" s="73">
        <v>0</v>
      </c>
      <c r="E46" s="73">
        <v>0</v>
      </c>
      <c r="F46" s="73">
        <v>0</v>
      </c>
      <c r="G46" s="73">
        <v>0</v>
      </c>
      <c r="H46" s="158">
        <v>500855.40000000008</v>
      </c>
      <c r="I46" s="11"/>
    </row>
    <row r="47" spans="1:9" ht="14.25" x14ac:dyDescent="0.35">
      <c r="A47" s="54" t="s">
        <v>472</v>
      </c>
      <c r="B47" s="54"/>
      <c r="C47" s="53">
        <f t="shared" ref="C47:H47" si="4">SUM(C31:C46)</f>
        <v>29886623.289999988</v>
      </c>
      <c r="D47" s="53">
        <f t="shared" si="4"/>
        <v>12465511.74</v>
      </c>
      <c r="E47" s="53">
        <f t="shared" si="4"/>
        <v>9094508.5399999972</v>
      </c>
      <c r="F47" s="53">
        <f t="shared" si="4"/>
        <v>0</v>
      </c>
      <c r="G47" s="53">
        <f t="shared" si="4"/>
        <v>479213.36</v>
      </c>
      <c r="H47" s="53">
        <f t="shared" si="4"/>
        <v>7847389.6499999994</v>
      </c>
    </row>
    <row r="48" spans="1:9" ht="14.25" x14ac:dyDescent="0.35">
      <c r="A48" s="54" t="s">
        <v>482</v>
      </c>
      <c r="B48" s="54"/>
      <c r="C48" s="56">
        <f t="shared" ref="C48:H48" si="5">C30+C47</f>
        <v>116758491.40999998</v>
      </c>
      <c r="D48" s="56">
        <f t="shared" si="5"/>
        <v>75111416.239999995</v>
      </c>
      <c r="E48" s="56">
        <f t="shared" si="5"/>
        <v>33264542.399999999</v>
      </c>
      <c r="F48" s="56">
        <f t="shared" si="5"/>
        <v>55929.760000000009</v>
      </c>
      <c r="G48" s="56">
        <f t="shared" si="5"/>
        <v>479213.36</v>
      </c>
      <c r="H48" s="56">
        <f t="shared" si="5"/>
        <v>7847389.6499999994</v>
      </c>
    </row>
    <row r="50" spans="1:8" x14ac:dyDescent="0.2">
      <c r="A50" s="7" t="s">
        <v>586</v>
      </c>
      <c r="C50" s="7">
        <f>C48-'Sales &amp; Rev'!C97</f>
        <v>25276324.659999996</v>
      </c>
      <c r="D50" s="7">
        <f>D48-'Sales &amp; Rev'!D97</f>
        <v>16386249.799999997</v>
      </c>
      <c r="E50" s="7">
        <f>E48-'Sales &amp; Rev'!E97</f>
        <v>6791443.3900000006</v>
      </c>
      <c r="F50" s="7">
        <f>F48-'Sales &amp; Rev'!F97</f>
        <v>8105.43</v>
      </c>
      <c r="G50" s="7">
        <f>G48-'Sales &amp; Rev'!G97</f>
        <v>0.42000000004190952</v>
      </c>
      <c r="H50" s="7">
        <f>H48-'Sales &amp; Rev'!H97</f>
        <v>2090525.6199999992</v>
      </c>
    </row>
    <row r="52" spans="1:8" x14ac:dyDescent="0.2">
      <c r="A52" s="7" t="s">
        <v>1040</v>
      </c>
      <c r="C52" s="7">
        <f>'Acct 487'!F62-'Acct 487'!F28</f>
        <v>132048</v>
      </c>
    </row>
    <row r="54" spans="1:8" x14ac:dyDescent="0.2">
      <c r="A54" s="7" t="s">
        <v>623</v>
      </c>
      <c r="C54" s="7">
        <f>C52+C50</f>
        <v>25408372.659999996</v>
      </c>
    </row>
    <row r="56" spans="1:8" x14ac:dyDescent="0.2">
      <c r="A56" s="67" t="s">
        <v>545</v>
      </c>
      <c r="C56" s="7">
        <f>SUM(D56:H56)</f>
        <v>62645904.5</v>
      </c>
      <c r="D56" s="7">
        <f>SUM(D9:D17)</f>
        <v>62645904.5</v>
      </c>
    </row>
    <row r="57" spans="1:8" x14ac:dyDescent="0.2">
      <c r="A57" s="67" t="s">
        <v>547</v>
      </c>
      <c r="C57" s="7">
        <f>SUM(D57:H57)</f>
        <v>22447007.259999998</v>
      </c>
      <c r="E57" s="7">
        <f>SUM(E9:E18)</f>
        <v>22447007.259999998</v>
      </c>
    </row>
    <row r="58" spans="1:8" x14ac:dyDescent="0.2">
      <c r="A58" s="67" t="s">
        <v>549</v>
      </c>
      <c r="C58" s="184">
        <f>SUM(D58:H58)</f>
        <v>1778956.3599999999</v>
      </c>
      <c r="D58" s="184"/>
      <c r="E58" s="184">
        <f>E19+E21+E23+E24+E25+E27+E29</f>
        <v>1723026.5999999999</v>
      </c>
      <c r="F58" s="184">
        <f>SUM(F30)</f>
        <v>55929.760000000009</v>
      </c>
      <c r="G58" s="184"/>
      <c r="H58" s="184"/>
    </row>
    <row r="59" spans="1:8" x14ac:dyDescent="0.2">
      <c r="A59" s="67" t="s">
        <v>471</v>
      </c>
      <c r="C59" s="7">
        <f>SUM(C56:C58)</f>
        <v>86871868.11999999</v>
      </c>
      <c r="D59" s="7">
        <f t="shared" ref="D59:H59" si="6">SUM(D56:D58)</f>
        <v>62645904.5</v>
      </c>
      <c r="E59" s="7">
        <f t="shared" si="6"/>
        <v>24170033.859999999</v>
      </c>
      <c r="F59" s="7">
        <f t="shared" si="6"/>
        <v>55929.760000000009</v>
      </c>
      <c r="G59" s="7">
        <f t="shared" si="6"/>
        <v>0</v>
      </c>
      <c r="H59" s="7">
        <f t="shared" si="6"/>
        <v>0</v>
      </c>
    </row>
    <row r="60" spans="1:8" x14ac:dyDescent="0.2">
      <c r="A60" s="67"/>
    </row>
    <row r="61" spans="1:8" x14ac:dyDescent="0.2">
      <c r="A61" s="67" t="s">
        <v>546</v>
      </c>
      <c r="C61" s="7">
        <f t="shared" ref="C61:C63" si="7">SUM(D61:H61)</f>
        <v>12465511.74</v>
      </c>
      <c r="D61" s="7">
        <f>SUM(D31)</f>
        <v>12465511.74</v>
      </c>
    </row>
    <row r="62" spans="1:8" x14ac:dyDescent="0.2">
      <c r="A62" s="67" t="s">
        <v>548</v>
      </c>
      <c r="C62" s="7">
        <f t="shared" si="7"/>
        <v>11187095.619999997</v>
      </c>
      <c r="E62" s="7">
        <f>SUM(E31:E38)</f>
        <v>9094508.5399999972</v>
      </c>
      <c r="H62" s="7">
        <f>SUM(H34,H39)</f>
        <v>2092587.08</v>
      </c>
    </row>
    <row r="63" spans="1:8" x14ac:dyDescent="0.2">
      <c r="A63" s="67" t="s">
        <v>550</v>
      </c>
      <c r="C63" s="184">
        <f t="shared" si="7"/>
        <v>6234015.9299999997</v>
      </c>
      <c r="D63" s="184">
        <v>0</v>
      </c>
      <c r="E63" s="184">
        <v>0</v>
      </c>
      <c r="F63" s="184">
        <v>0</v>
      </c>
      <c r="G63" s="184">
        <f>SUM(G38:G43)</f>
        <v>479213.36</v>
      </c>
      <c r="H63" s="184">
        <f>SUM(H35,H40,H42:H46)</f>
        <v>5754802.5699999994</v>
      </c>
    </row>
    <row r="64" spans="1:8" x14ac:dyDescent="0.2">
      <c r="C64" s="7">
        <f>SUM(C61:C63)</f>
        <v>29886623.289999999</v>
      </c>
      <c r="D64" s="7">
        <f t="shared" ref="D64:H64" si="8">SUM(D61:D63)</f>
        <v>12465511.74</v>
      </c>
      <c r="E64" s="7">
        <f t="shared" si="8"/>
        <v>9094508.5399999972</v>
      </c>
      <c r="F64" s="7">
        <f t="shared" si="8"/>
        <v>0</v>
      </c>
      <c r="G64" s="7">
        <f t="shared" si="8"/>
        <v>479213.36</v>
      </c>
      <c r="H64" s="7">
        <f t="shared" si="8"/>
        <v>7847389.6499999994</v>
      </c>
    </row>
    <row r="66" spans="1:3" x14ac:dyDescent="0.2">
      <c r="A66" s="7" t="s">
        <v>12</v>
      </c>
      <c r="C66" s="7">
        <f>C64+C59</f>
        <v>116758491.41</v>
      </c>
    </row>
  </sheetData>
  <phoneticPr fontId="3" type="noConversion"/>
  <printOptions horizontalCentered="1"/>
  <pageMargins left="0" right="0" top="0.75" bottom="0" header="0.5" footer="0.5"/>
  <pageSetup fitToHeight="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opLeftCell="A8" zoomScaleNormal="100" workbookViewId="0">
      <selection activeCell="C39" sqref="C39"/>
    </sheetView>
  </sheetViews>
  <sheetFormatPr defaultRowHeight="12" x14ac:dyDescent="0.2"/>
  <cols>
    <col min="1" max="1" width="29.83203125" style="7" customWidth="1"/>
    <col min="2" max="2" width="10.33203125" style="7" customWidth="1"/>
    <col min="3" max="3" width="17" style="7" bestFit="1" customWidth="1"/>
    <col min="4" max="4" width="12" style="7" customWidth="1"/>
    <col min="5" max="5" width="10.33203125" style="7" customWidth="1"/>
    <col min="6" max="6" width="10.5" style="7" bestFit="1" customWidth="1"/>
    <col min="7" max="7" width="10" style="7" bestFit="1" customWidth="1"/>
    <col min="8" max="16384" width="9.33203125" style="7"/>
  </cols>
  <sheetData>
    <row r="1" spans="1:7" x14ac:dyDescent="0.2">
      <c r="D1" s="343" t="s">
        <v>44</v>
      </c>
    </row>
    <row r="2" spans="1:7" x14ac:dyDescent="0.2">
      <c r="D2" s="343" t="s">
        <v>540</v>
      </c>
    </row>
    <row r="3" spans="1:7" x14ac:dyDescent="0.2">
      <c r="D3" s="343" t="s">
        <v>541</v>
      </c>
    </row>
    <row r="4" spans="1:7" x14ac:dyDescent="0.2">
      <c r="D4" s="343" t="s">
        <v>844</v>
      </c>
    </row>
    <row r="6" spans="1:7" x14ac:dyDescent="0.2">
      <c r="A6" s="51" t="s">
        <v>493</v>
      </c>
    </row>
    <row r="8" spans="1:7" x14ac:dyDescent="0.2">
      <c r="A8" s="7" t="s">
        <v>494</v>
      </c>
      <c r="B8" s="55" t="s">
        <v>12</v>
      </c>
      <c r="C8" s="55" t="str">
        <f>Customers!D8</f>
        <v>GS-RESIDENTIAL</v>
      </c>
      <c r="D8" s="55" t="str">
        <f>Customers!E8</f>
        <v>GS-OTHER</v>
      </c>
      <c r="E8" s="55" t="str">
        <f>Customers!F8</f>
        <v>IUS</v>
      </c>
      <c r="F8" s="55" t="str">
        <f>Customers!G8</f>
        <v>DS-ML</v>
      </c>
      <c r="G8" s="55" t="str">
        <f>Customers!H8</f>
        <v>DS/IS</v>
      </c>
    </row>
    <row r="10" spans="1:7" x14ac:dyDescent="0.2">
      <c r="A10" s="7" t="s">
        <v>636</v>
      </c>
      <c r="B10" s="7">
        <f t="shared" ref="B10:B12" si="0">SUM(C10:G10)</f>
        <v>137300</v>
      </c>
      <c r="C10" s="11">
        <f>108700+28600</f>
        <v>137300</v>
      </c>
      <c r="D10" s="11"/>
      <c r="E10" s="11"/>
      <c r="F10" s="11"/>
      <c r="G10" s="11"/>
    </row>
    <row r="11" spans="1:7" x14ac:dyDescent="0.2">
      <c r="A11" s="7" t="s">
        <v>495</v>
      </c>
      <c r="B11" s="7">
        <f t="shared" si="0"/>
        <v>54300</v>
      </c>
      <c r="C11" s="11"/>
      <c r="D11" s="11">
        <f>54300</f>
        <v>54300</v>
      </c>
      <c r="E11" s="11"/>
      <c r="F11" s="11"/>
      <c r="G11" s="11"/>
    </row>
    <row r="12" spans="1:7" x14ac:dyDescent="0.2">
      <c r="A12" s="7" t="s">
        <v>496</v>
      </c>
      <c r="B12" s="7">
        <f t="shared" si="0"/>
        <v>3200</v>
      </c>
      <c r="C12" s="11"/>
      <c r="D12" s="11">
        <f>3200</f>
        <v>3200</v>
      </c>
      <c r="E12" s="11"/>
      <c r="F12" s="11"/>
      <c r="G12" s="11"/>
    </row>
    <row r="13" spans="1:7" x14ac:dyDescent="0.2">
      <c r="A13" s="7" t="s">
        <v>486</v>
      </c>
      <c r="B13" s="7">
        <f>SUM(C13:G13)</f>
        <v>200</v>
      </c>
      <c r="C13" s="11"/>
      <c r="D13" s="11"/>
      <c r="E13" s="11">
        <v>200</v>
      </c>
      <c r="F13" s="11"/>
      <c r="G13" s="11"/>
    </row>
    <row r="14" spans="1:7" x14ac:dyDescent="0.2">
      <c r="A14" s="7" t="s">
        <v>600</v>
      </c>
      <c r="B14" s="7">
        <f t="shared" ref="B14:B24" si="1">SUM(C14:G14)</f>
        <v>0</v>
      </c>
      <c r="C14" s="11"/>
      <c r="D14" s="11"/>
      <c r="E14" s="11"/>
      <c r="F14" s="11"/>
      <c r="G14" s="11"/>
    </row>
    <row r="15" spans="1:7" x14ac:dyDescent="0.2">
      <c r="A15" s="7" t="s">
        <v>601</v>
      </c>
      <c r="B15" s="7">
        <f t="shared" si="1"/>
        <v>400</v>
      </c>
      <c r="C15" s="11"/>
      <c r="D15" s="11"/>
      <c r="E15" s="11"/>
      <c r="F15" s="11"/>
      <c r="G15" s="11">
        <v>400</v>
      </c>
    </row>
    <row r="16" spans="1:7" x14ac:dyDescent="0.2">
      <c r="A16" s="7" t="s">
        <v>602</v>
      </c>
      <c r="B16" s="7">
        <f t="shared" si="1"/>
        <v>2600</v>
      </c>
      <c r="C16" s="11"/>
      <c r="D16" s="11"/>
      <c r="E16" s="11"/>
      <c r="F16" s="11"/>
      <c r="G16" s="11">
        <v>2600</v>
      </c>
    </row>
    <row r="17" spans="1:7" x14ac:dyDescent="0.2">
      <c r="A17" s="7" t="s">
        <v>603</v>
      </c>
      <c r="B17" s="7">
        <f t="shared" si="1"/>
        <v>1300</v>
      </c>
      <c r="C17" s="11"/>
      <c r="D17" s="11"/>
      <c r="E17" s="11"/>
      <c r="F17" s="11"/>
      <c r="G17" s="11">
        <v>1300</v>
      </c>
    </row>
    <row r="18" spans="1:7" x14ac:dyDescent="0.2">
      <c r="A18" s="7" t="s">
        <v>497</v>
      </c>
      <c r="B18" s="7">
        <f t="shared" si="1"/>
        <v>25900</v>
      </c>
      <c r="C18" s="11"/>
      <c r="D18" s="11">
        <v>25900</v>
      </c>
      <c r="E18" s="11"/>
      <c r="F18" s="11"/>
      <c r="G18" s="11"/>
    </row>
    <row r="19" spans="1:7" x14ac:dyDescent="0.2">
      <c r="A19" s="7" t="s">
        <v>498</v>
      </c>
      <c r="B19" s="7">
        <f t="shared" si="1"/>
        <v>500</v>
      </c>
      <c r="C19" s="11"/>
      <c r="D19" s="11">
        <v>500</v>
      </c>
      <c r="E19" s="11"/>
      <c r="F19" s="11"/>
      <c r="G19" s="11"/>
    </row>
    <row r="20" spans="1:7" x14ac:dyDescent="0.2">
      <c r="A20" s="7" t="s">
        <v>638</v>
      </c>
      <c r="B20" s="7">
        <f t="shared" si="1"/>
        <v>2900</v>
      </c>
      <c r="C20" s="11"/>
      <c r="D20" s="11">
        <v>2900</v>
      </c>
      <c r="E20" s="11"/>
      <c r="F20" s="11"/>
      <c r="G20" s="11"/>
    </row>
    <row r="21" spans="1:7" x14ac:dyDescent="0.2">
      <c r="A21" s="7" t="s">
        <v>639</v>
      </c>
      <c r="B21" s="7">
        <f t="shared" si="1"/>
        <v>1500</v>
      </c>
      <c r="C21" s="11"/>
      <c r="D21" s="11">
        <v>1500</v>
      </c>
      <c r="E21" s="11"/>
      <c r="F21" s="11"/>
      <c r="G21" s="11"/>
    </row>
    <row r="22" spans="1:7" x14ac:dyDescent="0.2">
      <c r="A22" s="7" t="s">
        <v>499</v>
      </c>
      <c r="B22" s="7">
        <f t="shared" si="1"/>
        <v>25200</v>
      </c>
      <c r="C22" s="11"/>
      <c r="D22" s="11"/>
      <c r="E22" s="11"/>
      <c r="F22" s="11">
        <v>25200</v>
      </c>
      <c r="G22" s="11"/>
    </row>
    <row r="23" spans="1:7" x14ac:dyDescent="0.2">
      <c r="A23" s="7" t="s">
        <v>640</v>
      </c>
      <c r="B23" s="7">
        <f t="shared" si="1"/>
        <v>31900</v>
      </c>
      <c r="C23" s="11"/>
      <c r="D23" s="11"/>
      <c r="E23" s="11"/>
      <c r="F23" s="11"/>
      <c r="G23" s="11">
        <v>31900</v>
      </c>
    </row>
    <row r="24" spans="1:7" x14ac:dyDescent="0.2">
      <c r="A24" s="7" t="s">
        <v>637</v>
      </c>
      <c r="B24" s="7">
        <f t="shared" si="1"/>
        <v>46200</v>
      </c>
      <c r="C24" s="11"/>
      <c r="D24" s="11"/>
      <c r="E24" s="11"/>
      <c r="F24" s="11"/>
      <c r="G24" s="11">
        <v>46200</v>
      </c>
    </row>
    <row r="25" spans="1:7" x14ac:dyDescent="0.2">
      <c r="C25" s="11"/>
      <c r="D25" s="11"/>
      <c r="E25" s="11"/>
      <c r="F25" s="11"/>
      <c r="G25" s="11"/>
    </row>
    <row r="26" spans="1:7" x14ac:dyDescent="0.2">
      <c r="A26" s="12" t="s">
        <v>12</v>
      </c>
      <c r="B26" s="7">
        <f t="shared" ref="B26:G26" si="2">SUM(B10:B25)</f>
        <v>333400</v>
      </c>
      <c r="C26" s="7">
        <f t="shared" si="2"/>
        <v>137300</v>
      </c>
      <c r="D26" s="7">
        <f t="shared" si="2"/>
        <v>88300</v>
      </c>
      <c r="E26" s="7">
        <f t="shared" si="2"/>
        <v>200</v>
      </c>
      <c r="F26" s="7">
        <f t="shared" si="2"/>
        <v>25200</v>
      </c>
      <c r="G26" s="7">
        <f t="shared" si="2"/>
        <v>82400</v>
      </c>
    </row>
    <row r="28" spans="1:7" ht="14.25" x14ac:dyDescent="0.35">
      <c r="A28" s="340" t="s">
        <v>512</v>
      </c>
      <c r="B28" s="121">
        <f>SUM(C28:G28)</f>
        <v>1.0000000000000002</v>
      </c>
      <c r="C28" s="121">
        <f>1-SUM(D28:G28)</f>
        <v>0.41182000000000007</v>
      </c>
      <c r="D28" s="121">
        <f>ROUND(D26/$B$26,5)</f>
        <v>0.26484999999999997</v>
      </c>
      <c r="E28" s="121">
        <f>ROUND(E26/$B$26,5)</f>
        <v>5.9999999999999995E-4</v>
      </c>
      <c r="F28" s="121">
        <f>ROUND(F26/$B$26,5)</f>
        <v>7.5579999999999994E-2</v>
      </c>
      <c r="G28" s="121">
        <f>ROUND(G26/$B$26,5)</f>
        <v>0.24715000000000001</v>
      </c>
    </row>
    <row r="29" spans="1:7" x14ac:dyDescent="0.2">
      <c r="B29" s="89"/>
      <c r="C29" s="89"/>
      <c r="D29" s="89"/>
      <c r="E29" s="89"/>
      <c r="F29" s="89"/>
      <c r="G29" s="89"/>
    </row>
    <row r="30" spans="1:7" x14ac:dyDescent="0.2">
      <c r="B30" s="89"/>
      <c r="C30" s="89"/>
      <c r="D30" s="89"/>
      <c r="E30" s="89"/>
      <c r="F30" s="89"/>
      <c r="G30" s="89"/>
    </row>
    <row r="31" spans="1:7" x14ac:dyDescent="0.2">
      <c r="A31" s="12" t="s">
        <v>543</v>
      </c>
      <c r="B31" s="7">
        <f>SUM(C31:G31)</f>
        <v>308200</v>
      </c>
      <c r="C31" s="52">
        <f>C26</f>
        <v>137300</v>
      </c>
      <c r="D31" s="52">
        <f>D26</f>
        <v>88300</v>
      </c>
      <c r="E31" s="52">
        <f>E26</f>
        <v>200</v>
      </c>
      <c r="F31" s="52">
        <v>0</v>
      </c>
      <c r="G31" s="52">
        <f>G26</f>
        <v>82400</v>
      </c>
    </row>
    <row r="32" spans="1:7" x14ac:dyDescent="0.2">
      <c r="B32" s="89"/>
      <c r="C32" s="89"/>
      <c r="D32" s="89"/>
      <c r="E32" s="89"/>
      <c r="F32" s="89"/>
      <c r="G32" s="89"/>
    </row>
    <row r="33" spans="1:8" ht="14.25" x14ac:dyDescent="0.35">
      <c r="A33" s="340" t="s">
        <v>512</v>
      </c>
      <c r="B33" s="88">
        <f>SUM(C33:G33)</f>
        <v>1</v>
      </c>
      <c r="C33" s="121">
        <f>1-SUM(D33:G33)</f>
        <v>0.44549000000000005</v>
      </c>
      <c r="D33" s="121">
        <f>ROUND(D31/$B$31,5)</f>
        <v>0.28649999999999998</v>
      </c>
      <c r="E33" s="121">
        <f>ROUND(E31/$B$31,5)</f>
        <v>6.4999999999999997E-4</v>
      </c>
      <c r="F33" s="121">
        <f>ROUND(F31/$B$31,5)</f>
        <v>0</v>
      </c>
      <c r="G33" s="121">
        <f>ROUND(G31/$B$31,5)</f>
        <v>0.26735999999999999</v>
      </c>
    </row>
    <row r="34" spans="1:8" x14ac:dyDescent="0.2">
      <c r="B34" s="89"/>
      <c r="C34" s="89"/>
      <c r="D34" s="89"/>
      <c r="E34" s="89"/>
      <c r="F34" s="89"/>
      <c r="G34" s="89"/>
    </row>
    <row r="35" spans="1:8" x14ac:dyDescent="0.2">
      <c r="B35" s="89"/>
      <c r="C35" s="89"/>
      <c r="D35" s="89"/>
      <c r="E35" s="89"/>
      <c r="F35" s="89"/>
      <c r="G35" s="89"/>
    </row>
    <row r="36" spans="1:8" x14ac:dyDescent="0.2">
      <c r="A36" s="12" t="s">
        <v>555</v>
      </c>
      <c r="C36" s="52"/>
      <c r="D36" s="52"/>
      <c r="E36" s="52"/>
      <c r="F36" s="52"/>
      <c r="G36" s="52"/>
      <c r="H36" s="52"/>
    </row>
    <row r="37" spans="1:8" x14ac:dyDescent="0.2">
      <c r="A37" s="12" t="s">
        <v>556</v>
      </c>
      <c r="C37" s="52"/>
      <c r="D37" s="52"/>
      <c r="E37" s="52"/>
      <c r="F37" s="52"/>
      <c r="G37" s="52"/>
      <c r="H37" s="52"/>
    </row>
    <row r="38" spans="1:8" x14ac:dyDescent="0.2">
      <c r="A38" s="7" t="s">
        <v>599</v>
      </c>
      <c r="B38" s="52">
        <f t="shared" ref="B38:B43" si="3">SUM(C38:G38)</f>
        <v>400</v>
      </c>
      <c r="C38" s="52"/>
      <c r="D38" s="52"/>
      <c r="E38" s="52"/>
      <c r="F38" s="52"/>
      <c r="G38" s="63">
        <v>400</v>
      </c>
    </row>
    <row r="39" spans="1:8" x14ac:dyDescent="0.2">
      <c r="A39" s="7" t="s">
        <v>641</v>
      </c>
      <c r="B39" s="52">
        <f t="shared" si="3"/>
        <v>2900</v>
      </c>
      <c r="C39" s="52"/>
      <c r="D39" s="63">
        <v>2900</v>
      </c>
      <c r="E39" s="52"/>
      <c r="F39" s="52"/>
      <c r="G39" s="63"/>
    </row>
    <row r="40" spans="1:8" x14ac:dyDescent="0.2">
      <c r="A40" s="7" t="s">
        <v>642</v>
      </c>
      <c r="B40" s="52">
        <f t="shared" si="3"/>
        <v>1500</v>
      </c>
      <c r="C40" s="52"/>
      <c r="D40" s="63">
        <v>1500</v>
      </c>
      <c r="E40" s="52"/>
      <c r="F40" s="52"/>
      <c r="G40" s="63"/>
    </row>
    <row r="41" spans="1:8" x14ac:dyDescent="0.2">
      <c r="A41" s="7" t="s">
        <v>604</v>
      </c>
      <c r="B41" s="52">
        <f t="shared" si="3"/>
        <v>31900</v>
      </c>
      <c r="C41" s="52"/>
      <c r="D41" s="52"/>
      <c r="E41" s="52"/>
      <c r="F41" s="52"/>
      <c r="G41" s="63">
        <v>31900</v>
      </c>
    </row>
    <row r="42" spans="1:8" ht="14.25" x14ac:dyDescent="0.35">
      <c r="A42" s="7" t="s">
        <v>605</v>
      </c>
      <c r="B42" s="53">
        <f t="shared" si="3"/>
        <v>46200</v>
      </c>
      <c r="C42" s="53"/>
      <c r="D42" s="53"/>
      <c r="E42" s="53"/>
      <c r="F42" s="53"/>
      <c r="G42" s="158">
        <v>46200</v>
      </c>
    </row>
    <row r="43" spans="1:8" x14ac:dyDescent="0.2">
      <c r="A43" s="91" t="s">
        <v>557</v>
      </c>
      <c r="B43" s="52">
        <f t="shared" si="3"/>
        <v>82900</v>
      </c>
      <c r="C43" s="52">
        <f>SUM(C38:C42)</f>
        <v>0</v>
      </c>
      <c r="D43" s="52">
        <f>SUM(D38:D42)</f>
        <v>4400</v>
      </c>
      <c r="E43" s="52">
        <f>SUM(E38:E42)</f>
        <v>0</v>
      </c>
      <c r="F43" s="52">
        <f>SUM(F38:F42)</f>
        <v>0</v>
      </c>
      <c r="G43" s="52">
        <f>SUM(G38:G42)</f>
        <v>78500</v>
      </c>
    </row>
    <row r="44" spans="1:8" x14ac:dyDescent="0.2">
      <c r="B44" s="52"/>
      <c r="C44" s="52"/>
      <c r="D44" s="52"/>
      <c r="E44" s="52"/>
      <c r="F44" s="52"/>
      <c r="G44" s="52"/>
    </row>
    <row r="45" spans="1:8" x14ac:dyDescent="0.2">
      <c r="A45" s="12" t="s">
        <v>558</v>
      </c>
      <c r="B45" s="52">
        <f t="shared" ref="B45:G45" si="4">B31-B43</f>
        <v>225300</v>
      </c>
      <c r="C45" s="52">
        <f t="shared" si="4"/>
        <v>137300</v>
      </c>
      <c r="D45" s="52">
        <f t="shared" si="4"/>
        <v>83900</v>
      </c>
      <c r="E45" s="52">
        <f t="shared" si="4"/>
        <v>200</v>
      </c>
      <c r="F45" s="52">
        <f t="shared" si="4"/>
        <v>0</v>
      </c>
      <c r="G45" s="52">
        <f t="shared" si="4"/>
        <v>3900</v>
      </c>
    </row>
    <row r="46" spans="1:8" x14ac:dyDescent="0.2">
      <c r="B46" s="52"/>
      <c r="C46" s="52"/>
      <c r="D46" s="52"/>
      <c r="E46" s="52"/>
      <c r="F46" s="52"/>
      <c r="G46" s="52"/>
    </row>
    <row r="47" spans="1:8" ht="14.25" x14ac:dyDescent="0.35">
      <c r="A47" s="340" t="s">
        <v>512</v>
      </c>
      <c r="B47" s="122">
        <f>SUM(C47:G47)</f>
        <v>1</v>
      </c>
      <c r="C47" s="121">
        <f>1-SUM(D47:G47)</f>
        <v>0.60941000000000001</v>
      </c>
      <c r="D47" s="121">
        <f>ROUND(D45/$B$45,5)</f>
        <v>0.37239</v>
      </c>
      <c r="E47" s="121">
        <f>ROUND(E45/$B$45,5)</f>
        <v>8.8999999999999995E-4</v>
      </c>
      <c r="F47" s="121">
        <f>ROUND(F45/$B$45,5)</f>
        <v>0</v>
      </c>
      <c r="G47" s="121">
        <f>ROUND(G45/$B$45,5)</f>
        <v>1.7309999999999999E-2</v>
      </c>
    </row>
  </sheetData>
  <phoneticPr fontId="3" type="noConversion"/>
  <pageMargins left="0" right="0" top="1" bottom="1" header="0.5" footer="0.5"/>
  <pageSetup scale="9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zoomScaleNormal="100" workbookViewId="0">
      <selection activeCell="C39" sqref="C39"/>
    </sheetView>
  </sheetViews>
  <sheetFormatPr defaultColWidth="12.6640625" defaultRowHeight="12" x14ac:dyDescent="0.2"/>
  <cols>
    <col min="1" max="1" width="14.33203125" style="340" customWidth="1"/>
    <col min="2" max="2" width="17.83203125" style="7" bestFit="1" customWidth="1"/>
    <col min="3" max="3" width="17" style="7" bestFit="1" customWidth="1"/>
    <col min="4" max="6" width="12.6640625" style="7"/>
    <col min="7" max="7" width="3.83203125" style="7" customWidth="1"/>
    <col min="8" max="16384" width="12.6640625" style="7"/>
  </cols>
  <sheetData>
    <row r="1" spans="1:9" x14ac:dyDescent="0.2">
      <c r="D1" s="343" t="s">
        <v>44</v>
      </c>
    </row>
    <row r="2" spans="1:9" x14ac:dyDescent="0.2">
      <c r="D2" s="343" t="s">
        <v>514</v>
      </c>
    </row>
    <row r="3" spans="1:9" x14ac:dyDescent="0.2">
      <c r="D3" s="343" t="s">
        <v>513</v>
      </c>
    </row>
    <row r="4" spans="1:9" x14ac:dyDescent="0.2">
      <c r="D4" s="343" t="s">
        <v>845</v>
      </c>
    </row>
    <row r="6" spans="1:9" x14ac:dyDescent="0.2">
      <c r="A6" s="9" t="s">
        <v>494</v>
      </c>
      <c r="B6" s="55" t="s">
        <v>956</v>
      </c>
      <c r="C6" s="55" t="str">
        <f>Input!C12</f>
        <v>GS-RESIDENTIAL</v>
      </c>
      <c r="D6" s="55" t="str">
        <f>Input!C13</f>
        <v>GS-OTHER</v>
      </c>
      <c r="E6" s="55" t="str">
        <f>Input!C14</f>
        <v>IUS</v>
      </c>
      <c r="F6" s="55" t="str">
        <f>Input!C16</f>
        <v>DS/IS</v>
      </c>
      <c r="H6" s="55" t="str">
        <f>Input!C15</f>
        <v>DS-ML</v>
      </c>
      <c r="I6" s="55" t="s">
        <v>12</v>
      </c>
    </row>
    <row r="7" spans="1:9" x14ac:dyDescent="0.2">
      <c r="B7" s="52"/>
      <c r="C7" s="52"/>
      <c r="D7" s="52"/>
      <c r="E7" s="52"/>
      <c r="F7" s="52"/>
      <c r="H7" s="52"/>
    </row>
    <row r="8" spans="1:9" x14ac:dyDescent="0.2">
      <c r="A8" s="340" t="s">
        <v>433</v>
      </c>
      <c r="B8" s="52">
        <f t="shared" ref="B8:B31" si="0">SUM(C8:F8)</f>
        <v>5389697.2199999997</v>
      </c>
      <c r="C8" s="11">
        <v>5389697.2199999997</v>
      </c>
      <c r="D8" s="11"/>
      <c r="E8" s="63"/>
      <c r="F8" s="63"/>
      <c r="H8" s="63"/>
    </row>
    <row r="9" spans="1:9" x14ac:dyDescent="0.2">
      <c r="A9" s="340" t="s">
        <v>500</v>
      </c>
      <c r="B9" s="52">
        <f t="shared" si="0"/>
        <v>1725559.92</v>
      </c>
      <c r="C9" s="63"/>
      <c r="D9" s="63">
        <v>1725559.92</v>
      </c>
      <c r="E9" s="63"/>
      <c r="F9" s="63"/>
      <c r="H9" s="63"/>
    </row>
    <row r="10" spans="1:9" x14ac:dyDescent="0.2">
      <c r="A10" s="340" t="s">
        <v>501</v>
      </c>
      <c r="B10" s="52">
        <f t="shared" si="0"/>
        <v>984.11</v>
      </c>
      <c r="C10" s="11"/>
      <c r="D10" s="63">
        <v>984.11</v>
      </c>
      <c r="E10" s="63"/>
      <c r="F10" s="63"/>
      <c r="H10" s="63"/>
    </row>
    <row r="11" spans="1:9" x14ac:dyDescent="0.2">
      <c r="A11" s="340" t="s">
        <v>439</v>
      </c>
      <c r="B11" s="52">
        <f t="shared" si="0"/>
        <v>859.55</v>
      </c>
      <c r="C11" s="63">
        <v>859.55</v>
      </c>
      <c r="D11" s="63"/>
      <c r="E11" s="63"/>
      <c r="F11" s="63"/>
      <c r="H11" s="63"/>
    </row>
    <row r="12" spans="1:9" x14ac:dyDescent="0.2">
      <c r="A12" s="340" t="s">
        <v>502</v>
      </c>
      <c r="B12" s="52">
        <f t="shared" si="0"/>
        <v>0</v>
      </c>
      <c r="C12" s="63"/>
      <c r="D12" s="63"/>
      <c r="E12" s="63"/>
      <c r="F12" s="63"/>
      <c r="H12" s="63"/>
    </row>
    <row r="13" spans="1:9" x14ac:dyDescent="0.2">
      <c r="A13" s="340" t="s">
        <v>434</v>
      </c>
      <c r="B13" s="52">
        <f t="shared" si="0"/>
        <v>0</v>
      </c>
      <c r="C13" s="11"/>
      <c r="D13" s="63"/>
      <c r="E13" s="63"/>
      <c r="F13" s="63"/>
      <c r="H13" s="63"/>
    </row>
    <row r="14" spans="1:9" x14ac:dyDescent="0.2">
      <c r="A14" s="340" t="s">
        <v>435</v>
      </c>
      <c r="B14" s="52">
        <f t="shared" si="0"/>
        <v>161.16</v>
      </c>
      <c r="C14" s="63">
        <v>161.16</v>
      </c>
      <c r="D14" s="63"/>
      <c r="E14" s="63"/>
      <c r="F14" s="63"/>
      <c r="H14" s="63"/>
    </row>
    <row r="15" spans="1:9" x14ac:dyDescent="0.2">
      <c r="A15" s="340" t="s">
        <v>503</v>
      </c>
      <c r="B15" s="52">
        <f t="shared" si="0"/>
        <v>483.5</v>
      </c>
      <c r="C15" s="63">
        <v>483.5</v>
      </c>
      <c r="D15" s="63"/>
      <c r="E15" s="63"/>
      <c r="F15" s="63"/>
      <c r="H15" s="63"/>
    </row>
    <row r="16" spans="1:9" x14ac:dyDescent="0.2">
      <c r="A16" s="340" t="s">
        <v>486</v>
      </c>
      <c r="B16" s="52">
        <f t="shared" si="0"/>
        <v>1210.04</v>
      </c>
      <c r="C16" s="63"/>
      <c r="D16" s="63"/>
      <c r="E16" s="63">
        <v>1210.04</v>
      </c>
      <c r="F16" s="63"/>
      <c r="H16" s="63"/>
    </row>
    <row r="17" spans="1:11" x14ac:dyDescent="0.2">
      <c r="A17" s="340" t="s">
        <v>504</v>
      </c>
      <c r="B17" s="52">
        <f t="shared" si="0"/>
        <v>0</v>
      </c>
      <c r="C17" s="63"/>
      <c r="D17" s="63"/>
      <c r="E17" s="63"/>
      <c r="F17" s="63"/>
      <c r="H17" s="63"/>
    </row>
    <row r="18" spans="1:11" x14ac:dyDescent="0.2">
      <c r="A18" s="340" t="s">
        <v>505</v>
      </c>
      <c r="B18" s="52">
        <f t="shared" si="0"/>
        <v>538.75</v>
      </c>
      <c r="C18" s="63">
        <v>53.72</v>
      </c>
      <c r="D18" s="63">
        <v>485.03</v>
      </c>
      <c r="E18" s="63"/>
      <c r="F18" s="63"/>
      <c r="H18" s="63"/>
    </row>
    <row r="19" spans="1:11" x14ac:dyDescent="0.2">
      <c r="A19" s="340" t="s">
        <v>441</v>
      </c>
      <c r="B19" s="52">
        <f t="shared" si="0"/>
        <v>485.03</v>
      </c>
      <c r="C19" s="63">
        <v>485.03</v>
      </c>
      <c r="D19" s="63"/>
      <c r="E19" s="63"/>
      <c r="F19" s="63"/>
      <c r="H19" s="63"/>
    </row>
    <row r="20" spans="1:11" x14ac:dyDescent="0.2">
      <c r="A20" s="340" t="s">
        <v>442</v>
      </c>
      <c r="B20" s="52">
        <f t="shared" si="0"/>
        <v>53.72</v>
      </c>
      <c r="C20" s="63">
        <v>53.72</v>
      </c>
      <c r="D20" s="63"/>
      <c r="E20" s="63"/>
      <c r="F20" s="63"/>
      <c r="H20" s="63"/>
    </row>
    <row r="21" spans="1:11" x14ac:dyDescent="0.2">
      <c r="A21" s="340" t="s">
        <v>506</v>
      </c>
      <c r="B21" s="52">
        <f t="shared" si="0"/>
        <v>801279.96</v>
      </c>
      <c r="C21" s="63"/>
      <c r="D21" s="63">
        <v>801279.96</v>
      </c>
      <c r="E21" s="63"/>
      <c r="F21" s="63"/>
      <c r="H21" s="63"/>
    </row>
    <row r="22" spans="1:11" x14ac:dyDescent="0.2">
      <c r="A22" s="340" t="s">
        <v>446</v>
      </c>
      <c r="B22" s="52">
        <f t="shared" si="0"/>
        <v>1228918.6599999999</v>
      </c>
      <c r="C22" s="63">
        <v>1228918.6599999999</v>
      </c>
      <c r="D22" s="63"/>
      <c r="E22" s="63"/>
      <c r="F22" s="63"/>
      <c r="H22" s="63"/>
    </row>
    <row r="23" spans="1:11" x14ac:dyDescent="0.2">
      <c r="A23" s="340" t="s">
        <v>508</v>
      </c>
      <c r="B23" s="52">
        <f t="shared" si="0"/>
        <v>1655.4</v>
      </c>
      <c r="C23" s="63"/>
      <c r="D23" s="63"/>
      <c r="E23" s="63"/>
      <c r="F23" s="63">
        <v>1655.4</v>
      </c>
      <c r="H23" s="63"/>
    </row>
    <row r="24" spans="1:11" x14ac:dyDescent="0.2">
      <c r="A24" s="340" t="s">
        <v>509</v>
      </c>
      <c r="B24" s="52">
        <f t="shared" si="0"/>
        <v>0</v>
      </c>
      <c r="C24" s="63"/>
      <c r="D24" s="63"/>
      <c r="E24" s="63"/>
      <c r="F24" s="63"/>
      <c r="H24" s="63">
        <v>1336.08</v>
      </c>
    </row>
    <row r="25" spans="1:11" x14ac:dyDescent="0.2">
      <c r="A25" s="340" t="s">
        <v>634</v>
      </c>
      <c r="B25" s="52">
        <f t="shared" si="0"/>
        <v>12829.02</v>
      </c>
      <c r="C25" s="63"/>
      <c r="D25" s="63">
        <v>12829.02</v>
      </c>
      <c r="E25" s="63"/>
      <c r="F25" s="63"/>
      <c r="H25" s="63"/>
    </row>
    <row r="26" spans="1:11" x14ac:dyDescent="0.2">
      <c r="A26" s="340" t="s">
        <v>607</v>
      </c>
      <c r="B26" s="52">
        <f t="shared" si="0"/>
        <v>0</v>
      </c>
      <c r="C26" s="63"/>
      <c r="D26" s="63"/>
      <c r="E26" s="63"/>
      <c r="F26" s="63"/>
      <c r="H26" s="63"/>
    </row>
    <row r="27" spans="1:11" x14ac:dyDescent="0.2">
      <c r="A27" s="340" t="s">
        <v>635</v>
      </c>
      <c r="B27" s="52">
        <f t="shared" si="0"/>
        <v>36393.22</v>
      </c>
      <c r="C27" s="63"/>
      <c r="D27" s="63"/>
      <c r="E27" s="63"/>
      <c r="F27" s="63">
        <v>36393.22</v>
      </c>
      <c r="H27" s="63"/>
    </row>
    <row r="28" spans="1:11" x14ac:dyDescent="0.2">
      <c r="A28" s="340" t="s">
        <v>510</v>
      </c>
      <c r="B28" s="52">
        <f t="shared" si="0"/>
        <v>890.72</v>
      </c>
      <c r="C28" s="63"/>
      <c r="D28" s="63"/>
      <c r="E28" s="63"/>
      <c r="F28" s="63">
        <v>890.72</v>
      </c>
      <c r="H28" s="63"/>
    </row>
    <row r="29" spans="1:11" x14ac:dyDescent="0.2">
      <c r="A29" s="340" t="s">
        <v>511</v>
      </c>
      <c r="B29" s="52">
        <f t="shared" si="0"/>
        <v>445.36</v>
      </c>
      <c r="C29" s="63"/>
      <c r="D29" s="63"/>
      <c r="E29" s="63"/>
      <c r="F29" s="63">
        <v>445.36</v>
      </c>
      <c r="H29" s="63"/>
    </row>
    <row r="30" spans="1:11" x14ac:dyDescent="0.2">
      <c r="A30" s="340" t="s">
        <v>507</v>
      </c>
      <c r="B30" s="52">
        <f t="shared" si="0"/>
        <v>0</v>
      </c>
      <c r="C30" s="63"/>
      <c r="D30" s="63"/>
      <c r="E30" s="63"/>
      <c r="F30" s="63"/>
      <c r="H30" s="63">
        <v>1336.08</v>
      </c>
    </row>
    <row r="31" spans="1:11" ht="14.25" x14ac:dyDescent="0.35">
      <c r="A31" s="340" t="s">
        <v>606</v>
      </c>
      <c r="B31" s="53">
        <f t="shared" si="0"/>
        <v>445.36</v>
      </c>
      <c r="C31" s="158"/>
      <c r="D31" s="158"/>
      <c r="E31" s="158"/>
      <c r="F31" s="158">
        <v>445.36</v>
      </c>
      <c r="H31" s="158">
        <v>0</v>
      </c>
      <c r="J31" s="340"/>
      <c r="K31" s="340"/>
    </row>
    <row r="32" spans="1:11" ht="14.25" x14ac:dyDescent="0.35">
      <c r="A32" s="340" t="s">
        <v>12</v>
      </c>
      <c r="B32" s="93">
        <f t="shared" ref="B32:F32" si="1">SUM(B8:B31)</f>
        <v>9202890.6999999993</v>
      </c>
      <c r="C32" s="93">
        <f t="shared" si="1"/>
        <v>6620712.5599999996</v>
      </c>
      <c r="D32" s="93">
        <f t="shared" si="1"/>
        <v>2541138.04</v>
      </c>
      <c r="E32" s="93">
        <f t="shared" si="1"/>
        <v>1210.04</v>
      </c>
      <c r="F32" s="93">
        <f t="shared" si="1"/>
        <v>39830.060000000005</v>
      </c>
      <c r="H32" s="93">
        <f>SUM(H8:H31)</f>
        <v>2672.16</v>
      </c>
      <c r="I32" s="93">
        <f>SUM(C32:H32)</f>
        <v>9205562.8599999994</v>
      </c>
    </row>
    <row r="33" spans="1:8" x14ac:dyDescent="0.2">
      <c r="B33" s="52"/>
      <c r="C33" s="52"/>
      <c r="D33" s="52"/>
      <c r="E33" s="52"/>
      <c r="F33" s="52"/>
      <c r="H33" s="52"/>
    </row>
    <row r="34" spans="1:8" ht="14.25" x14ac:dyDescent="0.35">
      <c r="A34" s="340" t="s">
        <v>512</v>
      </c>
      <c r="B34" s="92">
        <f>SUM(C34:F34)</f>
        <v>1</v>
      </c>
      <c r="C34" s="92">
        <f>C32/$B$32</f>
        <v>0.71941662417005559</v>
      </c>
      <c r="D34" s="92">
        <f>D32/$B$32</f>
        <v>0.27612389659262171</v>
      </c>
      <c r="E34" s="92">
        <f>E32/$B$32</f>
        <v>1.3148477358315252E-4</v>
      </c>
      <c r="F34" s="92">
        <f>F32/$B$32</f>
        <v>4.3279944637395302E-3</v>
      </c>
      <c r="H34" s="381">
        <v>0</v>
      </c>
    </row>
    <row r="36" spans="1:8" x14ac:dyDescent="0.2">
      <c r="C36" s="89"/>
      <c r="D36" s="89"/>
    </row>
    <row r="39" spans="1:8" x14ac:dyDescent="0.2">
      <c r="B39" s="10"/>
    </row>
  </sheetData>
  <phoneticPr fontId="3" type="noConversion"/>
  <pageMargins left="0.75" right="0.75" top="1" bottom="1" header="0.5" footer="0.5"/>
  <pageSetup scale="85" orientation="portrait" r:id="rId1"/>
  <headerFooter alignWithMargins="0"/>
  <colBreaks count="1" manualBreakCount="1">
    <brk id="9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6"/>
  <sheetViews>
    <sheetView topLeftCell="A73" zoomScaleNormal="100" workbookViewId="0">
      <selection activeCell="C39" sqref="C39"/>
    </sheetView>
  </sheetViews>
  <sheetFormatPr defaultRowHeight="12.75" x14ac:dyDescent="0.2"/>
  <cols>
    <col min="1" max="1" width="4" style="161" customWidth="1"/>
    <col min="2" max="2" width="16" style="161" bestFit="1" customWidth="1"/>
    <col min="3" max="3" width="16.1640625" style="161" customWidth="1"/>
    <col min="4" max="4" width="6.6640625" style="161" bestFit="1" customWidth="1"/>
    <col min="5" max="5" width="14.5" style="161" bestFit="1" customWidth="1"/>
    <col min="6" max="6" width="11.83203125" style="161" bestFit="1" customWidth="1"/>
    <col min="7" max="7" width="10.5" style="161" customWidth="1"/>
    <col min="8" max="8" width="43.5" style="161" bestFit="1" customWidth="1"/>
    <col min="9" max="9" width="12.5" style="161" bestFit="1" customWidth="1"/>
    <col min="10" max="10" width="9.83203125" style="164" bestFit="1" customWidth="1"/>
    <col min="11" max="11" width="12.33203125" style="161" bestFit="1" customWidth="1"/>
    <col min="12" max="14" width="9.33203125" style="161"/>
    <col min="15" max="16" width="12.33203125" style="161" bestFit="1" customWidth="1"/>
    <col min="17" max="17" width="7.5" style="161" customWidth="1"/>
    <col min="18" max="18" width="4.6640625" style="161" bestFit="1" customWidth="1"/>
    <col min="19" max="16384" width="9.33203125" style="161"/>
  </cols>
  <sheetData>
    <row r="1" spans="1:15" x14ac:dyDescent="0.2">
      <c r="A1" s="382" t="s">
        <v>580</v>
      </c>
      <c r="B1" s="382"/>
      <c r="C1" s="382"/>
      <c r="D1" s="382"/>
      <c r="E1" s="382"/>
      <c r="F1" s="382"/>
      <c r="G1" s="382"/>
      <c r="H1" s="382"/>
    </row>
    <row r="2" spans="1:15" x14ac:dyDescent="0.2">
      <c r="A2" s="382" t="s">
        <v>680</v>
      </c>
      <c r="B2" s="382"/>
      <c r="C2" s="382"/>
      <c r="D2" s="382"/>
      <c r="E2" s="382"/>
      <c r="F2" s="382"/>
      <c r="G2" s="382"/>
      <c r="H2" s="382"/>
    </row>
    <row r="3" spans="1:15" x14ac:dyDescent="0.2">
      <c r="A3" s="162" t="s">
        <v>846</v>
      </c>
      <c r="B3" s="382"/>
      <c r="C3" s="382"/>
      <c r="D3" s="382"/>
      <c r="E3" s="382"/>
      <c r="F3" s="382"/>
      <c r="G3" s="382"/>
      <c r="H3" s="382"/>
    </row>
    <row r="4" spans="1:15" x14ac:dyDescent="0.2">
      <c r="A4" s="382"/>
      <c r="B4" s="382"/>
      <c r="C4" s="382"/>
      <c r="D4" s="382"/>
      <c r="E4" s="382"/>
      <c r="F4" s="382"/>
      <c r="G4" s="382"/>
      <c r="H4" s="382"/>
    </row>
    <row r="5" spans="1:15" x14ac:dyDescent="0.2">
      <c r="A5" s="383"/>
      <c r="B5" s="383"/>
      <c r="C5" s="383"/>
      <c r="D5" s="383" t="s">
        <v>681</v>
      </c>
      <c r="E5" s="383" t="s">
        <v>682</v>
      </c>
      <c r="F5" s="383" t="s">
        <v>683</v>
      </c>
      <c r="G5" s="383" t="s">
        <v>684</v>
      </c>
      <c r="H5" s="383"/>
      <c r="J5" s="165" t="s">
        <v>693</v>
      </c>
      <c r="K5" s="165" t="s">
        <v>521</v>
      </c>
    </row>
    <row r="6" spans="1:15" x14ac:dyDescent="0.2">
      <c r="A6" s="384" t="s">
        <v>685</v>
      </c>
      <c r="B6" s="384" t="s">
        <v>686</v>
      </c>
      <c r="C6" s="384" t="s">
        <v>687</v>
      </c>
      <c r="D6" s="384" t="s">
        <v>521</v>
      </c>
      <c r="E6" s="384" t="s">
        <v>521</v>
      </c>
      <c r="F6" s="384" t="s">
        <v>688</v>
      </c>
      <c r="G6" s="384" t="s">
        <v>689</v>
      </c>
      <c r="H6" s="384" t="s">
        <v>690</v>
      </c>
      <c r="I6" s="384" t="s">
        <v>692</v>
      </c>
      <c r="J6" s="166" t="s">
        <v>521</v>
      </c>
      <c r="K6" s="166" t="s">
        <v>694</v>
      </c>
    </row>
    <row r="8" spans="1:15" x14ac:dyDescent="0.2">
      <c r="A8" s="382">
        <v>32</v>
      </c>
      <c r="B8" s="382">
        <v>10601949003</v>
      </c>
      <c r="C8" s="382">
        <v>500153985</v>
      </c>
      <c r="D8" s="382" t="s">
        <v>502</v>
      </c>
      <c r="E8" s="161" t="s">
        <v>634</v>
      </c>
      <c r="F8" s="382">
        <v>45927</v>
      </c>
      <c r="G8" s="162">
        <v>674805</v>
      </c>
      <c r="H8" s="382" t="s">
        <v>847</v>
      </c>
      <c r="I8" s="163">
        <v>12486.45</v>
      </c>
      <c r="J8" s="167" t="str">
        <f>IF(E8="",D8,E8)</f>
        <v>GDS</v>
      </c>
      <c r="K8" s="167" t="str">
        <f t="shared" ref="K8:K39" si="0">VLOOKUP(J8,$N$9:$O$21,2,FALSE)</f>
        <v>GS-OTHER</v>
      </c>
      <c r="N8" s="217" t="s">
        <v>950</v>
      </c>
    </row>
    <row r="9" spans="1:15" x14ac:dyDescent="0.2">
      <c r="A9" s="382">
        <v>32</v>
      </c>
      <c r="B9" s="382">
        <v>10637093182</v>
      </c>
      <c r="C9" s="382">
        <v>500767946</v>
      </c>
      <c r="D9" s="382" t="s">
        <v>691</v>
      </c>
      <c r="E9" s="161" t="s">
        <v>511</v>
      </c>
      <c r="F9" s="382">
        <v>46769</v>
      </c>
      <c r="G9" s="385">
        <v>674805</v>
      </c>
      <c r="H9" s="382" t="s">
        <v>848</v>
      </c>
      <c r="I9" s="163">
        <v>9682.69</v>
      </c>
      <c r="J9" s="167" t="str">
        <f t="shared" ref="J9:J71" si="1">IF(E9="",D9,E9)</f>
        <v>FX2</v>
      </c>
      <c r="K9" s="167" t="str">
        <f t="shared" si="0"/>
        <v>DS/IS</v>
      </c>
      <c r="N9" s="386" t="s">
        <v>433</v>
      </c>
      <c r="O9" s="386" t="s">
        <v>675</v>
      </c>
    </row>
    <row r="10" spans="1:15" x14ac:dyDescent="0.2">
      <c r="A10" s="382">
        <v>32</v>
      </c>
      <c r="B10" s="382">
        <v>10657147001</v>
      </c>
      <c r="C10" s="382">
        <v>100406576</v>
      </c>
      <c r="D10" s="382" t="s">
        <v>500</v>
      </c>
      <c r="E10" s="161" t="s">
        <v>949</v>
      </c>
      <c r="F10" s="382">
        <v>46186</v>
      </c>
      <c r="G10" s="385">
        <v>674805</v>
      </c>
      <c r="H10" s="382" t="s">
        <v>849</v>
      </c>
      <c r="I10" s="163">
        <v>10545.35</v>
      </c>
      <c r="J10" s="167" t="str">
        <f t="shared" si="1"/>
        <v>GSO</v>
      </c>
      <c r="K10" s="167" t="str">
        <f t="shared" si="0"/>
        <v>GS-OTHER</v>
      </c>
      <c r="N10" s="386" t="s">
        <v>446</v>
      </c>
      <c r="O10" s="386" t="s">
        <v>675</v>
      </c>
    </row>
    <row r="11" spans="1:15" x14ac:dyDescent="0.2">
      <c r="A11" s="382">
        <v>32</v>
      </c>
      <c r="B11" s="382">
        <v>10710630002</v>
      </c>
      <c r="C11" s="382">
        <v>100454835</v>
      </c>
      <c r="D11" s="382" t="s">
        <v>502</v>
      </c>
      <c r="E11" s="161" t="s">
        <v>634</v>
      </c>
      <c r="F11" s="382">
        <v>48930</v>
      </c>
      <c r="G11" s="162">
        <v>173702</v>
      </c>
      <c r="H11" s="382" t="s">
        <v>850</v>
      </c>
      <c r="I11" s="163">
        <v>5537.15</v>
      </c>
      <c r="J11" s="167" t="str">
        <f t="shared" si="1"/>
        <v>GDS</v>
      </c>
      <c r="K11" s="167" t="str">
        <f t="shared" si="0"/>
        <v>GS-OTHER</v>
      </c>
      <c r="N11" s="386" t="s">
        <v>634</v>
      </c>
      <c r="O11" s="386" t="s">
        <v>485</v>
      </c>
    </row>
    <row r="12" spans="1:15" x14ac:dyDescent="0.2">
      <c r="A12" s="382">
        <v>32</v>
      </c>
      <c r="B12" s="382">
        <v>12986378003</v>
      </c>
      <c r="C12" s="382">
        <v>100468553</v>
      </c>
      <c r="D12" s="382" t="s">
        <v>691</v>
      </c>
      <c r="E12" s="161" t="s">
        <v>509</v>
      </c>
      <c r="F12" s="382">
        <v>20005</v>
      </c>
      <c r="G12" s="385">
        <v>714902</v>
      </c>
      <c r="H12" s="382" t="s">
        <v>851</v>
      </c>
      <c r="I12" s="163">
        <f>642.93+3530.14</f>
        <v>4173.07</v>
      </c>
      <c r="J12" s="167" t="str">
        <f t="shared" si="1"/>
        <v>DS3</v>
      </c>
      <c r="K12" s="167" t="str">
        <f t="shared" si="0"/>
        <v>DS-ML</v>
      </c>
      <c r="N12" s="386" t="s">
        <v>506</v>
      </c>
      <c r="O12" s="386" t="s">
        <v>485</v>
      </c>
    </row>
    <row r="13" spans="1:15" x14ac:dyDescent="0.2">
      <c r="A13" s="382">
        <v>32</v>
      </c>
      <c r="B13" s="382">
        <v>12986383001</v>
      </c>
      <c r="C13" s="382">
        <v>100425379</v>
      </c>
      <c r="D13" s="382" t="s">
        <v>500</v>
      </c>
      <c r="E13" s="161" t="s">
        <v>949</v>
      </c>
      <c r="F13" s="382">
        <v>5686</v>
      </c>
      <c r="G13" s="162">
        <v>1195702</v>
      </c>
      <c r="H13" s="382" t="s">
        <v>852</v>
      </c>
      <c r="I13" s="163">
        <v>1726.49</v>
      </c>
      <c r="J13" s="167" t="str">
        <f t="shared" si="1"/>
        <v>GSO</v>
      </c>
      <c r="K13" s="167" t="str">
        <f t="shared" si="0"/>
        <v>GS-OTHER</v>
      </c>
      <c r="N13" s="386" t="s">
        <v>500</v>
      </c>
      <c r="O13" s="386" t="s">
        <v>485</v>
      </c>
    </row>
    <row r="14" spans="1:15" x14ac:dyDescent="0.2">
      <c r="A14" s="382">
        <v>32</v>
      </c>
      <c r="B14" s="382">
        <v>12986388001</v>
      </c>
      <c r="C14" s="382">
        <v>100425368</v>
      </c>
      <c r="D14" s="382" t="s">
        <v>506</v>
      </c>
      <c r="E14" s="161" t="s">
        <v>949</v>
      </c>
      <c r="F14" s="382">
        <v>3203</v>
      </c>
      <c r="G14" s="162">
        <v>1195705</v>
      </c>
      <c r="H14" s="382" t="s">
        <v>853</v>
      </c>
      <c r="I14" s="163">
        <v>1495.81</v>
      </c>
      <c r="J14" s="167" t="str">
        <f t="shared" si="1"/>
        <v>GTO</v>
      </c>
      <c r="K14" s="167" t="str">
        <f t="shared" si="0"/>
        <v>GS-OTHER</v>
      </c>
      <c r="N14" s="386" t="s">
        <v>635</v>
      </c>
      <c r="O14" s="386" t="s">
        <v>632</v>
      </c>
    </row>
    <row r="15" spans="1:15" x14ac:dyDescent="0.2">
      <c r="A15" s="382">
        <v>32</v>
      </c>
      <c r="B15" s="382">
        <v>12986389001</v>
      </c>
      <c r="C15" s="382">
        <v>100449144</v>
      </c>
      <c r="D15" s="382" t="s">
        <v>506</v>
      </c>
      <c r="E15" s="161" t="s">
        <v>949</v>
      </c>
      <c r="F15" s="382">
        <v>14729</v>
      </c>
      <c r="G15" s="162">
        <v>714902</v>
      </c>
      <c r="H15" s="382" t="s">
        <v>854</v>
      </c>
      <c r="I15" s="163">
        <v>7764.99</v>
      </c>
      <c r="J15" s="167" t="str">
        <f t="shared" si="1"/>
        <v>GTO</v>
      </c>
      <c r="K15" s="167" t="str">
        <f t="shared" si="0"/>
        <v>GS-OTHER</v>
      </c>
      <c r="N15" s="386" t="s">
        <v>509</v>
      </c>
      <c r="O15" s="386" t="s">
        <v>499</v>
      </c>
    </row>
    <row r="16" spans="1:15" x14ac:dyDescent="0.2">
      <c r="A16" s="382">
        <v>32</v>
      </c>
      <c r="B16" s="382">
        <v>12986390001</v>
      </c>
      <c r="C16" s="382">
        <v>100425363</v>
      </c>
      <c r="D16" s="382" t="s">
        <v>500</v>
      </c>
      <c r="E16" s="161" t="s">
        <v>949</v>
      </c>
      <c r="F16" s="382">
        <v>6268</v>
      </c>
      <c r="G16" s="385">
        <v>1957702</v>
      </c>
      <c r="H16" s="382" t="s">
        <v>855</v>
      </c>
      <c r="I16" s="163">
        <v>637.61</v>
      </c>
      <c r="J16" s="167" t="str">
        <f t="shared" si="1"/>
        <v>GSO</v>
      </c>
      <c r="K16" s="167" t="str">
        <f t="shared" si="0"/>
        <v>GS-OTHER</v>
      </c>
      <c r="N16" s="386" t="s">
        <v>508</v>
      </c>
      <c r="O16" s="386" t="s">
        <v>632</v>
      </c>
    </row>
    <row r="17" spans="1:15" x14ac:dyDescent="0.2">
      <c r="A17" s="382">
        <v>32</v>
      </c>
      <c r="B17" s="382">
        <v>12986393001</v>
      </c>
      <c r="C17" s="382">
        <v>100444698</v>
      </c>
      <c r="D17" s="382" t="s">
        <v>691</v>
      </c>
      <c r="E17" s="161" t="s">
        <v>635</v>
      </c>
      <c r="F17" s="382">
        <v>14576</v>
      </c>
      <c r="G17" s="162">
        <v>173715</v>
      </c>
      <c r="H17" s="382" t="s">
        <v>856</v>
      </c>
      <c r="I17" s="163">
        <v>16890.310000000001</v>
      </c>
      <c r="J17" s="167" t="str">
        <f t="shared" si="1"/>
        <v>DS</v>
      </c>
      <c r="K17" s="167" t="str">
        <f t="shared" si="0"/>
        <v>DS/IS</v>
      </c>
      <c r="N17" s="386" t="s">
        <v>510</v>
      </c>
      <c r="O17" s="386" t="s">
        <v>632</v>
      </c>
    </row>
    <row r="18" spans="1:15" x14ac:dyDescent="0.2">
      <c r="A18" s="382">
        <v>32</v>
      </c>
      <c r="B18" s="382">
        <v>12986396001</v>
      </c>
      <c r="C18" s="382">
        <v>100469209</v>
      </c>
      <c r="D18" s="382" t="s">
        <v>691</v>
      </c>
      <c r="E18" s="161" t="s">
        <v>635</v>
      </c>
      <c r="F18" s="382">
        <v>45641</v>
      </c>
      <c r="G18" s="162">
        <v>173715</v>
      </c>
      <c r="H18" s="382" t="s">
        <v>857</v>
      </c>
      <c r="I18" s="163">
        <v>19492.05</v>
      </c>
      <c r="J18" s="167" t="str">
        <f t="shared" si="1"/>
        <v>DS</v>
      </c>
      <c r="K18" s="167" t="str">
        <f t="shared" si="0"/>
        <v>DS/IS</v>
      </c>
      <c r="N18" s="386" t="s">
        <v>511</v>
      </c>
      <c r="O18" s="386" t="s">
        <v>632</v>
      </c>
    </row>
    <row r="19" spans="1:15" x14ac:dyDescent="0.2">
      <c r="A19" s="382">
        <v>32</v>
      </c>
      <c r="B19" s="382">
        <v>12986397001</v>
      </c>
      <c r="C19" s="382">
        <v>100466963</v>
      </c>
      <c r="D19" s="382" t="s">
        <v>691</v>
      </c>
      <c r="E19" s="161" t="s">
        <v>635</v>
      </c>
      <c r="F19" s="382">
        <v>44675</v>
      </c>
      <c r="G19" s="162">
        <v>173715</v>
      </c>
      <c r="H19" s="382" t="s">
        <v>858</v>
      </c>
      <c r="I19" s="163">
        <v>15978.28</v>
      </c>
      <c r="J19" s="167" t="str">
        <f t="shared" si="1"/>
        <v>DS</v>
      </c>
      <c r="K19" s="167" t="str">
        <f t="shared" si="0"/>
        <v>DS/IS</v>
      </c>
      <c r="N19" s="386" t="s">
        <v>507</v>
      </c>
      <c r="O19" s="386" t="s">
        <v>499</v>
      </c>
    </row>
    <row r="20" spans="1:15" x14ac:dyDescent="0.2">
      <c r="A20" s="382">
        <v>32</v>
      </c>
      <c r="B20" s="382">
        <v>12986401002</v>
      </c>
      <c r="C20" s="382">
        <v>100425597</v>
      </c>
      <c r="D20" s="382" t="s">
        <v>691</v>
      </c>
      <c r="E20" s="161" t="s">
        <v>635</v>
      </c>
      <c r="F20" s="382">
        <v>5299</v>
      </c>
      <c r="G20" s="385">
        <v>1616705</v>
      </c>
      <c r="H20" s="382" t="s">
        <v>859</v>
      </c>
      <c r="I20" s="163">
        <v>19652.900000000001</v>
      </c>
      <c r="J20" s="167" t="str">
        <f t="shared" si="1"/>
        <v>DS</v>
      </c>
      <c r="K20" s="167" t="str">
        <f t="shared" si="0"/>
        <v>DS/IS</v>
      </c>
      <c r="N20" s="386" t="s">
        <v>606</v>
      </c>
      <c r="O20" s="386" t="s">
        <v>632</v>
      </c>
    </row>
    <row r="21" spans="1:15" x14ac:dyDescent="0.2">
      <c r="A21" s="382">
        <v>32</v>
      </c>
      <c r="B21" s="382">
        <v>12986406004</v>
      </c>
      <c r="C21" s="382">
        <v>800800025</v>
      </c>
      <c r="D21" s="382" t="s">
        <v>691</v>
      </c>
      <c r="E21" s="161" t="s">
        <v>635</v>
      </c>
      <c r="F21" s="382">
        <v>5307</v>
      </c>
      <c r="G21" s="162">
        <v>1616705</v>
      </c>
      <c r="H21" s="382" t="s">
        <v>860</v>
      </c>
      <c r="I21" s="163">
        <v>17775.66</v>
      </c>
      <c r="J21" s="167" t="str">
        <f t="shared" si="1"/>
        <v>DS</v>
      </c>
      <c r="K21" s="167" t="str">
        <f t="shared" si="0"/>
        <v>DS/IS</v>
      </c>
      <c r="N21" s="386" t="s">
        <v>486</v>
      </c>
      <c r="O21" s="386" t="s">
        <v>486</v>
      </c>
    </row>
    <row r="22" spans="1:15" x14ac:dyDescent="0.2">
      <c r="A22" s="382">
        <v>32</v>
      </c>
      <c r="B22" s="382">
        <v>12986409001</v>
      </c>
      <c r="C22" s="382">
        <v>100441363</v>
      </c>
      <c r="D22" s="382" t="s">
        <v>502</v>
      </c>
      <c r="E22" s="161" t="s">
        <v>634</v>
      </c>
      <c r="F22" s="382">
        <v>14480</v>
      </c>
      <c r="G22" s="162">
        <v>494302</v>
      </c>
      <c r="H22" s="382" t="s">
        <v>861</v>
      </c>
      <c r="I22" s="163">
        <v>4377.9399999999996</v>
      </c>
      <c r="J22" s="167" t="str">
        <f t="shared" si="1"/>
        <v>GDS</v>
      </c>
      <c r="K22" s="167" t="str">
        <f t="shared" si="0"/>
        <v>GS-OTHER</v>
      </c>
    </row>
    <row r="23" spans="1:15" x14ac:dyDescent="0.2">
      <c r="A23" s="382">
        <v>32</v>
      </c>
      <c r="B23" s="382">
        <v>12986411001</v>
      </c>
      <c r="C23" s="382">
        <v>100425586</v>
      </c>
      <c r="D23" s="382" t="s">
        <v>502</v>
      </c>
      <c r="E23" s="161" t="s">
        <v>634</v>
      </c>
      <c r="F23" s="382">
        <v>3557</v>
      </c>
      <c r="G23" s="162">
        <v>494305</v>
      </c>
      <c r="H23" s="382" t="s">
        <v>862</v>
      </c>
      <c r="I23" s="163">
        <v>3566.09</v>
      </c>
      <c r="J23" s="167" t="str">
        <f t="shared" si="1"/>
        <v>GDS</v>
      </c>
      <c r="K23" s="167" t="str">
        <f t="shared" si="0"/>
        <v>GS-OTHER</v>
      </c>
    </row>
    <row r="24" spans="1:15" x14ac:dyDescent="0.2">
      <c r="A24" s="382">
        <v>32</v>
      </c>
      <c r="B24" s="382">
        <v>12986423001</v>
      </c>
      <c r="C24" s="382">
        <v>100458538</v>
      </c>
      <c r="D24" s="382" t="s">
        <v>691</v>
      </c>
      <c r="E24" s="161" t="s">
        <v>635</v>
      </c>
      <c r="F24" s="382">
        <v>44014</v>
      </c>
      <c r="G24" s="162">
        <v>494305</v>
      </c>
      <c r="H24" s="382" t="s">
        <v>863</v>
      </c>
      <c r="I24" s="163">
        <v>9167.99</v>
      </c>
      <c r="J24" s="167" t="str">
        <f t="shared" si="1"/>
        <v>DS</v>
      </c>
      <c r="K24" s="167" t="str">
        <f t="shared" si="0"/>
        <v>DS/IS</v>
      </c>
    </row>
    <row r="25" spans="1:15" x14ac:dyDescent="0.2">
      <c r="A25" s="382">
        <v>32</v>
      </c>
      <c r="B25" s="382">
        <v>12986426001</v>
      </c>
      <c r="C25" s="382">
        <v>100425571</v>
      </c>
      <c r="D25" s="382" t="s">
        <v>691</v>
      </c>
      <c r="E25" s="161" t="s">
        <v>635</v>
      </c>
      <c r="F25" s="382">
        <v>4914</v>
      </c>
      <c r="G25" s="162">
        <v>1736902</v>
      </c>
      <c r="H25" s="382" t="s">
        <v>864</v>
      </c>
      <c r="I25" s="163">
        <v>9642.86</v>
      </c>
      <c r="J25" s="167" t="str">
        <f t="shared" si="1"/>
        <v>DS</v>
      </c>
      <c r="K25" s="167" t="str">
        <f t="shared" si="0"/>
        <v>DS/IS</v>
      </c>
    </row>
    <row r="26" spans="1:15" x14ac:dyDescent="0.2">
      <c r="A26" s="382">
        <v>32</v>
      </c>
      <c r="B26" s="382">
        <v>12986432001</v>
      </c>
      <c r="C26" s="382">
        <v>100449624</v>
      </c>
      <c r="D26" s="382" t="s">
        <v>502</v>
      </c>
      <c r="E26" s="161" t="s">
        <v>634</v>
      </c>
      <c r="F26" s="382">
        <v>14704</v>
      </c>
      <c r="G26" s="162">
        <v>1736902</v>
      </c>
      <c r="H26" s="382" t="s">
        <v>865</v>
      </c>
      <c r="I26" s="163">
        <v>6545.79</v>
      </c>
      <c r="J26" s="167" t="str">
        <f t="shared" si="1"/>
        <v>GDS</v>
      </c>
      <c r="K26" s="167" t="str">
        <f t="shared" si="0"/>
        <v>GS-OTHER</v>
      </c>
    </row>
    <row r="27" spans="1:15" x14ac:dyDescent="0.2">
      <c r="A27" s="382">
        <v>32</v>
      </c>
      <c r="B27" s="382">
        <v>12986433001</v>
      </c>
      <c r="C27" s="382">
        <v>100465111</v>
      </c>
      <c r="D27" s="382" t="s">
        <v>691</v>
      </c>
      <c r="E27" s="161" t="s">
        <v>635</v>
      </c>
      <c r="F27" s="382">
        <v>44527</v>
      </c>
      <c r="G27" s="162">
        <v>2398310</v>
      </c>
      <c r="H27" s="382" t="s">
        <v>866</v>
      </c>
      <c r="I27" s="163">
        <v>5227.09</v>
      </c>
      <c r="J27" s="167" t="str">
        <f t="shared" si="1"/>
        <v>DS</v>
      </c>
      <c r="K27" s="167" t="str">
        <f t="shared" si="0"/>
        <v>DS/IS</v>
      </c>
    </row>
    <row r="28" spans="1:15" x14ac:dyDescent="0.2">
      <c r="A28" s="382">
        <v>32</v>
      </c>
      <c r="B28" s="382">
        <v>12986434001</v>
      </c>
      <c r="C28" s="382">
        <v>100451978</v>
      </c>
      <c r="D28" s="382" t="s">
        <v>691</v>
      </c>
      <c r="E28" s="161" t="s">
        <v>635</v>
      </c>
      <c r="F28" s="382">
        <v>14794</v>
      </c>
      <c r="G28" s="385">
        <v>674805</v>
      </c>
      <c r="H28" s="382" t="s">
        <v>867</v>
      </c>
      <c r="I28" s="163">
        <v>11686.4</v>
      </c>
      <c r="J28" s="167" t="str">
        <f t="shared" si="1"/>
        <v>DS</v>
      </c>
      <c r="K28" s="167" t="str">
        <f t="shared" si="0"/>
        <v>DS/IS</v>
      </c>
    </row>
    <row r="29" spans="1:15" x14ac:dyDescent="0.2">
      <c r="A29" s="382">
        <v>32</v>
      </c>
      <c r="B29" s="382">
        <v>12986435001</v>
      </c>
      <c r="C29" s="382">
        <v>100447546</v>
      </c>
      <c r="D29" s="382" t="s">
        <v>691</v>
      </c>
      <c r="E29" s="161" t="s">
        <v>635</v>
      </c>
      <c r="F29" s="382">
        <v>14671</v>
      </c>
      <c r="G29" s="162">
        <v>674805</v>
      </c>
      <c r="H29" s="382" t="s">
        <v>868</v>
      </c>
      <c r="I29" s="163">
        <v>11439.1</v>
      </c>
      <c r="J29" s="167" t="str">
        <f t="shared" si="1"/>
        <v>DS</v>
      </c>
      <c r="K29" s="167" t="str">
        <f t="shared" si="0"/>
        <v>DS/IS</v>
      </c>
    </row>
    <row r="30" spans="1:15" x14ac:dyDescent="0.2">
      <c r="A30" s="382">
        <v>32</v>
      </c>
      <c r="B30" s="382">
        <v>12986442001</v>
      </c>
      <c r="C30" s="382">
        <v>100440181</v>
      </c>
      <c r="D30" s="382" t="s">
        <v>691</v>
      </c>
      <c r="E30" s="161" t="s">
        <v>635</v>
      </c>
      <c r="F30" s="382">
        <v>14454</v>
      </c>
      <c r="G30" s="162">
        <v>674805</v>
      </c>
      <c r="H30" s="382" t="s">
        <v>869</v>
      </c>
      <c r="I30" s="163">
        <v>6806.83</v>
      </c>
      <c r="J30" s="167" t="str">
        <f t="shared" si="1"/>
        <v>DS</v>
      </c>
      <c r="K30" s="167" t="str">
        <f t="shared" si="0"/>
        <v>DS/IS</v>
      </c>
    </row>
    <row r="31" spans="1:15" x14ac:dyDescent="0.2">
      <c r="A31" s="382">
        <v>32</v>
      </c>
      <c r="B31" s="382">
        <v>12986452001</v>
      </c>
      <c r="C31" s="382">
        <v>100425552</v>
      </c>
      <c r="D31" s="382" t="s">
        <v>691</v>
      </c>
      <c r="E31" s="161" t="s">
        <v>635</v>
      </c>
      <c r="F31" s="382">
        <v>5863</v>
      </c>
      <c r="G31" s="162">
        <v>674805</v>
      </c>
      <c r="H31" s="382" t="s">
        <v>870</v>
      </c>
      <c r="I31" s="163">
        <v>3926.2</v>
      </c>
      <c r="J31" s="167" t="str">
        <f t="shared" si="1"/>
        <v>DS</v>
      </c>
      <c r="K31" s="167" t="str">
        <f t="shared" si="0"/>
        <v>DS/IS</v>
      </c>
    </row>
    <row r="32" spans="1:15" x14ac:dyDescent="0.2">
      <c r="A32" s="382">
        <v>32</v>
      </c>
      <c r="B32" s="382">
        <v>12986453001</v>
      </c>
      <c r="C32" s="382">
        <v>100425551</v>
      </c>
      <c r="D32" s="382" t="s">
        <v>691</v>
      </c>
      <c r="E32" s="161" t="s">
        <v>635</v>
      </c>
      <c r="F32" s="382">
        <v>5483</v>
      </c>
      <c r="G32" s="162">
        <v>674805</v>
      </c>
      <c r="H32" s="382" t="s">
        <v>870</v>
      </c>
      <c r="I32" s="163">
        <v>5731.95</v>
      </c>
      <c r="J32" s="167" t="str">
        <f t="shared" si="1"/>
        <v>DS</v>
      </c>
      <c r="K32" s="167" t="str">
        <f t="shared" si="0"/>
        <v>DS/IS</v>
      </c>
    </row>
    <row r="33" spans="1:11" x14ac:dyDescent="0.2">
      <c r="A33" s="382">
        <v>32</v>
      </c>
      <c r="B33" s="382">
        <v>12986454001</v>
      </c>
      <c r="C33" s="382">
        <v>100425550</v>
      </c>
      <c r="D33" s="382" t="s">
        <v>506</v>
      </c>
      <c r="E33" s="161" t="s">
        <v>949</v>
      </c>
      <c r="F33" s="382">
        <v>5913</v>
      </c>
      <c r="G33" s="385">
        <v>2398310</v>
      </c>
      <c r="H33" s="382" t="s">
        <v>871</v>
      </c>
      <c r="I33" s="163">
        <v>371.93</v>
      </c>
      <c r="J33" s="167" t="str">
        <f t="shared" si="1"/>
        <v>GTO</v>
      </c>
      <c r="K33" s="167" t="str">
        <f t="shared" si="0"/>
        <v>GS-OTHER</v>
      </c>
    </row>
    <row r="34" spans="1:11" x14ac:dyDescent="0.2">
      <c r="A34" s="382">
        <v>32</v>
      </c>
      <c r="B34" s="382">
        <v>12986456004</v>
      </c>
      <c r="C34" s="382">
        <v>100425964</v>
      </c>
      <c r="D34" s="382" t="s">
        <v>691</v>
      </c>
      <c r="E34" s="161" t="s">
        <v>510</v>
      </c>
      <c r="F34" s="382">
        <v>3546</v>
      </c>
      <c r="G34" s="162">
        <v>674805</v>
      </c>
      <c r="H34" s="382" t="s">
        <v>849</v>
      </c>
      <c r="I34" s="163">
        <v>9521.6200000000008</v>
      </c>
      <c r="J34" s="167" t="str">
        <f t="shared" si="1"/>
        <v>FX1</v>
      </c>
      <c r="K34" s="167" t="str">
        <f t="shared" si="0"/>
        <v>DS/IS</v>
      </c>
    </row>
    <row r="35" spans="1:11" x14ac:dyDescent="0.2">
      <c r="A35" s="382">
        <v>32</v>
      </c>
      <c r="B35" s="382">
        <v>12986456004</v>
      </c>
      <c r="C35" s="382">
        <v>800800023</v>
      </c>
      <c r="D35" s="382" t="s">
        <v>691</v>
      </c>
      <c r="E35" s="161" t="s">
        <v>510</v>
      </c>
      <c r="F35" s="382">
        <v>5825</v>
      </c>
      <c r="G35" s="162">
        <v>674805</v>
      </c>
      <c r="H35" s="382" t="s">
        <v>849</v>
      </c>
      <c r="I35" s="163">
        <v>14145.94</v>
      </c>
      <c r="J35" s="167" t="str">
        <f t="shared" si="1"/>
        <v>FX1</v>
      </c>
      <c r="K35" s="167" t="str">
        <f t="shared" si="0"/>
        <v>DS/IS</v>
      </c>
    </row>
    <row r="36" spans="1:11" x14ac:dyDescent="0.2">
      <c r="A36" s="382">
        <v>32</v>
      </c>
      <c r="B36" s="382">
        <v>12986461001</v>
      </c>
      <c r="C36" s="382">
        <v>100425540</v>
      </c>
      <c r="D36" s="382" t="s">
        <v>502</v>
      </c>
      <c r="E36" s="161" t="s">
        <v>634</v>
      </c>
      <c r="F36" s="382">
        <v>4584</v>
      </c>
      <c r="G36" s="162">
        <v>674805</v>
      </c>
      <c r="H36" s="382" t="s">
        <v>872</v>
      </c>
      <c r="I36" s="163">
        <v>22864.76</v>
      </c>
      <c r="J36" s="167" t="str">
        <f t="shared" si="1"/>
        <v>GDS</v>
      </c>
      <c r="K36" s="167" t="str">
        <f t="shared" si="0"/>
        <v>GS-OTHER</v>
      </c>
    </row>
    <row r="37" spans="1:11" x14ac:dyDescent="0.2">
      <c r="A37" s="382">
        <v>32</v>
      </c>
      <c r="B37" s="382">
        <v>12986463005</v>
      </c>
      <c r="C37" s="382">
        <v>100425538</v>
      </c>
      <c r="D37" s="382" t="s">
        <v>500</v>
      </c>
      <c r="E37" s="161" t="s">
        <v>949</v>
      </c>
      <c r="F37" s="382">
        <v>4625</v>
      </c>
      <c r="G37" s="385">
        <v>674805</v>
      </c>
      <c r="H37" s="382" t="s">
        <v>873</v>
      </c>
      <c r="I37" s="163">
        <v>3941.61</v>
      </c>
      <c r="J37" s="167" t="str">
        <f t="shared" si="1"/>
        <v>GSO</v>
      </c>
      <c r="K37" s="167" t="str">
        <f t="shared" si="0"/>
        <v>GS-OTHER</v>
      </c>
    </row>
    <row r="38" spans="1:11" x14ac:dyDescent="0.2">
      <c r="A38" s="382">
        <v>32</v>
      </c>
      <c r="B38" s="382">
        <v>12986463010</v>
      </c>
      <c r="C38" s="382">
        <v>500714773</v>
      </c>
      <c r="D38" s="382" t="s">
        <v>500</v>
      </c>
      <c r="E38" s="161" t="s">
        <v>949</v>
      </c>
      <c r="F38" s="382">
        <v>48642</v>
      </c>
      <c r="G38" s="385">
        <v>674805</v>
      </c>
      <c r="H38" s="382" t="s">
        <v>873</v>
      </c>
      <c r="I38" s="163">
        <v>24619.4</v>
      </c>
      <c r="J38" s="167" t="str">
        <f t="shared" si="1"/>
        <v>GSO</v>
      </c>
      <c r="K38" s="167" t="str">
        <f t="shared" si="0"/>
        <v>GS-OTHER</v>
      </c>
    </row>
    <row r="39" spans="1:11" x14ac:dyDescent="0.2">
      <c r="A39" s="382">
        <v>32</v>
      </c>
      <c r="B39" s="382">
        <v>12986466001</v>
      </c>
      <c r="C39" s="382">
        <v>100425534</v>
      </c>
      <c r="D39" s="382" t="s">
        <v>691</v>
      </c>
      <c r="E39" s="161" t="s">
        <v>635</v>
      </c>
      <c r="F39" s="382">
        <v>4217</v>
      </c>
      <c r="G39" s="385">
        <v>674805</v>
      </c>
      <c r="H39" s="382" t="s">
        <v>874</v>
      </c>
      <c r="I39" s="163">
        <v>13614.11</v>
      </c>
      <c r="J39" s="167" t="str">
        <f t="shared" si="1"/>
        <v>DS</v>
      </c>
      <c r="K39" s="167" t="str">
        <f t="shared" si="0"/>
        <v>DS/IS</v>
      </c>
    </row>
    <row r="40" spans="1:11" x14ac:dyDescent="0.2">
      <c r="A40" s="382">
        <v>32</v>
      </c>
      <c r="B40" s="382">
        <v>12986467001</v>
      </c>
      <c r="C40" s="382">
        <v>100425532</v>
      </c>
      <c r="D40" s="382" t="s">
        <v>691</v>
      </c>
      <c r="E40" s="161" t="s">
        <v>635</v>
      </c>
      <c r="F40" s="382">
        <v>45021</v>
      </c>
      <c r="G40" s="162">
        <v>674805</v>
      </c>
      <c r="H40" s="382" t="s">
        <v>875</v>
      </c>
      <c r="I40" s="163">
        <v>290.23</v>
      </c>
      <c r="J40" s="167" t="str">
        <f t="shared" si="1"/>
        <v>DS</v>
      </c>
      <c r="K40" s="167" t="str">
        <f t="shared" ref="K40:K71" si="2">VLOOKUP(J40,$N$9:$O$21,2,FALSE)</f>
        <v>DS/IS</v>
      </c>
    </row>
    <row r="41" spans="1:11" x14ac:dyDescent="0.2">
      <c r="A41" s="382">
        <v>32</v>
      </c>
      <c r="B41" s="382">
        <v>12986468003</v>
      </c>
      <c r="C41" s="382">
        <v>100425531</v>
      </c>
      <c r="D41" s="382" t="s">
        <v>691</v>
      </c>
      <c r="E41" s="161" t="s">
        <v>635</v>
      </c>
      <c r="F41" s="382">
        <v>3811</v>
      </c>
      <c r="G41" s="382">
        <v>674805</v>
      </c>
      <c r="H41" s="162" t="s">
        <v>876</v>
      </c>
      <c r="I41" s="163">
        <v>10703.29</v>
      </c>
      <c r="J41" s="167" t="str">
        <f t="shared" si="1"/>
        <v>DS</v>
      </c>
      <c r="K41" s="167" t="str">
        <f t="shared" si="2"/>
        <v>DS/IS</v>
      </c>
    </row>
    <row r="42" spans="1:11" x14ac:dyDescent="0.2">
      <c r="A42" s="382">
        <v>32</v>
      </c>
      <c r="B42" s="382">
        <v>12986474004</v>
      </c>
      <c r="C42" s="382">
        <v>100425525</v>
      </c>
      <c r="D42" s="382" t="s">
        <v>691</v>
      </c>
      <c r="E42" s="382" t="s">
        <v>635</v>
      </c>
      <c r="F42" s="382">
        <v>4528</v>
      </c>
      <c r="G42" s="162">
        <v>2398310</v>
      </c>
      <c r="H42" s="382" t="s">
        <v>877</v>
      </c>
      <c r="I42" s="163">
        <v>10979.53</v>
      </c>
      <c r="J42" s="167" t="str">
        <f t="shared" si="1"/>
        <v>DS</v>
      </c>
      <c r="K42" s="167" t="str">
        <f t="shared" si="2"/>
        <v>DS/IS</v>
      </c>
    </row>
    <row r="43" spans="1:11" x14ac:dyDescent="0.2">
      <c r="A43" s="382">
        <v>32</v>
      </c>
      <c r="B43" s="382">
        <v>12986477001</v>
      </c>
      <c r="C43" s="382">
        <v>100425522</v>
      </c>
      <c r="D43" s="382" t="s">
        <v>691</v>
      </c>
      <c r="E43" s="382" t="s">
        <v>635</v>
      </c>
      <c r="F43" s="382">
        <v>3611</v>
      </c>
      <c r="G43" s="162">
        <v>674805</v>
      </c>
      <c r="H43" s="382" t="s">
        <v>878</v>
      </c>
      <c r="I43" s="163">
        <v>3104.37</v>
      </c>
      <c r="J43" s="167" t="str">
        <f t="shared" si="1"/>
        <v>DS</v>
      </c>
      <c r="K43" s="167" t="str">
        <f t="shared" si="2"/>
        <v>DS/IS</v>
      </c>
    </row>
    <row r="44" spans="1:11" x14ac:dyDescent="0.2">
      <c r="A44" s="382">
        <v>32</v>
      </c>
      <c r="B44" s="382">
        <v>12986480001</v>
      </c>
      <c r="C44" s="382">
        <v>100425517</v>
      </c>
      <c r="D44" s="382" t="s">
        <v>691</v>
      </c>
      <c r="E44" s="382" t="s">
        <v>635</v>
      </c>
      <c r="F44" s="382">
        <v>5529</v>
      </c>
      <c r="G44" s="385">
        <v>674805</v>
      </c>
      <c r="H44" s="382" t="s">
        <v>879</v>
      </c>
      <c r="I44" s="163">
        <v>12371.79</v>
      </c>
      <c r="J44" s="167" t="str">
        <f t="shared" si="1"/>
        <v>DS</v>
      </c>
      <c r="K44" s="167" t="str">
        <f t="shared" si="2"/>
        <v>DS/IS</v>
      </c>
    </row>
    <row r="45" spans="1:11" x14ac:dyDescent="0.2">
      <c r="A45" s="382">
        <v>32</v>
      </c>
      <c r="B45" s="382">
        <v>12986484001</v>
      </c>
      <c r="C45" s="382">
        <v>100425513</v>
      </c>
      <c r="D45" s="382" t="s">
        <v>502</v>
      </c>
      <c r="E45" s="382" t="s">
        <v>634</v>
      </c>
      <c r="F45" s="382">
        <v>5909</v>
      </c>
      <c r="G45" s="162">
        <v>2398305</v>
      </c>
      <c r="H45" s="382" t="s">
        <v>880</v>
      </c>
      <c r="I45" s="163">
        <v>7977.3</v>
      </c>
      <c r="J45" s="167" t="str">
        <f t="shared" si="1"/>
        <v>GDS</v>
      </c>
      <c r="K45" s="167" t="str">
        <f t="shared" si="2"/>
        <v>GS-OTHER</v>
      </c>
    </row>
    <row r="46" spans="1:11" x14ac:dyDescent="0.2">
      <c r="A46" s="382">
        <v>32</v>
      </c>
      <c r="B46" s="382">
        <v>12986488004</v>
      </c>
      <c r="C46" s="382">
        <v>500135772</v>
      </c>
      <c r="D46" s="382" t="s">
        <v>691</v>
      </c>
      <c r="E46" s="382" t="s">
        <v>635</v>
      </c>
      <c r="F46" s="382">
        <v>4422</v>
      </c>
      <c r="G46" s="162">
        <v>674805</v>
      </c>
      <c r="H46" s="382" t="s">
        <v>881</v>
      </c>
      <c r="I46" s="163">
        <v>8460.94</v>
      </c>
      <c r="J46" s="167" t="str">
        <f t="shared" si="1"/>
        <v>DS</v>
      </c>
      <c r="K46" s="167" t="str">
        <f t="shared" si="2"/>
        <v>DS/IS</v>
      </c>
    </row>
    <row r="47" spans="1:11" x14ac:dyDescent="0.2">
      <c r="A47" s="382">
        <v>32</v>
      </c>
      <c r="B47" s="382">
        <v>12986491001</v>
      </c>
      <c r="C47" s="382">
        <v>100425501</v>
      </c>
      <c r="D47" s="382" t="s">
        <v>691</v>
      </c>
      <c r="E47" s="382" t="s">
        <v>635</v>
      </c>
      <c r="F47" s="382">
        <v>4687</v>
      </c>
      <c r="G47" s="162">
        <v>674805</v>
      </c>
      <c r="H47" s="382" t="s">
        <v>882</v>
      </c>
      <c r="I47" s="163">
        <v>16060</v>
      </c>
      <c r="J47" s="167" t="str">
        <f t="shared" si="1"/>
        <v>DS</v>
      </c>
      <c r="K47" s="167" t="str">
        <f t="shared" si="2"/>
        <v>DS/IS</v>
      </c>
    </row>
    <row r="48" spans="1:11" x14ac:dyDescent="0.2">
      <c r="A48" s="382">
        <v>32</v>
      </c>
      <c r="B48" s="382">
        <v>12986493001</v>
      </c>
      <c r="C48" s="382">
        <v>100436157</v>
      </c>
      <c r="D48" s="382" t="s">
        <v>691</v>
      </c>
      <c r="E48" s="382" t="s">
        <v>635</v>
      </c>
      <c r="F48" s="382">
        <v>14280</v>
      </c>
      <c r="G48" s="162">
        <v>674805</v>
      </c>
      <c r="H48" s="382" t="s">
        <v>883</v>
      </c>
      <c r="I48" s="163">
        <v>4893.24</v>
      </c>
      <c r="J48" s="167" t="str">
        <f t="shared" si="1"/>
        <v>DS</v>
      </c>
      <c r="K48" s="167" t="str">
        <f t="shared" si="2"/>
        <v>DS/IS</v>
      </c>
    </row>
    <row r="49" spans="1:11" x14ac:dyDescent="0.2">
      <c r="A49" s="382">
        <v>32</v>
      </c>
      <c r="B49" s="382">
        <v>12986494001</v>
      </c>
      <c r="C49" s="382">
        <v>100425497</v>
      </c>
      <c r="D49" s="382" t="s">
        <v>502</v>
      </c>
      <c r="E49" s="382" t="s">
        <v>634</v>
      </c>
      <c r="F49" s="382">
        <v>4001</v>
      </c>
      <c r="G49" s="162">
        <v>674805</v>
      </c>
      <c r="H49" s="382" t="s">
        <v>884</v>
      </c>
      <c r="I49" s="163">
        <v>3747.57</v>
      </c>
      <c r="J49" s="167" t="str">
        <f t="shared" si="1"/>
        <v>GDS</v>
      </c>
      <c r="K49" s="167" t="str">
        <f t="shared" si="2"/>
        <v>GS-OTHER</v>
      </c>
    </row>
    <row r="50" spans="1:11" x14ac:dyDescent="0.2">
      <c r="A50" s="382">
        <v>32</v>
      </c>
      <c r="B50" s="382">
        <v>12986498001</v>
      </c>
      <c r="C50" s="382">
        <v>100449311</v>
      </c>
      <c r="D50" s="382" t="s">
        <v>500</v>
      </c>
      <c r="E50" s="382" t="s">
        <v>949</v>
      </c>
      <c r="F50" s="382">
        <v>5788</v>
      </c>
      <c r="G50" s="162">
        <v>674805</v>
      </c>
      <c r="H50" s="382" t="s">
        <v>885</v>
      </c>
      <c r="I50" s="163">
        <v>12325.04</v>
      </c>
      <c r="J50" s="167" t="str">
        <f t="shared" si="1"/>
        <v>GSO</v>
      </c>
      <c r="K50" s="167" t="str">
        <f t="shared" si="2"/>
        <v>GS-OTHER</v>
      </c>
    </row>
    <row r="51" spans="1:11" x14ac:dyDescent="0.2">
      <c r="A51" s="382">
        <v>32</v>
      </c>
      <c r="B51" s="382">
        <v>12986501009</v>
      </c>
      <c r="C51" s="382">
        <v>500637086</v>
      </c>
      <c r="D51" s="382" t="s">
        <v>691</v>
      </c>
      <c r="E51" s="382" t="s">
        <v>635</v>
      </c>
      <c r="F51" s="382">
        <v>49006</v>
      </c>
      <c r="G51" s="162">
        <v>674805</v>
      </c>
      <c r="H51" s="382" t="s">
        <v>886</v>
      </c>
      <c r="I51" s="163">
        <v>24612.26</v>
      </c>
      <c r="J51" s="167" t="str">
        <f t="shared" si="1"/>
        <v>DS</v>
      </c>
      <c r="K51" s="167" t="str">
        <f t="shared" si="2"/>
        <v>DS/IS</v>
      </c>
    </row>
    <row r="52" spans="1:11" x14ac:dyDescent="0.2">
      <c r="A52" s="382">
        <v>32</v>
      </c>
      <c r="B52" s="382">
        <v>12986503001</v>
      </c>
      <c r="C52" s="382">
        <v>100425489</v>
      </c>
      <c r="D52" s="382" t="s">
        <v>691</v>
      </c>
      <c r="E52" s="382" t="s">
        <v>635</v>
      </c>
      <c r="F52" s="382">
        <v>4685</v>
      </c>
      <c r="G52" s="162">
        <v>674805</v>
      </c>
      <c r="H52" s="382" t="s">
        <v>887</v>
      </c>
      <c r="I52" s="163">
        <v>16348.15</v>
      </c>
      <c r="J52" s="167" t="str">
        <f t="shared" si="1"/>
        <v>DS</v>
      </c>
      <c r="K52" s="167" t="str">
        <f t="shared" si="2"/>
        <v>DS/IS</v>
      </c>
    </row>
    <row r="53" spans="1:11" x14ac:dyDescent="0.2">
      <c r="A53" s="382">
        <v>32</v>
      </c>
      <c r="B53" s="382">
        <v>12986507001</v>
      </c>
      <c r="C53" s="382">
        <v>100425483</v>
      </c>
      <c r="D53" s="382" t="s">
        <v>691</v>
      </c>
      <c r="E53" s="382" t="s">
        <v>635</v>
      </c>
      <c r="F53" s="382">
        <v>3680</v>
      </c>
      <c r="G53" s="162">
        <v>674805</v>
      </c>
      <c r="H53" s="382" t="s">
        <v>888</v>
      </c>
      <c r="I53" s="163">
        <v>6994.98</v>
      </c>
      <c r="J53" s="167" t="str">
        <f t="shared" si="1"/>
        <v>DS</v>
      </c>
      <c r="K53" s="167" t="str">
        <f t="shared" si="2"/>
        <v>DS/IS</v>
      </c>
    </row>
    <row r="54" spans="1:11" x14ac:dyDescent="0.2">
      <c r="A54" s="382">
        <v>32</v>
      </c>
      <c r="B54" s="382">
        <v>12986507001</v>
      </c>
      <c r="C54" s="382">
        <v>100465702</v>
      </c>
      <c r="D54" s="382" t="s">
        <v>691</v>
      </c>
      <c r="E54" s="382" t="s">
        <v>635</v>
      </c>
      <c r="F54" s="382">
        <v>3947</v>
      </c>
      <c r="G54" s="162">
        <v>674805</v>
      </c>
      <c r="H54" s="382" t="s">
        <v>888</v>
      </c>
      <c r="I54" s="163">
        <v>130371.93</v>
      </c>
      <c r="J54" s="167" t="str">
        <f t="shared" si="1"/>
        <v>DS</v>
      </c>
      <c r="K54" s="167" t="str">
        <f t="shared" si="2"/>
        <v>DS/IS</v>
      </c>
    </row>
    <row r="55" spans="1:11" x14ac:dyDescent="0.2">
      <c r="A55" s="382">
        <v>32</v>
      </c>
      <c r="B55" s="382">
        <v>12986514001</v>
      </c>
      <c r="C55" s="382">
        <v>100425475</v>
      </c>
      <c r="D55" s="382" t="s">
        <v>502</v>
      </c>
      <c r="E55" s="382" t="s">
        <v>634</v>
      </c>
      <c r="F55" s="382">
        <v>4726</v>
      </c>
      <c r="G55" s="385">
        <v>674805</v>
      </c>
      <c r="H55" s="382" t="s">
        <v>889</v>
      </c>
      <c r="I55" s="163">
        <v>4233.3900000000003</v>
      </c>
      <c r="J55" s="167" t="str">
        <f t="shared" si="1"/>
        <v>GDS</v>
      </c>
      <c r="K55" s="167" t="str">
        <f t="shared" si="2"/>
        <v>GS-OTHER</v>
      </c>
    </row>
    <row r="56" spans="1:11" x14ac:dyDescent="0.2">
      <c r="A56" s="382">
        <v>32</v>
      </c>
      <c r="B56" s="382">
        <v>12986515001</v>
      </c>
      <c r="C56" s="382">
        <v>100425474</v>
      </c>
      <c r="D56" s="382" t="s">
        <v>691</v>
      </c>
      <c r="E56" s="382" t="s">
        <v>635</v>
      </c>
      <c r="F56" s="382">
        <v>3521</v>
      </c>
      <c r="G56" s="162">
        <v>674805</v>
      </c>
      <c r="H56" s="382" t="s">
        <v>890</v>
      </c>
      <c r="I56" s="163">
        <v>1657.95</v>
      </c>
      <c r="J56" s="167" t="str">
        <f t="shared" si="1"/>
        <v>DS</v>
      </c>
      <c r="K56" s="167" t="str">
        <f t="shared" si="2"/>
        <v>DS/IS</v>
      </c>
    </row>
    <row r="57" spans="1:11" x14ac:dyDescent="0.2">
      <c r="A57" s="382">
        <v>32</v>
      </c>
      <c r="B57" s="382">
        <v>12986517001</v>
      </c>
      <c r="C57" s="382">
        <v>100425472</v>
      </c>
      <c r="D57" s="382" t="s">
        <v>691</v>
      </c>
      <c r="E57" s="382" t="s">
        <v>634</v>
      </c>
      <c r="F57" s="382">
        <v>5548</v>
      </c>
      <c r="G57" s="162">
        <v>674805</v>
      </c>
      <c r="H57" s="382" t="s">
        <v>891</v>
      </c>
      <c r="I57" s="163">
        <v>7052.1</v>
      </c>
      <c r="J57" s="167" t="str">
        <f t="shared" si="1"/>
        <v>GDS</v>
      </c>
      <c r="K57" s="167" t="str">
        <f t="shared" si="2"/>
        <v>GS-OTHER</v>
      </c>
    </row>
    <row r="58" spans="1:11" x14ac:dyDescent="0.2">
      <c r="A58" s="382">
        <v>32</v>
      </c>
      <c r="B58" s="382">
        <v>12986520001</v>
      </c>
      <c r="C58" s="382">
        <v>100467440</v>
      </c>
      <c r="D58" s="382" t="s">
        <v>506</v>
      </c>
      <c r="E58" s="161" t="s">
        <v>949</v>
      </c>
      <c r="F58" s="382">
        <v>5147</v>
      </c>
      <c r="G58" s="382">
        <v>674805</v>
      </c>
      <c r="H58" s="162" t="s">
        <v>892</v>
      </c>
      <c r="I58" s="163">
        <v>30430.87</v>
      </c>
      <c r="J58" s="167" t="str">
        <f t="shared" si="1"/>
        <v>GTO</v>
      </c>
      <c r="K58" s="167" t="str">
        <f t="shared" si="2"/>
        <v>GS-OTHER</v>
      </c>
    </row>
    <row r="59" spans="1:11" x14ac:dyDescent="0.2">
      <c r="A59" s="382">
        <v>32</v>
      </c>
      <c r="B59" s="382">
        <v>12986521001</v>
      </c>
      <c r="C59" s="382">
        <v>100467439</v>
      </c>
      <c r="D59" s="382" t="s">
        <v>506</v>
      </c>
      <c r="E59" s="161" t="s">
        <v>949</v>
      </c>
      <c r="F59" s="382">
        <v>5278</v>
      </c>
      <c r="G59" s="162">
        <v>674805</v>
      </c>
      <c r="H59" s="382" t="s">
        <v>892</v>
      </c>
      <c r="I59" s="163">
        <v>2990.56</v>
      </c>
      <c r="J59" s="167" t="str">
        <f t="shared" si="1"/>
        <v>GTO</v>
      </c>
      <c r="K59" s="167" t="str">
        <f t="shared" si="2"/>
        <v>GS-OTHER</v>
      </c>
    </row>
    <row r="60" spans="1:11" x14ac:dyDescent="0.2">
      <c r="A60" s="382">
        <v>32</v>
      </c>
      <c r="B60" s="382">
        <v>12986525005</v>
      </c>
      <c r="C60" s="382">
        <v>800800019</v>
      </c>
      <c r="D60" s="382" t="s">
        <v>691</v>
      </c>
      <c r="E60" s="161" t="s">
        <v>635</v>
      </c>
      <c r="F60" s="382">
        <v>5709</v>
      </c>
      <c r="G60" s="162">
        <v>674805</v>
      </c>
      <c r="H60" s="382" t="s">
        <v>893</v>
      </c>
      <c r="I60" s="163">
        <v>2870.91</v>
      </c>
      <c r="J60" s="167" t="str">
        <f t="shared" si="1"/>
        <v>DS</v>
      </c>
      <c r="K60" s="167" t="str">
        <f t="shared" si="2"/>
        <v>DS/IS</v>
      </c>
    </row>
    <row r="61" spans="1:11" x14ac:dyDescent="0.2">
      <c r="A61" s="382">
        <v>32</v>
      </c>
      <c r="B61" s="382">
        <v>12986525005</v>
      </c>
      <c r="C61" s="382">
        <v>100425457</v>
      </c>
      <c r="D61" s="382" t="s">
        <v>691</v>
      </c>
      <c r="E61" s="161" t="s">
        <v>635</v>
      </c>
      <c r="F61" s="382">
        <v>3739</v>
      </c>
      <c r="G61" s="162">
        <v>674805</v>
      </c>
      <c r="H61" s="382" t="s">
        <v>893</v>
      </c>
      <c r="I61" s="163">
        <v>13366.29</v>
      </c>
      <c r="J61" s="167" t="str">
        <f t="shared" si="1"/>
        <v>DS</v>
      </c>
      <c r="K61" s="167" t="str">
        <f t="shared" si="2"/>
        <v>DS/IS</v>
      </c>
    </row>
    <row r="62" spans="1:11" x14ac:dyDescent="0.2">
      <c r="A62" s="382">
        <v>32</v>
      </c>
      <c r="B62" s="382">
        <v>12986528001</v>
      </c>
      <c r="C62" s="382">
        <v>100445834</v>
      </c>
      <c r="D62" s="382" t="s">
        <v>691</v>
      </c>
      <c r="E62" s="161" t="s">
        <v>635</v>
      </c>
      <c r="F62" s="382">
        <v>5463</v>
      </c>
      <c r="G62" s="162">
        <v>674805</v>
      </c>
      <c r="H62" s="382" t="s">
        <v>884</v>
      </c>
      <c r="I62" s="163">
        <v>24392.95</v>
      </c>
      <c r="J62" s="167" t="str">
        <f t="shared" si="1"/>
        <v>DS</v>
      </c>
      <c r="K62" s="167" t="str">
        <f t="shared" si="2"/>
        <v>DS/IS</v>
      </c>
    </row>
    <row r="63" spans="1:11" x14ac:dyDescent="0.2">
      <c r="A63" s="382">
        <v>32</v>
      </c>
      <c r="B63" s="382">
        <v>12986530001</v>
      </c>
      <c r="C63" s="382">
        <v>100425447</v>
      </c>
      <c r="D63" s="382" t="s">
        <v>691</v>
      </c>
      <c r="E63" s="161" t="s">
        <v>635</v>
      </c>
      <c r="F63" s="382">
        <v>5991</v>
      </c>
      <c r="G63" s="162">
        <v>674805</v>
      </c>
      <c r="H63" s="382" t="s">
        <v>894</v>
      </c>
      <c r="I63" s="163">
        <v>7316.33</v>
      </c>
      <c r="J63" s="167" t="str">
        <f t="shared" si="1"/>
        <v>DS</v>
      </c>
      <c r="K63" s="167" t="str">
        <f t="shared" si="2"/>
        <v>DS/IS</v>
      </c>
    </row>
    <row r="64" spans="1:11" x14ac:dyDescent="0.2">
      <c r="A64" s="382">
        <v>32</v>
      </c>
      <c r="B64" s="382">
        <v>12986555001</v>
      </c>
      <c r="C64" s="382">
        <v>100425432</v>
      </c>
      <c r="D64" s="382" t="s">
        <v>691</v>
      </c>
      <c r="E64" s="161" t="s">
        <v>635</v>
      </c>
      <c r="F64" s="382">
        <v>5826</v>
      </c>
      <c r="G64" s="162">
        <v>2098005</v>
      </c>
      <c r="H64" s="382" t="s">
        <v>895</v>
      </c>
      <c r="I64" s="163">
        <v>6643.66</v>
      </c>
      <c r="J64" s="167" t="str">
        <f t="shared" si="1"/>
        <v>DS</v>
      </c>
      <c r="K64" s="167" t="str">
        <f t="shared" si="2"/>
        <v>DS/IS</v>
      </c>
    </row>
    <row r="65" spans="1:17" x14ac:dyDescent="0.2">
      <c r="A65" s="382">
        <v>32</v>
      </c>
      <c r="B65" s="382">
        <v>12986560001</v>
      </c>
      <c r="C65" s="382">
        <v>100425427</v>
      </c>
      <c r="D65" s="382" t="s">
        <v>691</v>
      </c>
      <c r="E65" s="161" t="s">
        <v>635</v>
      </c>
      <c r="F65" s="382">
        <v>3742</v>
      </c>
      <c r="G65" s="162">
        <v>2098005</v>
      </c>
      <c r="H65" s="382" t="s">
        <v>896</v>
      </c>
      <c r="I65" s="163">
        <v>36843.35</v>
      </c>
      <c r="J65" s="167" t="str">
        <f t="shared" si="1"/>
        <v>DS</v>
      </c>
      <c r="K65" s="167" t="str">
        <f t="shared" si="2"/>
        <v>DS/IS</v>
      </c>
    </row>
    <row r="66" spans="1:17" x14ac:dyDescent="0.2">
      <c r="A66" s="382">
        <v>32</v>
      </c>
      <c r="B66" s="382">
        <v>12986564003</v>
      </c>
      <c r="C66" s="382">
        <v>100466949</v>
      </c>
      <c r="D66" s="382" t="s">
        <v>691</v>
      </c>
      <c r="E66" s="161" t="s">
        <v>635</v>
      </c>
      <c r="F66" s="382">
        <v>44722</v>
      </c>
      <c r="G66" s="162">
        <v>2098005</v>
      </c>
      <c r="H66" s="382" t="s">
        <v>897</v>
      </c>
      <c r="I66" s="163">
        <v>96284.6</v>
      </c>
      <c r="J66" s="167" t="str">
        <f t="shared" si="1"/>
        <v>DS</v>
      </c>
      <c r="K66" s="167" t="str">
        <f t="shared" si="2"/>
        <v>DS/IS</v>
      </c>
    </row>
    <row r="67" spans="1:17" x14ac:dyDescent="0.2">
      <c r="A67" s="382">
        <v>32</v>
      </c>
      <c r="B67" s="382">
        <v>12986564003</v>
      </c>
      <c r="C67" s="382">
        <v>500134747</v>
      </c>
      <c r="D67" s="382" t="s">
        <v>691</v>
      </c>
      <c r="E67" s="161" t="s">
        <v>635</v>
      </c>
      <c r="F67" s="382">
        <v>44722</v>
      </c>
      <c r="G67" s="162">
        <v>2098005</v>
      </c>
      <c r="H67" s="382" t="s">
        <v>897</v>
      </c>
      <c r="I67" s="163">
        <v>96284.6</v>
      </c>
      <c r="J67" s="167" t="str">
        <f t="shared" si="1"/>
        <v>DS</v>
      </c>
      <c r="K67" s="167" t="str">
        <f t="shared" si="2"/>
        <v>DS/IS</v>
      </c>
    </row>
    <row r="68" spans="1:17" x14ac:dyDescent="0.2">
      <c r="A68" s="382">
        <v>32</v>
      </c>
      <c r="B68" s="382">
        <v>12986565003</v>
      </c>
      <c r="C68" s="382">
        <v>100425606</v>
      </c>
      <c r="D68" s="382" t="s">
        <v>502</v>
      </c>
      <c r="E68" s="161" t="s">
        <v>634</v>
      </c>
      <c r="F68" s="382">
        <v>5295</v>
      </c>
      <c r="G68" s="162">
        <v>173715</v>
      </c>
      <c r="H68" s="382" t="s">
        <v>898</v>
      </c>
      <c r="I68" s="163">
        <v>8212.59</v>
      </c>
      <c r="J68" s="167" t="str">
        <f t="shared" si="1"/>
        <v>GDS</v>
      </c>
      <c r="K68" s="167" t="str">
        <f t="shared" si="2"/>
        <v>GS-OTHER</v>
      </c>
    </row>
    <row r="69" spans="1:17" x14ac:dyDescent="0.2">
      <c r="A69" s="382">
        <v>32</v>
      </c>
      <c r="B69" s="382">
        <v>12986569001</v>
      </c>
      <c r="C69" s="382">
        <v>100425423</v>
      </c>
      <c r="D69" s="382" t="s">
        <v>502</v>
      </c>
      <c r="E69" s="161" t="s">
        <v>634</v>
      </c>
      <c r="F69" s="382">
        <v>4946</v>
      </c>
      <c r="G69" s="162">
        <v>735002</v>
      </c>
      <c r="H69" s="382" t="s">
        <v>899</v>
      </c>
      <c r="I69" s="163">
        <v>38998.800000000003</v>
      </c>
      <c r="J69" s="167" t="str">
        <f t="shared" si="1"/>
        <v>GDS</v>
      </c>
      <c r="K69" s="167" t="str">
        <f t="shared" si="2"/>
        <v>GS-OTHER</v>
      </c>
      <c r="Q69" s="164"/>
    </row>
    <row r="70" spans="1:17" x14ac:dyDescent="0.2">
      <c r="A70" s="382">
        <v>32</v>
      </c>
      <c r="B70" s="382">
        <v>12986570006</v>
      </c>
      <c r="C70" s="382">
        <v>100442751</v>
      </c>
      <c r="D70" s="382" t="s">
        <v>691</v>
      </c>
      <c r="E70" s="382" t="s">
        <v>635</v>
      </c>
      <c r="F70" s="382">
        <v>14495</v>
      </c>
      <c r="G70" s="162">
        <v>735002</v>
      </c>
      <c r="H70" s="382" t="s">
        <v>900</v>
      </c>
      <c r="I70" s="163">
        <v>20043.330000000002</v>
      </c>
      <c r="J70" s="167" t="str">
        <f t="shared" si="1"/>
        <v>DS</v>
      </c>
      <c r="K70" s="167" t="str">
        <f t="shared" si="2"/>
        <v>DS/IS</v>
      </c>
    </row>
    <row r="71" spans="1:17" x14ac:dyDescent="0.2">
      <c r="A71" s="382">
        <v>32</v>
      </c>
      <c r="B71" s="382">
        <v>12986570006</v>
      </c>
      <c r="C71" s="382">
        <v>500136663</v>
      </c>
      <c r="D71" s="382" t="s">
        <v>691</v>
      </c>
      <c r="E71" s="382" t="s">
        <v>635</v>
      </c>
      <c r="F71" s="382">
        <v>14495</v>
      </c>
      <c r="G71" s="162">
        <v>735002</v>
      </c>
      <c r="H71" s="382" t="s">
        <v>900</v>
      </c>
      <c r="I71" s="163">
        <v>20043.330000000002</v>
      </c>
      <c r="J71" s="167" t="str">
        <f t="shared" si="1"/>
        <v>DS</v>
      </c>
      <c r="K71" s="167" t="str">
        <f t="shared" si="2"/>
        <v>DS/IS</v>
      </c>
    </row>
    <row r="72" spans="1:17" x14ac:dyDescent="0.2">
      <c r="A72" s="382">
        <v>32</v>
      </c>
      <c r="B72" s="382">
        <v>12986572001</v>
      </c>
      <c r="C72" s="382">
        <v>100441605</v>
      </c>
      <c r="D72" s="382" t="s">
        <v>506</v>
      </c>
      <c r="E72" s="382" t="s">
        <v>949</v>
      </c>
      <c r="F72" s="382">
        <v>3938</v>
      </c>
      <c r="G72" s="162">
        <v>735005</v>
      </c>
      <c r="H72" s="382" t="s">
        <v>901</v>
      </c>
      <c r="I72" s="163">
        <v>382.74</v>
      </c>
      <c r="J72" s="167" t="str">
        <f t="shared" ref="J72:J132" si="3">IF(E72="",D72,E72)</f>
        <v>GTO</v>
      </c>
      <c r="K72" s="167" t="str">
        <f t="shared" ref="K72:K103" si="4">VLOOKUP(J72,$N$9:$O$21,2,FALSE)</f>
        <v>GS-OTHER</v>
      </c>
    </row>
    <row r="73" spans="1:17" x14ac:dyDescent="0.2">
      <c r="A73" s="382">
        <v>32</v>
      </c>
      <c r="B73" s="382">
        <v>12986573001</v>
      </c>
      <c r="C73" s="382">
        <v>100437118</v>
      </c>
      <c r="D73" s="382" t="s">
        <v>691</v>
      </c>
      <c r="E73" s="382" t="s">
        <v>635</v>
      </c>
      <c r="F73" s="382">
        <v>14306</v>
      </c>
      <c r="G73" s="162">
        <v>735007</v>
      </c>
      <c r="H73" s="382" t="s">
        <v>902</v>
      </c>
      <c r="I73" s="163">
        <v>8143.41</v>
      </c>
      <c r="J73" s="167" t="str">
        <f t="shared" si="3"/>
        <v>DS</v>
      </c>
      <c r="K73" s="167" t="str">
        <f t="shared" si="4"/>
        <v>DS/IS</v>
      </c>
    </row>
    <row r="74" spans="1:17" x14ac:dyDescent="0.2">
      <c r="A74" s="382">
        <v>32</v>
      </c>
      <c r="B74" s="382">
        <v>12986578001</v>
      </c>
      <c r="C74" s="382">
        <v>100425415</v>
      </c>
      <c r="D74" s="382" t="s">
        <v>500</v>
      </c>
      <c r="E74" s="382" t="s">
        <v>949</v>
      </c>
      <c r="F74" s="382">
        <v>5875</v>
      </c>
      <c r="G74" s="162">
        <v>735005</v>
      </c>
      <c r="H74" s="382" t="s">
        <v>903</v>
      </c>
      <c r="I74" s="163">
        <v>194.54</v>
      </c>
      <c r="J74" s="167" t="str">
        <f t="shared" si="3"/>
        <v>GSO</v>
      </c>
      <c r="K74" s="167" t="str">
        <f t="shared" si="4"/>
        <v>GS-OTHER</v>
      </c>
    </row>
    <row r="75" spans="1:17" x14ac:dyDescent="0.2">
      <c r="A75" s="382">
        <v>32</v>
      </c>
      <c r="B75" s="382">
        <v>12986584001</v>
      </c>
      <c r="C75" s="382">
        <v>100425406</v>
      </c>
      <c r="D75" s="382" t="s">
        <v>502</v>
      </c>
      <c r="E75" s="382" t="s">
        <v>634</v>
      </c>
      <c r="F75" s="382">
        <v>4968</v>
      </c>
      <c r="G75" s="162">
        <v>735007</v>
      </c>
      <c r="H75" s="382" t="s">
        <v>904</v>
      </c>
      <c r="I75" s="163">
        <v>49160.01</v>
      </c>
      <c r="J75" s="167" t="str">
        <f t="shared" si="3"/>
        <v>GDS</v>
      </c>
      <c r="K75" s="167" t="str">
        <f t="shared" si="4"/>
        <v>GS-OTHER</v>
      </c>
    </row>
    <row r="76" spans="1:17" x14ac:dyDescent="0.2">
      <c r="A76" s="382">
        <v>32</v>
      </c>
      <c r="B76" s="382">
        <v>12986585001</v>
      </c>
      <c r="C76" s="382">
        <v>100425405</v>
      </c>
      <c r="D76" s="382" t="s">
        <v>691</v>
      </c>
      <c r="E76" s="382" t="s">
        <v>635</v>
      </c>
      <c r="F76" s="382">
        <v>5883</v>
      </c>
      <c r="G76" s="162">
        <v>735005</v>
      </c>
      <c r="H76" s="382" t="s">
        <v>904</v>
      </c>
      <c r="I76" s="163">
        <v>11813.27</v>
      </c>
      <c r="J76" s="167" t="str">
        <f t="shared" si="3"/>
        <v>DS</v>
      </c>
      <c r="K76" s="167" t="str">
        <f t="shared" si="4"/>
        <v>DS/IS</v>
      </c>
    </row>
    <row r="77" spans="1:17" x14ac:dyDescent="0.2">
      <c r="A77" s="382">
        <v>32</v>
      </c>
      <c r="B77" s="382">
        <v>12986589001</v>
      </c>
      <c r="C77" s="382">
        <v>100469081</v>
      </c>
      <c r="D77" s="382" t="s">
        <v>691</v>
      </c>
      <c r="E77" s="382" t="s">
        <v>635</v>
      </c>
      <c r="F77" s="382">
        <v>45229</v>
      </c>
      <c r="G77" s="162">
        <v>735002</v>
      </c>
      <c r="H77" s="382" t="s">
        <v>905</v>
      </c>
      <c r="I77" s="163">
        <v>29443.79</v>
      </c>
      <c r="J77" s="167" t="str">
        <f t="shared" si="3"/>
        <v>DS</v>
      </c>
      <c r="K77" s="167" t="str">
        <f t="shared" si="4"/>
        <v>DS/IS</v>
      </c>
    </row>
    <row r="78" spans="1:17" x14ac:dyDescent="0.2">
      <c r="A78" s="382">
        <v>32</v>
      </c>
      <c r="B78" s="382">
        <v>12986590001</v>
      </c>
      <c r="C78" s="382">
        <v>100459381</v>
      </c>
      <c r="D78" s="382" t="s">
        <v>691</v>
      </c>
      <c r="E78" s="382" t="s">
        <v>635</v>
      </c>
      <c r="F78" s="382">
        <v>44119</v>
      </c>
      <c r="G78" s="162">
        <v>735002</v>
      </c>
      <c r="H78" s="382" t="s">
        <v>905</v>
      </c>
      <c r="I78" s="163">
        <v>12274.31</v>
      </c>
      <c r="J78" s="167" t="str">
        <f t="shared" si="3"/>
        <v>DS</v>
      </c>
      <c r="K78" s="167" t="str">
        <f t="shared" si="4"/>
        <v>DS/IS</v>
      </c>
    </row>
    <row r="79" spans="1:17" x14ac:dyDescent="0.2">
      <c r="A79" s="382">
        <v>32</v>
      </c>
      <c r="B79" s="382">
        <v>12986594001</v>
      </c>
      <c r="C79" s="382">
        <v>100425399</v>
      </c>
      <c r="D79" s="382" t="s">
        <v>691</v>
      </c>
      <c r="E79" s="382" t="s">
        <v>635</v>
      </c>
      <c r="F79" s="382">
        <v>5672</v>
      </c>
      <c r="G79" s="162">
        <v>975305</v>
      </c>
      <c r="H79" s="382" t="s">
        <v>906</v>
      </c>
      <c r="I79" s="163">
        <v>30598.63</v>
      </c>
      <c r="J79" s="167" t="str">
        <f t="shared" si="3"/>
        <v>DS</v>
      </c>
      <c r="K79" s="167" t="str">
        <f t="shared" si="4"/>
        <v>DS/IS</v>
      </c>
    </row>
    <row r="80" spans="1:17" x14ac:dyDescent="0.2">
      <c r="A80" s="382">
        <v>32</v>
      </c>
      <c r="B80" s="382">
        <v>12986596003</v>
      </c>
      <c r="C80" s="382">
        <v>100461621</v>
      </c>
      <c r="D80" s="382" t="s">
        <v>506</v>
      </c>
      <c r="E80" s="382" t="s">
        <v>949</v>
      </c>
      <c r="F80" s="382">
        <v>5898</v>
      </c>
      <c r="G80" s="162">
        <v>975305</v>
      </c>
      <c r="H80" s="382" t="s">
        <v>907</v>
      </c>
      <c r="I80" s="163">
        <v>3752.89</v>
      </c>
      <c r="J80" s="167" t="str">
        <f t="shared" si="3"/>
        <v>GTO</v>
      </c>
      <c r="K80" s="167" t="str">
        <f t="shared" si="4"/>
        <v>GS-OTHER</v>
      </c>
    </row>
    <row r="81" spans="1:11" x14ac:dyDescent="0.2">
      <c r="A81" s="382">
        <v>32</v>
      </c>
      <c r="B81" s="382">
        <v>12986599001</v>
      </c>
      <c r="C81" s="382">
        <v>100425393</v>
      </c>
      <c r="D81" s="382" t="s">
        <v>502</v>
      </c>
      <c r="E81" s="382" t="s">
        <v>634</v>
      </c>
      <c r="F81" s="382">
        <v>4957</v>
      </c>
      <c r="G81" s="162">
        <v>975305</v>
      </c>
      <c r="H81" s="382" t="s">
        <v>908</v>
      </c>
      <c r="I81" s="163">
        <v>3569.99</v>
      </c>
      <c r="J81" s="167" t="str">
        <f t="shared" si="3"/>
        <v>GDS</v>
      </c>
      <c r="K81" s="167" t="str">
        <f t="shared" si="4"/>
        <v>GS-OTHER</v>
      </c>
    </row>
    <row r="82" spans="1:11" x14ac:dyDescent="0.2">
      <c r="A82" s="382">
        <v>32</v>
      </c>
      <c r="B82" s="382">
        <v>12986603001</v>
      </c>
      <c r="C82" s="382">
        <v>100450048</v>
      </c>
      <c r="D82" s="382" t="s">
        <v>502</v>
      </c>
      <c r="E82" s="382" t="s">
        <v>634</v>
      </c>
      <c r="F82" s="382">
        <v>14791</v>
      </c>
      <c r="G82" s="162">
        <v>895102</v>
      </c>
      <c r="H82" s="382" t="s">
        <v>909</v>
      </c>
      <c r="I82" s="163">
        <v>5436.03</v>
      </c>
      <c r="J82" s="167" t="str">
        <f t="shared" si="3"/>
        <v>GDS</v>
      </c>
      <c r="K82" s="167" t="str">
        <f t="shared" si="4"/>
        <v>GS-OTHER</v>
      </c>
    </row>
    <row r="83" spans="1:11" x14ac:dyDescent="0.2">
      <c r="A83" s="382">
        <v>32</v>
      </c>
      <c r="B83" s="382">
        <v>12986604002</v>
      </c>
      <c r="C83" s="382">
        <v>100425389</v>
      </c>
      <c r="D83" s="382" t="s">
        <v>691</v>
      </c>
      <c r="E83" s="382" t="s">
        <v>509</v>
      </c>
      <c r="F83" s="382">
        <v>4949</v>
      </c>
      <c r="G83" s="162">
        <v>193602</v>
      </c>
      <c r="H83" s="382" t="s">
        <v>910</v>
      </c>
      <c r="I83" s="163">
        <v>4373.7299999999996</v>
      </c>
      <c r="J83" s="167" t="str">
        <f t="shared" si="3"/>
        <v>DS3</v>
      </c>
      <c r="K83" s="167" t="str">
        <f t="shared" si="4"/>
        <v>DS-ML</v>
      </c>
    </row>
    <row r="84" spans="1:11" x14ac:dyDescent="0.2">
      <c r="A84" s="382">
        <v>32</v>
      </c>
      <c r="B84" s="382">
        <v>12986606001</v>
      </c>
      <c r="C84" s="382">
        <v>100425387</v>
      </c>
      <c r="D84" s="382" t="s">
        <v>691</v>
      </c>
      <c r="E84" s="382" t="s">
        <v>507</v>
      </c>
      <c r="F84" s="382">
        <v>4193</v>
      </c>
      <c r="G84" s="162">
        <v>193602</v>
      </c>
      <c r="H84" s="382" t="s">
        <v>911</v>
      </c>
      <c r="I84" s="220">
        <f>28729.86-8194.22</f>
        <v>20535.64</v>
      </c>
      <c r="J84" s="167" t="str">
        <f t="shared" si="3"/>
        <v>FX5</v>
      </c>
      <c r="K84" s="167" t="str">
        <f t="shared" si="4"/>
        <v>DS-ML</v>
      </c>
    </row>
    <row r="85" spans="1:11" x14ac:dyDescent="0.2">
      <c r="A85" s="382">
        <v>32</v>
      </c>
      <c r="B85" s="382">
        <v>12986612001</v>
      </c>
      <c r="C85" s="382">
        <v>100425367</v>
      </c>
      <c r="D85" s="382" t="s">
        <v>500</v>
      </c>
      <c r="E85" s="382" t="s">
        <v>949</v>
      </c>
      <c r="F85" s="382">
        <v>5815</v>
      </c>
      <c r="G85" s="162">
        <v>193612</v>
      </c>
      <c r="H85" s="382" t="s">
        <v>912</v>
      </c>
      <c r="I85" s="163">
        <v>1800.85</v>
      </c>
      <c r="J85" s="167" t="str">
        <f t="shared" si="3"/>
        <v>GSO</v>
      </c>
      <c r="K85" s="167" t="str">
        <f t="shared" si="4"/>
        <v>GS-OTHER</v>
      </c>
    </row>
    <row r="86" spans="1:11" x14ac:dyDescent="0.2">
      <c r="A86" s="382">
        <v>32</v>
      </c>
      <c r="B86" s="382">
        <v>12986614001</v>
      </c>
      <c r="C86" s="382">
        <v>100425364</v>
      </c>
      <c r="D86" s="382" t="s">
        <v>500</v>
      </c>
      <c r="E86" s="382" t="s">
        <v>949</v>
      </c>
      <c r="F86" s="382">
        <v>3759</v>
      </c>
      <c r="G86" s="162">
        <v>895102</v>
      </c>
      <c r="H86" s="382" t="s">
        <v>913</v>
      </c>
      <c r="I86" s="163">
        <v>2978.9</v>
      </c>
      <c r="J86" s="167" t="str">
        <f t="shared" si="3"/>
        <v>GSO</v>
      </c>
      <c r="K86" s="167" t="str">
        <f t="shared" si="4"/>
        <v>GS-OTHER</v>
      </c>
    </row>
    <row r="87" spans="1:11" x14ac:dyDescent="0.2">
      <c r="A87" s="382">
        <v>32</v>
      </c>
      <c r="B87" s="382">
        <v>12986615001</v>
      </c>
      <c r="C87" s="382">
        <v>100468990</v>
      </c>
      <c r="D87" s="382" t="s">
        <v>691</v>
      </c>
      <c r="E87" s="382" t="s">
        <v>509</v>
      </c>
      <c r="F87" s="382">
        <v>3848</v>
      </c>
      <c r="G87" s="162">
        <v>895102</v>
      </c>
      <c r="H87" s="382" t="s">
        <v>914</v>
      </c>
      <c r="I87" s="220">
        <v>136940.75</v>
      </c>
      <c r="J87" s="167" t="str">
        <f t="shared" si="3"/>
        <v>DS3</v>
      </c>
      <c r="K87" s="167" t="str">
        <f t="shared" si="4"/>
        <v>DS-ML</v>
      </c>
    </row>
    <row r="88" spans="1:11" x14ac:dyDescent="0.2">
      <c r="A88" s="382">
        <v>32</v>
      </c>
      <c r="B88" s="382">
        <v>12986617001</v>
      </c>
      <c r="C88" s="382">
        <v>100425357</v>
      </c>
      <c r="D88" s="382" t="s">
        <v>500</v>
      </c>
      <c r="E88" s="382" t="s">
        <v>949</v>
      </c>
      <c r="F88" s="382">
        <v>3202</v>
      </c>
      <c r="G88" s="162">
        <v>895122</v>
      </c>
      <c r="H88" s="382" t="s">
        <v>915</v>
      </c>
      <c r="I88" s="163">
        <v>5926.82</v>
      </c>
      <c r="J88" s="167" t="str">
        <f t="shared" si="3"/>
        <v>GSO</v>
      </c>
      <c r="K88" s="167" t="str">
        <f t="shared" si="4"/>
        <v>GS-OTHER</v>
      </c>
    </row>
    <row r="89" spans="1:11" x14ac:dyDescent="0.2">
      <c r="A89" s="382">
        <v>32</v>
      </c>
      <c r="B89" s="382">
        <v>12986618002</v>
      </c>
      <c r="C89" s="382">
        <v>100431494</v>
      </c>
      <c r="D89" s="382" t="s">
        <v>691</v>
      </c>
      <c r="E89" s="382" t="s">
        <v>635</v>
      </c>
      <c r="F89" s="382">
        <v>2618</v>
      </c>
      <c r="G89" s="162">
        <v>895108</v>
      </c>
      <c r="H89" s="382" t="s">
        <v>916</v>
      </c>
      <c r="I89" s="163">
        <v>4387.03</v>
      </c>
      <c r="J89" s="167" t="str">
        <f t="shared" si="3"/>
        <v>DS</v>
      </c>
      <c r="K89" s="167" t="str">
        <f t="shared" si="4"/>
        <v>DS/IS</v>
      </c>
    </row>
    <row r="90" spans="1:11" x14ac:dyDescent="0.2">
      <c r="A90" s="382">
        <v>32</v>
      </c>
      <c r="B90" s="382">
        <v>12986622002</v>
      </c>
      <c r="C90" s="382">
        <v>100425350</v>
      </c>
      <c r="D90" s="382" t="s">
        <v>691</v>
      </c>
      <c r="E90" s="382" t="s">
        <v>507</v>
      </c>
      <c r="F90" s="382">
        <v>1584</v>
      </c>
      <c r="G90" s="385">
        <v>193602</v>
      </c>
      <c r="H90" s="382" t="s">
        <v>917</v>
      </c>
      <c r="I90" s="163">
        <f>7908.5+8194.22</f>
        <v>16102.72</v>
      </c>
      <c r="J90" s="167" t="str">
        <f t="shared" si="3"/>
        <v>FX5</v>
      </c>
      <c r="K90" s="167" t="str">
        <f t="shared" si="4"/>
        <v>DS-ML</v>
      </c>
    </row>
    <row r="91" spans="1:11" x14ac:dyDescent="0.2">
      <c r="A91" s="382">
        <v>32</v>
      </c>
      <c r="B91" s="382">
        <v>12986622005</v>
      </c>
      <c r="C91" s="382">
        <v>500865803</v>
      </c>
      <c r="D91" s="382" t="s">
        <v>691</v>
      </c>
      <c r="E91" s="382" t="s">
        <v>507</v>
      </c>
      <c r="F91" s="382">
        <v>38145</v>
      </c>
      <c r="G91" s="385">
        <v>193602</v>
      </c>
      <c r="H91" s="382" t="s">
        <v>917</v>
      </c>
      <c r="I91" s="163">
        <v>495703.09</v>
      </c>
      <c r="J91" s="167" t="str">
        <f t="shared" si="3"/>
        <v>FX5</v>
      </c>
      <c r="K91" s="167" t="str">
        <f t="shared" si="4"/>
        <v>DS-ML</v>
      </c>
    </row>
    <row r="92" spans="1:11" x14ac:dyDescent="0.2">
      <c r="A92" s="382">
        <v>32</v>
      </c>
      <c r="B92" s="382">
        <v>13219441001</v>
      </c>
      <c r="C92" s="382">
        <v>100264548</v>
      </c>
      <c r="D92" s="382" t="s">
        <v>691</v>
      </c>
      <c r="E92" s="382" t="s">
        <v>635</v>
      </c>
      <c r="F92" s="382">
        <v>45712</v>
      </c>
      <c r="G92" s="162">
        <v>1957702</v>
      </c>
      <c r="H92" s="382" t="s">
        <v>918</v>
      </c>
      <c r="I92" s="163">
        <v>4409.0200000000004</v>
      </c>
      <c r="J92" s="167" t="str">
        <f t="shared" si="3"/>
        <v>DS</v>
      </c>
      <c r="K92" s="167" t="str">
        <f t="shared" si="4"/>
        <v>DS/IS</v>
      </c>
    </row>
    <row r="93" spans="1:11" x14ac:dyDescent="0.2">
      <c r="A93" s="382">
        <v>32</v>
      </c>
      <c r="B93" s="382">
        <v>13228118002</v>
      </c>
      <c r="C93" s="382">
        <v>500145493</v>
      </c>
      <c r="D93" s="382" t="s">
        <v>691</v>
      </c>
      <c r="E93" s="382" t="s">
        <v>508</v>
      </c>
      <c r="F93" s="382">
        <v>44536</v>
      </c>
      <c r="G93" s="162">
        <v>193612</v>
      </c>
      <c r="H93" s="382" t="s">
        <v>919</v>
      </c>
      <c r="I93" s="163">
        <v>10073.299999999999</v>
      </c>
      <c r="J93" s="167" t="str">
        <f t="shared" si="3"/>
        <v>SC3</v>
      </c>
      <c r="K93" s="167" t="str">
        <f t="shared" si="4"/>
        <v>DS/IS</v>
      </c>
    </row>
    <row r="94" spans="1:11" x14ac:dyDescent="0.2">
      <c r="A94" s="382">
        <v>32</v>
      </c>
      <c r="B94" s="382">
        <v>13228118002</v>
      </c>
      <c r="C94" s="382">
        <v>500144332</v>
      </c>
      <c r="D94" s="382" t="s">
        <v>691</v>
      </c>
      <c r="E94" s="382" t="s">
        <v>508</v>
      </c>
      <c r="F94" s="382">
        <v>44535</v>
      </c>
      <c r="G94" s="162">
        <v>193602</v>
      </c>
      <c r="H94" s="382" t="s">
        <v>919</v>
      </c>
      <c r="I94" s="163">
        <v>65974.69</v>
      </c>
      <c r="J94" s="167" t="str">
        <f t="shared" si="3"/>
        <v>SC3</v>
      </c>
      <c r="K94" s="167" t="str">
        <f t="shared" si="4"/>
        <v>DS/IS</v>
      </c>
    </row>
    <row r="95" spans="1:11" x14ac:dyDescent="0.2">
      <c r="A95" s="382">
        <v>32</v>
      </c>
      <c r="B95" s="382">
        <v>13228118002</v>
      </c>
      <c r="C95" s="382">
        <v>500495598</v>
      </c>
      <c r="D95" s="382" t="s">
        <v>691</v>
      </c>
      <c r="E95" s="382" t="s">
        <v>508</v>
      </c>
      <c r="F95" s="382">
        <v>44535</v>
      </c>
      <c r="G95" s="162">
        <v>193602</v>
      </c>
      <c r="H95" s="382" t="s">
        <v>919</v>
      </c>
      <c r="I95" s="163">
        <v>65974.69</v>
      </c>
      <c r="J95" s="167" t="str">
        <f t="shared" si="3"/>
        <v>SC3</v>
      </c>
      <c r="K95" s="167" t="str">
        <f t="shared" si="4"/>
        <v>DS/IS</v>
      </c>
    </row>
    <row r="96" spans="1:11" x14ac:dyDescent="0.2">
      <c r="A96" s="382">
        <v>32</v>
      </c>
      <c r="B96" s="382">
        <v>13229269002</v>
      </c>
      <c r="C96" s="382">
        <v>500144604</v>
      </c>
      <c r="D96" s="382" t="s">
        <v>691</v>
      </c>
      <c r="E96" s="382" t="s">
        <v>635</v>
      </c>
      <c r="F96" s="382">
        <v>44546</v>
      </c>
      <c r="G96" s="162">
        <v>193612</v>
      </c>
      <c r="H96" s="382" t="s">
        <v>851</v>
      </c>
      <c r="I96" s="163">
        <v>5318.31</v>
      </c>
      <c r="J96" s="167" t="str">
        <f t="shared" si="3"/>
        <v>DS</v>
      </c>
      <c r="K96" s="167" t="str">
        <f t="shared" si="4"/>
        <v>DS/IS</v>
      </c>
    </row>
    <row r="97" spans="1:11" x14ac:dyDescent="0.2">
      <c r="A97" s="382">
        <v>32</v>
      </c>
      <c r="B97" s="382">
        <v>13609711004</v>
      </c>
      <c r="C97" s="382">
        <v>100337848</v>
      </c>
      <c r="D97" s="382" t="s">
        <v>691</v>
      </c>
      <c r="E97" s="382" t="s">
        <v>635</v>
      </c>
      <c r="F97" s="382">
        <v>48988</v>
      </c>
      <c r="G97" s="162">
        <v>674805</v>
      </c>
      <c r="H97" s="382" t="s">
        <v>920</v>
      </c>
      <c r="I97" s="163">
        <v>26215.59</v>
      </c>
      <c r="J97" s="167" t="str">
        <f t="shared" si="3"/>
        <v>DS</v>
      </c>
      <c r="K97" s="167" t="str">
        <f t="shared" si="4"/>
        <v>DS/IS</v>
      </c>
    </row>
    <row r="98" spans="1:11" x14ac:dyDescent="0.2">
      <c r="A98" s="382">
        <v>32</v>
      </c>
      <c r="B98" s="382">
        <v>13613595001</v>
      </c>
      <c r="C98" s="382">
        <v>100253235</v>
      </c>
      <c r="D98" s="382" t="s">
        <v>500</v>
      </c>
      <c r="E98" s="382" t="s">
        <v>949</v>
      </c>
      <c r="F98" s="382">
        <v>46041</v>
      </c>
      <c r="G98" s="162">
        <v>193602</v>
      </c>
      <c r="H98" s="382" t="s">
        <v>921</v>
      </c>
      <c r="I98" s="163">
        <v>7118.06</v>
      </c>
      <c r="J98" s="167" t="str">
        <f t="shared" si="3"/>
        <v>GSO</v>
      </c>
      <c r="K98" s="167" t="str">
        <f t="shared" si="4"/>
        <v>GS-OTHER</v>
      </c>
    </row>
    <row r="99" spans="1:11" x14ac:dyDescent="0.2">
      <c r="A99" s="382">
        <v>32</v>
      </c>
      <c r="B99" s="382">
        <v>13672186001</v>
      </c>
      <c r="C99" s="382">
        <v>500209796</v>
      </c>
      <c r="D99" s="382" t="s">
        <v>691</v>
      </c>
      <c r="E99" s="382" t="s">
        <v>635</v>
      </c>
      <c r="F99" s="382">
        <v>46056</v>
      </c>
      <c r="G99" s="162">
        <v>735002</v>
      </c>
      <c r="H99" s="382" t="s">
        <v>922</v>
      </c>
      <c r="I99" s="163">
        <v>19836.12</v>
      </c>
      <c r="J99" s="167" t="str">
        <f t="shared" si="3"/>
        <v>DS</v>
      </c>
      <c r="K99" s="167" t="str">
        <f t="shared" si="4"/>
        <v>DS/IS</v>
      </c>
    </row>
    <row r="100" spans="1:11" x14ac:dyDescent="0.2">
      <c r="A100" s="382">
        <v>32</v>
      </c>
      <c r="B100" s="382">
        <v>13768940001</v>
      </c>
      <c r="C100" s="382">
        <v>500253895</v>
      </c>
      <c r="D100" s="382" t="s">
        <v>691</v>
      </c>
      <c r="E100" s="382" t="s">
        <v>635</v>
      </c>
      <c r="F100" s="382">
        <v>46363</v>
      </c>
      <c r="G100" s="162">
        <v>193612</v>
      </c>
      <c r="H100" s="382" t="s">
        <v>923</v>
      </c>
      <c r="I100" s="163">
        <v>81292.31</v>
      </c>
      <c r="J100" s="167" t="str">
        <f t="shared" si="3"/>
        <v>DS</v>
      </c>
      <c r="K100" s="167" t="str">
        <f t="shared" si="4"/>
        <v>DS/IS</v>
      </c>
    </row>
    <row r="101" spans="1:11" x14ac:dyDescent="0.2">
      <c r="A101" s="382">
        <v>32</v>
      </c>
      <c r="B101" s="382">
        <v>13959510001</v>
      </c>
      <c r="C101" s="382">
        <v>500145486</v>
      </c>
      <c r="D101" s="382" t="s">
        <v>500</v>
      </c>
      <c r="E101" s="382" t="s">
        <v>949</v>
      </c>
      <c r="F101" s="382">
        <v>44538</v>
      </c>
      <c r="G101" s="162">
        <v>193612</v>
      </c>
      <c r="H101" s="382" t="s">
        <v>924</v>
      </c>
      <c r="I101" s="163">
        <v>11509.35</v>
      </c>
      <c r="J101" s="167" t="str">
        <f t="shared" si="3"/>
        <v>GSO</v>
      </c>
      <c r="K101" s="167" t="str">
        <f t="shared" si="4"/>
        <v>GS-OTHER</v>
      </c>
    </row>
    <row r="102" spans="1:11" x14ac:dyDescent="0.2">
      <c r="A102" s="382">
        <v>32</v>
      </c>
      <c r="B102" s="382">
        <v>13987196002</v>
      </c>
      <c r="C102" s="382">
        <v>500227853</v>
      </c>
      <c r="D102" s="382" t="s">
        <v>691</v>
      </c>
      <c r="E102" s="382" t="s">
        <v>635</v>
      </c>
      <c r="F102" s="382">
        <v>48204</v>
      </c>
      <c r="G102" s="162">
        <v>735007</v>
      </c>
      <c r="H102" s="382" t="s">
        <v>904</v>
      </c>
      <c r="I102" s="163">
        <v>13630.36</v>
      </c>
      <c r="J102" s="167" t="str">
        <f t="shared" si="3"/>
        <v>DS</v>
      </c>
      <c r="K102" s="167" t="str">
        <f t="shared" si="4"/>
        <v>DS/IS</v>
      </c>
    </row>
    <row r="103" spans="1:11" x14ac:dyDescent="0.2">
      <c r="A103" s="382">
        <v>32</v>
      </c>
      <c r="B103" s="382">
        <v>14064515001</v>
      </c>
      <c r="C103" s="382">
        <v>100425536</v>
      </c>
      <c r="D103" s="382" t="s">
        <v>691</v>
      </c>
      <c r="E103" s="382" t="s">
        <v>635</v>
      </c>
      <c r="F103" s="382">
        <v>4800</v>
      </c>
      <c r="G103" s="162">
        <v>2398310</v>
      </c>
      <c r="H103" s="382" t="s">
        <v>925</v>
      </c>
      <c r="I103" s="163">
        <v>62267.5</v>
      </c>
      <c r="J103" s="167" t="str">
        <f t="shared" si="3"/>
        <v>DS</v>
      </c>
      <c r="K103" s="167" t="str">
        <f t="shared" si="4"/>
        <v>DS/IS</v>
      </c>
    </row>
    <row r="104" spans="1:11" x14ac:dyDescent="0.2">
      <c r="A104" s="382">
        <v>32</v>
      </c>
      <c r="B104" s="382">
        <v>14146162001</v>
      </c>
      <c r="C104" s="382">
        <v>100455791</v>
      </c>
      <c r="D104" s="382" t="s">
        <v>691</v>
      </c>
      <c r="E104" s="382" t="s">
        <v>635</v>
      </c>
      <c r="F104" s="382">
        <v>14853</v>
      </c>
      <c r="G104" s="162">
        <v>2098002</v>
      </c>
      <c r="H104" s="382" t="s">
        <v>926</v>
      </c>
      <c r="I104" s="163">
        <v>39708.97</v>
      </c>
      <c r="J104" s="167" t="str">
        <f t="shared" si="3"/>
        <v>DS</v>
      </c>
      <c r="K104" s="167" t="str">
        <f t="shared" ref="K104:K132" si="5">VLOOKUP(J104,$N$9:$O$21,2,FALSE)</f>
        <v>DS/IS</v>
      </c>
    </row>
    <row r="105" spans="1:11" x14ac:dyDescent="0.2">
      <c r="A105" s="382">
        <v>32</v>
      </c>
      <c r="B105" s="382">
        <v>14186792004</v>
      </c>
      <c r="C105" s="382">
        <v>501091579</v>
      </c>
      <c r="D105" s="382" t="s">
        <v>500</v>
      </c>
      <c r="E105" s="382" t="s">
        <v>949</v>
      </c>
      <c r="F105" s="382">
        <v>49253</v>
      </c>
      <c r="G105" s="162">
        <v>674805</v>
      </c>
      <c r="H105" s="382" t="s">
        <v>849</v>
      </c>
      <c r="I105" s="163">
        <v>4723.1000000000004</v>
      </c>
      <c r="J105" s="167" t="str">
        <f t="shared" si="3"/>
        <v>GSO</v>
      </c>
      <c r="K105" s="167" t="str">
        <f t="shared" si="5"/>
        <v>GS-OTHER</v>
      </c>
    </row>
    <row r="106" spans="1:11" x14ac:dyDescent="0.2">
      <c r="A106" s="382">
        <v>32</v>
      </c>
      <c r="B106" s="382">
        <v>14377875001</v>
      </c>
      <c r="C106" s="382">
        <v>500129861</v>
      </c>
      <c r="D106" s="382" t="s">
        <v>500</v>
      </c>
      <c r="E106" s="382" t="s">
        <v>949</v>
      </c>
      <c r="F106" s="382">
        <v>45843</v>
      </c>
      <c r="G106" s="162">
        <v>494305</v>
      </c>
      <c r="H106" s="382" t="s">
        <v>927</v>
      </c>
      <c r="I106" s="163">
        <v>7801.78</v>
      </c>
      <c r="J106" s="167" t="str">
        <f t="shared" si="3"/>
        <v>GSO</v>
      </c>
      <c r="K106" s="167" t="str">
        <f t="shared" si="5"/>
        <v>GS-OTHER</v>
      </c>
    </row>
    <row r="107" spans="1:11" x14ac:dyDescent="0.2">
      <c r="A107" s="382">
        <v>32</v>
      </c>
      <c r="B107" s="382">
        <v>14401089001</v>
      </c>
      <c r="C107" s="382">
        <v>500375820</v>
      </c>
      <c r="D107" s="382" t="s">
        <v>691</v>
      </c>
      <c r="E107" s="382" t="s">
        <v>635</v>
      </c>
      <c r="F107" s="382">
        <v>47435</v>
      </c>
      <c r="G107" s="162">
        <v>2398302</v>
      </c>
      <c r="H107" s="382" t="s">
        <v>928</v>
      </c>
      <c r="I107" s="163">
        <v>11830</v>
      </c>
      <c r="J107" s="167" t="str">
        <f t="shared" si="3"/>
        <v>DS</v>
      </c>
      <c r="K107" s="167" t="str">
        <f t="shared" si="5"/>
        <v>DS/IS</v>
      </c>
    </row>
    <row r="108" spans="1:11" x14ac:dyDescent="0.2">
      <c r="A108" s="382">
        <v>32</v>
      </c>
      <c r="B108" s="382">
        <v>14448967001</v>
      </c>
      <c r="C108" s="382">
        <v>500260265</v>
      </c>
      <c r="D108" s="382" t="s">
        <v>502</v>
      </c>
      <c r="E108" s="382" t="s">
        <v>635</v>
      </c>
      <c r="F108" s="382">
        <v>47502</v>
      </c>
      <c r="G108" s="162">
        <v>1616702</v>
      </c>
      <c r="H108" s="382" t="s">
        <v>929</v>
      </c>
      <c r="I108" s="163">
        <v>14917.77</v>
      </c>
      <c r="J108" s="167" t="str">
        <f t="shared" si="3"/>
        <v>DS</v>
      </c>
      <c r="K108" s="167" t="str">
        <f t="shared" si="5"/>
        <v>DS/IS</v>
      </c>
    </row>
    <row r="109" spans="1:11" x14ac:dyDescent="0.2">
      <c r="A109" s="382">
        <v>32</v>
      </c>
      <c r="B109" s="382">
        <v>14448967002</v>
      </c>
      <c r="C109" s="382">
        <v>500263965</v>
      </c>
      <c r="D109" s="382" t="s">
        <v>691</v>
      </c>
      <c r="E109" s="382" t="s">
        <v>635</v>
      </c>
      <c r="F109" s="382">
        <v>47981</v>
      </c>
      <c r="G109" s="162">
        <v>735002</v>
      </c>
      <c r="H109" s="382" t="s">
        <v>929</v>
      </c>
      <c r="I109" s="163">
        <v>25892.17</v>
      </c>
      <c r="J109" s="167" t="str">
        <f t="shared" si="3"/>
        <v>DS</v>
      </c>
      <c r="K109" s="167" t="str">
        <f t="shared" si="5"/>
        <v>DS/IS</v>
      </c>
    </row>
    <row r="110" spans="1:11" x14ac:dyDescent="0.2">
      <c r="A110" s="382">
        <v>32</v>
      </c>
      <c r="B110" s="382">
        <v>14907631003</v>
      </c>
      <c r="C110" s="382">
        <v>100427637</v>
      </c>
      <c r="D110" s="382" t="s">
        <v>500</v>
      </c>
      <c r="E110" s="382" t="s">
        <v>949</v>
      </c>
      <c r="F110" s="382">
        <v>14058</v>
      </c>
      <c r="G110" s="162">
        <v>674805</v>
      </c>
      <c r="H110" s="382" t="s">
        <v>930</v>
      </c>
      <c r="I110" s="163">
        <v>1301.17</v>
      </c>
      <c r="J110" s="167" t="str">
        <f t="shared" si="3"/>
        <v>GSO</v>
      </c>
      <c r="K110" s="167" t="str">
        <f t="shared" si="5"/>
        <v>GS-OTHER</v>
      </c>
    </row>
    <row r="111" spans="1:11" x14ac:dyDescent="0.2">
      <c r="A111" s="382">
        <v>32</v>
      </c>
      <c r="B111" s="382">
        <v>14907631003</v>
      </c>
      <c r="C111" s="382">
        <v>500135779</v>
      </c>
      <c r="D111" s="382" t="s">
        <v>500</v>
      </c>
      <c r="E111" s="382" t="s">
        <v>949</v>
      </c>
      <c r="F111" s="382">
        <v>14058</v>
      </c>
      <c r="G111" s="162">
        <v>674805</v>
      </c>
      <c r="H111" s="382" t="s">
        <v>930</v>
      </c>
      <c r="I111" s="163">
        <v>1301.17</v>
      </c>
      <c r="J111" s="167" t="str">
        <f t="shared" si="3"/>
        <v>GSO</v>
      </c>
      <c r="K111" s="167" t="str">
        <f t="shared" si="5"/>
        <v>GS-OTHER</v>
      </c>
    </row>
    <row r="112" spans="1:11" x14ac:dyDescent="0.2">
      <c r="A112" s="382">
        <v>32</v>
      </c>
      <c r="B112" s="382">
        <v>15631820001</v>
      </c>
      <c r="C112" s="382">
        <v>500725700</v>
      </c>
      <c r="D112" s="382" t="s">
        <v>691</v>
      </c>
      <c r="E112" s="382" t="s">
        <v>635</v>
      </c>
      <c r="F112" s="382">
        <v>48555</v>
      </c>
      <c r="G112" s="162">
        <v>193613</v>
      </c>
      <c r="H112" s="382" t="s">
        <v>931</v>
      </c>
      <c r="I112" s="163">
        <v>16884.77</v>
      </c>
      <c r="J112" s="167" t="str">
        <f t="shared" si="3"/>
        <v>DS</v>
      </c>
      <c r="K112" s="167" t="str">
        <f t="shared" si="5"/>
        <v>DS/IS</v>
      </c>
    </row>
    <row r="113" spans="1:11" x14ac:dyDescent="0.2">
      <c r="A113" s="382">
        <v>32</v>
      </c>
      <c r="B113" s="382">
        <v>15631948001</v>
      </c>
      <c r="C113" s="382">
        <v>500112715</v>
      </c>
      <c r="D113" s="382" t="s">
        <v>500</v>
      </c>
      <c r="E113" s="382" t="s">
        <v>949</v>
      </c>
      <c r="F113" s="382">
        <v>48556</v>
      </c>
      <c r="G113" s="162">
        <v>735002</v>
      </c>
      <c r="H113" s="382" t="s">
        <v>932</v>
      </c>
      <c r="I113" s="163">
        <v>18122.27</v>
      </c>
      <c r="J113" s="167" t="str">
        <f t="shared" si="3"/>
        <v>GSO</v>
      </c>
      <c r="K113" s="167" t="str">
        <f t="shared" si="5"/>
        <v>GS-OTHER</v>
      </c>
    </row>
    <row r="114" spans="1:11" x14ac:dyDescent="0.2">
      <c r="A114" s="382">
        <v>32</v>
      </c>
      <c r="B114" s="382">
        <v>15902431001</v>
      </c>
      <c r="C114" s="382">
        <v>100425584</v>
      </c>
      <c r="D114" s="382" t="s">
        <v>500</v>
      </c>
      <c r="E114" s="382" t="s">
        <v>949</v>
      </c>
      <c r="F114" s="382">
        <v>5233</v>
      </c>
      <c r="G114" s="162">
        <v>494302</v>
      </c>
      <c r="H114" s="382" t="s">
        <v>933</v>
      </c>
      <c r="I114" s="163">
        <v>1176.42</v>
      </c>
      <c r="J114" s="167" t="str">
        <f t="shared" si="3"/>
        <v>GSO</v>
      </c>
      <c r="K114" s="167" t="str">
        <f t="shared" si="5"/>
        <v>GS-OTHER</v>
      </c>
    </row>
    <row r="115" spans="1:11" x14ac:dyDescent="0.2">
      <c r="A115" s="382">
        <v>32</v>
      </c>
      <c r="B115" s="382">
        <v>16049885001</v>
      </c>
      <c r="C115" s="382">
        <v>100435201</v>
      </c>
      <c r="D115" s="382" t="s">
        <v>486</v>
      </c>
      <c r="E115" s="382" t="s">
        <v>949</v>
      </c>
      <c r="F115" s="382">
        <v>5560</v>
      </c>
      <c r="G115" s="162">
        <v>1957702</v>
      </c>
      <c r="H115" s="382" t="s">
        <v>934</v>
      </c>
      <c r="I115" s="163">
        <v>637.61</v>
      </c>
      <c r="J115" s="167" t="str">
        <f t="shared" si="3"/>
        <v>IUS</v>
      </c>
      <c r="K115" s="167" t="str">
        <f t="shared" si="5"/>
        <v>IUS</v>
      </c>
    </row>
    <row r="116" spans="1:11" x14ac:dyDescent="0.2">
      <c r="A116" s="382">
        <v>32</v>
      </c>
      <c r="B116" s="382">
        <v>16312595001</v>
      </c>
      <c r="C116" s="382">
        <v>500144388</v>
      </c>
      <c r="D116" s="382" t="s">
        <v>691</v>
      </c>
      <c r="E116" s="382" t="s">
        <v>606</v>
      </c>
      <c r="F116" s="382">
        <v>44551</v>
      </c>
      <c r="G116" s="162">
        <v>193602</v>
      </c>
      <c r="H116" s="382" t="s">
        <v>935</v>
      </c>
      <c r="I116" s="163">
        <v>8437.75</v>
      </c>
      <c r="J116" s="167" t="str">
        <f t="shared" si="3"/>
        <v>FX7</v>
      </c>
      <c r="K116" s="167" t="str">
        <f t="shared" si="5"/>
        <v>DS/IS</v>
      </c>
    </row>
    <row r="117" spans="1:11" x14ac:dyDescent="0.2">
      <c r="A117" s="382">
        <v>32</v>
      </c>
      <c r="B117" s="382">
        <v>16358304001</v>
      </c>
      <c r="C117" s="382">
        <v>500789884</v>
      </c>
      <c r="D117" s="382" t="s">
        <v>691</v>
      </c>
      <c r="E117" s="382" t="s">
        <v>635</v>
      </c>
      <c r="F117" s="382">
        <v>48735</v>
      </c>
      <c r="G117" s="162">
        <v>735005</v>
      </c>
      <c r="H117" s="382" t="s">
        <v>904</v>
      </c>
      <c r="I117" s="163">
        <v>22142.01</v>
      </c>
      <c r="J117" s="167" t="str">
        <f t="shared" si="3"/>
        <v>DS</v>
      </c>
      <c r="K117" s="167" t="str">
        <f t="shared" si="5"/>
        <v>DS/IS</v>
      </c>
    </row>
    <row r="118" spans="1:11" x14ac:dyDescent="0.2">
      <c r="A118" s="382">
        <v>32</v>
      </c>
      <c r="B118" s="382">
        <v>16506898001</v>
      </c>
      <c r="C118" s="382">
        <v>500381832</v>
      </c>
      <c r="D118" s="382" t="s">
        <v>506</v>
      </c>
      <c r="E118" s="382" t="s">
        <v>949</v>
      </c>
      <c r="F118" s="382">
        <v>48431</v>
      </c>
      <c r="G118" s="162">
        <v>735002</v>
      </c>
      <c r="H118" s="382" t="s">
        <v>936</v>
      </c>
      <c r="I118" s="163">
        <v>5141.8900000000003</v>
      </c>
      <c r="J118" s="167" t="str">
        <f t="shared" si="3"/>
        <v>GTO</v>
      </c>
      <c r="K118" s="167" t="str">
        <f t="shared" si="5"/>
        <v>GS-OTHER</v>
      </c>
    </row>
    <row r="119" spans="1:11" x14ac:dyDescent="0.2">
      <c r="A119" s="382">
        <v>32</v>
      </c>
      <c r="B119" s="382">
        <v>16642002002</v>
      </c>
      <c r="C119" s="382">
        <v>500021827</v>
      </c>
      <c r="D119" s="382" t="s">
        <v>691</v>
      </c>
      <c r="E119" s="382" t="s">
        <v>635</v>
      </c>
      <c r="F119" s="382">
        <v>48623</v>
      </c>
      <c r="G119" s="162">
        <v>494305</v>
      </c>
      <c r="H119" s="382" t="s">
        <v>937</v>
      </c>
      <c r="I119" s="163">
        <v>22647.84</v>
      </c>
      <c r="J119" s="167" t="str">
        <f t="shared" si="3"/>
        <v>DS</v>
      </c>
      <c r="K119" s="167" t="str">
        <f t="shared" si="5"/>
        <v>DS/IS</v>
      </c>
    </row>
    <row r="120" spans="1:11" x14ac:dyDescent="0.2">
      <c r="A120" s="382">
        <v>32</v>
      </c>
      <c r="B120" s="382">
        <v>16733087001</v>
      </c>
      <c r="C120" s="382">
        <v>100469076</v>
      </c>
      <c r="D120" s="382" t="s">
        <v>691</v>
      </c>
      <c r="E120" s="382" t="s">
        <v>635</v>
      </c>
      <c r="F120" s="382">
        <v>45244</v>
      </c>
      <c r="G120" s="385">
        <v>674805</v>
      </c>
      <c r="H120" s="382" t="s">
        <v>938</v>
      </c>
      <c r="I120" s="163">
        <v>12519.73</v>
      </c>
      <c r="J120" s="167" t="str">
        <f t="shared" si="3"/>
        <v>DS</v>
      </c>
      <c r="K120" s="167" t="str">
        <f t="shared" si="5"/>
        <v>DS/IS</v>
      </c>
    </row>
    <row r="121" spans="1:11" x14ac:dyDescent="0.2">
      <c r="A121" s="382">
        <v>32</v>
      </c>
      <c r="B121" s="382">
        <v>16803786001</v>
      </c>
      <c r="C121" s="382">
        <v>500946178</v>
      </c>
      <c r="D121" s="382" t="s">
        <v>691</v>
      </c>
      <c r="E121" s="382" t="s">
        <v>635</v>
      </c>
      <c r="F121" s="382">
        <v>48770</v>
      </c>
      <c r="G121" s="162">
        <v>173715</v>
      </c>
      <c r="H121" s="382" t="s">
        <v>939</v>
      </c>
      <c r="I121" s="163">
        <v>51312.32</v>
      </c>
      <c r="J121" s="167" t="str">
        <f t="shared" si="3"/>
        <v>DS</v>
      </c>
      <c r="K121" s="167" t="str">
        <f t="shared" si="5"/>
        <v>DS/IS</v>
      </c>
    </row>
    <row r="122" spans="1:11" x14ac:dyDescent="0.2">
      <c r="A122" s="382">
        <v>32</v>
      </c>
      <c r="B122" s="382">
        <v>17054287001</v>
      </c>
      <c r="C122" s="382">
        <v>800800000</v>
      </c>
      <c r="D122" s="382" t="s">
        <v>500</v>
      </c>
      <c r="E122" s="382" t="s">
        <v>949</v>
      </c>
      <c r="F122" s="382">
        <v>5060</v>
      </c>
      <c r="G122" s="162">
        <v>895125</v>
      </c>
      <c r="H122" s="382" t="s">
        <v>940</v>
      </c>
      <c r="I122" s="163">
        <v>12399.71</v>
      </c>
      <c r="J122" s="167" t="str">
        <f t="shared" si="3"/>
        <v>GSO</v>
      </c>
      <c r="K122" s="167" t="str">
        <f t="shared" si="5"/>
        <v>GS-OTHER</v>
      </c>
    </row>
    <row r="123" spans="1:11" x14ac:dyDescent="0.2">
      <c r="A123" s="382">
        <v>32</v>
      </c>
      <c r="B123" s="382">
        <v>17250210001</v>
      </c>
      <c r="C123" s="382">
        <v>500980083</v>
      </c>
      <c r="D123" s="382" t="s">
        <v>691</v>
      </c>
      <c r="E123" s="382" t="s">
        <v>635</v>
      </c>
      <c r="F123" s="382">
        <v>48834</v>
      </c>
      <c r="G123" s="162">
        <v>494302</v>
      </c>
      <c r="H123" s="382" t="s">
        <v>941</v>
      </c>
      <c r="I123" s="163">
        <v>18699.93</v>
      </c>
      <c r="J123" s="167" t="str">
        <f t="shared" si="3"/>
        <v>DS</v>
      </c>
      <c r="K123" s="167" t="str">
        <f t="shared" si="5"/>
        <v>DS/IS</v>
      </c>
    </row>
    <row r="124" spans="1:11" x14ac:dyDescent="0.2">
      <c r="A124" s="382">
        <v>32</v>
      </c>
      <c r="B124" s="382">
        <v>17265688001</v>
      </c>
      <c r="C124" s="382">
        <v>100425477</v>
      </c>
      <c r="D124" s="382" t="s">
        <v>691</v>
      </c>
      <c r="E124" s="382" t="s">
        <v>635</v>
      </c>
      <c r="F124" s="382">
        <v>5809</v>
      </c>
      <c r="G124" s="162">
        <v>674805</v>
      </c>
      <c r="H124" s="382" t="s">
        <v>942</v>
      </c>
      <c r="I124" s="163">
        <v>4238.55</v>
      </c>
      <c r="J124" s="167" t="str">
        <f t="shared" si="3"/>
        <v>DS</v>
      </c>
      <c r="K124" s="167" t="str">
        <f t="shared" si="5"/>
        <v>DS/IS</v>
      </c>
    </row>
    <row r="125" spans="1:11" x14ac:dyDescent="0.2">
      <c r="A125" s="382">
        <v>32</v>
      </c>
      <c r="B125" s="382">
        <v>17398015001</v>
      </c>
      <c r="C125" s="382">
        <v>500206091</v>
      </c>
      <c r="D125" s="382" t="s">
        <v>691</v>
      </c>
      <c r="E125" s="382" t="s">
        <v>635</v>
      </c>
      <c r="F125" s="382">
        <v>47691</v>
      </c>
      <c r="G125" s="385">
        <v>494305</v>
      </c>
      <c r="H125" s="382" t="s">
        <v>943</v>
      </c>
      <c r="I125" s="163">
        <v>12028.09</v>
      </c>
      <c r="J125" s="167" t="str">
        <f t="shared" si="3"/>
        <v>DS</v>
      </c>
      <c r="K125" s="167" t="str">
        <f t="shared" si="5"/>
        <v>DS/IS</v>
      </c>
    </row>
    <row r="126" spans="1:11" x14ac:dyDescent="0.2">
      <c r="A126" s="382">
        <v>32</v>
      </c>
      <c r="B126" s="382">
        <v>18573449001</v>
      </c>
      <c r="C126" s="382">
        <v>100466658</v>
      </c>
      <c r="D126" s="382" t="s">
        <v>500</v>
      </c>
      <c r="E126" s="382" t="s">
        <v>949</v>
      </c>
      <c r="F126" s="382">
        <v>5682</v>
      </c>
      <c r="G126" s="385">
        <v>1155502</v>
      </c>
      <c r="H126" s="382" t="s">
        <v>944</v>
      </c>
      <c r="I126" s="163">
        <v>5936.32</v>
      </c>
      <c r="J126" s="167" t="str">
        <f t="shared" si="3"/>
        <v>GSO</v>
      </c>
      <c r="K126" s="167" t="str">
        <f t="shared" si="5"/>
        <v>GS-OTHER</v>
      </c>
    </row>
    <row r="127" spans="1:11" x14ac:dyDescent="0.2">
      <c r="A127" s="382">
        <v>32</v>
      </c>
      <c r="B127" s="382">
        <v>18759655002</v>
      </c>
      <c r="C127" s="382">
        <v>100463597</v>
      </c>
      <c r="D127" s="382" t="s">
        <v>691</v>
      </c>
      <c r="E127" s="382" t="s">
        <v>635</v>
      </c>
      <c r="F127" s="382">
        <v>14673</v>
      </c>
      <c r="G127" s="162">
        <v>494305</v>
      </c>
      <c r="H127" s="382" t="s">
        <v>945</v>
      </c>
      <c r="I127" s="163">
        <v>26962.17</v>
      </c>
      <c r="J127" s="167" t="str">
        <f t="shared" si="3"/>
        <v>DS</v>
      </c>
      <c r="K127" s="167" t="str">
        <f t="shared" si="5"/>
        <v>DS/IS</v>
      </c>
    </row>
    <row r="128" spans="1:11" x14ac:dyDescent="0.2">
      <c r="A128" s="382">
        <v>32</v>
      </c>
      <c r="B128" s="382">
        <v>18759655004</v>
      </c>
      <c r="C128" s="382">
        <v>500076425</v>
      </c>
      <c r="D128" s="382" t="s">
        <v>500</v>
      </c>
      <c r="E128" s="382" t="s">
        <v>949</v>
      </c>
      <c r="F128" s="382">
        <v>47840</v>
      </c>
      <c r="G128" s="385">
        <v>494305</v>
      </c>
      <c r="H128" s="382" t="s">
        <v>945</v>
      </c>
      <c r="I128" s="163">
        <v>128686.57</v>
      </c>
      <c r="J128" s="167" t="str">
        <f t="shared" si="3"/>
        <v>GSO</v>
      </c>
      <c r="K128" s="167" t="str">
        <f t="shared" si="5"/>
        <v>GS-OTHER</v>
      </c>
    </row>
    <row r="129" spans="1:11" x14ac:dyDescent="0.2">
      <c r="A129" s="382">
        <v>32</v>
      </c>
      <c r="B129" s="382">
        <v>19062553002</v>
      </c>
      <c r="C129" s="382">
        <v>501101909</v>
      </c>
      <c r="D129" s="382" t="s">
        <v>691</v>
      </c>
      <c r="E129" s="382" t="s">
        <v>635</v>
      </c>
      <c r="F129" s="382">
        <v>49268</v>
      </c>
      <c r="G129" s="162">
        <v>173702</v>
      </c>
      <c r="H129" s="382" t="s">
        <v>946</v>
      </c>
      <c r="I129" s="163">
        <v>72274.39</v>
      </c>
      <c r="J129" s="167" t="str">
        <f t="shared" si="3"/>
        <v>DS</v>
      </c>
      <c r="K129" s="167" t="str">
        <f t="shared" si="5"/>
        <v>DS/IS</v>
      </c>
    </row>
    <row r="130" spans="1:11" x14ac:dyDescent="0.2">
      <c r="A130" s="382">
        <v>32</v>
      </c>
      <c r="B130" s="382">
        <v>19183325001</v>
      </c>
      <c r="C130" s="382">
        <v>501089232</v>
      </c>
      <c r="D130" s="382" t="s">
        <v>691</v>
      </c>
      <c r="E130" s="382" t="s">
        <v>635</v>
      </c>
      <c r="F130" s="382">
        <v>49278</v>
      </c>
      <c r="G130" s="162">
        <v>173702</v>
      </c>
      <c r="H130" s="382" t="s">
        <v>947</v>
      </c>
      <c r="I130" s="163">
        <v>45352.22</v>
      </c>
      <c r="J130" s="167" t="str">
        <f t="shared" si="3"/>
        <v>DS</v>
      </c>
      <c r="K130" s="167" t="str">
        <f t="shared" si="5"/>
        <v>DS/IS</v>
      </c>
    </row>
    <row r="131" spans="1:11" x14ac:dyDescent="0.2">
      <c r="A131" s="382">
        <v>32</v>
      </c>
      <c r="B131" s="382">
        <v>19301302001</v>
      </c>
      <c r="C131" s="382">
        <v>500584936</v>
      </c>
      <c r="D131" s="382" t="s">
        <v>691</v>
      </c>
      <c r="E131" s="382" t="s">
        <v>635</v>
      </c>
      <c r="F131" s="382">
        <v>49281</v>
      </c>
      <c r="G131" s="162">
        <v>2098002</v>
      </c>
      <c r="H131" s="382" t="s">
        <v>946</v>
      </c>
      <c r="I131" s="163">
        <v>16492.009999999998</v>
      </c>
      <c r="J131" s="167" t="str">
        <f t="shared" si="3"/>
        <v>DS</v>
      </c>
      <c r="K131" s="167" t="str">
        <f t="shared" si="5"/>
        <v>DS/IS</v>
      </c>
    </row>
    <row r="132" spans="1:11" x14ac:dyDescent="0.2">
      <c r="A132" s="382">
        <v>32</v>
      </c>
      <c r="B132" s="382">
        <v>19773521001</v>
      </c>
      <c r="C132" s="382">
        <v>501165742</v>
      </c>
      <c r="D132" s="382" t="s">
        <v>500</v>
      </c>
      <c r="E132" s="382" t="s">
        <v>949</v>
      </c>
      <c r="F132" s="382">
        <v>49330</v>
      </c>
      <c r="G132" s="162">
        <v>674805</v>
      </c>
      <c r="H132" s="382" t="s">
        <v>948</v>
      </c>
      <c r="I132" s="163">
        <v>76736.39</v>
      </c>
      <c r="J132" s="167" t="str">
        <f t="shared" si="3"/>
        <v>GSO</v>
      </c>
      <c r="K132" s="167" t="str">
        <f t="shared" si="5"/>
        <v>GS-OTHER</v>
      </c>
    </row>
    <row r="133" spans="1:11" x14ac:dyDescent="0.2">
      <c r="I133" s="163"/>
      <c r="J133" s="161"/>
    </row>
    <row r="134" spans="1:11" x14ac:dyDescent="0.2">
      <c r="B134" s="387"/>
      <c r="C134" s="388"/>
      <c r="E134" s="389" t="s">
        <v>12</v>
      </c>
      <c r="F134" s="389"/>
      <c r="J134" s="161"/>
    </row>
    <row r="135" spans="1:11" x14ac:dyDescent="0.2">
      <c r="B135" s="387"/>
      <c r="C135" s="388"/>
      <c r="E135" s="390" t="s">
        <v>695</v>
      </c>
      <c r="F135" s="390" t="s">
        <v>696</v>
      </c>
    </row>
    <row r="136" spans="1:11" x14ac:dyDescent="0.2">
      <c r="B136" s="168" t="s">
        <v>675</v>
      </c>
      <c r="C136" s="388"/>
      <c r="E136" s="391">
        <f>SUMIF($K$8:$K$132,B136,$I$8:$I$132)</f>
        <v>0</v>
      </c>
      <c r="F136" s="392">
        <f>1-SUM(F137:F139)</f>
        <v>0</v>
      </c>
      <c r="G136" s="216"/>
    </row>
    <row r="137" spans="1:11" x14ac:dyDescent="0.2">
      <c r="B137" s="168" t="s">
        <v>485</v>
      </c>
      <c r="C137" s="388"/>
      <c r="E137" s="391">
        <f t="shared" ref="E137:E143" si="6">SUMIF($K$8:$K$132,B137,$I$8:$I$132)</f>
        <v>577606.56000000006</v>
      </c>
      <c r="F137" s="392">
        <f>ROUND(E137/$E$144,6)</f>
        <v>0.25976700000000003</v>
      </c>
      <c r="G137" s="216"/>
    </row>
    <row r="138" spans="1:11" x14ac:dyDescent="0.2">
      <c r="B138" s="168" t="s">
        <v>632</v>
      </c>
      <c r="C138" s="388"/>
      <c r="E138" s="391">
        <f t="shared" si="6"/>
        <v>1645313.0100000002</v>
      </c>
      <c r="F138" s="392">
        <f>ROUND(E138/$E$144,6)</f>
        <v>0.73994599999999999</v>
      </c>
      <c r="G138" s="216"/>
    </row>
    <row r="139" spans="1:11" x14ac:dyDescent="0.2">
      <c r="B139" s="168" t="s">
        <v>486</v>
      </c>
      <c r="C139" s="388"/>
      <c r="E139" s="391">
        <f t="shared" si="6"/>
        <v>637.61</v>
      </c>
      <c r="F139" s="392">
        <f>ROUND(E139/$E$144,6)</f>
        <v>2.8699999999999998E-4</v>
      </c>
      <c r="G139" s="216"/>
    </row>
    <row r="140" spans="1:11" x14ac:dyDescent="0.2">
      <c r="B140" s="168" t="s">
        <v>697</v>
      </c>
      <c r="C140" s="388"/>
      <c r="E140" s="391">
        <f t="shared" si="6"/>
        <v>0</v>
      </c>
      <c r="F140" s="392">
        <f t="shared" ref="F140:F143" si="7">ROUND(E140/$E$144,6)</f>
        <v>0</v>
      </c>
      <c r="G140" s="216"/>
    </row>
    <row r="141" spans="1:11" x14ac:dyDescent="0.2">
      <c r="B141" s="168" t="s">
        <v>697</v>
      </c>
      <c r="C141" s="388"/>
      <c r="E141" s="391">
        <f t="shared" si="6"/>
        <v>0</v>
      </c>
      <c r="F141" s="392">
        <f t="shared" si="7"/>
        <v>0</v>
      </c>
      <c r="G141" s="216"/>
    </row>
    <row r="142" spans="1:11" x14ac:dyDescent="0.2">
      <c r="B142" s="168" t="s">
        <v>697</v>
      </c>
      <c r="C142" s="388"/>
      <c r="E142" s="391">
        <f t="shared" si="6"/>
        <v>0</v>
      </c>
      <c r="F142" s="392">
        <f t="shared" si="7"/>
        <v>0</v>
      </c>
      <c r="G142" s="216"/>
    </row>
    <row r="143" spans="1:11" x14ac:dyDescent="0.2">
      <c r="B143" s="168" t="s">
        <v>697</v>
      </c>
      <c r="C143" s="388"/>
      <c r="E143" s="393">
        <f t="shared" si="6"/>
        <v>0</v>
      </c>
      <c r="F143" s="394">
        <f t="shared" si="7"/>
        <v>0</v>
      </c>
      <c r="G143" s="216"/>
    </row>
    <row r="144" spans="1:11" x14ac:dyDescent="0.2">
      <c r="B144" s="387" t="s">
        <v>698</v>
      </c>
      <c r="C144" s="388"/>
      <c r="E144" s="391">
        <f>SUM(E136:E143)</f>
        <v>2223557.1800000002</v>
      </c>
      <c r="F144" s="392">
        <f>SUM(F136:F139)</f>
        <v>1</v>
      </c>
    </row>
    <row r="145" spans="2:6" x14ac:dyDescent="0.2">
      <c r="B145" s="169" t="s">
        <v>499</v>
      </c>
      <c r="C145" s="388"/>
      <c r="E145" s="393">
        <f>SUMIF($K$7:$K$132,B145,$I$7:$I$132)</f>
        <v>677829</v>
      </c>
      <c r="F145" s="395"/>
    </row>
    <row r="146" spans="2:6" x14ac:dyDescent="0.2">
      <c r="B146" s="387" t="s">
        <v>8</v>
      </c>
      <c r="C146" s="388"/>
      <c r="E146" s="391">
        <f>E144+E145</f>
        <v>2901386.18</v>
      </c>
      <c r="F146" s="392"/>
    </row>
  </sheetData>
  <sortState ref="A7:H170">
    <sortCondition ref="D7:D170"/>
    <sortCondition ref="E7:E170"/>
  </sortState>
  <pageMargins left="0" right="0" top="0.75" bottom="0.75" header="0.3" footer="0.3"/>
  <pageSetup scale="9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workbookViewId="0">
      <selection activeCell="C39" sqref="C39"/>
    </sheetView>
  </sheetViews>
  <sheetFormatPr defaultRowHeight="12.75" x14ac:dyDescent="0.2"/>
  <cols>
    <col min="1" max="1" width="15.83203125" style="397" bestFit="1" customWidth="1"/>
    <col min="2" max="2" width="11.33203125" style="397" bestFit="1" customWidth="1"/>
    <col min="3" max="16384" width="9.33203125" style="397"/>
  </cols>
  <sheetData>
    <row r="1" spans="1:2" x14ac:dyDescent="0.2">
      <c r="A1" s="396" t="s">
        <v>700</v>
      </c>
      <c r="B1" s="396" t="s">
        <v>521</v>
      </c>
    </row>
    <row r="2" spans="1:2" x14ac:dyDescent="0.2">
      <c r="A2" s="398" t="s">
        <v>701</v>
      </c>
      <c r="B2" s="398" t="s">
        <v>702</v>
      </c>
    </row>
    <row r="3" spans="1:2" x14ac:dyDescent="0.2">
      <c r="A3" s="397" t="s">
        <v>703</v>
      </c>
      <c r="B3" s="397" t="s">
        <v>704</v>
      </c>
    </row>
    <row r="4" spans="1:2" x14ac:dyDescent="0.2">
      <c r="A4" s="397" t="s">
        <v>705</v>
      </c>
      <c r="B4" s="397" t="s">
        <v>704</v>
      </c>
    </row>
    <row r="5" spans="1:2" x14ac:dyDescent="0.2">
      <c r="A5" s="397" t="s">
        <v>706</v>
      </c>
      <c r="B5" s="397" t="s">
        <v>704</v>
      </c>
    </row>
    <row r="6" spans="1:2" x14ac:dyDescent="0.2">
      <c r="A6" s="397" t="s">
        <v>707</v>
      </c>
      <c r="B6" s="397" t="s">
        <v>704</v>
      </c>
    </row>
    <row r="7" spans="1:2" x14ac:dyDescent="0.2">
      <c r="A7" s="397" t="s">
        <v>559</v>
      </c>
      <c r="B7" s="397" t="s">
        <v>559</v>
      </c>
    </row>
    <row r="8" spans="1:2" x14ac:dyDescent="0.2">
      <c r="A8" s="397" t="s">
        <v>708</v>
      </c>
      <c r="B8" s="397" t="s">
        <v>704</v>
      </c>
    </row>
    <row r="9" spans="1:2" x14ac:dyDescent="0.2">
      <c r="A9" s="397" t="s">
        <v>709</v>
      </c>
      <c r="B9" s="397" t="s">
        <v>704</v>
      </c>
    </row>
    <row r="10" spans="1:2" x14ac:dyDescent="0.2">
      <c r="A10" s="397" t="s">
        <v>710</v>
      </c>
      <c r="B10" s="397" t="s">
        <v>704</v>
      </c>
    </row>
    <row r="11" spans="1:2" x14ac:dyDescent="0.2">
      <c r="A11" s="397" t="s">
        <v>711</v>
      </c>
      <c r="B11" s="397" t="s">
        <v>704</v>
      </c>
    </row>
    <row r="12" spans="1:2" x14ac:dyDescent="0.2">
      <c r="A12" s="397" t="s">
        <v>706</v>
      </c>
      <c r="B12" s="397" t="s">
        <v>704</v>
      </c>
    </row>
    <row r="13" spans="1:2" x14ac:dyDescent="0.2">
      <c r="A13" s="397" t="s">
        <v>712</v>
      </c>
      <c r="B13" s="397" t="s">
        <v>704</v>
      </c>
    </row>
    <row r="14" spans="1:2" x14ac:dyDescent="0.2">
      <c r="A14" s="397" t="s">
        <v>713</v>
      </c>
      <c r="B14" s="397" t="s">
        <v>704</v>
      </c>
    </row>
    <row r="15" spans="1:2" x14ac:dyDescent="0.2">
      <c r="A15" s="397" t="s">
        <v>714</v>
      </c>
      <c r="B15" s="397" t="s">
        <v>704</v>
      </c>
    </row>
    <row r="16" spans="1:2" x14ac:dyDescent="0.2">
      <c r="A16" s="397" t="s">
        <v>715</v>
      </c>
      <c r="B16" s="397" t="s">
        <v>704</v>
      </c>
    </row>
    <row r="17" spans="1:2" x14ac:dyDescent="0.2">
      <c r="A17" s="397" t="s">
        <v>716</v>
      </c>
      <c r="B17" s="397" t="s">
        <v>704</v>
      </c>
    </row>
    <row r="18" spans="1:2" x14ac:dyDescent="0.2">
      <c r="A18" s="397" t="s">
        <v>707</v>
      </c>
      <c r="B18" s="397" t="s">
        <v>704</v>
      </c>
    </row>
    <row r="19" spans="1:2" x14ac:dyDescent="0.2">
      <c r="A19" s="397" t="s">
        <v>717</v>
      </c>
      <c r="B19" s="397" t="s">
        <v>704</v>
      </c>
    </row>
    <row r="20" spans="1:2" x14ac:dyDescent="0.2">
      <c r="A20" s="397" t="s">
        <v>718</v>
      </c>
      <c r="B20" s="397" t="s">
        <v>704</v>
      </c>
    </row>
    <row r="21" spans="1:2" x14ac:dyDescent="0.2">
      <c r="A21" s="397" t="s">
        <v>559</v>
      </c>
      <c r="B21" s="397" t="s">
        <v>559</v>
      </c>
    </row>
    <row r="22" spans="1:2" x14ac:dyDescent="0.2">
      <c r="A22" s="397" t="s">
        <v>719</v>
      </c>
      <c r="B22" s="397" t="s">
        <v>719</v>
      </c>
    </row>
    <row r="23" spans="1:2" x14ac:dyDescent="0.2">
      <c r="A23" s="397" t="s">
        <v>720</v>
      </c>
      <c r="B23" s="397" t="s">
        <v>720</v>
      </c>
    </row>
    <row r="24" spans="1:2" x14ac:dyDescent="0.2">
      <c r="A24" s="397" t="s">
        <v>721</v>
      </c>
      <c r="B24" s="397" t="s">
        <v>721</v>
      </c>
    </row>
    <row r="25" spans="1:2" x14ac:dyDescent="0.2">
      <c r="A25" s="397" t="s">
        <v>722</v>
      </c>
      <c r="B25" s="397" t="s">
        <v>722</v>
      </c>
    </row>
    <row r="26" spans="1:2" x14ac:dyDescent="0.2">
      <c r="A26" s="397" t="s">
        <v>723</v>
      </c>
      <c r="B26" s="397" t="s">
        <v>723</v>
      </c>
    </row>
    <row r="27" spans="1:2" x14ac:dyDescent="0.2">
      <c r="A27" s="397" t="s">
        <v>724</v>
      </c>
      <c r="B27" s="397" t="s">
        <v>724</v>
      </c>
    </row>
    <row r="28" spans="1:2" x14ac:dyDescent="0.2">
      <c r="A28" s="397" t="s">
        <v>725</v>
      </c>
      <c r="B28" s="397" t="s">
        <v>725</v>
      </c>
    </row>
    <row r="29" spans="1:2" x14ac:dyDescent="0.2">
      <c r="A29" s="397" t="s">
        <v>726</v>
      </c>
      <c r="B29" s="397" t="s">
        <v>726</v>
      </c>
    </row>
    <row r="30" spans="1:2" x14ac:dyDescent="0.2">
      <c r="A30" s="397" t="s">
        <v>727</v>
      </c>
      <c r="B30" s="397" t="s">
        <v>727</v>
      </c>
    </row>
    <row r="31" spans="1:2" x14ac:dyDescent="0.2">
      <c r="A31" s="397" t="s">
        <v>728</v>
      </c>
      <c r="B31" s="397" t="s">
        <v>728</v>
      </c>
    </row>
    <row r="32" spans="1:2" x14ac:dyDescent="0.2">
      <c r="A32" s="397" t="s">
        <v>729</v>
      </c>
      <c r="B32" s="397" t="s">
        <v>729</v>
      </c>
    </row>
    <row r="33" spans="1:2" x14ac:dyDescent="0.2">
      <c r="A33" s="397" t="s">
        <v>730</v>
      </c>
      <c r="B33" s="397" t="s">
        <v>730</v>
      </c>
    </row>
    <row r="34" spans="1:2" x14ac:dyDescent="0.2">
      <c r="A34" s="397" t="s">
        <v>731</v>
      </c>
      <c r="B34" s="397" t="s">
        <v>731</v>
      </c>
    </row>
    <row r="35" spans="1:2" x14ac:dyDescent="0.2">
      <c r="A35" s="397" t="s">
        <v>732</v>
      </c>
      <c r="B35" s="397" t="s">
        <v>732</v>
      </c>
    </row>
    <row r="36" spans="1:2" x14ac:dyDescent="0.2">
      <c r="A36" s="397" t="s">
        <v>733</v>
      </c>
      <c r="B36" s="397" t="s">
        <v>733</v>
      </c>
    </row>
    <row r="37" spans="1:2" x14ac:dyDescent="0.2">
      <c r="A37" s="397" t="s">
        <v>734</v>
      </c>
      <c r="B37" s="397" t="s">
        <v>734</v>
      </c>
    </row>
    <row r="38" spans="1:2" x14ac:dyDescent="0.2">
      <c r="A38" s="397" t="s">
        <v>735</v>
      </c>
      <c r="B38" s="397" t="s">
        <v>735</v>
      </c>
    </row>
    <row r="39" spans="1:2" x14ac:dyDescent="0.2">
      <c r="A39" s="397" t="s">
        <v>736</v>
      </c>
      <c r="B39" s="397" t="s">
        <v>736</v>
      </c>
    </row>
    <row r="40" spans="1:2" x14ac:dyDescent="0.2">
      <c r="A40" s="397" t="s">
        <v>737</v>
      </c>
      <c r="B40" s="397" t="s">
        <v>737</v>
      </c>
    </row>
    <row r="41" spans="1:2" x14ac:dyDescent="0.2">
      <c r="A41" s="397" t="s">
        <v>738</v>
      </c>
      <c r="B41" s="397" t="s">
        <v>738</v>
      </c>
    </row>
    <row r="42" spans="1:2" x14ac:dyDescent="0.2">
      <c r="A42" s="397" t="s">
        <v>739</v>
      </c>
      <c r="B42" s="397" t="s">
        <v>739</v>
      </c>
    </row>
    <row r="43" spans="1:2" x14ac:dyDescent="0.2">
      <c r="A43" s="397" t="s">
        <v>740</v>
      </c>
      <c r="B43" s="397" t="s">
        <v>740</v>
      </c>
    </row>
    <row r="44" spans="1:2" x14ac:dyDescent="0.2">
      <c r="A44" s="397" t="s">
        <v>741</v>
      </c>
      <c r="B44" s="397" t="s">
        <v>741</v>
      </c>
    </row>
    <row r="45" spans="1:2" x14ac:dyDescent="0.2">
      <c r="A45" s="397" t="s">
        <v>742</v>
      </c>
      <c r="B45" s="397" t="s">
        <v>742</v>
      </c>
    </row>
    <row r="46" spans="1:2" x14ac:dyDescent="0.2">
      <c r="A46" s="397" t="s">
        <v>743</v>
      </c>
      <c r="B46" s="397" t="s">
        <v>743</v>
      </c>
    </row>
    <row r="47" spans="1:2" x14ac:dyDescent="0.2">
      <c r="A47" s="397" t="s">
        <v>744</v>
      </c>
      <c r="B47" s="397" t="s">
        <v>744</v>
      </c>
    </row>
    <row r="48" spans="1:2" x14ac:dyDescent="0.2">
      <c r="A48" s="397" t="s">
        <v>745</v>
      </c>
      <c r="B48" s="397" t="s">
        <v>745</v>
      </c>
    </row>
    <row r="49" spans="1:2" x14ac:dyDescent="0.2">
      <c r="A49" s="397" t="s">
        <v>746</v>
      </c>
      <c r="B49" s="397" t="s">
        <v>746</v>
      </c>
    </row>
    <row r="50" spans="1:2" x14ac:dyDescent="0.2">
      <c r="A50" s="397" t="s">
        <v>747</v>
      </c>
      <c r="B50" s="397" t="s">
        <v>747</v>
      </c>
    </row>
    <row r="51" spans="1:2" x14ac:dyDescent="0.2">
      <c r="A51" s="397" t="s">
        <v>748</v>
      </c>
      <c r="B51" s="397" t="s">
        <v>748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C39" sqref="C39"/>
    </sheetView>
  </sheetViews>
  <sheetFormatPr defaultRowHeight="12.75" x14ac:dyDescent="0.2"/>
  <cols>
    <col min="1" max="1" width="10.1640625" style="397" customWidth="1"/>
    <col min="2" max="2" width="25.1640625" style="397" bestFit="1" customWidth="1"/>
    <col min="3" max="3" width="15.33203125" style="397" bestFit="1" customWidth="1"/>
    <col min="4" max="4" width="10.6640625" style="399" bestFit="1" customWidth="1"/>
    <col min="5" max="5" width="17.6640625" style="400" bestFit="1" customWidth="1"/>
    <col min="6" max="7" width="9.33203125" style="397"/>
    <col min="8" max="8" width="9.5" style="397" customWidth="1"/>
    <col min="9" max="16384" width="9.33203125" style="397"/>
  </cols>
  <sheetData>
    <row r="1" spans="1:7" x14ac:dyDescent="0.2">
      <c r="A1" s="397" t="s">
        <v>580</v>
      </c>
    </row>
    <row r="2" spans="1:7" x14ac:dyDescent="0.2">
      <c r="A2" s="397" t="s">
        <v>749</v>
      </c>
    </row>
    <row r="3" spans="1:7" x14ac:dyDescent="0.2">
      <c r="A3" s="397" t="s">
        <v>846</v>
      </c>
    </row>
    <row r="5" spans="1:7" x14ac:dyDescent="0.2">
      <c r="A5" s="398" t="s">
        <v>750</v>
      </c>
      <c r="B5" s="398" t="s">
        <v>751</v>
      </c>
      <c r="C5" s="398" t="s">
        <v>752</v>
      </c>
      <c r="D5" s="401" t="s">
        <v>611</v>
      </c>
      <c r="E5" s="402" t="s">
        <v>692</v>
      </c>
    </row>
    <row r="6" spans="1:7" x14ac:dyDescent="0.2">
      <c r="A6" s="397">
        <v>464516</v>
      </c>
      <c r="B6" s="397" t="s">
        <v>753</v>
      </c>
      <c r="C6" s="397" t="s">
        <v>707</v>
      </c>
      <c r="D6" s="399">
        <v>0</v>
      </c>
      <c r="E6" s="399">
        <v>5.3</v>
      </c>
    </row>
    <row r="7" spans="1:7" x14ac:dyDescent="0.2">
      <c r="A7" s="397">
        <v>892126</v>
      </c>
      <c r="B7" s="397" t="s">
        <v>754</v>
      </c>
      <c r="C7" s="397" t="s">
        <v>721</v>
      </c>
      <c r="D7" s="399">
        <v>1</v>
      </c>
      <c r="E7" s="399">
        <v>2747.16</v>
      </c>
    </row>
    <row r="8" spans="1:7" x14ac:dyDescent="0.2">
      <c r="A8" s="397">
        <v>655115</v>
      </c>
      <c r="B8" s="397" t="s">
        <v>755</v>
      </c>
      <c r="C8" s="397" t="s">
        <v>714</v>
      </c>
      <c r="D8" s="399">
        <v>2</v>
      </c>
      <c r="E8" s="399">
        <v>120.95</v>
      </c>
    </row>
    <row r="9" spans="1:7" x14ac:dyDescent="0.2">
      <c r="A9" s="397">
        <v>655118</v>
      </c>
      <c r="B9" s="397" t="s">
        <v>755</v>
      </c>
      <c r="C9" s="397" t="s">
        <v>718</v>
      </c>
      <c r="D9" s="399">
        <v>8</v>
      </c>
      <c r="E9" s="399">
        <v>1515.48</v>
      </c>
    </row>
    <row r="10" spans="1:7" x14ac:dyDescent="0.2">
      <c r="A10" s="397">
        <v>655121</v>
      </c>
      <c r="B10" s="397" t="s">
        <v>756</v>
      </c>
      <c r="C10" s="397" t="s">
        <v>559</v>
      </c>
      <c r="D10" s="399">
        <v>209</v>
      </c>
      <c r="E10" s="399">
        <v>93359.46</v>
      </c>
    </row>
    <row r="11" spans="1:7" x14ac:dyDescent="0.2">
      <c r="A11" s="397">
        <v>655126</v>
      </c>
      <c r="B11" s="397" t="s">
        <v>756</v>
      </c>
      <c r="C11" s="397" t="s">
        <v>721</v>
      </c>
      <c r="D11" s="399">
        <v>140</v>
      </c>
      <c r="E11" s="399">
        <v>180357.52</v>
      </c>
    </row>
    <row r="12" spans="1:7" x14ac:dyDescent="0.2">
      <c r="A12" s="397">
        <v>655136</v>
      </c>
      <c r="B12" s="397" t="s">
        <v>756</v>
      </c>
      <c r="C12" s="397" t="s">
        <v>727</v>
      </c>
      <c r="D12" s="399">
        <v>4</v>
      </c>
      <c r="E12" s="399">
        <v>50723.01</v>
      </c>
    </row>
    <row r="13" spans="1:7" x14ac:dyDescent="0.2">
      <c r="A13" s="397">
        <v>655140</v>
      </c>
      <c r="B13" s="397" t="s">
        <v>756</v>
      </c>
      <c r="C13" s="397" t="s">
        <v>731</v>
      </c>
      <c r="D13" s="399">
        <v>2</v>
      </c>
      <c r="E13" s="399">
        <v>20040.57</v>
      </c>
      <c r="G13" s="399"/>
    </row>
    <row r="14" spans="1:7" x14ac:dyDescent="0.2">
      <c r="A14" s="397">
        <v>655150</v>
      </c>
      <c r="B14" s="397" t="s">
        <v>756</v>
      </c>
      <c r="C14" s="397" t="s">
        <v>739</v>
      </c>
      <c r="D14" s="399">
        <v>1</v>
      </c>
      <c r="E14" s="399">
        <v>6627.73</v>
      </c>
    </row>
    <row r="15" spans="1:7" x14ac:dyDescent="0.2">
      <c r="A15" s="397">
        <v>655196</v>
      </c>
      <c r="B15" s="397" t="s">
        <v>756</v>
      </c>
      <c r="C15" s="397" t="s">
        <v>705</v>
      </c>
      <c r="D15" s="399">
        <v>29915</v>
      </c>
      <c r="E15" s="399">
        <v>2846170.89</v>
      </c>
    </row>
    <row r="16" spans="1:7" x14ac:dyDescent="0.2">
      <c r="A16" s="397">
        <v>655221</v>
      </c>
      <c r="B16" s="397" t="s">
        <v>755</v>
      </c>
      <c r="C16" s="397" t="s">
        <v>559</v>
      </c>
      <c r="D16" s="399">
        <v>407</v>
      </c>
      <c r="E16" s="399">
        <v>473556.93</v>
      </c>
    </row>
    <row r="17" spans="1:8" x14ac:dyDescent="0.2">
      <c r="A17" s="397">
        <v>655226</v>
      </c>
      <c r="B17" s="397" t="s">
        <v>755</v>
      </c>
      <c r="C17" s="397" t="s">
        <v>721</v>
      </c>
      <c r="D17" s="399">
        <v>94</v>
      </c>
      <c r="E17" s="399">
        <v>739703.06</v>
      </c>
    </row>
    <row r="18" spans="1:8" x14ac:dyDescent="0.2">
      <c r="A18" s="397">
        <v>655236</v>
      </c>
      <c r="B18" s="397" t="s">
        <v>755</v>
      </c>
      <c r="C18" s="397" t="s">
        <v>727</v>
      </c>
      <c r="D18" s="399">
        <v>6</v>
      </c>
      <c r="E18" s="399">
        <v>100671.69</v>
      </c>
    </row>
    <row r="19" spans="1:8" x14ac:dyDescent="0.2">
      <c r="A19" s="397">
        <v>655240</v>
      </c>
      <c r="B19" s="397" t="s">
        <v>755</v>
      </c>
      <c r="C19" s="397" t="s">
        <v>731</v>
      </c>
      <c r="D19" s="399">
        <v>4</v>
      </c>
      <c r="E19" s="399">
        <v>25196.26</v>
      </c>
    </row>
    <row r="20" spans="1:8" x14ac:dyDescent="0.2">
      <c r="A20" s="397">
        <v>655296</v>
      </c>
      <c r="B20" s="397" t="s">
        <v>755</v>
      </c>
      <c r="C20" s="397" t="s">
        <v>705</v>
      </c>
      <c r="D20" s="399">
        <v>88792</v>
      </c>
      <c r="E20" s="399">
        <v>54387433.439999998</v>
      </c>
    </row>
    <row r="21" spans="1:8" x14ac:dyDescent="0.2">
      <c r="A21" s="397">
        <v>655421</v>
      </c>
      <c r="B21" s="397" t="s">
        <v>757</v>
      </c>
      <c r="C21" s="397" t="s">
        <v>559</v>
      </c>
      <c r="D21" s="399">
        <v>2</v>
      </c>
      <c r="E21" s="399">
        <v>10250.33</v>
      </c>
    </row>
    <row r="22" spans="1:8" x14ac:dyDescent="0.2">
      <c r="A22" s="397">
        <v>655426</v>
      </c>
      <c r="B22" s="397" t="s">
        <v>757</v>
      </c>
      <c r="C22" s="397" t="s">
        <v>721</v>
      </c>
      <c r="D22" s="399">
        <v>3</v>
      </c>
      <c r="E22" s="399">
        <v>3216.74</v>
      </c>
    </row>
    <row r="23" spans="1:8" x14ac:dyDescent="0.2">
      <c r="A23" s="397">
        <v>655436</v>
      </c>
      <c r="B23" s="397" t="s">
        <v>757</v>
      </c>
      <c r="C23" s="397" t="s">
        <v>725</v>
      </c>
      <c r="D23" s="399">
        <v>1</v>
      </c>
      <c r="E23" s="399">
        <v>7112.22</v>
      </c>
    </row>
    <row r="24" spans="1:8" x14ac:dyDescent="0.2">
      <c r="A24" s="397">
        <v>655496</v>
      </c>
      <c r="B24" s="397" t="s">
        <v>757</v>
      </c>
      <c r="C24" s="397" t="s">
        <v>705</v>
      </c>
      <c r="D24" s="399">
        <v>64</v>
      </c>
      <c r="E24" s="399">
        <v>82695.03</v>
      </c>
    </row>
    <row r="25" spans="1:8" x14ac:dyDescent="0.2">
      <c r="A25" s="397">
        <v>655521</v>
      </c>
      <c r="B25" s="397" t="s">
        <v>757</v>
      </c>
      <c r="C25" s="397" t="s">
        <v>559</v>
      </c>
      <c r="D25" s="399">
        <v>36</v>
      </c>
      <c r="E25" s="399">
        <v>74383.92</v>
      </c>
    </row>
    <row r="26" spans="1:8" x14ac:dyDescent="0.2">
      <c r="A26" s="397">
        <v>655526</v>
      </c>
      <c r="B26" s="397" t="s">
        <v>757</v>
      </c>
      <c r="C26" s="397" t="s">
        <v>721</v>
      </c>
      <c r="D26" s="399">
        <v>10</v>
      </c>
      <c r="E26" s="399">
        <v>36237.07</v>
      </c>
    </row>
    <row r="27" spans="1:8" x14ac:dyDescent="0.2">
      <c r="A27" s="397">
        <v>655596</v>
      </c>
      <c r="B27" s="397" t="s">
        <v>757</v>
      </c>
      <c r="C27" s="397" t="s">
        <v>705</v>
      </c>
      <c r="D27" s="399">
        <v>66253</v>
      </c>
      <c r="E27" s="399">
        <v>46868049.579999998</v>
      </c>
    </row>
    <row r="28" spans="1:8" x14ac:dyDescent="0.2">
      <c r="A28" s="397">
        <v>655821</v>
      </c>
      <c r="B28" s="397" t="s">
        <v>756</v>
      </c>
      <c r="C28" s="397" t="s">
        <v>559</v>
      </c>
      <c r="D28" s="399">
        <v>1</v>
      </c>
      <c r="E28" s="399">
        <v>6573.66</v>
      </c>
    </row>
    <row r="29" spans="1:8" x14ac:dyDescent="0.2">
      <c r="A29" s="397">
        <v>655826</v>
      </c>
      <c r="B29" s="397" t="s">
        <v>756</v>
      </c>
      <c r="C29" s="397" t="s">
        <v>721</v>
      </c>
      <c r="D29" s="399">
        <v>1</v>
      </c>
      <c r="E29" s="399">
        <v>4744.63</v>
      </c>
    </row>
    <row r="30" spans="1:8" x14ac:dyDescent="0.2">
      <c r="A30" s="397">
        <v>655896</v>
      </c>
      <c r="B30" s="397" t="s">
        <v>756</v>
      </c>
      <c r="C30" s="397" t="s">
        <v>705</v>
      </c>
      <c r="D30" s="399">
        <v>16472</v>
      </c>
      <c r="E30" s="399">
        <v>10336206.470000001</v>
      </c>
    </row>
    <row r="31" spans="1:8" x14ac:dyDescent="0.2">
      <c r="A31" s="397">
        <v>655996</v>
      </c>
      <c r="B31" s="397" t="s">
        <v>756</v>
      </c>
      <c r="C31" s="397" t="s">
        <v>705</v>
      </c>
      <c r="D31" s="403">
        <v>72</v>
      </c>
      <c r="E31" s="403">
        <v>45258.95</v>
      </c>
      <c r="G31" s="399"/>
      <c r="H31" s="399"/>
    </row>
    <row r="32" spans="1:8" x14ac:dyDescent="0.2">
      <c r="D32" s="399">
        <f>SUM(D6:D31)</f>
        <v>202500</v>
      </c>
      <c r="E32" s="399">
        <f>SUM(E6:E31)</f>
        <v>116402958.05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37" workbookViewId="0">
      <selection activeCell="C39" sqref="C39"/>
    </sheetView>
  </sheetViews>
  <sheetFormatPr defaultRowHeight="12.75" x14ac:dyDescent="0.2"/>
  <cols>
    <col min="1" max="1" width="9" style="397" bestFit="1" customWidth="1"/>
    <col min="2" max="2" width="22.33203125" style="397" bestFit="1" customWidth="1"/>
    <col min="3" max="3" width="11.33203125" style="397" bestFit="1" customWidth="1"/>
    <col min="4" max="4" width="12.6640625" style="397" customWidth="1"/>
    <col min="5" max="5" width="16.83203125" style="397" bestFit="1" customWidth="1"/>
    <col min="6" max="6" width="12" style="397" bestFit="1" customWidth="1"/>
    <col min="7" max="7" width="16.83203125" style="397" bestFit="1" customWidth="1"/>
    <col min="8" max="16384" width="9.33203125" style="397"/>
  </cols>
  <sheetData>
    <row r="1" spans="1:6" x14ac:dyDescent="0.2">
      <c r="A1" s="170"/>
      <c r="B1" s="171"/>
      <c r="C1" s="171"/>
      <c r="D1" s="174" t="s">
        <v>44</v>
      </c>
      <c r="E1" s="171"/>
      <c r="F1" s="171"/>
    </row>
    <row r="2" spans="1:6" x14ac:dyDescent="0.2">
      <c r="A2" s="170"/>
      <c r="B2" s="172"/>
      <c r="C2" s="172"/>
      <c r="D2" s="173" t="s">
        <v>515</v>
      </c>
      <c r="E2" s="172"/>
      <c r="F2" s="172"/>
    </row>
    <row r="3" spans="1:6" x14ac:dyDescent="0.2">
      <c r="A3" s="170"/>
      <c r="B3" s="172"/>
      <c r="C3" s="172"/>
      <c r="D3" s="173" t="s">
        <v>516</v>
      </c>
      <c r="E3" s="172"/>
      <c r="F3" s="172"/>
    </row>
    <row r="4" spans="1:6" x14ac:dyDescent="0.2">
      <c r="A4" s="170"/>
      <c r="B4" s="172"/>
      <c r="C4" s="172"/>
      <c r="D4" s="173" t="s">
        <v>846</v>
      </c>
      <c r="E4" s="172"/>
      <c r="F4" s="172"/>
    </row>
    <row r="5" spans="1:6" x14ac:dyDescent="0.2">
      <c r="A5" s="170"/>
      <c r="B5" s="172"/>
      <c r="C5" s="172"/>
      <c r="D5" s="172"/>
      <c r="E5" s="172"/>
      <c r="F5" s="173" t="s">
        <v>758</v>
      </c>
    </row>
    <row r="6" spans="1:6" x14ac:dyDescent="0.2">
      <c r="A6" s="174"/>
      <c r="B6" s="173"/>
      <c r="C6" s="173"/>
      <c r="D6" s="173"/>
      <c r="E6" s="173" t="s">
        <v>519</v>
      </c>
      <c r="F6" s="404" t="s">
        <v>759</v>
      </c>
    </row>
    <row r="7" spans="1:6" x14ac:dyDescent="0.2">
      <c r="A7" s="175" t="s">
        <v>517</v>
      </c>
      <c r="B7" s="176" t="s">
        <v>24</v>
      </c>
      <c r="C7" s="176" t="s">
        <v>518</v>
      </c>
      <c r="D7" s="176" t="s">
        <v>760</v>
      </c>
      <c r="E7" s="176" t="s">
        <v>520</v>
      </c>
      <c r="F7" s="176" t="s">
        <v>520</v>
      </c>
    </row>
    <row r="8" spans="1:6" x14ac:dyDescent="0.2">
      <c r="A8" s="174"/>
      <c r="B8" s="173"/>
      <c r="C8" s="173"/>
      <c r="D8" s="173"/>
      <c r="E8" s="173"/>
      <c r="F8" s="173"/>
    </row>
    <row r="9" spans="1:6" x14ac:dyDescent="0.2">
      <c r="A9" s="177">
        <f>'Services-Plant Records'!A6</f>
        <v>464516</v>
      </c>
      <c r="B9" s="178" t="str">
        <f>'Services-Plant Records'!B6</f>
        <v>SERV MAINS</v>
      </c>
      <c r="C9" s="179" t="str">
        <f>IF(A9&lt;650000,"OTHER",IF(A9&gt;659999,"OTHER",VLOOKUP('Services-Plant Records'!C6,'Services-Size Index'!$A$3:$B$51,2,FALSE)))</f>
        <v>OTHER</v>
      </c>
      <c r="D9" s="180">
        <f>'Services-Plant Records'!D6</f>
        <v>0</v>
      </c>
      <c r="E9" s="180">
        <f>'Services-Plant Records'!E6</f>
        <v>5.3</v>
      </c>
      <c r="F9" s="173"/>
    </row>
    <row r="10" spans="1:6" x14ac:dyDescent="0.2">
      <c r="A10" s="177">
        <f>'Services-Plant Records'!A7</f>
        <v>892126</v>
      </c>
      <c r="B10" s="178" t="str">
        <f>'Services-Plant Records'!B7</f>
        <v>VALVES</v>
      </c>
      <c r="C10" s="179" t="str">
        <f>IF(A10&lt;650000,"OTHER",IF(A10&gt;659999,"OTHER",VLOOKUP('Services-Plant Records'!C7,'Services-Size Index'!$A$3:$B$51,2,FALSE)))</f>
        <v>OTHER</v>
      </c>
      <c r="D10" s="180">
        <f>'Services-Plant Records'!D7</f>
        <v>1</v>
      </c>
      <c r="E10" s="180">
        <f>'Services-Plant Records'!E7</f>
        <v>2747.16</v>
      </c>
      <c r="F10" s="172"/>
    </row>
    <row r="11" spans="1:6" x14ac:dyDescent="0.2">
      <c r="A11" s="177">
        <f>'Services-Plant Records'!A8</f>
        <v>655115</v>
      </c>
      <c r="B11" s="178" t="str">
        <f>'Services-Plant Records'!B8</f>
        <v>SERV MAIN/CURB</v>
      </c>
      <c r="C11" s="179" t="str">
        <f>IF(A11&lt;650000,"OTHER",IF(A11&gt;659999,"OTHER",VLOOKUP('Services-Plant Records'!C8,'Services-Size Index'!$A$3:$B$51,2,FALSE)))</f>
        <v>UNDER 3"</v>
      </c>
      <c r="D11" s="180">
        <f>'Services-Plant Records'!D8</f>
        <v>2</v>
      </c>
      <c r="E11" s="180">
        <f>'Services-Plant Records'!E8</f>
        <v>120.95</v>
      </c>
      <c r="F11" s="405"/>
    </row>
    <row r="12" spans="1:6" x14ac:dyDescent="0.2">
      <c r="A12" s="177">
        <f>'Services-Plant Records'!A9</f>
        <v>655118</v>
      </c>
      <c r="B12" s="178" t="str">
        <f>'Services-Plant Records'!B9</f>
        <v>SERV MAIN/CURB</v>
      </c>
      <c r="C12" s="179" t="str">
        <f>IF(A12&lt;650000,"OTHER",IF(A12&gt;659999,"OTHER",VLOOKUP('Services-Plant Records'!C9,'Services-Size Index'!$A$3:$B$51,2,FALSE)))</f>
        <v>UNDER 3"</v>
      </c>
      <c r="D12" s="180">
        <f>'Services-Plant Records'!D9</f>
        <v>8</v>
      </c>
      <c r="E12" s="180">
        <f>'Services-Plant Records'!E9</f>
        <v>1515.48</v>
      </c>
      <c r="F12" s="405"/>
    </row>
    <row r="13" spans="1:6" x14ac:dyDescent="0.2">
      <c r="A13" s="177">
        <f>'Services-Plant Records'!A10</f>
        <v>655121</v>
      </c>
      <c r="B13" s="178" t="str">
        <f>'Services-Plant Records'!B10</f>
        <v>SERV MAIN/METER</v>
      </c>
      <c r="C13" s="179" t="str">
        <f>IF(A13&lt;650000,"OTHER",IF(A13&gt;659999,"OTHER",VLOOKUP('Services-Plant Records'!C10,'Services-Size Index'!$A$3:$B$51,2,FALSE)))</f>
        <v>3"</v>
      </c>
      <c r="D13" s="180">
        <f>'Services-Plant Records'!D10</f>
        <v>209</v>
      </c>
      <c r="E13" s="180">
        <f>'Services-Plant Records'!E10</f>
        <v>93359.46</v>
      </c>
    </row>
    <row r="14" spans="1:6" x14ac:dyDescent="0.2">
      <c r="A14" s="177">
        <f>'Services-Plant Records'!A11</f>
        <v>655126</v>
      </c>
      <c r="B14" s="178" t="str">
        <f>'Services-Plant Records'!B11</f>
        <v>SERV MAIN/METER</v>
      </c>
      <c r="C14" s="179" t="str">
        <f>IF(A14&lt;650000,"OTHER",IF(A14&gt;659999,"OTHER",VLOOKUP('Services-Plant Records'!C11,'Services-Size Index'!$A$3:$B$51,2,FALSE)))</f>
        <v>4"</v>
      </c>
      <c r="D14" s="180">
        <f>'Services-Plant Records'!D11</f>
        <v>140</v>
      </c>
      <c r="E14" s="180">
        <f>'Services-Plant Records'!E11</f>
        <v>180357.52</v>
      </c>
    </row>
    <row r="15" spans="1:6" x14ac:dyDescent="0.2">
      <c r="A15" s="177">
        <f>'Services-Plant Records'!A12</f>
        <v>655136</v>
      </c>
      <c r="B15" s="178" t="str">
        <f>'Services-Plant Records'!B12</f>
        <v>SERV MAIN/METER</v>
      </c>
      <c r="C15" s="179" t="str">
        <f>IF(A15&lt;650000,"OTHER",IF(A15&gt;659999,"OTHER",VLOOKUP('Services-Plant Records'!C12,'Services-Size Index'!$A$3:$B$51,2,FALSE)))</f>
        <v>6"</v>
      </c>
      <c r="D15" s="180">
        <f>'Services-Plant Records'!D12</f>
        <v>4</v>
      </c>
      <c r="E15" s="180">
        <f>'Services-Plant Records'!E12</f>
        <v>50723.01</v>
      </c>
    </row>
    <row r="16" spans="1:6" x14ac:dyDescent="0.2">
      <c r="A16" s="177">
        <f>'Services-Plant Records'!A13</f>
        <v>655140</v>
      </c>
      <c r="B16" s="178" t="str">
        <f>'Services-Plant Records'!B13</f>
        <v>SERV MAIN/METER</v>
      </c>
      <c r="C16" s="179" t="str">
        <f>IF(A16&lt;650000,"OTHER",IF(A16&gt;659999,"OTHER",VLOOKUP('Services-Plant Records'!C13,'Services-Size Index'!$A$3:$B$51,2,FALSE)))</f>
        <v>8"</v>
      </c>
      <c r="D16" s="180">
        <f>'Services-Plant Records'!D13</f>
        <v>2</v>
      </c>
      <c r="E16" s="180">
        <f>'Services-Plant Records'!E13</f>
        <v>20040.57</v>
      </c>
    </row>
    <row r="17" spans="1:5" x14ac:dyDescent="0.2">
      <c r="A17" s="177">
        <f>'Services-Plant Records'!A14</f>
        <v>655150</v>
      </c>
      <c r="B17" s="178" t="str">
        <f>'Services-Plant Records'!B14</f>
        <v>SERV MAIN/METER</v>
      </c>
      <c r="C17" s="179" t="str">
        <f>IF(A17&lt;650000,"OTHER",IF(A17&gt;659999,"OTHER",VLOOKUP('Services-Plant Records'!C14,'Services-Size Index'!$A$3:$B$51,2,FALSE)))</f>
        <v>12"</v>
      </c>
      <c r="D17" s="180">
        <f>'Services-Plant Records'!D14</f>
        <v>1</v>
      </c>
      <c r="E17" s="180">
        <f>'Services-Plant Records'!E14</f>
        <v>6627.73</v>
      </c>
    </row>
    <row r="18" spans="1:5" x14ac:dyDescent="0.2">
      <c r="A18" s="177">
        <f>'Services-Plant Records'!A15</f>
        <v>655196</v>
      </c>
      <c r="B18" s="178" t="str">
        <f>'Services-Plant Records'!B15</f>
        <v>SERV MAIN/METER</v>
      </c>
      <c r="C18" s="179" t="str">
        <f>IF(A18&lt;650000,"OTHER",IF(A18&gt;659999,"OTHER",VLOOKUP('Services-Plant Records'!C15,'Services-Size Index'!$A$3:$B$51,2,FALSE)))</f>
        <v>UNDER 3"</v>
      </c>
      <c r="D18" s="180">
        <f>'Services-Plant Records'!D15</f>
        <v>29915</v>
      </c>
      <c r="E18" s="180">
        <f>'Services-Plant Records'!E15</f>
        <v>2846170.89</v>
      </c>
    </row>
    <row r="19" spans="1:5" x14ac:dyDescent="0.2">
      <c r="A19" s="177">
        <f>'Services-Plant Records'!A16</f>
        <v>655221</v>
      </c>
      <c r="B19" s="178" t="str">
        <f>'Services-Plant Records'!B16</f>
        <v>SERV MAIN/CURB</v>
      </c>
      <c r="C19" s="179" t="str">
        <f>IF(A19&lt;650000,"OTHER",IF(A19&gt;659999,"OTHER",VLOOKUP('Services-Plant Records'!C16,'Services-Size Index'!$A$3:$B$51,2,FALSE)))</f>
        <v>3"</v>
      </c>
      <c r="D19" s="180">
        <f>'Services-Plant Records'!D16</f>
        <v>407</v>
      </c>
      <c r="E19" s="180">
        <f>'Services-Plant Records'!E16</f>
        <v>473556.93</v>
      </c>
    </row>
    <row r="20" spans="1:5" x14ac:dyDescent="0.2">
      <c r="A20" s="177">
        <f>'Services-Plant Records'!A17</f>
        <v>655226</v>
      </c>
      <c r="B20" s="178" t="str">
        <f>'Services-Plant Records'!B17</f>
        <v>SERV MAIN/CURB</v>
      </c>
      <c r="C20" s="179" t="str">
        <f>IF(A20&lt;650000,"OTHER",IF(A20&gt;659999,"OTHER",VLOOKUP('Services-Plant Records'!C17,'Services-Size Index'!$A$3:$B$51,2,FALSE)))</f>
        <v>4"</v>
      </c>
      <c r="D20" s="180">
        <f>'Services-Plant Records'!D17</f>
        <v>94</v>
      </c>
      <c r="E20" s="180">
        <f>'Services-Plant Records'!E17</f>
        <v>739703.06</v>
      </c>
    </row>
    <row r="21" spans="1:5" x14ac:dyDescent="0.2">
      <c r="A21" s="177">
        <f>'Services-Plant Records'!A18</f>
        <v>655236</v>
      </c>
      <c r="B21" s="178" t="str">
        <f>'Services-Plant Records'!B18</f>
        <v>SERV MAIN/CURB</v>
      </c>
      <c r="C21" s="179" t="str">
        <f>IF(A21&lt;650000,"OTHER",IF(A21&gt;659999,"OTHER",VLOOKUP('Services-Plant Records'!C18,'Services-Size Index'!$A$3:$B$51,2,FALSE)))</f>
        <v>6"</v>
      </c>
      <c r="D21" s="180">
        <f>'Services-Plant Records'!D18</f>
        <v>6</v>
      </c>
      <c r="E21" s="180">
        <f>'Services-Plant Records'!E18</f>
        <v>100671.69</v>
      </c>
    </row>
    <row r="22" spans="1:5" x14ac:dyDescent="0.2">
      <c r="A22" s="177">
        <f>'Services-Plant Records'!A19</f>
        <v>655240</v>
      </c>
      <c r="B22" s="178" t="str">
        <f>'Services-Plant Records'!B19</f>
        <v>SERV MAIN/CURB</v>
      </c>
      <c r="C22" s="179" t="str">
        <f>IF(A22&lt;650000,"OTHER",IF(A22&gt;659999,"OTHER",VLOOKUP('Services-Plant Records'!C19,'Services-Size Index'!$A$3:$B$51,2,FALSE)))</f>
        <v>8"</v>
      </c>
      <c r="D22" s="180">
        <f>'Services-Plant Records'!D19</f>
        <v>4</v>
      </c>
      <c r="E22" s="180">
        <f>'Services-Plant Records'!E19</f>
        <v>25196.26</v>
      </c>
    </row>
    <row r="23" spans="1:5" x14ac:dyDescent="0.2">
      <c r="A23" s="177">
        <f>'Services-Plant Records'!A20</f>
        <v>655296</v>
      </c>
      <c r="B23" s="178" t="str">
        <f>'Services-Plant Records'!B20</f>
        <v>SERV MAIN/CURB</v>
      </c>
      <c r="C23" s="179" t="str">
        <f>IF(A23&lt;650000,"OTHER",IF(A23&gt;659999,"OTHER",VLOOKUP('Services-Plant Records'!C20,'Services-Size Index'!$A$3:$B$51,2,FALSE)))</f>
        <v>UNDER 3"</v>
      </c>
      <c r="D23" s="180">
        <f>'Services-Plant Records'!D20</f>
        <v>88792</v>
      </c>
      <c r="E23" s="180">
        <f>'Services-Plant Records'!E20</f>
        <v>54387433.439999998</v>
      </c>
    </row>
    <row r="24" spans="1:5" x14ac:dyDescent="0.2">
      <c r="A24" s="177">
        <f>'Services-Plant Records'!A21</f>
        <v>655421</v>
      </c>
      <c r="B24" s="178" t="str">
        <f>'Services-Plant Records'!B21</f>
        <v>SERV CURB/METER</v>
      </c>
      <c r="C24" s="179" t="str">
        <f>IF(A24&lt;650000,"OTHER",IF(A24&gt;659999,"OTHER",VLOOKUP('Services-Plant Records'!C21,'Services-Size Index'!$A$3:$B$51,2,FALSE)))</f>
        <v>3"</v>
      </c>
      <c r="D24" s="180">
        <f>'Services-Plant Records'!D21</f>
        <v>2</v>
      </c>
      <c r="E24" s="180">
        <f>'Services-Plant Records'!E21</f>
        <v>10250.33</v>
      </c>
    </row>
    <row r="25" spans="1:5" x14ac:dyDescent="0.2">
      <c r="A25" s="177">
        <f>'Services-Plant Records'!A22</f>
        <v>655426</v>
      </c>
      <c r="B25" s="178" t="str">
        <f>'Services-Plant Records'!B22</f>
        <v>SERV CURB/METER</v>
      </c>
      <c r="C25" s="179" t="str">
        <f>IF(A25&lt;650000,"OTHER",IF(A25&gt;659999,"OTHER",VLOOKUP('Services-Plant Records'!C22,'Services-Size Index'!$A$3:$B$51,2,FALSE)))</f>
        <v>4"</v>
      </c>
      <c r="D25" s="180">
        <f>'Services-Plant Records'!D22</f>
        <v>3</v>
      </c>
      <c r="E25" s="180">
        <f>'Services-Plant Records'!E22</f>
        <v>3216.74</v>
      </c>
    </row>
    <row r="26" spans="1:5" x14ac:dyDescent="0.2">
      <c r="A26" s="177">
        <f>'Services-Plant Records'!A23</f>
        <v>655436</v>
      </c>
      <c r="B26" s="178" t="str">
        <f>'Services-Plant Records'!B23</f>
        <v>SERV CURB/METER</v>
      </c>
      <c r="C26" s="179" t="str">
        <f>IF(A26&lt;650000,"OTHER",IF(A26&gt;659999,"OTHER",VLOOKUP('Services-Plant Records'!C23,'Services-Size Index'!$A$3:$B$51,2,FALSE)))</f>
        <v>5"</v>
      </c>
      <c r="D26" s="180">
        <f>'Services-Plant Records'!D23</f>
        <v>1</v>
      </c>
      <c r="E26" s="180">
        <f>'Services-Plant Records'!E23</f>
        <v>7112.22</v>
      </c>
    </row>
    <row r="27" spans="1:5" x14ac:dyDescent="0.2">
      <c r="A27" s="177">
        <f>'Services-Plant Records'!A24</f>
        <v>655496</v>
      </c>
      <c r="B27" s="178" t="str">
        <f>'Services-Plant Records'!B24</f>
        <v>SERV CURB/METER</v>
      </c>
      <c r="C27" s="179" t="str">
        <f>IF(A27&lt;650000,"OTHER",IF(A27&gt;659999,"OTHER",VLOOKUP('Services-Plant Records'!C24,'Services-Size Index'!$A$3:$B$51,2,FALSE)))</f>
        <v>UNDER 3"</v>
      </c>
      <c r="D27" s="180">
        <f>'Services-Plant Records'!D24</f>
        <v>64</v>
      </c>
      <c r="E27" s="180">
        <f>'Services-Plant Records'!E24</f>
        <v>82695.03</v>
      </c>
    </row>
    <row r="28" spans="1:5" x14ac:dyDescent="0.2">
      <c r="A28" s="177">
        <f>'Services-Plant Records'!A25</f>
        <v>655521</v>
      </c>
      <c r="B28" s="178" t="str">
        <f>'Services-Plant Records'!B25</f>
        <v>SERV CURB/METER</v>
      </c>
      <c r="C28" s="179" t="str">
        <f>IF(A28&lt;650000,"OTHER",IF(A28&gt;659999,"OTHER",VLOOKUP('Services-Plant Records'!C25,'Services-Size Index'!$A$3:$B$51,2,FALSE)))</f>
        <v>3"</v>
      </c>
      <c r="D28" s="180">
        <f>'Services-Plant Records'!D25</f>
        <v>36</v>
      </c>
      <c r="E28" s="180">
        <f>'Services-Plant Records'!E25</f>
        <v>74383.92</v>
      </c>
    </row>
    <row r="29" spans="1:5" x14ac:dyDescent="0.2">
      <c r="A29" s="177">
        <f>'Services-Plant Records'!A26</f>
        <v>655526</v>
      </c>
      <c r="B29" s="178" t="str">
        <f>'Services-Plant Records'!B26</f>
        <v>SERV CURB/METER</v>
      </c>
      <c r="C29" s="179" t="str">
        <f>IF(A29&lt;650000,"OTHER",IF(A29&gt;659999,"OTHER",VLOOKUP('Services-Plant Records'!C26,'Services-Size Index'!$A$3:$B$51,2,FALSE)))</f>
        <v>4"</v>
      </c>
      <c r="D29" s="180">
        <f>'Services-Plant Records'!D26</f>
        <v>10</v>
      </c>
      <c r="E29" s="180">
        <f>'Services-Plant Records'!E26</f>
        <v>36237.07</v>
      </c>
    </row>
    <row r="30" spans="1:5" x14ac:dyDescent="0.2">
      <c r="A30" s="177">
        <f>'Services-Plant Records'!A27</f>
        <v>655596</v>
      </c>
      <c r="B30" s="178" t="str">
        <f>'Services-Plant Records'!B27</f>
        <v>SERV CURB/METER</v>
      </c>
      <c r="C30" s="179" t="str">
        <f>IF(A30&lt;650000,"OTHER",IF(A30&gt;659999,"OTHER",VLOOKUP('Services-Plant Records'!C27,'Services-Size Index'!$A$3:$B$51,2,FALSE)))</f>
        <v>UNDER 3"</v>
      </c>
      <c r="D30" s="180">
        <f>'Services-Plant Records'!D27</f>
        <v>66253</v>
      </c>
      <c r="E30" s="180">
        <f>'Services-Plant Records'!E27</f>
        <v>46868049.579999998</v>
      </c>
    </row>
    <row r="31" spans="1:5" x14ac:dyDescent="0.2">
      <c r="A31" s="177">
        <f>'Services-Plant Records'!A28</f>
        <v>655821</v>
      </c>
      <c r="B31" s="178" t="str">
        <f>'Services-Plant Records'!B28</f>
        <v>SERV MAIN/METER</v>
      </c>
      <c r="C31" s="179" t="str">
        <f>IF(A31&lt;650000,"OTHER",IF(A31&gt;659999,"OTHER",VLOOKUP('Services-Plant Records'!C28,'Services-Size Index'!$A$3:$B$51,2,FALSE)))</f>
        <v>3"</v>
      </c>
      <c r="D31" s="180">
        <f>'Services-Plant Records'!D28</f>
        <v>1</v>
      </c>
      <c r="E31" s="180">
        <f>'Services-Plant Records'!E28</f>
        <v>6573.66</v>
      </c>
    </row>
    <row r="32" spans="1:5" x14ac:dyDescent="0.2">
      <c r="A32" s="177">
        <f>'Services-Plant Records'!A29</f>
        <v>655826</v>
      </c>
      <c r="B32" s="178" t="str">
        <f>'Services-Plant Records'!B29</f>
        <v>SERV MAIN/METER</v>
      </c>
      <c r="C32" s="179" t="str">
        <f>IF(A32&lt;650000,"OTHER",IF(A32&gt;659999,"OTHER",VLOOKUP('Services-Plant Records'!C29,'Services-Size Index'!$A$3:$B$51,2,FALSE)))</f>
        <v>4"</v>
      </c>
      <c r="D32" s="180">
        <f>'Services-Plant Records'!D29</f>
        <v>1</v>
      </c>
      <c r="E32" s="180">
        <f>'Services-Plant Records'!E29</f>
        <v>4744.63</v>
      </c>
    </row>
    <row r="33" spans="1:6" x14ac:dyDescent="0.2">
      <c r="A33" s="177">
        <f>'Services-Plant Records'!A30</f>
        <v>655896</v>
      </c>
      <c r="B33" s="178" t="str">
        <f>'Services-Plant Records'!B30</f>
        <v>SERV MAIN/METER</v>
      </c>
      <c r="C33" s="179" t="str">
        <f>IF(A33&lt;650000,"OTHER",IF(A33&gt;659999,"OTHER",VLOOKUP('Services-Plant Records'!C30,'Services-Size Index'!$A$3:$B$51,2,FALSE)))</f>
        <v>UNDER 3"</v>
      </c>
      <c r="D33" s="180">
        <f>'Services-Plant Records'!D30</f>
        <v>16472</v>
      </c>
      <c r="E33" s="180">
        <f>'Services-Plant Records'!E30</f>
        <v>10336206.470000001</v>
      </c>
    </row>
    <row r="34" spans="1:6" x14ac:dyDescent="0.2">
      <c r="A34" s="177">
        <f>'Services-Plant Records'!A31</f>
        <v>655996</v>
      </c>
      <c r="B34" s="178" t="str">
        <f>'Services-Plant Records'!B31</f>
        <v>SERV MAIN/METER</v>
      </c>
      <c r="C34" s="179" t="str">
        <f>IF(A34&lt;650000,"OTHER",IF(A34&gt;659999,"OTHER",VLOOKUP('Services-Plant Records'!C31,'Services-Size Index'!$A$3:$B$51,2,FALSE)))</f>
        <v>UNDER 3"</v>
      </c>
      <c r="D34" s="181">
        <f>'Services-Plant Records'!D31</f>
        <v>72</v>
      </c>
      <c r="E34" s="181">
        <f>'Services-Plant Records'!E31</f>
        <v>45258.95</v>
      </c>
    </row>
    <row r="35" spans="1:6" x14ac:dyDescent="0.2">
      <c r="A35" s="397" t="s">
        <v>761</v>
      </c>
      <c r="C35" s="406"/>
      <c r="D35" s="399">
        <f>SUM(D9:D34)</f>
        <v>202500</v>
      </c>
      <c r="E35" s="399">
        <f>SUM(E9:E34)</f>
        <v>116402958.05</v>
      </c>
    </row>
    <row r="37" spans="1:6" x14ac:dyDescent="0.2">
      <c r="A37" s="170"/>
      <c r="B37" s="171"/>
      <c r="C37" s="171"/>
      <c r="D37" s="174" t="s">
        <v>44</v>
      </c>
      <c r="E37" s="171"/>
      <c r="F37" s="171"/>
    </row>
    <row r="38" spans="1:6" x14ac:dyDescent="0.2">
      <c r="A38" s="170"/>
      <c r="B38" s="172"/>
      <c r="C38" s="172"/>
      <c r="D38" s="173" t="s">
        <v>515</v>
      </c>
      <c r="E38" s="172"/>
      <c r="F38" s="172"/>
    </row>
    <row r="39" spans="1:6" x14ac:dyDescent="0.2">
      <c r="A39" s="170"/>
      <c r="B39" s="172"/>
      <c r="C39" s="172"/>
      <c r="D39" s="173" t="s">
        <v>516</v>
      </c>
      <c r="E39" s="172"/>
      <c r="F39" s="172"/>
    </row>
    <row r="40" spans="1:6" x14ac:dyDescent="0.2">
      <c r="A40" s="170"/>
      <c r="B40" s="172"/>
      <c r="C40" s="172"/>
      <c r="D40" s="173" t="str">
        <f>D4</f>
        <v>As of February 29, 2016</v>
      </c>
      <c r="E40" s="172"/>
      <c r="F40" s="172"/>
    </row>
    <row r="41" spans="1:6" x14ac:dyDescent="0.2">
      <c r="A41" s="170"/>
      <c r="B41" s="172"/>
      <c r="C41" s="172"/>
      <c r="D41" s="172"/>
      <c r="E41" s="172"/>
      <c r="F41" s="173" t="s">
        <v>758</v>
      </c>
    </row>
    <row r="42" spans="1:6" x14ac:dyDescent="0.2">
      <c r="A42" s="174"/>
      <c r="B42" s="173"/>
      <c r="C42" s="173"/>
      <c r="D42" s="173"/>
      <c r="E42" s="173" t="s">
        <v>519</v>
      </c>
      <c r="F42" s="404" t="s">
        <v>759</v>
      </c>
    </row>
    <row r="43" spans="1:6" x14ac:dyDescent="0.2">
      <c r="A43" s="175" t="s">
        <v>517</v>
      </c>
      <c r="B43" s="176" t="s">
        <v>24</v>
      </c>
      <c r="C43" s="176" t="s">
        <v>518</v>
      </c>
      <c r="D43" s="176" t="s">
        <v>760</v>
      </c>
      <c r="E43" s="176" t="s">
        <v>520</v>
      </c>
      <c r="F43" s="176" t="s">
        <v>520</v>
      </c>
    </row>
    <row r="45" spans="1:6" x14ac:dyDescent="0.2">
      <c r="A45" s="397" t="s">
        <v>762</v>
      </c>
    </row>
    <row r="47" spans="1:6" x14ac:dyDescent="0.2">
      <c r="C47" s="397" t="s">
        <v>179</v>
      </c>
      <c r="D47" s="407">
        <f>SUMIF($C$9:$C$34,C47,$D$9:$D$34)</f>
        <v>1</v>
      </c>
      <c r="E47" s="407">
        <f t="shared" ref="E47:E61" si="0">SUMIF($C$9:$C$34,C47,$E$9:$E$34)</f>
        <v>2752.46</v>
      </c>
      <c r="F47" s="397" t="s">
        <v>697</v>
      </c>
    </row>
    <row r="48" spans="1:6" x14ac:dyDescent="0.2">
      <c r="C48" s="397" t="s">
        <v>704</v>
      </c>
      <c r="D48" s="407">
        <f t="shared" ref="D48:D61" si="1">SUMIF($C$9:$C$34,C48,$D$9:$D$34)</f>
        <v>201578</v>
      </c>
      <c r="E48" s="407">
        <f t="shared" si="0"/>
        <v>114567450.79000001</v>
      </c>
      <c r="F48" s="400">
        <f t="shared" ref="F48:F61" si="2">IF(D48=0,0,ROUND(E48/D48,2))</f>
        <v>568.35</v>
      </c>
    </row>
    <row r="49" spans="1:6" x14ac:dyDescent="0.2">
      <c r="C49" s="397" t="s">
        <v>559</v>
      </c>
      <c r="D49" s="407">
        <f t="shared" si="1"/>
        <v>655</v>
      </c>
      <c r="E49" s="407">
        <f t="shared" si="0"/>
        <v>658124.30000000005</v>
      </c>
      <c r="F49" s="400">
        <f t="shared" si="2"/>
        <v>1004.77</v>
      </c>
    </row>
    <row r="50" spans="1:6" x14ac:dyDescent="0.2">
      <c r="C50" s="397" t="s">
        <v>719</v>
      </c>
      <c r="D50" s="407">
        <f t="shared" si="1"/>
        <v>0</v>
      </c>
      <c r="E50" s="407">
        <f t="shared" si="0"/>
        <v>0</v>
      </c>
      <c r="F50" s="400">
        <f t="shared" si="2"/>
        <v>0</v>
      </c>
    </row>
    <row r="51" spans="1:6" x14ac:dyDescent="0.2">
      <c r="C51" s="397" t="s">
        <v>720</v>
      </c>
      <c r="D51" s="407">
        <f t="shared" si="1"/>
        <v>0</v>
      </c>
      <c r="E51" s="407">
        <f t="shared" si="0"/>
        <v>0</v>
      </c>
      <c r="F51" s="400">
        <f t="shared" si="2"/>
        <v>0</v>
      </c>
    </row>
    <row r="52" spans="1:6" x14ac:dyDescent="0.2">
      <c r="C52" s="397" t="s">
        <v>721</v>
      </c>
      <c r="D52" s="407">
        <f t="shared" si="1"/>
        <v>248</v>
      </c>
      <c r="E52" s="407">
        <f t="shared" si="0"/>
        <v>964259.02</v>
      </c>
      <c r="F52" s="400">
        <f t="shared" si="2"/>
        <v>3888.14</v>
      </c>
    </row>
    <row r="53" spans="1:6" x14ac:dyDescent="0.2">
      <c r="C53" s="397" t="s">
        <v>723</v>
      </c>
      <c r="D53" s="407">
        <f t="shared" si="1"/>
        <v>0</v>
      </c>
      <c r="E53" s="407">
        <f t="shared" si="0"/>
        <v>0</v>
      </c>
      <c r="F53" s="400">
        <f t="shared" si="2"/>
        <v>0</v>
      </c>
    </row>
    <row r="54" spans="1:6" x14ac:dyDescent="0.2">
      <c r="C54" s="397" t="s">
        <v>725</v>
      </c>
      <c r="D54" s="407">
        <f t="shared" si="1"/>
        <v>1</v>
      </c>
      <c r="E54" s="407">
        <f t="shared" si="0"/>
        <v>7112.22</v>
      </c>
      <c r="F54" s="400">
        <f t="shared" si="2"/>
        <v>7112.22</v>
      </c>
    </row>
    <row r="55" spans="1:6" x14ac:dyDescent="0.2">
      <c r="C55" s="397" t="s">
        <v>727</v>
      </c>
      <c r="D55" s="407">
        <f t="shared" si="1"/>
        <v>10</v>
      </c>
      <c r="E55" s="407">
        <f t="shared" si="0"/>
        <v>151394.70000000001</v>
      </c>
      <c r="F55" s="400">
        <f t="shared" si="2"/>
        <v>15139.47</v>
      </c>
    </row>
    <row r="56" spans="1:6" x14ac:dyDescent="0.2">
      <c r="C56" s="397" t="s">
        <v>728</v>
      </c>
      <c r="D56" s="407">
        <f t="shared" si="1"/>
        <v>0</v>
      </c>
      <c r="E56" s="407">
        <f t="shared" si="0"/>
        <v>0</v>
      </c>
      <c r="F56" s="400">
        <f t="shared" si="2"/>
        <v>0</v>
      </c>
    </row>
    <row r="57" spans="1:6" x14ac:dyDescent="0.2">
      <c r="C57" s="397" t="s">
        <v>731</v>
      </c>
      <c r="D57" s="407">
        <f t="shared" si="1"/>
        <v>6</v>
      </c>
      <c r="E57" s="407">
        <f t="shared" si="0"/>
        <v>45236.83</v>
      </c>
      <c r="F57" s="400">
        <f t="shared" si="2"/>
        <v>7539.47</v>
      </c>
    </row>
    <row r="58" spans="1:6" x14ac:dyDescent="0.2">
      <c r="C58" s="397" t="s">
        <v>732</v>
      </c>
      <c r="D58" s="407">
        <f t="shared" si="1"/>
        <v>0</v>
      </c>
      <c r="E58" s="407">
        <f t="shared" si="0"/>
        <v>0</v>
      </c>
      <c r="F58" s="400">
        <f t="shared" si="2"/>
        <v>0</v>
      </c>
    </row>
    <row r="59" spans="1:6" x14ac:dyDescent="0.2">
      <c r="C59" s="397" t="s">
        <v>733</v>
      </c>
      <c r="D59" s="407">
        <f t="shared" si="1"/>
        <v>0</v>
      </c>
      <c r="E59" s="407">
        <f t="shared" si="0"/>
        <v>0</v>
      </c>
      <c r="F59" s="400">
        <f t="shared" si="2"/>
        <v>0</v>
      </c>
    </row>
    <row r="60" spans="1:6" x14ac:dyDescent="0.2">
      <c r="C60" s="397" t="s">
        <v>739</v>
      </c>
      <c r="D60" s="407">
        <f t="shared" si="1"/>
        <v>1</v>
      </c>
      <c r="E60" s="407">
        <f t="shared" si="0"/>
        <v>6627.73</v>
      </c>
      <c r="F60" s="400">
        <f t="shared" si="2"/>
        <v>6627.73</v>
      </c>
    </row>
    <row r="61" spans="1:6" x14ac:dyDescent="0.2">
      <c r="C61" s="397" t="s">
        <v>745</v>
      </c>
      <c r="D61" s="408">
        <f t="shared" si="1"/>
        <v>0</v>
      </c>
      <c r="E61" s="408">
        <f t="shared" si="0"/>
        <v>0</v>
      </c>
      <c r="F61" s="400">
        <f t="shared" si="2"/>
        <v>0</v>
      </c>
    </row>
    <row r="62" spans="1:6" x14ac:dyDescent="0.2">
      <c r="A62" s="397" t="s">
        <v>761</v>
      </c>
      <c r="D62" s="399">
        <f>SUM(D47:D61)</f>
        <v>202500</v>
      </c>
      <c r="E62" s="399">
        <f>SUM(E47:E61)</f>
        <v>116402958.05</v>
      </c>
    </row>
    <row r="64" spans="1:6" ht="13.5" thickBot="1" x14ac:dyDescent="0.25"/>
    <row r="65" spans="1:5" ht="13.5" thickBot="1" x14ac:dyDescent="0.25">
      <c r="A65" s="409" t="s">
        <v>763</v>
      </c>
      <c r="B65" s="409"/>
      <c r="C65" s="410"/>
      <c r="D65" s="411">
        <f>D35-D62</f>
        <v>0</v>
      </c>
      <c r="E65" s="412">
        <f>E35-E62</f>
        <v>0</v>
      </c>
    </row>
  </sheetData>
  <pageMargins left="0.7" right="0.7" top="0.75" bottom="0.75" header="0.3" footer="0.3"/>
  <pageSetup orientation="portrait" r:id="rId1"/>
  <rowBreaks count="1" manualBreakCount="1">
    <brk id="36" max="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7"/>
  <sheetViews>
    <sheetView topLeftCell="A7" zoomScaleNormal="100" workbookViewId="0">
      <selection activeCell="C39" sqref="C39"/>
    </sheetView>
  </sheetViews>
  <sheetFormatPr defaultRowHeight="12.75" x14ac:dyDescent="0.2"/>
  <cols>
    <col min="1" max="1" width="18.1640625" style="397" customWidth="1"/>
    <col min="2" max="2" width="12.83203125" style="413" bestFit="1" customWidth="1"/>
    <col min="3" max="3" width="11.1640625" style="399" bestFit="1" customWidth="1"/>
    <col min="4" max="4" width="16.83203125" style="414" bestFit="1" customWidth="1"/>
    <col min="5" max="5" width="15.33203125" style="414" bestFit="1" customWidth="1"/>
    <col min="6" max="6" width="10.6640625" style="415" bestFit="1" customWidth="1"/>
    <col min="7" max="7" width="11" style="415" bestFit="1" customWidth="1"/>
    <col min="8" max="8" width="8" style="415" bestFit="1" customWidth="1"/>
    <col min="9" max="9" width="9.33203125" style="415" bestFit="1" customWidth="1"/>
    <col min="10" max="10" width="10" style="415" bestFit="1" customWidth="1"/>
    <col min="11" max="11" width="9.1640625" style="415" bestFit="1" customWidth="1"/>
    <col min="12" max="12" width="11" style="397" bestFit="1" customWidth="1"/>
    <col min="13" max="13" width="30.5" style="397" bestFit="1" customWidth="1"/>
    <col min="14" max="14" width="20.5" style="399" bestFit="1" customWidth="1"/>
    <col min="15" max="15" width="13.83203125" style="397" bestFit="1" customWidth="1"/>
    <col min="16" max="16" width="16.33203125" style="416" bestFit="1" customWidth="1"/>
    <col min="17" max="16384" width="9.33203125" style="397"/>
  </cols>
  <sheetData>
    <row r="1" spans="1:16" x14ac:dyDescent="0.2">
      <c r="A1" s="397" t="s">
        <v>580</v>
      </c>
    </row>
    <row r="2" spans="1:16" x14ac:dyDescent="0.2">
      <c r="A2" s="397" t="s">
        <v>764</v>
      </c>
    </row>
    <row r="3" spans="1:16" x14ac:dyDescent="0.2">
      <c r="A3" s="399" t="str">
        <f>'Services-AUC'!D4</f>
        <v>As of February 29, 2016</v>
      </c>
    </row>
    <row r="5" spans="1:16" x14ac:dyDescent="0.2">
      <c r="A5" s="417" t="s">
        <v>765</v>
      </c>
    </row>
    <row r="6" spans="1:16" x14ac:dyDescent="0.2">
      <c r="A6" s="417"/>
      <c r="O6" s="397" t="s">
        <v>951</v>
      </c>
    </row>
    <row r="7" spans="1:16" x14ac:dyDescent="0.2">
      <c r="A7" s="396"/>
      <c r="B7" s="396" t="s">
        <v>766</v>
      </c>
      <c r="C7" s="418" t="s">
        <v>767</v>
      </c>
      <c r="D7" s="419" t="s">
        <v>768</v>
      </c>
      <c r="E7" s="419"/>
      <c r="F7" s="419"/>
      <c r="G7" s="419"/>
      <c r="H7" s="419"/>
      <c r="I7" s="419"/>
      <c r="J7" s="419"/>
      <c r="K7" s="419"/>
      <c r="L7" s="396"/>
      <c r="O7" s="397" t="s">
        <v>952</v>
      </c>
    </row>
    <row r="8" spans="1:16" x14ac:dyDescent="0.2">
      <c r="A8" s="398" t="s">
        <v>769</v>
      </c>
      <c r="B8" s="398" t="s">
        <v>770</v>
      </c>
      <c r="C8" s="401" t="s">
        <v>518</v>
      </c>
      <c r="D8" s="420" t="s">
        <v>771</v>
      </c>
      <c r="E8" s="420" t="s">
        <v>772</v>
      </c>
      <c r="F8" s="420" t="s">
        <v>703</v>
      </c>
      <c r="G8" s="420" t="s">
        <v>773</v>
      </c>
      <c r="H8" s="420" t="s">
        <v>774</v>
      </c>
      <c r="I8" s="420" t="s">
        <v>0</v>
      </c>
      <c r="J8" s="420" t="s">
        <v>560</v>
      </c>
      <c r="K8" s="420" t="s">
        <v>775</v>
      </c>
      <c r="L8" s="398" t="s">
        <v>8</v>
      </c>
      <c r="M8" s="421" t="s">
        <v>776</v>
      </c>
      <c r="N8" s="422" t="s">
        <v>777</v>
      </c>
      <c r="O8" s="423" t="s">
        <v>951</v>
      </c>
    </row>
    <row r="9" spans="1:16" x14ac:dyDescent="0.2">
      <c r="A9" s="397" t="s">
        <v>778</v>
      </c>
      <c r="B9" s="413" t="s">
        <v>500</v>
      </c>
      <c r="C9" s="399" t="s">
        <v>781</v>
      </c>
      <c r="D9" s="414" t="s">
        <v>782</v>
      </c>
      <c r="E9" s="182" t="s">
        <v>704</v>
      </c>
      <c r="F9" s="399">
        <v>1</v>
      </c>
      <c r="G9" s="399">
        <v>0</v>
      </c>
      <c r="H9" s="399">
        <v>0</v>
      </c>
      <c r="I9" s="399">
        <v>0</v>
      </c>
      <c r="J9" s="399">
        <v>1</v>
      </c>
      <c r="K9" s="399">
        <v>0</v>
      </c>
      <c r="L9" s="399">
        <v>2</v>
      </c>
      <c r="M9" s="424" t="str">
        <f>IF(B9="IN3",B9&amp;E9&amp;A9,IF(B9="LG2",B9&amp;E9&amp;A9,B9&amp;E9))</f>
        <v>GSOUNDER 3"</v>
      </c>
      <c r="N9" s="218">
        <f>VLOOKUP(E9,'Services-AUC'!$C$47:$F$61,4,FALSE)</f>
        <v>568.35</v>
      </c>
      <c r="O9" s="397" t="s">
        <v>485</v>
      </c>
      <c r="P9" s="416">
        <f>N9*L9</f>
        <v>1136.7</v>
      </c>
    </row>
    <row r="10" spans="1:16" x14ac:dyDescent="0.2">
      <c r="A10" s="397" t="s">
        <v>778</v>
      </c>
      <c r="B10" s="413" t="s">
        <v>500</v>
      </c>
      <c r="C10" s="399" t="s">
        <v>779</v>
      </c>
      <c r="D10" s="414" t="s">
        <v>706</v>
      </c>
      <c r="E10" s="182" t="s">
        <v>704</v>
      </c>
      <c r="F10" s="399">
        <v>1</v>
      </c>
      <c r="G10" s="399">
        <v>0</v>
      </c>
      <c r="H10" s="399">
        <v>0</v>
      </c>
      <c r="I10" s="399">
        <v>0</v>
      </c>
      <c r="J10" s="399">
        <v>1</v>
      </c>
      <c r="K10" s="399">
        <v>0</v>
      </c>
      <c r="L10" s="399">
        <v>2</v>
      </c>
      <c r="M10" s="424" t="str">
        <f t="shared" ref="M10:M73" si="0">IF(B10="IN3",B10&amp;E10&amp;A10,IF(B10="LG2",B10&amp;E10&amp;A10,B10&amp;E10))</f>
        <v>GSOUNDER 3"</v>
      </c>
      <c r="N10" s="218">
        <f>VLOOKUP(E10,'Services-AUC'!$C$47:$F$61,4,FALSE)</f>
        <v>568.35</v>
      </c>
      <c r="O10" s="397" t="s">
        <v>485</v>
      </c>
      <c r="P10" s="416">
        <f t="shared" ref="P10:P73" si="1">N10*L10</f>
        <v>1136.7</v>
      </c>
    </row>
    <row r="11" spans="1:16" x14ac:dyDescent="0.2">
      <c r="A11" s="397" t="s">
        <v>778</v>
      </c>
      <c r="B11" s="413" t="s">
        <v>500</v>
      </c>
      <c r="C11" s="399" t="s">
        <v>780</v>
      </c>
      <c r="D11" s="414" t="s">
        <v>712</v>
      </c>
      <c r="E11" s="182" t="s">
        <v>704</v>
      </c>
      <c r="F11" s="399">
        <v>2</v>
      </c>
      <c r="G11" s="399">
        <v>0</v>
      </c>
      <c r="H11" s="399">
        <v>0</v>
      </c>
      <c r="I11" s="399">
        <v>0</v>
      </c>
      <c r="J11" s="399">
        <v>0</v>
      </c>
      <c r="K11" s="399">
        <v>0</v>
      </c>
      <c r="L11" s="399">
        <v>2</v>
      </c>
      <c r="M11" s="424" t="str">
        <f t="shared" si="0"/>
        <v>GSOUNDER 3"</v>
      </c>
      <c r="N11" s="218">
        <f>VLOOKUP(E11,'Services-AUC'!$C$47:$F$61,4,FALSE)</f>
        <v>568.35</v>
      </c>
      <c r="O11" s="397" t="s">
        <v>485</v>
      </c>
      <c r="P11" s="416">
        <f t="shared" si="1"/>
        <v>1136.7</v>
      </c>
    </row>
    <row r="12" spans="1:16" x14ac:dyDescent="0.2">
      <c r="A12" s="397" t="s">
        <v>778</v>
      </c>
      <c r="B12" s="413" t="s">
        <v>433</v>
      </c>
      <c r="C12" s="399" t="s">
        <v>781</v>
      </c>
      <c r="D12" s="414" t="s">
        <v>782</v>
      </c>
      <c r="E12" s="182" t="s">
        <v>704</v>
      </c>
      <c r="F12" s="399">
        <v>2675</v>
      </c>
      <c r="G12" s="399">
        <v>15</v>
      </c>
      <c r="H12" s="399">
        <v>16</v>
      </c>
      <c r="I12" s="399">
        <v>351</v>
      </c>
      <c r="J12" s="399">
        <v>4545</v>
      </c>
      <c r="K12" s="399">
        <v>0</v>
      </c>
      <c r="L12" s="399">
        <v>7602</v>
      </c>
      <c r="M12" s="424" t="str">
        <f t="shared" si="0"/>
        <v>GSRUNDER 3"</v>
      </c>
      <c r="N12" s="218">
        <f>VLOOKUP(E12,'Services-AUC'!$C$47:$F$61,4,FALSE)</f>
        <v>568.35</v>
      </c>
      <c r="O12" s="397" t="s">
        <v>675</v>
      </c>
      <c r="P12" s="416">
        <f t="shared" si="1"/>
        <v>4320596.7</v>
      </c>
    </row>
    <row r="13" spans="1:16" x14ac:dyDescent="0.2">
      <c r="A13" s="397" t="s">
        <v>778</v>
      </c>
      <c r="B13" s="413" t="s">
        <v>433</v>
      </c>
      <c r="C13" s="399" t="s">
        <v>783</v>
      </c>
      <c r="D13" s="414" t="s">
        <v>706</v>
      </c>
      <c r="E13" s="182" t="s">
        <v>704</v>
      </c>
      <c r="F13" s="399">
        <v>9</v>
      </c>
      <c r="G13" s="399">
        <v>0</v>
      </c>
      <c r="H13" s="399">
        <v>0</v>
      </c>
      <c r="I13" s="399">
        <v>0</v>
      </c>
      <c r="J13" s="399">
        <v>1</v>
      </c>
      <c r="K13" s="399">
        <v>0</v>
      </c>
      <c r="L13" s="399">
        <v>10</v>
      </c>
      <c r="M13" s="424" t="str">
        <f t="shared" si="0"/>
        <v>GSRUNDER 3"</v>
      </c>
      <c r="N13" s="218">
        <f>VLOOKUP(E13,'Services-AUC'!$C$47:$F$61,4,FALSE)</f>
        <v>568.35</v>
      </c>
      <c r="O13" s="397" t="s">
        <v>675</v>
      </c>
      <c r="P13" s="416">
        <f t="shared" si="1"/>
        <v>5683.5</v>
      </c>
    </row>
    <row r="14" spans="1:16" x14ac:dyDescent="0.2">
      <c r="A14" s="397" t="s">
        <v>778</v>
      </c>
      <c r="B14" s="413" t="s">
        <v>433</v>
      </c>
      <c r="C14" s="399" t="s">
        <v>784</v>
      </c>
      <c r="D14" s="414" t="s">
        <v>559</v>
      </c>
      <c r="E14" s="182" t="s">
        <v>704</v>
      </c>
      <c r="F14" s="399">
        <v>1</v>
      </c>
      <c r="G14" s="399">
        <v>0</v>
      </c>
      <c r="H14" s="399">
        <v>0</v>
      </c>
      <c r="I14" s="399">
        <v>0</v>
      </c>
      <c r="J14" s="399">
        <v>0</v>
      </c>
      <c r="K14" s="399">
        <v>0</v>
      </c>
      <c r="L14" s="399">
        <v>1</v>
      </c>
      <c r="M14" s="424" t="str">
        <f t="shared" si="0"/>
        <v>GSRUNDER 3"</v>
      </c>
      <c r="N14" s="218">
        <f>VLOOKUP(E14,'Services-AUC'!$C$47:$F$61,4,FALSE)</f>
        <v>568.35</v>
      </c>
      <c r="O14" s="397" t="s">
        <v>675</v>
      </c>
      <c r="P14" s="416">
        <f t="shared" si="1"/>
        <v>568.35</v>
      </c>
    </row>
    <row r="15" spans="1:16" x14ac:dyDescent="0.2">
      <c r="A15" s="397" t="s">
        <v>778</v>
      </c>
      <c r="B15" s="413" t="s">
        <v>433</v>
      </c>
      <c r="C15" s="399" t="s">
        <v>785</v>
      </c>
      <c r="D15" s="414" t="s">
        <v>708</v>
      </c>
      <c r="E15" s="182" t="s">
        <v>704</v>
      </c>
      <c r="F15" s="399">
        <v>21920</v>
      </c>
      <c r="G15" s="399">
        <v>267</v>
      </c>
      <c r="H15" s="399">
        <v>98</v>
      </c>
      <c r="I15" s="399">
        <v>432</v>
      </c>
      <c r="J15" s="399">
        <v>174</v>
      </c>
      <c r="K15" s="399">
        <v>0</v>
      </c>
      <c r="L15" s="399">
        <v>22891</v>
      </c>
      <c r="M15" s="424" t="str">
        <f t="shared" si="0"/>
        <v>GSRUNDER 3"</v>
      </c>
      <c r="N15" s="218">
        <f>VLOOKUP(E15,'Services-AUC'!$C$47:$F$61,4,FALSE)</f>
        <v>568.35</v>
      </c>
      <c r="O15" s="397" t="s">
        <v>675</v>
      </c>
      <c r="P15" s="416">
        <f t="shared" si="1"/>
        <v>13010099.85</v>
      </c>
    </row>
    <row r="16" spans="1:16" x14ac:dyDescent="0.2">
      <c r="A16" s="397" t="s">
        <v>778</v>
      </c>
      <c r="B16" s="413" t="s">
        <v>433</v>
      </c>
      <c r="C16" s="399" t="s">
        <v>786</v>
      </c>
      <c r="D16" s="414" t="s">
        <v>710</v>
      </c>
      <c r="E16" s="425" t="s">
        <v>704</v>
      </c>
      <c r="F16" s="399">
        <v>5</v>
      </c>
      <c r="G16" s="399">
        <v>0</v>
      </c>
      <c r="H16" s="399">
        <v>0</v>
      </c>
      <c r="I16" s="399">
        <v>1</v>
      </c>
      <c r="J16" s="399">
        <v>0</v>
      </c>
      <c r="K16" s="399">
        <v>0</v>
      </c>
      <c r="L16" s="399">
        <v>6</v>
      </c>
      <c r="M16" s="424" t="str">
        <f t="shared" si="0"/>
        <v>GSRUNDER 3"</v>
      </c>
      <c r="N16" s="218">
        <f>VLOOKUP(E16,'Services-AUC'!$C$47:$F$61,4,FALSE)</f>
        <v>568.35</v>
      </c>
      <c r="O16" s="397" t="s">
        <v>675</v>
      </c>
      <c r="P16" s="416">
        <f t="shared" si="1"/>
        <v>3410.1000000000004</v>
      </c>
    </row>
    <row r="17" spans="1:16" x14ac:dyDescent="0.2">
      <c r="A17" s="397" t="s">
        <v>778</v>
      </c>
      <c r="B17" s="413" t="s">
        <v>433</v>
      </c>
      <c r="C17" s="399" t="s">
        <v>779</v>
      </c>
      <c r="D17" s="414" t="s">
        <v>706</v>
      </c>
      <c r="E17" s="182" t="s">
        <v>704</v>
      </c>
      <c r="F17" s="399">
        <v>45347</v>
      </c>
      <c r="G17" s="399">
        <v>960</v>
      </c>
      <c r="H17" s="399">
        <v>603</v>
      </c>
      <c r="I17" s="399">
        <v>3620</v>
      </c>
      <c r="J17" s="399">
        <v>3589</v>
      </c>
      <c r="K17" s="399">
        <v>0</v>
      </c>
      <c r="L17" s="399">
        <v>54119</v>
      </c>
      <c r="M17" s="424" t="str">
        <f t="shared" si="0"/>
        <v>GSRUNDER 3"</v>
      </c>
      <c r="N17" s="218">
        <f>VLOOKUP(E17,'Services-AUC'!$C$47:$F$61,4,FALSE)</f>
        <v>568.35</v>
      </c>
      <c r="O17" s="397" t="s">
        <v>675</v>
      </c>
      <c r="P17" s="416">
        <f t="shared" si="1"/>
        <v>30758533.650000002</v>
      </c>
    </row>
    <row r="18" spans="1:16" x14ac:dyDescent="0.2">
      <c r="A18" s="397" t="s">
        <v>778</v>
      </c>
      <c r="B18" s="413" t="s">
        <v>433</v>
      </c>
      <c r="C18" s="399" t="s">
        <v>780</v>
      </c>
      <c r="D18" s="414" t="s">
        <v>712</v>
      </c>
      <c r="E18" s="182" t="s">
        <v>704</v>
      </c>
      <c r="F18" s="399">
        <v>12920</v>
      </c>
      <c r="G18" s="399">
        <v>143</v>
      </c>
      <c r="H18" s="399">
        <v>133</v>
      </c>
      <c r="I18" s="399">
        <v>825</v>
      </c>
      <c r="J18" s="399">
        <v>554</v>
      </c>
      <c r="K18" s="399">
        <v>0</v>
      </c>
      <c r="L18" s="399">
        <v>14575</v>
      </c>
      <c r="M18" s="424" t="str">
        <f t="shared" si="0"/>
        <v>GSRUNDER 3"</v>
      </c>
      <c r="N18" s="218">
        <f>VLOOKUP(E18,'Services-AUC'!$C$47:$F$61,4,FALSE)</f>
        <v>568.35</v>
      </c>
      <c r="O18" s="397" t="s">
        <v>675</v>
      </c>
      <c r="P18" s="416">
        <f t="shared" si="1"/>
        <v>8283701.25</v>
      </c>
    </row>
    <row r="19" spans="1:16" x14ac:dyDescent="0.2">
      <c r="A19" s="397" t="s">
        <v>778</v>
      </c>
      <c r="B19" s="413" t="s">
        <v>433</v>
      </c>
      <c r="C19" s="399" t="s">
        <v>787</v>
      </c>
      <c r="D19" s="414" t="s">
        <v>714</v>
      </c>
      <c r="E19" s="182" t="s">
        <v>704</v>
      </c>
      <c r="F19" s="399">
        <v>97</v>
      </c>
      <c r="G19" s="399">
        <v>3</v>
      </c>
      <c r="H19" s="399">
        <v>1</v>
      </c>
      <c r="I19" s="399">
        <v>37</v>
      </c>
      <c r="J19" s="399">
        <v>30</v>
      </c>
      <c r="K19" s="399">
        <v>0</v>
      </c>
      <c r="L19" s="399">
        <v>168</v>
      </c>
      <c r="M19" s="424" t="str">
        <f t="shared" si="0"/>
        <v>GSRUNDER 3"</v>
      </c>
      <c r="N19" s="218">
        <f>VLOOKUP(E19,'Services-AUC'!$C$47:$F$61,4,FALSE)</f>
        <v>568.35</v>
      </c>
      <c r="O19" s="397" t="s">
        <v>675</v>
      </c>
      <c r="P19" s="416">
        <f t="shared" si="1"/>
        <v>95482.8</v>
      </c>
    </row>
    <row r="20" spans="1:16" x14ac:dyDescent="0.2">
      <c r="A20" s="397" t="s">
        <v>778</v>
      </c>
      <c r="B20" s="413" t="s">
        <v>433</v>
      </c>
      <c r="C20" s="399" t="s">
        <v>788</v>
      </c>
      <c r="D20" s="414" t="s">
        <v>707</v>
      </c>
      <c r="E20" s="182" t="s">
        <v>704</v>
      </c>
      <c r="F20" s="399">
        <v>165</v>
      </c>
      <c r="G20" s="399">
        <v>10</v>
      </c>
      <c r="H20" s="399">
        <v>12</v>
      </c>
      <c r="I20" s="399">
        <v>131</v>
      </c>
      <c r="J20" s="399">
        <v>226</v>
      </c>
      <c r="K20" s="399">
        <v>0</v>
      </c>
      <c r="L20" s="399">
        <v>544</v>
      </c>
      <c r="M20" s="424" t="str">
        <f t="shared" si="0"/>
        <v>GSRUNDER 3"</v>
      </c>
      <c r="N20" s="218">
        <f>VLOOKUP(E20,'Services-AUC'!$C$47:$F$61,4,FALSE)</f>
        <v>568.35</v>
      </c>
      <c r="O20" s="397" t="s">
        <v>675</v>
      </c>
      <c r="P20" s="416">
        <f t="shared" si="1"/>
        <v>309182.40000000002</v>
      </c>
    </row>
    <row r="21" spans="1:16" x14ac:dyDescent="0.2">
      <c r="A21" s="397" t="s">
        <v>778</v>
      </c>
      <c r="B21" s="413" t="s">
        <v>433</v>
      </c>
      <c r="C21" s="399" t="s">
        <v>789</v>
      </c>
      <c r="D21" s="414" t="s">
        <v>559</v>
      </c>
      <c r="E21" s="182" t="s">
        <v>559</v>
      </c>
      <c r="F21" s="399">
        <v>10</v>
      </c>
      <c r="G21" s="399">
        <v>0</v>
      </c>
      <c r="H21" s="399">
        <v>0</v>
      </c>
      <c r="I21" s="399">
        <v>3</v>
      </c>
      <c r="J21" s="399">
        <v>28</v>
      </c>
      <c r="K21" s="399">
        <v>0</v>
      </c>
      <c r="L21" s="399">
        <v>41</v>
      </c>
      <c r="M21" s="424" t="str">
        <f t="shared" si="0"/>
        <v>GSR3"</v>
      </c>
      <c r="N21" s="218">
        <f>VLOOKUP(E21,'Services-AUC'!$C$47:$F$61,4,FALSE)</f>
        <v>1004.77</v>
      </c>
      <c r="O21" s="397" t="s">
        <v>675</v>
      </c>
      <c r="P21" s="416">
        <f t="shared" si="1"/>
        <v>41195.57</v>
      </c>
    </row>
    <row r="22" spans="1:16" x14ac:dyDescent="0.2">
      <c r="A22" s="397" t="s">
        <v>778</v>
      </c>
      <c r="B22" s="413" t="s">
        <v>433</v>
      </c>
      <c r="C22" s="399" t="s">
        <v>790</v>
      </c>
      <c r="D22" s="414" t="s">
        <v>720</v>
      </c>
      <c r="E22" s="182" t="s">
        <v>720</v>
      </c>
      <c r="F22" s="399">
        <v>1</v>
      </c>
      <c r="G22" s="399">
        <v>0</v>
      </c>
      <c r="H22" s="399">
        <v>0</v>
      </c>
      <c r="I22" s="399">
        <v>0</v>
      </c>
      <c r="J22" s="399">
        <v>0</v>
      </c>
      <c r="K22" s="399">
        <v>0</v>
      </c>
      <c r="L22" s="399">
        <v>1</v>
      </c>
      <c r="M22" s="424" t="str">
        <f t="shared" si="0"/>
        <v>GSR3-1/2"</v>
      </c>
      <c r="N22" s="218">
        <f>VLOOKUP(E22,'Services-AUC'!$C$47:$F$61,4,FALSE)</f>
        <v>0</v>
      </c>
      <c r="O22" s="397" t="s">
        <v>675</v>
      </c>
      <c r="P22" s="416">
        <f t="shared" si="1"/>
        <v>0</v>
      </c>
    </row>
    <row r="23" spans="1:16" x14ac:dyDescent="0.2">
      <c r="A23" s="397" t="s">
        <v>778</v>
      </c>
      <c r="B23" s="413" t="s">
        <v>433</v>
      </c>
      <c r="C23" s="399" t="s">
        <v>791</v>
      </c>
      <c r="D23" s="414" t="s">
        <v>721</v>
      </c>
      <c r="E23" s="182" t="s">
        <v>721</v>
      </c>
      <c r="F23" s="399">
        <v>6</v>
      </c>
      <c r="G23" s="399">
        <v>0</v>
      </c>
      <c r="H23" s="399">
        <v>0</v>
      </c>
      <c r="I23" s="399">
        <v>3</v>
      </c>
      <c r="J23" s="399">
        <v>40</v>
      </c>
      <c r="K23" s="399">
        <v>0</v>
      </c>
      <c r="L23" s="399">
        <v>49</v>
      </c>
      <c r="M23" s="424" t="str">
        <f t="shared" si="0"/>
        <v>GSR4"</v>
      </c>
      <c r="N23" s="218">
        <f>VLOOKUP(E23,'Services-AUC'!$C$47:$F$61,4,FALSE)</f>
        <v>3888.14</v>
      </c>
      <c r="O23" s="397" t="s">
        <v>675</v>
      </c>
      <c r="P23" s="416">
        <f t="shared" si="1"/>
        <v>190518.86</v>
      </c>
    </row>
    <row r="24" spans="1:16" x14ac:dyDescent="0.2">
      <c r="A24" s="397" t="s">
        <v>778</v>
      </c>
      <c r="B24" s="413" t="s">
        <v>433</v>
      </c>
      <c r="C24" s="399" t="s">
        <v>792</v>
      </c>
      <c r="D24" s="414" t="s">
        <v>725</v>
      </c>
      <c r="E24" s="182" t="s">
        <v>725</v>
      </c>
      <c r="F24" s="399">
        <v>46</v>
      </c>
      <c r="G24" s="399">
        <v>0</v>
      </c>
      <c r="H24" s="399">
        <v>0</v>
      </c>
      <c r="I24" s="399">
        <v>1</v>
      </c>
      <c r="J24" s="399">
        <v>3</v>
      </c>
      <c r="K24" s="399">
        <v>0</v>
      </c>
      <c r="L24" s="399">
        <v>50</v>
      </c>
      <c r="M24" s="424" t="str">
        <f t="shared" si="0"/>
        <v>GSR5"</v>
      </c>
      <c r="N24" s="218">
        <f>VLOOKUP(E24,'Services-AUC'!$C$47:$F$61,4,FALSE)</f>
        <v>7112.22</v>
      </c>
      <c r="O24" s="397" t="s">
        <v>675</v>
      </c>
      <c r="P24" s="416">
        <f t="shared" si="1"/>
        <v>355611</v>
      </c>
    </row>
    <row r="25" spans="1:16" x14ac:dyDescent="0.2">
      <c r="A25" s="397" t="s">
        <v>778</v>
      </c>
      <c r="B25" s="413" t="s">
        <v>433</v>
      </c>
      <c r="C25" s="399" t="s">
        <v>797</v>
      </c>
      <c r="D25" s="414" t="s">
        <v>727</v>
      </c>
      <c r="E25" s="182" t="s">
        <v>727</v>
      </c>
      <c r="F25" s="399">
        <v>2</v>
      </c>
      <c r="G25" s="399">
        <v>0</v>
      </c>
      <c r="H25" s="399">
        <v>0</v>
      </c>
      <c r="I25" s="399">
        <v>1</v>
      </c>
      <c r="J25" s="399">
        <v>0</v>
      </c>
      <c r="K25" s="399">
        <v>0</v>
      </c>
      <c r="L25" s="399">
        <v>3</v>
      </c>
      <c r="M25" s="424" t="str">
        <f t="shared" si="0"/>
        <v>GSR6"</v>
      </c>
      <c r="N25" s="218">
        <f>VLOOKUP(E25,'Services-AUC'!$C$47:$F$61,4,FALSE)</f>
        <v>15139.47</v>
      </c>
      <c r="O25" s="397" t="s">
        <v>675</v>
      </c>
      <c r="P25" s="416">
        <f t="shared" si="1"/>
        <v>45418.409999999996</v>
      </c>
    </row>
    <row r="26" spans="1:16" x14ac:dyDescent="0.2">
      <c r="A26" s="424" t="s">
        <v>778</v>
      </c>
      <c r="B26" s="426" t="s">
        <v>433</v>
      </c>
      <c r="C26" s="427" t="s">
        <v>793</v>
      </c>
      <c r="D26" s="428" t="s">
        <v>731</v>
      </c>
      <c r="E26" s="429" t="s">
        <v>731</v>
      </c>
      <c r="F26" s="427">
        <v>1</v>
      </c>
      <c r="G26" s="427">
        <v>0</v>
      </c>
      <c r="H26" s="427">
        <v>0</v>
      </c>
      <c r="I26" s="427">
        <v>0</v>
      </c>
      <c r="J26" s="427">
        <v>0</v>
      </c>
      <c r="K26" s="427">
        <v>0</v>
      </c>
      <c r="L26" s="427">
        <v>1</v>
      </c>
      <c r="M26" s="424" t="str">
        <f t="shared" si="0"/>
        <v>GSR8"</v>
      </c>
      <c r="N26" s="218">
        <f>VLOOKUP(E26,'Services-AUC'!$C$47:$F$61,4,FALSE)</f>
        <v>7539.47</v>
      </c>
      <c r="O26" s="397" t="s">
        <v>675</v>
      </c>
      <c r="P26" s="416">
        <f t="shared" si="1"/>
        <v>7539.47</v>
      </c>
    </row>
    <row r="27" spans="1:16" x14ac:dyDescent="0.2">
      <c r="A27" s="424" t="s">
        <v>778</v>
      </c>
      <c r="B27" s="426" t="s">
        <v>433</v>
      </c>
      <c r="C27" s="399" t="s">
        <v>779</v>
      </c>
      <c r="D27" s="414" t="s">
        <v>706</v>
      </c>
      <c r="E27" s="182" t="s">
        <v>704</v>
      </c>
      <c r="F27" s="427">
        <v>0</v>
      </c>
      <c r="G27" s="427">
        <v>0</v>
      </c>
      <c r="H27" s="427">
        <v>0</v>
      </c>
      <c r="I27" s="427">
        <v>0</v>
      </c>
      <c r="J27" s="427">
        <v>1</v>
      </c>
      <c r="K27" s="427">
        <v>0</v>
      </c>
      <c r="L27" s="427">
        <v>1</v>
      </c>
      <c r="M27" s="424" t="str">
        <f t="shared" si="0"/>
        <v>GSRUNDER 3"</v>
      </c>
      <c r="N27" s="218">
        <f>VLOOKUP(E27,'Services-AUC'!$C$47:$F$61,4,FALSE)</f>
        <v>568.35</v>
      </c>
      <c r="O27" s="397" t="s">
        <v>675</v>
      </c>
      <c r="P27" s="416">
        <f t="shared" si="1"/>
        <v>568.35</v>
      </c>
    </row>
    <row r="28" spans="1:16" x14ac:dyDescent="0.2">
      <c r="A28" s="397" t="s">
        <v>778</v>
      </c>
      <c r="B28" s="413" t="s">
        <v>433</v>
      </c>
      <c r="C28" s="399" t="s">
        <v>794</v>
      </c>
      <c r="D28" s="414" t="s">
        <v>782</v>
      </c>
      <c r="E28" s="182" t="s">
        <v>704</v>
      </c>
      <c r="F28" s="399">
        <v>1</v>
      </c>
      <c r="G28" s="399">
        <v>0</v>
      </c>
      <c r="H28" s="399">
        <v>0</v>
      </c>
      <c r="I28" s="399">
        <v>0</v>
      </c>
      <c r="J28" s="399">
        <v>1</v>
      </c>
      <c r="K28" s="399">
        <v>0</v>
      </c>
      <c r="L28" s="399">
        <v>2</v>
      </c>
      <c r="M28" s="424" t="str">
        <f t="shared" si="0"/>
        <v>GSRUNDER 3"</v>
      </c>
      <c r="N28" s="218">
        <f>VLOOKUP(E28,'Services-AUC'!$C$47:$F$61,4,FALSE)</f>
        <v>568.35</v>
      </c>
      <c r="O28" s="397" t="s">
        <v>675</v>
      </c>
      <c r="P28" s="416">
        <f t="shared" si="1"/>
        <v>1136.7</v>
      </c>
    </row>
    <row r="29" spans="1:16" x14ac:dyDescent="0.2">
      <c r="A29" s="397" t="s">
        <v>778</v>
      </c>
      <c r="B29" s="413" t="s">
        <v>506</v>
      </c>
      <c r="C29" s="399" t="s">
        <v>789</v>
      </c>
      <c r="D29" s="414" t="s">
        <v>559</v>
      </c>
      <c r="E29" s="182" t="s">
        <v>559</v>
      </c>
      <c r="F29" s="399">
        <v>1</v>
      </c>
      <c r="G29" s="399">
        <v>0</v>
      </c>
      <c r="H29" s="399">
        <v>0</v>
      </c>
      <c r="I29" s="399">
        <v>0</v>
      </c>
      <c r="J29" s="399">
        <v>0</v>
      </c>
      <c r="K29" s="399">
        <v>0</v>
      </c>
      <c r="L29" s="399">
        <v>1</v>
      </c>
      <c r="M29" s="424" t="str">
        <f t="shared" si="0"/>
        <v>GTO3"</v>
      </c>
      <c r="N29" s="218">
        <f>VLOOKUP(E29,'Services-AUC'!$C$47:$F$61,4,FALSE)</f>
        <v>1004.77</v>
      </c>
      <c r="O29" s="397" t="s">
        <v>485</v>
      </c>
      <c r="P29" s="416">
        <f t="shared" si="1"/>
        <v>1004.77</v>
      </c>
    </row>
    <row r="30" spans="1:16" x14ac:dyDescent="0.2">
      <c r="A30" s="397" t="s">
        <v>778</v>
      </c>
      <c r="B30" s="413" t="s">
        <v>446</v>
      </c>
      <c r="C30" s="399" t="s">
        <v>781</v>
      </c>
      <c r="D30" s="414" t="s">
        <v>782</v>
      </c>
      <c r="E30" s="425" t="s">
        <v>704</v>
      </c>
      <c r="F30" s="399">
        <v>892</v>
      </c>
      <c r="G30" s="399">
        <v>3</v>
      </c>
      <c r="H30" s="399">
        <v>5</v>
      </c>
      <c r="I30" s="399">
        <v>52</v>
      </c>
      <c r="J30" s="399">
        <v>613</v>
      </c>
      <c r="K30" s="399">
        <v>0</v>
      </c>
      <c r="L30" s="399">
        <v>1565</v>
      </c>
      <c r="M30" s="424" t="str">
        <f t="shared" si="0"/>
        <v>GTRUNDER 3"</v>
      </c>
      <c r="N30" s="218">
        <f>VLOOKUP(E30,'Services-AUC'!$C$47:$F$61,4,FALSE)</f>
        <v>568.35</v>
      </c>
      <c r="O30" s="397" t="s">
        <v>675</v>
      </c>
      <c r="P30" s="416">
        <f t="shared" si="1"/>
        <v>889467.75</v>
      </c>
    </row>
    <row r="31" spans="1:16" x14ac:dyDescent="0.2">
      <c r="A31" s="397" t="s">
        <v>778</v>
      </c>
      <c r="B31" s="413" t="s">
        <v>446</v>
      </c>
      <c r="C31" s="399" t="s">
        <v>783</v>
      </c>
      <c r="D31" s="414" t="s">
        <v>706</v>
      </c>
      <c r="E31" s="425" t="s">
        <v>704</v>
      </c>
      <c r="F31" s="399">
        <v>3</v>
      </c>
      <c r="G31" s="399">
        <v>0</v>
      </c>
      <c r="H31" s="399">
        <v>0</v>
      </c>
      <c r="I31" s="399">
        <v>0</v>
      </c>
      <c r="J31" s="399">
        <v>0</v>
      </c>
      <c r="K31" s="399">
        <v>0</v>
      </c>
      <c r="L31" s="399">
        <v>3</v>
      </c>
      <c r="M31" s="424" t="str">
        <f t="shared" si="0"/>
        <v>GTRUNDER 3"</v>
      </c>
      <c r="N31" s="218">
        <f>VLOOKUP(E31,'Services-AUC'!$C$47:$F$61,4,FALSE)</f>
        <v>568.35</v>
      </c>
      <c r="O31" s="397" t="s">
        <v>675</v>
      </c>
      <c r="P31" s="416">
        <f t="shared" si="1"/>
        <v>1705.0500000000002</v>
      </c>
    </row>
    <row r="32" spans="1:16" x14ac:dyDescent="0.2">
      <c r="A32" s="397" t="s">
        <v>778</v>
      </c>
      <c r="B32" s="413" t="s">
        <v>446</v>
      </c>
      <c r="C32" s="399" t="s">
        <v>785</v>
      </c>
      <c r="D32" s="414" t="s">
        <v>708</v>
      </c>
      <c r="E32" s="182" t="s">
        <v>704</v>
      </c>
      <c r="F32" s="399">
        <v>4393</v>
      </c>
      <c r="G32" s="399">
        <v>82</v>
      </c>
      <c r="H32" s="399">
        <v>18</v>
      </c>
      <c r="I32" s="399">
        <v>89</v>
      </c>
      <c r="J32" s="399">
        <v>42</v>
      </c>
      <c r="K32" s="399">
        <v>0</v>
      </c>
      <c r="L32" s="399">
        <v>4624</v>
      </c>
      <c r="M32" s="424" t="str">
        <f t="shared" si="0"/>
        <v>GTRUNDER 3"</v>
      </c>
      <c r="N32" s="218">
        <f>VLOOKUP(E32,'Services-AUC'!$C$47:$F$61,4,FALSE)</f>
        <v>568.35</v>
      </c>
      <c r="O32" s="397" t="s">
        <v>675</v>
      </c>
      <c r="P32" s="416">
        <f t="shared" si="1"/>
        <v>2628050.4</v>
      </c>
    </row>
    <row r="33" spans="1:16" x14ac:dyDescent="0.2">
      <c r="A33" s="397" t="s">
        <v>778</v>
      </c>
      <c r="B33" s="413" t="s">
        <v>446</v>
      </c>
      <c r="C33" s="399" t="s">
        <v>786</v>
      </c>
      <c r="D33" s="414" t="s">
        <v>710</v>
      </c>
      <c r="E33" s="182" t="s">
        <v>704</v>
      </c>
      <c r="F33" s="399">
        <v>2</v>
      </c>
      <c r="G33" s="399">
        <v>0</v>
      </c>
      <c r="H33" s="399">
        <v>0</v>
      </c>
      <c r="I33" s="399">
        <v>0</v>
      </c>
      <c r="J33" s="399">
        <v>0</v>
      </c>
      <c r="K33" s="399">
        <v>0</v>
      </c>
      <c r="L33" s="399">
        <v>2</v>
      </c>
      <c r="M33" s="424" t="str">
        <f t="shared" si="0"/>
        <v>GTRUNDER 3"</v>
      </c>
      <c r="N33" s="218">
        <f>VLOOKUP(E33,'Services-AUC'!$C$47:$F$61,4,FALSE)</f>
        <v>568.35</v>
      </c>
      <c r="O33" s="397" t="s">
        <v>675</v>
      </c>
      <c r="P33" s="416">
        <f t="shared" si="1"/>
        <v>1136.7</v>
      </c>
    </row>
    <row r="34" spans="1:16" x14ac:dyDescent="0.2">
      <c r="A34" s="397" t="s">
        <v>778</v>
      </c>
      <c r="B34" s="413" t="s">
        <v>446</v>
      </c>
      <c r="C34" s="399" t="s">
        <v>779</v>
      </c>
      <c r="D34" s="414" t="s">
        <v>706</v>
      </c>
      <c r="E34" s="182" t="s">
        <v>704</v>
      </c>
      <c r="F34" s="399">
        <v>11926</v>
      </c>
      <c r="G34" s="399">
        <v>238</v>
      </c>
      <c r="H34" s="399">
        <v>170</v>
      </c>
      <c r="I34" s="399">
        <v>558</v>
      </c>
      <c r="J34" s="399">
        <v>239</v>
      </c>
      <c r="K34" s="399">
        <v>0</v>
      </c>
      <c r="L34" s="399">
        <v>13131</v>
      </c>
      <c r="M34" s="424" t="str">
        <f t="shared" si="0"/>
        <v>GTRUNDER 3"</v>
      </c>
      <c r="N34" s="218">
        <f>VLOOKUP(E34,'Services-AUC'!$C$47:$F$61,4,FALSE)</f>
        <v>568.35</v>
      </c>
      <c r="O34" s="397" t="s">
        <v>675</v>
      </c>
      <c r="P34" s="416">
        <f t="shared" si="1"/>
        <v>7463003.8500000006</v>
      </c>
    </row>
    <row r="35" spans="1:16" x14ac:dyDescent="0.2">
      <c r="A35" s="397" t="s">
        <v>778</v>
      </c>
      <c r="B35" s="413" t="s">
        <v>446</v>
      </c>
      <c r="C35" s="399" t="s">
        <v>780</v>
      </c>
      <c r="D35" s="414" t="s">
        <v>712</v>
      </c>
      <c r="E35" s="182" t="s">
        <v>704</v>
      </c>
      <c r="F35" s="399">
        <v>4040</v>
      </c>
      <c r="G35" s="399">
        <v>46</v>
      </c>
      <c r="H35" s="399">
        <v>29</v>
      </c>
      <c r="I35" s="399">
        <v>131</v>
      </c>
      <c r="J35" s="399">
        <v>60</v>
      </c>
      <c r="K35" s="399">
        <v>0</v>
      </c>
      <c r="L35" s="399">
        <v>4306</v>
      </c>
      <c r="M35" s="424" t="str">
        <f t="shared" si="0"/>
        <v>GTRUNDER 3"</v>
      </c>
      <c r="N35" s="218">
        <f>VLOOKUP(E35,'Services-AUC'!$C$47:$F$61,4,FALSE)</f>
        <v>568.35</v>
      </c>
      <c r="O35" s="397" t="s">
        <v>675</v>
      </c>
      <c r="P35" s="416">
        <f t="shared" si="1"/>
        <v>2447315.1</v>
      </c>
    </row>
    <row r="36" spans="1:16" x14ac:dyDescent="0.2">
      <c r="A36" s="397" t="s">
        <v>778</v>
      </c>
      <c r="B36" s="413" t="s">
        <v>446</v>
      </c>
      <c r="C36" s="399" t="s">
        <v>787</v>
      </c>
      <c r="D36" s="414" t="s">
        <v>714</v>
      </c>
      <c r="E36" s="182" t="s">
        <v>704</v>
      </c>
      <c r="F36" s="399">
        <v>30</v>
      </c>
      <c r="G36" s="399">
        <v>0</v>
      </c>
      <c r="H36" s="399">
        <v>2</v>
      </c>
      <c r="I36" s="399">
        <v>1</v>
      </c>
      <c r="J36" s="399">
        <v>3</v>
      </c>
      <c r="K36" s="399">
        <v>0</v>
      </c>
      <c r="L36" s="399">
        <v>36</v>
      </c>
      <c r="M36" s="424" t="str">
        <f t="shared" si="0"/>
        <v>GTRUNDER 3"</v>
      </c>
      <c r="N36" s="218">
        <f>VLOOKUP(E36,'Services-AUC'!$C$47:$F$61,4,FALSE)</f>
        <v>568.35</v>
      </c>
      <c r="O36" s="397" t="s">
        <v>675</v>
      </c>
      <c r="P36" s="416">
        <f t="shared" si="1"/>
        <v>20460.600000000002</v>
      </c>
    </row>
    <row r="37" spans="1:16" x14ac:dyDescent="0.2">
      <c r="A37" s="397" t="s">
        <v>778</v>
      </c>
      <c r="B37" s="413" t="s">
        <v>446</v>
      </c>
      <c r="C37" s="399" t="s">
        <v>788</v>
      </c>
      <c r="D37" s="414" t="s">
        <v>707</v>
      </c>
      <c r="E37" s="182" t="s">
        <v>704</v>
      </c>
      <c r="F37" s="399">
        <v>47</v>
      </c>
      <c r="G37" s="399">
        <v>4</v>
      </c>
      <c r="H37" s="399">
        <v>2</v>
      </c>
      <c r="I37" s="399">
        <v>13</v>
      </c>
      <c r="J37" s="399">
        <v>12</v>
      </c>
      <c r="K37" s="399">
        <v>0</v>
      </c>
      <c r="L37" s="399">
        <v>78</v>
      </c>
      <c r="M37" s="424" t="str">
        <f t="shared" si="0"/>
        <v>GTRUNDER 3"</v>
      </c>
      <c r="N37" s="218">
        <f>VLOOKUP(E37,'Services-AUC'!$C$47:$F$61,4,FALSE)</f>
        <v>568.35</v>
      </c>
      <c r="O37" s="397" t="s">
        <v>675</v>
      </c>
      <c r="P37" s="416">
        <f t="shared" si="1"/>
        <v>44331.3</v>
      </c>
    </row>
    <row r="38" spans="1:16" x14ac:dyDescent="0.2">
      <c r="A38" s="397" t="s">
        <v>778</v>
      </c>
      <c r="B38" s="413" t="s">
        <v>446</v>
      </c>
      <c r="C38" s="399" t="s">
        <v>795</v>
      </c>
      <c r="D38" s="414" t="s">
        <v>718</v>
      </c>
      <c r="E38" s="425" t="s">
        <v>704</v>
      </c>
      <c r="F38" s="399">
        <v>2</v>
      </c>
      <c r="G38" s="399">
        <v>0</v>
      </c>
      <c r="H38" s="399">
        <v>0</v>
      </c>
      <c r="I38" s="399">
        <v>0</v>
      </c>
      <c r="J38" s="399">
        <v>0</v>
      </c>
      <c r="K38" s="399">
        <v>0</v>
      </c>
      <c r="L38" s="399">
        <v>2</v>
      </c>
      <c r="M38" s="424" t="str">
        <f t="shared" si="0"/>
        <v>GTRUNDER 3"</v>
      </c>
      <c r="N38" s="218">
        <f>VLOOKUP(E38,'Services-AUC'!$C$47:$F$61,4,FALSE)</f>
        <v>568.35</v>
      </c>
      <c r="O38" s="397" t="s">
        <v>675</v>
      </c>
      <c r="P38" s="416">
        <f t="shared" si="1"/>
        <v>1136.7</v>
      </c>
    </row>
    <row r="39" spans="1:16" x14ac:dyDescent="0.2">
      <c r="A39" s="397" t="s">
        <v>778</v>
      </c>
      <c r="B39" s="413" t="s">
        <v>446</v>
      </c>
      <c r="C39" s="399" t="s">
        <v>789</v>
      </c>
      <c r="D39" s="414" t="s">
        <v>559</v>
      </c>
      <c r="E39" s="182" t="s">
        <v>559</v>
      </c>
      <c r="F39" s="399">
        <v>4</v>
      </c>
      <c r="G39" s="399">
        <v>0</v>
      </c>
      <c r="H39" s="399">
        <v>0</v>
      </c>
      <c r="I39" s="399">
        <v>0</v>
      </c>
      <c r="J39" s="399">
        <v>0</v>
      </c>
      <c r="K39" s="399">
        <v>0</v>
      </c>
      <c r="L39" s="399">
        <v>4</v>
      </c>
      <c r="M39" s="424" t="str">
        <f t="shared" si="0"/>
        <v>GTR3"</v>
      </c>
      <c r="N39" s="218">
        <f>VLOOKUP(E39,'Services-AUC'!$C$47:$F$61,4,FALSE)</f>
        <v>1004.77</v>
      </c>
      <c r="O39" s="397" t="s">
        <v>675</v>
      </c>
      <c r="P39" s="416">
        <f t="shared" si="1"/>
        <v>4019.08</v>
      </c>
    </row>
    <row r="40" spans="1:16" x14ac:dyDescent="0.2">
      <c r="A40" s="397" t="s">
        <v>778</v>
      </c>
      <c r="B40" s="413" t="s">
        <v>446</v>
      </c>
      <c r="C40" s="399" t="s">
        <v>791</v>
      </c>
      <c r="D40" s="414" t="s">
        <v>721</v>
      </c>
      <c r="E40" s="182" t="s">
        <v>721</v>
      </c>
      <c r="F40" s="399">
        <v>0</v>
      </c>
      <c r="G40" s="399">
        <v>0</v>
      </c>
      <c r="H40" s="399">
        <v>0</v>
      </c>
      <c r="I40" s="399">
        <v>0</v>
      </c>
      <c r="J40" s="399">
        <v>1</v>
      </c>
      <c r="K40" s="399">
        <v>0</v>
      </c>
      <c r="L40" s="399">
        <v>1</v>
      </c>
      <c r="M40" s="424" t="str">
        <f t="shared" si="0"/>
        <v>GTR4"</v>
      </c>
      <c r="N40" s="218">
        <f>VLOOKUP(E40,'Services-AUC'!$C$47:$F$61,4,FALSE)</f>
        <v>3888.14</v>
      </c>
      <c r="O40" s="397" t="s">
        <v>675</v>
      </c>
      <c r="P40" s="416">
        <f t="shared" si="1"/>
        <v>3888.14</v>
      </c>
    </row>
    <row r="41" spans="1:16" x14ac:dyDescent="0.2">
      <c r="A41" s="397" t="s">
        <v>778</v>
      </c>
      <c r="B41" s="413" t="s">
        <v>446</v>
      </c>
      <c r="C41" s="399" t="s">
        <v>792</v>
      </c>
      <c r="D41" s="414" t="s">
        <v>725</v>
      </c>
      <c r="E41" s="182" t="s">
        <v>725</v>
      </c>
      <c r="F41" s="399">
        <v>9</v>
      </c>
      <c r="G41" s="399">
        <v>0</v>
      </c>
      <c r="H41" s="399">
        <v>0</v>
      </c>
      <c r="I41" s="399">
        <v>0</v>
      </c>
      <c r="J41" s="399">
        <v>0</v>
      </c>
      <c r="K41" s="399">
        <v>0</v>
      </c>
      <c r="L41" s="399">
        <v>9</v>
      </c>
      <c r="M41" s="424" t="str">
        <f t="shared" si="0"/>
        <v>GTR5"</v>
      </c>
      <c r="N41" s="218">
        <f>VLOOKUP(E41,'Services-AUC'!$C$47:$F$61,4,FALSE)</f>
        <v>7112.22</v>
      </c>
      <c r="O41" s="397" t="s">
        <v>675</v>
      </c>
      <c r="P41" s="416">
        <f t="shared" si="1"/>
        <v>64009.98</v>
      </c>
    </row>
    <row r="42" spans="1:16" x14ac:dyDescent="0.2">
      <c r="A42" s="397" t="s">
        <v>778</v>
      </c>
      <c r="B42" s="413" t="s">
        <v>439</v>
      </c>
      <c r="C42" s="399" t="s">
        <v>781</v>
      </c>
      <c r="D42" s="414" t="s">
        <v>782</v>
      </c>
      <c r="E42" s="182" t="s">
        <v>704</v>
      </c>
      <c r="F42" s="399">
        <v>2</v>
      </c>
      <c r="G42" s="399">
        <v>0</v>
      </c>
      <c r="H42" s="399">
        <v>0</v>
      </c>
      <c r="I42" s="399">
        <v>1</v>
      </c>
      <c r="J42" s="399">
        <v>0</v>
      </c>
      <c r="K42" s="399">
        <v>0</v>
      </c>
      <c r="L42" s="399">
        <v>3</v>
      </c>
      <c r="M42" s="424" t="str">
        <f t="shared" si="0"/>
        <v>G1RUNDER 3"</v>
      </c>
      <c r="N42" s="218">
        <f>VLOOKUP(E42,'Services-AUC'!$C$47:$F$61,4,FALSE)</f>
        <v>568.35</v>
      </c>
      <c r="O42" s="397" t="s">
        <v>675</v>
      </c>
      <c r="P42" s="416">
        <f t="shared" si="1"/>
        <v>1705.0500000000002</v>
      </c>
    </row>
    <row r="43" spans="1:16" x14ac:dyDescent="0.2">
      <c r="A43" s="397" t="s">
        <v>778</v>
      </c>
      <c r="B43" s="413" t="s">
        <v>439</v>
      </c>
      <c r="C43" s="399" t="s">
        <v>785</v>
      </c>
      <c r="D43" s="414" t="s">
        <v>708</v>
      </c>
      <c r="E43" s="182" t="s">
        <v>704</v>
      </c>
      <c r="F43" s="399">
        <v>1</v>
      </c>
      <c r="G43" s="399">
        <v>0</v>
      </c>
      <c r="H43" s="399">
        <v>0</v>
      </c>
      <c r="I43" s="399">
        <v>0</v>
      </c>
      <c r="J43" s="399">
        <v>0</v>
      </c>
      <c r="K43" s="399">
        <v>0</v>
      </c>
      <c r="L43" s="399">
        <v>1</v>
      </c>
      <c r="M43" s="424" t="str">
        <f t="shared" si="0"/>
        <v>G1RUNDER 3"</v>
      </c>
      <c r="N43" s="218">
        <f>VLOOKUP(E43,'Services-AUC'!$C$47:$F$61,4,FALSE)</f>
        <v>568.35</v>
      </c>
      <c r="O43" s="397" t="s">
        <v>675</v>
      </c>
      <c r="P43" s="416">
        <f t="shared" si="1"/>
        <v>568.35</v>
      </c>
    </row>
    <row r="44" spans="1:16" x14ac:dyDescent="0.2">
      <c r="A44" s="397" t="s">
        <v>778</v>
      </c>
      <c r="B44" s="413" t="s">
        <v>439</v>
      </c>
      <c r="C44" s="399" t="s">
        <v>779</v>
      </c>
      <c r="D44" s="414" t="s">
        <v>706</v>
      </c>
      <c r="E44" s="182" t="s">
        <v>704</v>
      </c>
      <c r="F44" s="399">
        <v>6</v>
      </c>
      <c r="G44" s="399">
        <v>0</v>
      </c>
      <c r="H44" s="399">
        <v>0</v>
      </c>
      <c r="I44" s="399">
        <v>2</v>
      </c>
      <c r="J44" s="399">
        <v>3</v>
      </c>
      <c r="K44" s="399">
        <v>0</v>
      </c>
      <c r="L44" s="399">
        <v>11</v>
      </c>
      <c r="M44" s="424" t="str">
        <f t="shared" si="0"/>
        <v>G1RUNDER 3"</v>
      </c>
      <c r="N44" s="218">
        <f>VLOOKUP(E44,'Services-AUC'!$C$47:$F$61,4,FALSE)</f>
        <v>568.35</v>
      </c>
      <c r="O44" s="397" t="s">
        <v>675</v>
      </c>
      <c r="P44" s="416">
        <f t="shared" si="1"/>
        <v>6251.85</v>
      </c>
    </row>
    <row r="45" spans="1:16" x14ac:dyDescent="0.2">
      <c r="A45" s="397" t="s">
        <v>778</v>
      </c>
      <c r="B45" s="413" t="s">
        <v>439</v>
      </c>
      <c r="C45" s="399" t="s">
        <v>780</v>
      </c>
      <c r="D45" s="414" t="s">
        <v>712</v>
      </c>
      <c r="E45" s="182" t="s">
        <v>704</v>
      </c>
      <c r="F45" s="399">
        <v>2</v>
      </c>
      <c r="G45" s="399">
        <v>1</v>
      </c>
      <c r="H45" s="399">
        <v>0</v>
      </c>
      <c r="I45" s="399">
        <v>0</v>
      </c>
      <c r="J45" s="399">
        <v>0</v>
      </c>
      <c r="K45" s="399">
        <v>0</v>
      </c>
      <c r="L45" s="399">
        <v>3</v>
      </c>
      <c r="M45" s="424" t="str">
        <f t="shared" si="0"/>
        <v>G1RUNDER 3"</v>
      </c>
      <c r="N45" s="218">
        <f>VLOOKUP(E45,'Services-AUC'!$C$47:$F$61,4,FALSE)</f>
        <v>568.35</v>
      </c>
      <c r="O45" s="397" t="s">
        <v>675</v>
      </c>
      <c r="P45" s="416">
        <f t="shared" si="1"/>
        <v>1705.0500000000002</v>
      </c>
    </row>
    <row r="46" spans="1:16" x14ac:dyDescent="0.2">
      <c r="A46" s="397" t="s">
        <v>778</v>
      </c>
      <c r="B46" s="413" t="s">
        <v>503</v>
      </c>
      <c r="C46" s="399" t="s">
        <v>781</v>
      </c>
      <c r="D46" s="414" t="s">
        <v>782</v>
      </c>
      <c r="E46" s="182" t="s">
        <v>704</v>
      </c>
      <c r="F46" s="399">
        <v>5</v>
      </c>
      <c r="G46" s="399">
        <v>0</v>
      </c>
      <c r="H46" s="399">
        <v>0</v>
      </c>
      <c r="I46" s="399">
        <v>0</v>
      </c>
      <c r="J46" s="399">
        <v>0</v>
      </c>
      <c r="K46" s="399">
        <v>0</v>
      </c>
      <c r="L46" s="399">
        <v>5</v>
      </c>
      <c r="M46" s="424" t="str">
        <f t="shared" si="0"/>
        <v>IN3UNDER 3"RESIDENTIAL</v>
      </c>
      <c r="N46" s="218">
        <f>VLOOKUP(E46,'Services-AUC'!$C$47:$F$61,4,FALSE)</f>
        <v>568.35</v>
      </c>
      <c r="O46" s="397" t="s">
        <v>675</v>
      </c>
      <c r="P46" s="416">
        <f t="shared" si="1"/>
        <v>2841.75</v>
      </c>
    </row>
    <row r="47" spans="1:16" x14ac:dyDescent="0.2">
      <c r="A47" s="397" t="s">
        <v>778</v>
      </c>
      <c r="B47" s="413" t="s">
        <v>503</v>
      </c>
      <c r="C47" s="399" t="s">
        <v>779</v>
      </c>
      <c r="D47" s="414" t="s">
        <v>706</v>
      </c>
      <c r="E47" s="182" t="s">
        <v>704</v>
      </c>
      <c r="F47" s="399">
        <v>2</v>
      </c>
      <c r="G47" s="399">
        <v>0</v>
      </c>
      <c r="H47" s="399">
        <v>0</v>
      </c>
      <c r="I47" s="399">
        <v>2</v>
      </c>
      <c r="J47" s="399">
        <v>0</v>
      </c>
      <c r="K47" s="399">
        <v>0</v>
      </c>
      <c r="L47" s="399">
        <v>4</v>
      </c>
      <c r="M47" s="424" t="str">
        <f t="shared" si="0"/>
        <v>IN3UNDER 3"RESIDENTIAL</v>
      </c>
      <c r="N47" s="218">
        <f>VLOOKUP(E47,'Services-AUC'!$C$47:$F$61,4,FALSE)</f>
        <v>568.35</v>
      </c>
      <c r="O47" s="397" t="s">
        <v>675</v>
      </c>
      <c r="P47" s="416">
        <f t="shared" si="1"/>
        <v>2273.4</v>
      </c>
    </row>
    <row r="48" spans="1:16" x14ac:dyDescent="0.2">
      <c r="A48" s="397" t="s">
        <v>778</v>
      </c>
      <c r="B48" s="413" t="s">
        <v>435</v>
      </c>
      <c r="C48" s="399" t="s">
        <v>781</v>
      </c>
      <c r="D48" s="414" t="s">
        <v>782</v>
      </c>
      <c r="E48" s="182" t="s">
        <v>704</v>
      </c>
      <c r="F48" s="399">
        <v>2</v>
      </c>
      <c r="G48" s="399">
        <v>0</v>
      </c>
      <c r="H48" s="399">
        <v>0</v>
      </c>
      <c r="I48" s="399">
        <v>0</v>
      </c>
      <c r="J48" s="399">
        <v>0</v>
      </c>
      <c r="K48" s="399">
        <v>0</v>
      </c>
      <c r="L48" s="399">
        <v>2</v>
      </c>
      <c r="M48" s="424" t="str">
        <f t="shared" si="0"/>
        <v>IN5UNDER 3"</v>
      </c>
      <c r="N48" s="218">
        <f>VLOOKUP(E48,'Services-AUC'!$C$47:$F$61,4,FALSE)</f>
        <v>568.35</v>
      </c>
      <c r="O48" s="397" t="s">
        <v>675</v>
      </c>
      <c r="P48" s="416">
        <f t="shared" si="1"/>
        <v>1136.7</v>
      </c>
    </row>
    <row r="49" spans="1:16" x14ac:dyDescent="0.2">
      <c r="A49" s="397" t="s">
        <v>778</v>
      </c>
      <c r="B49" s="413" t="s">
        <v>435</v>
      </c>
      <c r="C49" s="399" t="s">
        <v>779</v>
      </c>
      <c r="D49" s="414" t="s">
        <v>706</v>
      </c>
      <c r="E49" s="182" t="s">
        <v>704</v>
      </c>
      <c r="F49" s="399">
        <v>1</v>
      </c>
      <c r="G49" s="399">
        <v>0</v>
      </c>
      <c r="H49" s="399">
        <v>0</v>
      </c>
      <c r="I49" s="399">
        <v>0</v>
      </c>
      <c r="J49" s="399">
        <v>0</v>
      </c>
      <c r="K49" s="399">
        <v>0</v>
      </c>
      <c r="L49" s="399">
        <v>1</v>
      </c>
      <c r="M49" s="424" t="str">
        <f t="shared" si="0"/>
        <v>IN5UNDER 3"</v>
      </c>
      <c r="N49" s="218">
        <f>VLOOKUP(E49,'Services-AUC'!$C$47:$F$61,4,FALSE)</f>
        <v>568.35</v>
      </c>
      <c r="O49" s="397" t="s">
        <v>675</v>
      </c>
      <c r="P49" s="416">
        <f t="shared" si="1"/>
        <v>568.35</v>
      </c>
    </row>
    <row r="50" spans="1:16" x14ac:dyDescent="0.2">
      <c r="A50" s="397" t="s">
        <v>778</v>
      </c>
      <c r="B50" s="413" t="s">
        <v>505</v>
      </c>
      <c r="C50" s="399" t="s">
        <v>779</v>
      </c>
      <c r="D50" s="414" t="s">
        <v>706</v>
      </c>
      <c r="E50" s="182" t="s">
        <v>704</v>
      </c>
      <c r="F50" s="399">
        <v>1</v>
      </c>
      <c r="G50" s="399">
        <v>0</v>
      </c>
      <c r="H50" s="399">
        <v>0</v>
      </c>
      <c r="I50" s="399">
        <v>0</v>
      </c>
      <c r="J50" s="399">
        <v>0</v>
      </c>
      <c r="K50" s="399">
        <v>0</v>
      </c>
      <c r="L50" s="399">
        <v>1</v>
      </c>
      <c r="M50" s="424" t="str">
        <f t="shared" si="0"/>
        <v>LG2UNDER 3"RESIDENTIAL</v>
      </c>
      <c r="N50" s="218">
        <f>VLOOKUP(E50,'Services-AUC'!$C$47:$F$61,4,FALSE)</f>
        <v>568.35</v>
      </c>
      <c r="O50" s="397" t="s">
        <v>675</v>
      </c>
      <c r="P50" s="416">
        <f t="shared" si="1"/>
        <v>568.35</v>
      </c>
    </row>
    <row r="51" spans="1:16" x14ac:dyDescent="0.2">
      <c r="A51" s="397" t="s">
        <v>778</v>
      </c>
      <c r="B51" s="413" t="s">
        <v>505</v>
      </c>
      <c r="C51" s="399" t="s">
        <v>788</v>
      </c>
      <c r="D51" s="414" t="s">
        <v>707</v>
      </c>
      <c r="E51" s="182" t="s">
        <v>704</v>
      </c>
      <c r="F51" s="399">
        <v>0</v>
      </c>
      <c r="G51" s="399">
        <v>0</v>
      </c>
      <c r="H51" s="399">
        <v>0</v>
      </c>
      <c r="I51" s="399">
        <v>1</v>
      </c>
      <c r="J51" s="399">
        <v>0</v>
      </c>
      <c r="K51" s="399">
        <v>0</v>
      </c>
      <c r="L51" s="399">
        <v>1</v>
      </c>
      <c r="M51" s="424" t="str">
        <f t="shared" si="0"/>
        <v>LG2UNDER 3"RESIDENTIAL</v>
      </c>
      <c r="N51" s="218">
        <f>VLOOKUP(E51,'Services-AUC'!$C$47:$F$61,4,FALSE)</f>
        <v>568.35</v>
      </c>
      <c r="O51" s="397" t="s">
        <v>675</v>
      </c>
      <c r="P51" s="416">
        <f t="shared" si="1"/>
        <v>568.35</v>
      </c>
    </row>
    <row r="52" spans="1:16" x14ac:dyDescent="0.2">
      <c r="A52" s="397" t="s">
        <v>778</v>
      </c>
      <c r="B52" s="413" t="s">
        <v>441</v>
      </c>
      <c r="C52" s="399" t="s">
        <v>779</v>
      </c>
      <c r="D52" s="414" t="s">
        <v>706</v>
      </c>
      <c r="E52" s="425" t="s">
        <v>704</v>
      </c>
      <c r="F52" s="399">
        <v>0</v>
      </c>
      <c r="G52" s="399">
        <v>0</v>
      </c>
      <c r="H52" s="399">
        <v>0</v>
      </c>
      <c r="I52" s="399">
        <v>1</v>
      </c>
      <c r="J52" s="399">
        <v>0</v>
      </c>
      <c r="K52" s="399">
        <v>0</v>
      </c>
      <c r="L52" s="399">
        <v>1</v>
      </c>
      <c r="M52" s="424" t="str">
        <f t="shared" si="0"/>
        <v>LG3UNDER 3"</v>
      </c>
      <c r="N52" s="218">
        <f>VLOOKUP(E52,'Services-AUC'!$C$47:$F$61,4,FALSE)</f>
        <v>568.35</v>
      </c>
      <c r="O52" s="397" t="s">
        <v>675</v>
      </c>
      <c r="P52" s="416">
        <f t="shared" si="1"/>
        <v>568.35</v>
      </c>
    </row>
    <row r="53" spans="1:16" x14ac:dyDescent="0.2">
      <c r="A53" s="397" t="s">
        <v>778</v>
      </c>
      <c r="B53" s="413" t="s">
        <v>442</v>
      </c>
      <c r="C53" s="399" t="s">
        <v>779</v>
      </c>
      <c r="D53" s="414" t="s">
        <v>706</v>
      </c>
      <c r="E53" s="182" t="s">
        <v>704</v>
      </c>
      <c r="F53" s="399">
        <v>1</v>
      </c>
      <c r="G53" s="399">
        <v>0</v>
      </c>
      <c r="H53" s="399">
        <v>0</v>
      </c>
      <c r="I53" s="399">
        <v>0</v>
      </c>
      <c r="J53" s="399">
        <v>0</v>
      </c>
      <c r="K53" s="399">
        <v>0</v>
      </c>
      <c r="L53" s="399">
        <v>1</v>
      </c>
      <c r="M53" s="424" t="str">
        <f t="shared" si="0"/>
        <v>LG4UNDER 3"</v>
      </c>
      <c r="N53" s="218">
        <f>VLOOKUP(E53,'Services-AUC'!$C$47:$F$61,4,FALSE)</f>
        <v>568.35</v>
      </c>
      <c r="O53" s="397" t="s">
        <v>675</v>
      </c>
      <c r="P53" s="416">
        <f t="shared" si="1"/>
        <v>568.35</v>
      </c>
    </row>
    <row r="54" spans="1:16" x14ac:dyDescent="0.2">
      <c r="A54" s="397" t="s">
        <v>778</v>
      </c>
      <c r="B54" s="413" t="s">
        <v>802</v>
      </c>
      <c r="C54" s="399" t="s">
        <v>781</v>
      </c>
      <c r="D54" s="414" t="s">
        <v>782</v>
      </c>
      <c r="E54" s="425" t="s">
        <v>704</v>
      </c>
      <c r="F54" s="399">
        <v>21</v>
      </c>
      <c r="G54" s="399">
        <v>0</v>
      </c>
      <c r="H54" s="399">
        <v>0</v>
      </c>
      <c r="I54" s="399">
        <v>3</v>
      </c>
      <c r="J54" s="399">
        <v>118</v>
      </c>
      <c r="K54" s="399">
        <v>0</v>
      </c>
      <c r="L54" s="399">
        <v>142</v>
      </c>
      <c r="M54" s="424" t="str">
        <f t="shared" si="0"/>
        <v>UNKNOWNUNDER 3"</v>
      </c>
      <c r="N54" s="218">
        <f>VLOOKUP(E54,'Services-AUC'!$C$47:$F$61,4,FALSE)</f>
        <v>568.35</v>
      </c>
    </row>
    <row r="55" spans="1:16" x14ac:dyDescent="0.2">
      <c r="A55" s="397" t="s">
        <v>778</v>
      </c>
      <c r="B55" s="413" t="s">
        <v>802</v>
      </c>
      <c r="C55" s="399" t="s">
        <v>785</v>
      </c>
      <c r="D55" s="414" t="s">
        <v>708</v>
      </c>
      <c r="E55" s="425" t="s">
        <v>704</v>
      </c>
      <c r="F55" s="399">
        <v>137</v>
      </c>
      <c r="G55" s="399">
        <v>4</v>
      </c>
      <c r="H55" s="399">
        <v>0</v>
      </c>
      <c r="I55" s="399">
        <v>9</v>
      </c>
      <c r="J55" s="399">
        <v>3</v>
      </c>
      <c r="K55" s="399">
        <v>0</v>
      </c>
      <c r="L55" s="399">
        <v>153</v>
      </c>
      <c r="M55" s="424" t="str">
        <f t="shared" si="0"/>
        <v>UNKNOWNUNDER 3"</v>
      </c>
      <c r="N55" s="218">
        <f>VLOOKUP(E55,'Services-AUC'!$C$47:$F$61,4,FALSE)</f>
        <v>568.35</v>
      </c>
    </row>
    <row r="56" spans="1:16" x14ac:dyDescent="0.2">
      <c r="A56" s="397" t="s">
        <v>778</v>
      </c>
      <c r="B56" s="413" t="s">
        <v>802</v>
      </c>
      <c r="C56" s="399" t="s">
        <v>779</v>
      </c>
      <c r="D56" s="414" t="s">
        <v>706</v>
      </c>
      <c r="E56" s="182" t="s">
        <v>704</v>
      </c>
      <c r="F56" s="399">
        <v>364</v>
      </c>
      <c r="G56" s="399">
        <v>8</v>
      </c>
      <c r="H56" s="399">
        <v>6</v>
      </c>
      <c r="I56" s="399">
        <v>76</v>
      </c>
      <c r="J56" s="399">
        <v>101</v>
      </c>
      <c r="K56" s="399">
        <v>0</v>
      </c>
      <c r="L56" s="399">
        <v>555</v>
      </c>
      <c r="M56" s="424" t="str">
        <f t="shared" si="0"/>
        <v>UNKNOWNUNDER 3"</v>
      </c>
      <c r="N56" s="218">
        <f>VLOOKUP(E56,'Services-AUC'!$C$47:$F$61,4,FALSE)</f>
        <v>568.35</v>
      </c>
    </row>
    <row r="57" spans="1:16" x14ac:dyDescent="0.2">
      <c r="A57" s="397" t="s">
        <v>778</v>
      </c>
      <c r="B57" s="413" t="s">
        <v>802</v>
      </c>
      <c r="C57" s="399" t="s">
        <v>780</v>
      </c>
      <c r="D57" s="414" t="s">
        <v>712</v>
      </c>
      <c r="E57" s="182" t="s">
        <v>704</v>
      </c>
      <c r="F57" s="399">
        <v>93</v>
      </c>
      <c r="G57" s="399">
        <v>2</v>
      </c>
      <c r="H57" s="399">
        <v>4</v>
      </c>
      <c r="I57" s="399">
        <v>20</v>
      </c>
      <c r="J57" s="399">
        <v>18</v>
      </c>
      <c r="K57" s="399">
        <v>0</v>
      </c>
      <c r="L57" s="399">
        <v>137</v>
      </c>
      <c r="M57" s="424" t="str">
        <f t="shared" si="0"/>
        <v>UNKNOWNUNDER 3"</v>
      </c>
      <c r="N57" s="218">
        <f>VLOOKUP(E57,'Services-AUC'!$C$47:$F$61,4,FALSE)</f>
        <v>568.35</v>
      </c>
    </row>
    <row r="58" spans="1:16" x14ac:dyDescent="0.2">
      <c r="A58" s="397" t="s">
        <v>778</v>
      </c>
      <c r="B58" s="413" t="s">
        <v>802</v>
      </c>
      <c r="C58" s="399" t="s">
        <v>787</v>
      </c>
      <c r="D58" s="414" t="s">
        <v>714</v>
      </c>
      <c r="E58" s="182" t="s">
        <v>704</v>
      </c>
      <c r="F58" s="399">
        <v>1</v>
      </c>
      <c r="G58" s="399">
        <v>0</v>
      </c>
      <c r="H58" s="399">
        <v>0</v>
      </c>
      <c r="I58" s="399">
        <v>0</v>
      </c>
      <c r="J58" s="399">
        <v>0</v>
      </c>
      <c r="K58" s="399">
        <v>0</v>
      </c>
      <c r="L58" s="399">
        <v>1</v>
      </c>
      <c r="M58" s="424" t="str">
        <f t="shared" si="0"/>
        <v>UNKNOWNUNDER 3"</v>
      </c>
      <c r="N58" s="218">
        <f>VLOOKUP(E58,'Services-AUC'!$C$47:$F$61,4,FALSE)</f>
        <v>568.35</v>
      </c>
    </row>
    <row r="59" spans="1:16" x14ac:dyDescent="0.2">
      <c r="A59" s="397" t="s">
        <v>778</v>
      </c>
      <c r="B59" s="413" t="s">
        <v>802</v>
      </c>
      <c r="C59" s="399" t="s">
        <v>788</v>
      </c>
      <c r="D59" s="414" t="s">
        <v>707</v>
      </c>
      <c r="E59" s="182" t="s">
        <v>704</v>
      </c>
      <c r="F59" s="399">
        <v>0</v>
      </c>
      <c r="G59" s="399">
        <v>0</v>
      </c>
      <c r="H59" s="399">
        <v>0</v>
      </c>
      <c r="I59" s="399">
        <v>4</v>
      </c>
      <c r="J59" s="399">
        <v>3</v>
      </c>
      <c r="K59" s="399">
        <v>0</v>
      </c>
      <c r="L59" s="399">
        <v>7</v>
      </c>
      <c r="M59" s="424" t="str">
        <f t="shared" si="0"/>
        <v>UNKNOWNUNDER 3"</v>
      </c>
      <c r="N59" s="218">
        <f>VLOOKUP(E59,'Services-AUC'!$C$47:$F$61,4,FALSE)</f>
        <v>568.35</v>
      </c>
    </row>
    <row r="60" spans="1:16" x14ac:dyDescent="0.2">
      <c r="A60" s="397" t="s">
        <v>796</v>
      </c>
      <c r="B60" s="413" t="s">
        <v>635</v>
      </c>
      <c r="C60" s="399" t="s">
        <v>779</v>
      </c>
      <c r="D60" s="414" t="s">
        <v>706</v>
      </c>
      <c r="E60" s="425" t="s">
        <v>704</v>
      </c>
      <c r="F60" s="399">
        <v>2</v>
      </c>
      <c r="G60" s="399">
        <v>0</v>
      </c>
      <c r="H60" s="399">
        <v>0</v>
      </c>
      <c r="I60" s="399">
        <v>0</v>
      </c>
      <c r="J60" s="399">
        <v>0</v>
      </c>
      <c r="K60" s="399">
        <v>0</v>
      </c>
      <c r="L60" s="399">
        <v>2</v>
      </c>
      <c r="M60" s="424" t="str">
        <f t="shared" si="0"/>
        <v>DSUNDER 3"</v>
      </c>
      <c r="N60" s="218">
        <f>VLOOKUP(E60,'Services-AUC'!$C$47:$F$61,4,FALSE)</f>
        <v>568.35</v>
      </c>
      <c r="O60" s="397" t="s">
        <v>632</v>
      </c>
      <c r="P60" s="416">
        <f t="shared" si="1"/>
        <v>1136.7</v>
      </c>
    </row>
    <row r="61" spans="1:16" x14ac:dyDescent="0.2">
      <c r="A61" s="397" t="s">
        <v>796</v>
      </c>
      <c r="B61" s="413" t="s">
        <v>635</v>
      </c>
      <c r="C61" s="399" t="s">
        <v>788</v>
      </c>
      <c r="D61" s="414" t="s">
        <v>707</v>
      </c>
      <c r="E61" s="182" t="s">
        <v>704</v>
      </c>
      <c r="F61" s="399">
        <v>24</v>
      </c>
      <c r="G61" s="399">
        <v>0</v>
      </c>
      <c r="H61" s="399">
        <v>0</v>
      </c>
      <c r="I61" s="399">
        <v>3</v>
      </c>
      <c r="J61" s="399">
        <v>0</v>
      </c>
      <c r="K61" s="399">
        <v>0</v>
      </c>
      <c r="L61" s="399">
        <v>27</v>
      </c>
      <c r="M61" s="424" t="str">
        <f t="shared" si="0"/>
        <v>DSUNDER 3"</v>
      </c>
      <c r="N61" s="218">
        <f>VLOOKUP(E61,'Services-AUC'!$C$47:$F$61,4,FALSE)</f>
        <v>568.35</v>
      </c>
      <c r="O61" s="397" t="s">
        <v>632</v>
      </c>
      <c r="P61" s="416">
        <f t="shared" si="1"/>
        <v>15345.45</v>
      </c>
    </row>
    <row r="62" spans="1:16" x14ac:dyDescent="0.2">
      <c r="A62" s="397" t="s">
        <v>796</v>
      </c>
      <c r="B62" s="413" t="s">
        <v>635</v>
      </c>
      <c r="C62" s="399" t="s">
        <v>789</v>
      </c>
      <c r="D62" s="414" t="s">
        <v>559</v>
      </c>
      <c r="E62" s="425" t="s">
        <v>559</v>
      </c>
      <c r="F62" s="399">
        <v>5</v>
      </c>
      <c r="G62" s="399">
        <v>0</v>
      </c>
      <c r="H62" s="399">
        <v>0</v>
      </c>
      <c r="I62" s="399">
        <v>1</v>
      </c>
      <c r="J62" s="399">
        <v>1</v>
      </c>
      <c r="K62" s="399">
        <v>0</v>
      </c>
      <c r="L62" s="399">
        <v>7</v>
      </c>
      <c r="M62" s="424" t="str">
        <f t="shared" si="0"/>
        <v>DS3"</v>
      </c>
      <c r="N62" s="218">
        <f>VLOOKUP(E62,'Services-AUC'!$C$47:$F$61,4,FALSE)</f>
        <v>1004.77</v>
      </c>
      <c r="O62" s="397" t="s">
        <v>632</v>
      </c>
      <c r="P62" s="416">
        <f t="shared" si="1"/>
        <v>7033.3899999999994</v>
      </c>
    </row>
    <row r="63" spans="1:16" x14ac:dyDescent="0.2">
      <c r="A63" s="397" t="s">
        <v>796</v>
      </c>
      <c r="B63" s="413" t="s">
        <v>635</v>
      </c>
      <c r="C63" s="399" t="s">
        <v>791</v>
      </c>
      <c r="D63" s="414" t="s">
        <v>721</v>
      </c>
      <c r="E63" s="425" t="s">
        <v>721</v>
      </c>
      <c r="F63" s="399">
        <v>10</v>
      </c>
      <c r="G63" s="399">
        <v>0</v>
      </c>
      <c r="H63" s="399">
        <v>0</v>
      </c>
      <c r="I63" s="399">
        <v>1</v>
      </c>
      <c r="J63" s="399">
        <v>1</v>
      </c>
      <c r="K63" s="399">
        <v>0</v>
      </c>
      <c r="L63" s="399">
        <v>12</v>
      </c>
      <c r="M63" s="424" t="str">
        <f t="shared" si="0"/>
        <v>DS4"</v>
      </c>
      <c r="N63" s="218">
        <f>VLOOKUP(E63,'Services-AUC'!$C$47:$F$61,4,FALSE)</f>
        <v>3888.14</v>
      </c>
      <c r="O63" s="397" t="s">
        <v>632</v>
      </c>
      <c r="P63" s="416">
        <f t="shared" si="1"/>
        <v>46657.68</v>
      </c>
    </row>
    <row r="64" spans="1:16" x14ac:dyDescent="0.2">
      <c r="A64" s="397" t="s">
        <v>796</v>
      </c>
      <c r="B64" s="413" t="s">
        <v>635</v>
      </c>
      <c r="C64" s="399" t="s">
        <v>797</v>
      </c>
      <c r="D64" s="414" t="s">
        <v>727</v>
      </c>
      <c r="E64" s="182" t="s">
        <v>727</v>
      </c>
      <c r="F64" s="399">
        <v>1</v>
      </c>
      <c r="G64" s="399">
        <v>0</v>
      </c>
      <c r="H64" s="399">
        <v>0</v>
      </c>
      <c r="I64" s="399">
        <v>0</v>
      </c>
      <c r="J64" s="399">
        <v>0</v>
      </c>
      <c r="K64" s="399">
        <v>0</v>
      </c>
      <c r="L64" s="399">
        <v>1</v>
      </c>
      <c r="M64" s="424" t="str">
        <f t="shared" si="0"/>
        <v>DS6"</v>
      </c>
      <c r="N64" s="218">
        <f>VLOOKUP(E64,'Services-AUC'!$C$47:$F$61,4,FALSE)</f>
        <v>15139.47</v>
      </c>
      <c r="O64" s="397" t="s">
        <v>632</v>
      </c>
      <c r="P64" s="416">
        <f t="shared" si="1"/>
        <v>15139.47</v>
      </c>
    </row>
    <row r="65" spans="1:16" x14ac:dyDescent="0.2">
      <c r="A65" s="397" t="s">
        <v>796</v>
      </c>
      <c r="B65" s="413" t="s">
        <v>635</v>
      </c>
      <c r="C65" s="399" t="s">
        <v>793</v>
      </c>
      <c r="D65" s="414" t="s">
        <v>731</v>
      </c>
      <c r="E65" s="182" t="s">
        <v>731</v>
      </c>
      <c r="F65" s="399">
        <v>0</v>
      </c>
      <c r="G65" s="399">
        <v>0</v>
      </c>
      <c r="H65" s="399">
        <v>0</v>
      </c>
      <c r="I65" s="399">
        <v>1</v>
      </c>
      <c r="J65" s="399">
        <v>0</v>
      </c>
      <c r="K65" s="399">
        <v>0</v>
      </c>
      <c r="L65" s="399">
        <v>1</v>
      </c>
      <c r="M65" s="424" t="str">
        <f t="shared" si="0"/>
        <v>DS8"</v>
      </c>
      <c r="N65" s="218">
        <f>VLOOKUP(E65,'Services-AUC'!$C$47:$F$61,4,FALSE)</f>
        <v>7539.47</v>
      </c>
      <c r="O65" s="397" t="s">
        <v>632</v>
      </c>
      <c r="P65" s="416">
        <f t="shared" si="1"/>
        <v>7539.47</v>
      </c>
    </row>
    <row r="66" spans="1:16" x14ac:dyDescent="0.2">
      <c r="A66" s="397" t="s">
        <v>796</v>
      </c>
      <c r="B66" s="413" t="s">
        <v>510</v>
      </c>
      <c r="C66" s="399" t="s">
        <v>797</v>
      </c>
      <c r="D66" s="414" t="s">
        <v>727</v>
      </c>
      <c r="E66" s="425" t="s">
        <v>727</v>
      </c>
      <c r="F66" s="399">
        <v>0</v>
      </c>
      <c r="G66" s="399">
        <v>1</v>
      </c>
      <c r="H66" s="399">
        <v>0</v>
      </c>
      <c r="I66" s="399">
        <v>0</v>
      </c>
      <c r="J66" s="399">
        <v>0</v>
      </c>
      <c r="K66" s="399">
        <v>0</v>
      </c>
      <c r="L66" s="399">
        <v>1</v>
      </c>
      <c r="M66" s="424" t="str">
        <f t="shared" si="0"/>
        <v>FX16"</v>
      </c>
      <c r="N66" s="218">
        <f>VLOOKUP(E66,'Services-AUC'!$C$47:$F$61,4,FALSE)</f>
        <v>15139.47</v>
      </c>
      <c r="O66" s="397" t="s">
        <v>632</v>
      </c>
      <c r="P66" s="416">
        <f t="shared" si="1"/>
        <v>15139.47</v>
      </c>
    </row>
    <row r="67" spans="1:16" x14ac:dyDescent="0.2">
      <c r="A67" s="397" t="s">
        <v>796</v>
      </c>
      <c r="B67" s="413" t="s">
        <v>510</v>
      </c>
      <c r="C67" s="399" t="s">
        <v>793</v>
      </c>
      <c r="D67" s="414" t="s">
        <v>731</v>
      </c>
      <c r="E67" s="182" t="s">
        <v>731</v>
      </c>
      <c r="F67" s="399">
        <v>1</v>
      </c>
      <c r="G67" s="399">
        <v>0</v>
      </c>
      <c r="H67" s="399">
        <v>0</v>
      </c>
      <c r="I67" s="399">
        <v>0</v>
      </c>
      <c r="J67" s="399">
        <v>0</v>
      </c>
      <c r="K67" s="399">
        <v>0</v>
      </c>
      <c r="L67" s="399">
        <v>1</v>
      </c>
      <c r="M67" s="424" t="str">
        <f t="shared" si="0"/>
        <v>FX18"</v>
      </c>
      <c r="N67" s="218">
        <f>VLOOKUP(E67,'Services-AUC'!$C$47:$F$61,4,FALSE)</f>
        <v>7539.47</v>
      </c>
      <c r="O67" s="397" t="s">
        <v>632</v>
      </c>
      <c r="P67" s="416">
        <f t="shared" si="1"/>
        <v>7539.47</v>
      </c>
    </row>
    <row r="68" spans="1:16" x14ac:dyDescent="0.2">
      <c r="A68" s="397" t="s">
        <v>796</v>
      </c>
      <c r="B68" s="413" t="s">
        <v>511</v>
      </c>
      <c r="C68" s="399" t="s">
        <v>793</v>
      </c>
      <c r="D68" s="414" t="s">
        <v>731</v>
      </c>
      <c r="E68" s="182" t="s">
        <v>731</v>
      </c>
      <c r="F68" s="399">
        <v>1</v>
      </c>
      <c r="G68" s="399">
        <v>0</v>
      </c>
      <c r="H68" s="399">
        <v>0</v>
      </c>
      <c r="I68" s="399">
        <v>0</v>
      </c>
      <c r="J68" s="399">
        <v>0</v>
      </c>
      <c r="K68" s="399">
        <v>0</v>
      </c>
      <c r="L68" s="399">
        <v>1</v>
      </c>
      <c r="M68" s="424" t="str">
        <f t="shared" si="0"/>
        <v>FX28"</v>
      </c>
      <c r="N68" s="218">
        <f>VLOOKUP(E68,'Services-AUC'!$C$47:$F$61,4,FALSE)</f>
        <v>7539.47</v>
      </c>
      <c r="O68" s="397" t="s">
        <v>632</v>
      </c>
      <c r="P68" s="416">
        <f t="shared" si="1"/>
        <v>7539.47</v>
      </c>
    </row>
    <row r="69" spans="1:16" x14ac:dyDescent="0.2">
      <c r="A69" s="397" t="s">
        <v>796</v>
      </c>
      <c r="B69" s="413" t="s">
        <v>634</v>
      </c>
      <c r="C69" s="399" t="s">
        <v>779</v>
      </c>
      <c r="D69" s="414" t="s">
        <v>706</v>
      </c>
      <c r="E69" s="182" t="s">
        <v>704</v>
      </c>
      <c r="F69" s="399">
        <v>2</v>
      </c>
      <c r="G69" s="399">
        <v>0</v>
      </c>
      <c r="H69" s="399">
        <v>0</v>
      </c>
      <c r="I69" s="399">
        <v>0</v>
      </c>
      <c r="J69" s="399">
        <v>0</v>
      </c>
      <c r="K69" s="399">
        <v>0</v>
      </c>
      <c r="L69" s="399">
        <v>2</v>
      </c>
      <c r="M69" s="424" t="str">
        <f t="shared" si="0"/>
        <v>GDSUNDER 3"</v>
      </c>
      <c r="N69" s="218">
        <f>VLOOKUP(E69,'Services-AUC'!$C$47:$F$61,4,FALSE)</f>
        <v>568.35</v>
      </c>
      <c r="O69" s="397" t="s">
        <v>485</v>
      </c>
      <c r="P69" s="416">
        <f t="shared" si="1"/>
        <v>1136.7</v>
      </c>
    </row>
    <row r="70" spans="1:16" x14ac:dyDescent="0.2">
      <c r="A70" s="397" t="s">
        <v>796</v>
      </c>
      <c r="B70" s="413" t="s">
        <v>634</v>
      </c>
      <c r="C70" s="399" t="s">
        <v>788</v>
      </c>
      <c r="D70" s="414" t="s">
        <v>707</v>
      </c>
      <c r="E70" s="182" t="s">
        <v>704</v>
      </c>
      <c r="F70" s="399">
        <v>3</v>
      </c>
      <c r="G70" s="399">
        <v>0</v>
      </c>
      <c r="H70" s="399">
        <v>0</v>
      </c>
      <c r="I70" s="399">
        <v>0</v>
      </c>
      <c r="J70" s="399">
        <v>0</v>
      </c>
      <c r="K70" s="399">
        <v>0</v>
      </c>
      <c r="L70" s="399">
        <v>3</v>
      </c>
      <c r="M70" s="424" t="str">
        <f t="shared" si="0"/>
        <v>GDSUNDER 3"</v>
      </c>
      <c r="N70" s="218">
        <f>VLOOKUP(E70,'Services-AUC'!$C$47:$F$61,4,FALSE)</f>
        <v>568.35</v>
      </c>
      <c r="O70" s="397" t="s">
        <v>485</v>
      </c>
      <c r="P70" s="416">
        <f t="shared" si="1"/>
        <v>1705.0500000000002</v>
      </c>
    </row>
    <row r="71" spans="1:16" x14ac:dyDescent="0.2">
      <c r="A71" s="397" t="s">
        <v>796</v>
      </c>
      <c r="B71" s="413" t="s">
        <v>634</v>
      </c>
      <c r="C71" s="399" t="s">
        <v>789</v>
      </c>
      <c r="D71" s="414" t="s">
        <v>559</v>
      </c>
      <c r="E71" s="182" t="s">
        <v>559</v>
      </c>
      <c r="F71" s="399">
        <v>2</v>
      </c>
      <c r="G71" s="399">
        <v>0</v>
      </c>
      <c r="H71" s="399">
        <v>0</v>
      </c>
      <c r="I71" s="399">
        <v>1</v>
      </c>
      <c r="J71" s="399">
        <v>0</v>
      </c>
      <c r="K71" s="399">
        <v>0</v>
      </c>
      <c r="L71" s="399">
        <v>3</v>
      </c>
      <c r="M71" s="424" t="str">
        <f t="shared" si="0"/>
        <v>GDS3"</v>
      </c>
      <c r="N71" s="218">
        <f>VLOOKUP(E71,'Services-AUC'!$C$47:$F$61,4,FALSE)</f>
        <v>1004.77</v>
      </c>
      <c r="O71" s="397" t="s">
        <v>485</v>
      </c>
      <c r="P71" s="416">
        <f t="shared" si="1"/>
        <v>3014.31</v>
      </c>
    </row>
    <row r="72" spans="1:16" x14ac:dyDescent="0.2">
      <c r="A72" s="397" t="s">
        <v>796</v>
      </c>
      <c r="B72" s="413" t="s">
        <v>634</v>
      </c>
      <c r="C72" s="399" t="s">
        <v>791</v>
      </c>
      <c r="D72" s="414" t="s">
        <v>721</v>
      </c>
      <c r="E72" s="182" t="s">
        <v>721</v>
      </c>
      <c r="F72" s="399">
        <v>4</v>
      </c>
      <c r="G72" s="399">
        <v>0</v>
      </c>
      <c r="H72" s="399">
        <v>0</v>
      </c>
      <c r="I72" s="399">
        <v>0</v>
      </c>
      <c r="J72" s="399">
        <v>0</v>
      </c>
      <c r="K72" s="399">
        <v>0</v>
      </c>
      <c r="L72" s="399">
        <v>4</v>
      </c>
      <c r="M72" s="424" t="str">
        <f t="shared" si="0"/>
        <v>GDS4"</v>
      </c>
      <c r="N72" s="218">
        <f>VLOOKUP(E72,'Services-AUC'!$C$47:$F$61,4,FALSE)</f>
        <v>3888.14</v>
      </c>
      <c r="O72" s="397" t="s">
        <v>485</v>
      </c>
      <c r="P72" s="416">
        <f t="shared" si="1"/>
        <v>15552.56</v>
      </c>
    </row>
    <row r="73" spans="1:16" x14ac:dyDescent="0.2">
      <c r="A73" s="397" t="s">
        <v>796</v>
      </c>
      <c r="B73" s="413" t="s">
        <v>634</v>
      </c>
      <c r="C73" s="399" t="s">
        <v>797</v>
      </c>
      <c r="D73" s="414" t="s">
        <v>727</v>
      </c>
      <c r="E73" s="182" t="s">
        <v>727</v>
      </c>
      <c r="F73" s="399">
        <v>0</v>
      </c>
      <c r="G73" s="399">
        <v>1</v>
      </c>
      <c r="H73" s="399">
        <v>0</v>
      </c>
      <c r="I73" s="399">
        <v>0</v>
      </c>
      <c r="J73" s="399">
        <v>0</v>
      </c>
      <c r="K73" s="399">
        <v>0</v>
      </c>
      <c r="L73" s="399">
        <v>1</v>
      </c>
      <c r="M73" s="424" t="str">
        <f t="shared" si="0"/>
        <v>GDS6"</v>
      </c>
      <c r="N73" s="218">
        <f>VLOOKUP(E73,'Services-AUC'!$C$47:$F$61,4,FALSE)</f>
        <v>15139.47</v>
      </c>
      <c r="O73" s="397" t="s">
        <v>485</v>
      </c>
      <c r="P73" s="416">
        <f t="shared" si="1"/>
        <v>15139.47</v>
      </c>
    </row>
    <row r="74" spans="1:16" x14ac:dyDescent="0.2">
      <c r="A74" s="397" t="s">
        <v>796</v>
      </c>
      <c r="B74" s="413" t="s">
        <v>500</v>
      </c>
      <c r="C74" s="399" t="s">
        <v>781</v>
      </c>
      <c r="D74" s="414" t="s">
        <v>782</v>
      </c>
      <c r="E74" s="425" t="s">
        <v>704</v>
      </c>
      <c r="F74" s="399">
        <v>281</v>
      </c>
      <c r="G74" s="399">
        <v>3</v>
      </c>
      <c r="H74" s="399">
        <v>1</v>
      </c>
      <c r="I74" s="399">
        <v>95</v>
      </c>
      <c r="J74" s="399">
        <v>935</v>
      </c>
      <c r="K74" s="399">
        <v>0</v>
      </c>
      <c r="L74" s="399">
        <v>1315</v>
      </c>
      <c r="M74" s="424" t="str">
        <f t="shared" ref="M74:M137" si="2">IF(B74="IN3",B74&amp;E74&amp;A74,IF(B74="LG2",B74&amp;E74&amp;A74,B74&amp;E74))</f>
        <v>GSOUNDER 3"</v>
      </c>
      <c r="N74" s="218">
        <f>VLOOKUP(E74,'Services-AUC'!$C$47:$F$61,4,FALSE)</f>
        <v>568.35</v>
      </c>
      <c r="O74" s="397" t="s">
        <v>485</v>
      </c>
      <c r="P74" s="416">
        <f t="shared" ref="P74:P137" si="3">N74*L74</f>
        <v>747380.25</v>
      </c>
    </row>
    <row r="75" spans="1:16" x14ac:dyDescent="0.2">
      <c r="A75" s="397" t="s">
        <v>796</v>
      </c>
      <c r="B75" s="413" t="s">
        <v>500</v>
      </c>
      <c r="C75" s="399" t="s">
        <v>783</v>
      </c>
      <c r="D75" s="414" t="s">
        <v>706</v>
      </c>
      <c r="E75" s="182" t="s">
        <v>704</v>
      </c>
      <c r="F75" s="399">
        <v>6</v>
      </c>
      <c r="G75" s="399">
        <v>0</v>
      </c>
      <c r="H75" s="399">
        <v>0</v>
      </c>
      <c r="I75" s="399">
        <v>1</v>
      </c>
      <c r="J75" s="399">
        <v>1</v>
      </c>
      <c r="K75" s="399">
        <v>0</v>
      </c>
      <c r="L75" s="399">
        <v>8</v>
      </c>
      <c r="M75" s="424" t="str">
        <f t="shared" si="2"/>
        <v>GSOUNDER 3"</v>
      </c>
      <c r="N75" s="218">
        <f>VLOOKUP(E75,'Services-AUC'!$C$47:$F$61,4,FALSE)</f>
        <v>568.35</v>
      </c>
      <c r="O75" s="397" t="s">
        <v>485</v>
      </c>
      <c r="P75" s="416">
        <f t="shared" si="3"/>
        <v>4546.8</v>
      </c>
    </row>
    <row r="76" spans="1:16" x14ac:dyDescent="0.2">
      <c r="A76" s="397" t="s">
        <v>796</v>
      </c>
      <c r="B76" s="413" t="s">
        <v>500</v>
      </c>
      <c r="C76" s="399" t="s">
        <v>798</v>
      </c>
      <c r="D76" s="414" t="s">
        <v>707</v>
      </c>
      <c r="E76" s="182" t="s">
        <v>704</v>
      </c>
      <c r="F76" s="399">
        <v>2</v>
      </c>
      <c r="G76" s="399">
        <v>0</v>
      </c>
      <c r="H76" s="399">
        <v>0</v>
      </c>
      <c r="I76" s="399">
        <v>0</v>
      </c>
      <c r="J76" s="399">
        <v>0</v>
      </c>
      <c r="K76" s="399">
        <v>0</v>
      </c>
      <c r="L76" s="399">
        <v>2</v>
      </c>
      <c r="M76" s="424" t="str">
        <f t="shared" si="2"/>
        <v>GSOUNDER 3"</v>
      </c>
      <c r="N76" s="218">
        <f>VLOOKUP(E76,'Services-AUC'!$C$47:$F$61,4,FALSE)</f>
        <v>568.35</v>
      </c>
      <c r="O76" s="397" t="s">
        <v>485</v>
      </c>
      <c r="P76" s="416">
        <f t="shared" si="3"/>
        <v>1136.7</v>
      </c>
    </row>
    <row r="77" spans="1:16" x14ac:dyDescent="0.2">
      <c r="A77" s="397" t="s">
        <v>796</v>
      </c>
      <c r="B77" s="413" t="s">
        <v>500</v>
      </c>
      <c r="C77" s="399" t="s">
        <v>785</v>
      </c>
      <c r="D77" s="414" t="s">
        <v>708</v>
      </c>
      <c r="E77" s="182" t="s">
        <v>704</v>
      </c>
      <c r="F77" s="399">
        <v>212</v>
      </c>
      <c r="G77" s="399">
        <v>3</v>
      </c>
      <c r="H77" s="399">
        <v>2</v>
      </c>
      <c r="I77" s="399">
        <v>33</v>
      </c>
      <c r="J77" s="399">
        <v>63</v>
      </c>
      <c r="K77" s="399">
        <v>0</v>
      </c>
      <c r="L77" s="399">
        <v>313</v>
      </c>
      <c r="M77" s="424" t="str">
        <f t="shared" si="2"/>
        <v>GSOUNDER 3"</v>
      </c>
      <c r="N77" s="218">
        <f>VLOOKUP(E77,'Services-AUC'!$C$47:$F$61,4,FALSE)</f>
        <v>568.35</v>
      </c>
      <c r="O77" s="397" t="s">
        <v>485</v>
      </c>
      <c r="P77" s="416">
        <f t="shared" si="3"/>
        <v>177893.55000000002</v>
      </c>
    </row>
    <row r="78" spans="1:16" x14ac:dyDescent="0.2">
      <c r="A78" s="397" t="s">
        <v>796</v>
      </c>
      <c r="B78" s="413" t="s">
        <v>500</v>
      </c>
      <c r="C78" s="399" t="s">
        <v>786</v>
      </c>
      <c r="D78" s="414" t="s">
        <v>710</v>
      </c>
      <c r="E78" s="182" t="s">
        <v>704</v>
      </c>
      <c r="F78" s="399">
        <v>2</v>
      </c>
      <c r="G78" s="399">
        <v>0</v>
      </c>
      <c r="H78" s="399">
        <v>0</v>
      </c>
      <c r="I78" s="399">
        <v>0</v>
      </c>
      <c r="J78" s="399">
        <v>0</v>
      </c>
      <c r="K78" s="399">
        <v>0</v>
      </c>
      <c r="L78" s="399">
        <v>2</v>
      </c>
      <c r="M78" s="424" t="str">
        <f t="shared" si="2"/>
        <v>GSOUNDER 3"</v>
      </c>
      <c r="N78" s="218">
        <f>VLOOKUP(E78,'Services-AUC'!$C$47:$F$61,4,FALSE)</f>
        <v>568.35</v>
      </c>
      <c r="O78" s="397" t="s">
        <v>485</v>
      </c>
      <c r="P78" s="416">
        <f t="shared" si="3"/>
        <v>1136.7</v>
      </c>
    </row>
    <row r="79" spans="1:16" x14ac:dyDescent="0.2">
      <c r="A79" s="397" t="s">
        <v>796</v>
      </c>
      <c r="B79" s="413" t="s">
        <v>500</v>
      </c>
      <c r="C79" s="399" t="s">
        <v>779</v>
      </c>
      <c r="D79" s="414" t="s">
        <v>706</v>
      </c>
      <c r="E79" s="182" t="s">
        <v>704</v>
      </c>
      <c r="F79" s="399">
        <v>3581</v>
      </c>
      <c r="G79" s="399">
        <v>67</v>
      </c>
      <c r="H79" s="399">
        <v>47</v>
      </c>
      <c r="I79" s="399">
        <v>988</v>
      </c>
      <c r="J79" s="399">
        <v>1026</v>
      </c>
      <c r="K79" s="399">
        <v>0</v>
      </c>
      <c r="L79" s="399">
        <v>5709</v>
      </c>
      <c r="M79" s="424" t="str">
        <f t="shared" si="2"/>
        <v>GSOUNDER 3"</v>
      </c>
      <c r="N79" s="218">
        <f>VLOOKUP(E79,'Services-AUC'!$C$47:$F$61,4,FALSE)</f>
        <v>568.35</v>
      </c>
      <c r="O79" s="397" t="s">
        <v>485</v>
      </c>
      <c r="P79" s="416">
        <f t="shared" si="3"/>
        <v>3244710.15</v>
      </c>
    </row>
    <row r="80" spans="1:16" x14ac:dyDescent="0.2">
      <c r="A80" s="397" t="s">
        <v>796</v>
      </c>
      <c r="B80" s="413" t="s">
        <v>500</v>
      </c>
      <c r="C80" s="399" t="s">
        <v>780</v>
      </c>
      <c r="D80" s="414" t="s">
        <v>712</v>
      </c>
      <c r="E80" s="182" t="s">
        <v>704</v>
      </c>
      <c r="F80" s="399">
        <v>921</v>
      </c>
      <c r="G80" s="399">
        <v>14</v>
      </c>
      <c r="H80" s="399">
        <v>9</v>
      </c>
      <c r="I80" s="399">
        <v>310</v>
      </c>
      <c r="J80" s="399">
        <v>299</v>
      </c>
      <c r="K80" s="399">
        <v>0</v>
      </c>
      <c r="L80" s="399">
        <v>1553</v>
      </c>
      <c r="M80" s="424" t="str">
        <f t="shared" si="2"/>
        <v>GSOUNDER 3"</v>
      </c>
      <c r="N80" s="218">
        <f>VLOOKUP(E80,'Services-AUC'!$C$47:$F$61,4,FALSE)</f>
        <v>568.35</v>
      </c>
      <c r="O80" s="397" t="s">
        <v>485</v>
      </c>
      <c r="P80" s="416">
        <f t="shared" si="3"/>
        <v>882647.55</v>
      </c>
    </row>
    <row r="81" spans="1:16" x14ac:dyDescent="0.2">
      <c r="A81" s="397" t="s">
        <v>796</v>
      </c>
      <c r="B81" s="413" t="s">
        <v>500</v>
      </c>
      <c r="C81" s="399" t="s">
        <v>787</v>
      </c>
      <c r="D81" s="414" t="s">
        <v>714</v>
      </c>
      <c r="E81" s="182" t="s">
        <v>704</v>
      </c>
      <c r="F81" s="399">
        <v>17</v>
      </c>
      <c r="G81" s="399">
        <v>0</v>
      </c>
      <c r="H81" s="399">
        <v>0</v>
      </c>
      <c r="I81" s="399">
        <v>8</v>
      </c>
      <c r="J81" s="399">
        <v>5</v>
      </c>
      <c r="K81" s="399">
        <v>0</v>
      </c>
      <c r="L81" s="399">
        <v>30</v>
      </c>
      <c r="M81" s="424" t="str">
        <f t="shared" si="2"/>
        <v>GSOUNDER 3"</v>
      </c>
      <c r="N81" s="218">
        <f>VLOOKUP(E81,'Services-AUC'!$C$47:$F$61,4,FALSE)</f>
        <v>568.35</v>
      </c>
      <c r="O81" s="397" t="s">
        <v>485</v>
      </c>
      <c r="P81" s="416">
        <f t="shared" si="3"/>
        <v>17050.5</v>
      </c>
    </row>
    <row r="82" spans="1:16" x14ac:dyDescent="0.2">
      <c r="A82" s="397" t="s">
        <v>796</v>
      </c>
      <c r="B82" s="413" t="s">
        <v>500</v>
      </c>
      <c r="C82" s="399" t="s">
        <v>788</v>
      </c>
      <c r="D82" s="414" t="s">
        <v>707</v>
      </c>
      <c r="E82" s="425" t="s">
        <v>704</v>
      </c>
      <c r="F82" s="399">
        <v>736</v>
      </c>
      <c r="G82" s="399">
        <v>10</v>
      </c>
      <c r="H82" s="399">
        <v>5</v>
      </c>
      <c r="I82" s="399">
        <v>242</v>
      </c>
      <c r="J82" s="399">
        <v>262</v>
      </c>
      <c r="K82" s="399">
        <v>0</v>
      </c>
      <c r="L82" s="399">
        <v>1255</v>
      </c>
      <c r="M82" s="424" t="str">
        <f t="shared" si="2"/>
        <v>GSOUNDER 3"</v>
      </c>
      <c r="N82" s="218">
        <f>VLOOKUP(E82,'Services-AUC'!$C$47:$F$61,4,FALSE)</f>
        <v>568.35</v>
      </c>
      <c r="O82" s="397" t="s">
        <v>485</v>
      </c>
      <c r="P82" s="416">
        <f t="shared" si="3"/>
        <v>713279.25</v>
      </c>
    </row>
    <row r="83" spans="1:16" x14ac:dyDescent="0.2">
      <c r="A83" s="397" t="s">
        <v>796</v>
      </c>
      <c r="B83" s="413" t="s">
        <v>500</v>
      </c>
      <c r="C83" s="399" t="s">
        <v>795</v>
      </c>
      <c r="D83" s="414" t="s">
        <v>718</v>
      </c>
      <c r="E83" s="182" t="s">
        <v>704</v>
      </c>
      <c r="F83" s="399">
        <v>1</v>
      </c>
      <c r="G83" s="399">
        <v>0</v>
      </c>
      <c r="H83" s="399">
        <v>0</v>
      </c>
      <c r="I83" s="399">
        <v>0</v>
      </c>
      <c r="J83" s="399">
        <v>1</v>
      </c>
      <c r="K83" s="399">
        <v>0</v>
      </c>
      <c r="L83" s="399">
        <v>2</v>
      </c>
      <c r="M83" s="424" t="str">
        <f t="shared" si="2"/>
        <v>GSOUNDER 3"</v>
      </c>
      <c r="N83" s="218">
        <f>VLOOKUP(E83,'Services-AUC'!$C$47:$F$61,4,FALSE)</f>
        <v>568.35</v>
      </c>
      <c r="O83" s="397" t="s">
        <v>485</v>
      </c>
      <c r="P83" s="416">
        <f t="shared" si="3"/>
        <v>1136.7</v>
      </c>
    </row>
    <row r="84" spans="1:16" x14ac:dyDescent="0.2">
      <c r="A84" s="397" t="s">
        <v>796</v>
      </c>
      <c r="B84" s="413" t="s">
        <v>500</v>
      </c>
      <c r="C84" s="399" t="s">
        <v>789</v>
      </c>
      <c r="D84" s="414" t="s">
        <v>559</v>
      </c>
      <c r="E84" s="182" t="s">
        <v>559</v>
      </c>
      <c r="F84" s="399">
        <v>92</v>
      </c>
      <c r="G84" s="399">
        <v>0</v>
      </c>
      <c r="H84" s="399">
        <v>0</v>
      </c>
      <c r="I84" s="399">
        <v>21</v>
      </c>
      <c r="J84" s="399">
        <v>23</v>
      </c>
      <c r="K84" s="399">
        <v>0</v>
      </c>
      <c r="L84" s="399">
        <v>136</v>
      </c>
      <c r="M84" s="424" t="str">
        <f t="shared" si="2"/>
        <v>GSO3"</v>
      </c>
      <c r="N84" s="218">
        <f>VLOOKUP(E84,'Services-AUC'!$C$47:$F$61,4,FALSE)</f>
        <v>1004.77</v>
      </c>
      <c r="O84" s="397" t="s">
        <v>485</v>
      </c>
      <c r="P84" s="416">
        <f t="shared" si="3"/>
        <v>136648.72</v>
      </c>
    </row>
    <row r="85" spans="1:16" x14ac:dyDescent="0.2">
      <c r="A85" s="397" t="s">
        <v>796</v>
      </c>
      <c r="B85" s="413" t="s">
        <v>500</v>
      </c>
      <c r="C85" s="399" t="s">
        <v>791</v>
      </c>
      <c r="D85" s="414" t="s">
        <v>721</v>
      </c>
      <c r="E85" s="182" t="s">
        <v>721</v>
      </c>
      <c r="F85" s="399">
        <v>63</v>
      </c>
      <c r="G85" s="399">
        <v>2</v>
      </c>
      <c r="H85" s="399">
        <v>0</v>
      </c>
      <c r="I85" s="399">
        <v>11</v>
      </c>
      <c r="J85" s="399">
        <v>8</v>
      </c>
      <c r="K85" s="399">
        <v>0</v>
      </c>
      <c r="L85" s="399">
        <v>84</v>
      </c>
      <c r="M85" s="424" t="str">
        <f t="shared" si="2"/>
        <v>GSO4"</v>
      </c>
      <c r="N85" s="218">
        <f>VLOOKUP(E85,'Services-AUC'!$C$47:$F$61,4,FALSE)</f>
        <v>3888.14</v>
      </c>
      <c r="O85" s="397" t="s">
        <v>485</v>
      </c>
      <c r="P85" s="416">
        <f t="shared" si="3"/>
        <v>326603.76</v>
      </c>
    </row>
    <row r="86" spans="1:16" x14ac:dyDescent="0.2">
      <c r="A86" s="397" t="s">
        <v>796</v>
      </c>
      <c r="B86" s="413" t="s">
        <v>500</v>
      </c>
      <c r="C86" s="399" t="s">
        <v>792</v>
      </c>
      <c r="D86" s="414" t="s">
        <v>725</v>
      </c>
      <c r="E86" s="182" t="s">
        <v>725</v>
      </c>
      <c r="F86" s="399">
        <v>1</v>
      </c>
      <c r="G86" s="399">
        <v>0</v>
      </c>
      <c r="H86" s="399">
        <v>0</v>
      </c>
      <c r="I86" s="399">
        <v>0</v>
      </c>
      <c r="J86" s="399">
        <v>0</v>
      </c>
      <c r="K86" s="399">
        <v>0</v>
      </c>
      <c r="L86" s="399">
        <v>1</v>
      </c>
      <c r="M86" s="424" t="str">
        <f t="shared" si="2"/>
        <v>GSO5"</v>
      </c>
      <c r="N86" s="218">
        <f>VLOOKUP(E86,'Services-AUC'!$C$47:$F$61,4,FALSE)</f>
        <v>7112.22</v>
      </c>
      <c r="O86" s="397" t="s">
        <v>485</v>
      </c>
      <c r="P86" s="416">
        <f t="shared" si="3"/>
        <v>7112.22</v>
      </c>
    </row>
    <row r="87" spans="1:16" x14ac:dyDescent="0.2">
      <c r="A87" s="397" t="s">
        <v>796</v>
      </c>
      <c r="B87" s="413" t="s">
        <v>500</v>
      </c>
      <c r="C87" s="399" t="s">
        <v>797</v>
      </c>
      <c r="D87" s="414" t="s">
        <v>727</v>
      </c>
      <c r="E87" s="182" t="s">
        <v>727</v>
      </c>
      <c r="F87" s="399">
        <v>2</v>
      </c>
      <c r="G87" s="399">
        <v>0</v>
      </c>
      <c r="H87" s="399">
        <v>0</v>
      </c>
      <c r="I87" s="399">
        <v>2</v>
      </c>
      <c r="J87" s="399">
        <v>1</v>
      </c>
      <c r="K87" s="399">
        <v>0</v>
      </c>
      <c r="L87" s="399">
        <v>5</v>
      </c>
      <c r="M87" s="424" t="str">
        <f t="shared" si="2"/>
        <v>GSO6"</v>
      </c>
      <c r="N87" s="218">
        <f>VLOOKUP(E87,'Services-AUC'!$C$47:$F$61,4,FALSE)</f>
        <v>15139.47</v>
      </c>
      <c r="O87" s="397" t="s">
        <v>485</v>
      </c>
      <c r="P87" s="416">
        <f t="shared" si="3"/>
        <v>75697.349999999991</v>
      </c>
    </row>
    <row r="88" spans="1:16" x14ac:dyDescent="0.2">
      <c r="A88" s="397" t="s">
        <v>796</v>
      </c>
      <c r="B88" s="425" t="s">
        <v>433</v>
      </c>
      <c r="C88" s="399" t="s">
        <v>781</v>
      </c>
      <c r="D88" s="414" t="s">
        <v>782</v>
      </c>
      <c r="E88" s="425" t="s">
        <v>704</v>
      </c>
      <c r="F88" s="399">
        <v>2</v>
      </c>
      <c r="G88" s="399">
        <v>0</v>
      </c>
      <c r="H88" s="399">
        <v>0</v>
      </c>
      <c r="I88" s="399">
        <v>0</v>
      </c>
      <c r="J88" s="399">
        <v>0</v>
      </c>
      <c r="K88" s="399">
        <v>0</v>
      </c>
      <c r="L88" s="399">
        <v>2</v>
      </c>
      <c r="M88" s="424" t="str">
        <f t="shared" si="2"/>
        <v>GSRUNDER 3"</v>
      </c>
      <c r="N88" s="218">
        <f>VLOOKUP(E88,'Services-AUC'!$C$47:$F$61,4,FALSE)</f>
        <v>568.35</v>
      </c>
      <c r="O88" s="397" t="s">
        <v>675</v>
      </c>
      <c r="P88" s="416">
        <f t="shared" si="3"/>
        <v>1136.7</v>
      </c>
    </row>
    <row r="89" spans="1:16" x14ac:dyDescent="0.2">
      <c r="A89" s="397" t="s">
        <v>796</v>
      </c>
      <c r="B89" s="425" t="s">
        <v>433</v>
      </c>
      <c r="C89" s="399" t="s">
        <v>779</v>
      </c>
      <c r="D89" s="414" t="s">
        <v>706</v>
      </c>
      <c r="E89" s="182" t="s">
        <v>704</v>
      </c>
      <c r="F89" s="399">
        <v>5</v>
      </c>
      <c r="G89" s="399">
        <v>0</v>
      </c>
      <c r="H89" s="399">
        <v>0</v>
      </c>
      <c r="I89" s="399">
        <v>0</v>
      </c>
      <c r="J89" s="399">
        <v>0</v>
      </c>
      <c r="K89" s="399">
        <v>0</v>
      </c>
      <c r="L89" s="399">
        <v>5</v>
      </c>
      <c r="M89" s="424" t="str">
        <f t="shared" si="2"/>
        <v>GSRUNDER 3"</v>
      </c>
      <c r="N89" s="218">
        <f>VLOOKUP(E89,'Services-AUC'!$C$47:$F$61,4,FALSE)</f>
        <v>568.35</v>
      </c>
      <c r="O89" s="397" t="s">
        <v>675</v>
      </c>
      <c r="P89" s="416">
        <f t="shared" si="3"/>
        <v>2841.75</v>
      </c>
    </row>
    <row r="90" spans="1:16" x14ac:dyDescent="0.2">
      <c r="A90" s="397" t="s">
        <v>796</v>
      </c>
      <c r="B90" s="425" t="s">
        <v>433</v>
      </c>
      <c r="C90" s="399" t="s">
        <v>780</v>
      </c>
      <c r="D90" s="414" t="s">
        <v>712</v>
      </c>
      <c r="E90" s="182" t="s">
        <v>704</v>
      </c>
      <c r="F90" s="399">
        <v>1</v>
      </c>
      <c r="G90" s="399">
        <v>0</v>
      </c>
      <c r="H90" s="399">
        <v>0</v>
      </c>
      <c r="I90" s="399">
        <v>0</v>
      </c>
      <c r="J90" s="399">
        <v>0</v>
      </c>
      <c r="K90" s="399">
        <v>0</v>
      </c>
      <c r="L90" s="399">
        <v>1</v>
      </c>
      <c r="M90" s="424" t="str">
        <f t="shared" si="2"/>
        <v>GSRUNDER 3"</v>
      </c>
      <c r="N90" s="218">
        <f>VLOOKUP(E90,'Services-AUC'!$C$47:$F$61,4,FALSE)</f>
        <v>568.35</v>
      </c>
      <c r="O90" s="397" t="s">
        <v>675</v>
      </c>
      <c r="P90" s="416">
        <f t="shared" si="3"/>
        <v>568.35</v>
      </c>
    </row>
    <row r="91" spans="1:16" x14ac:dyDescent="0.2">
      <c r="A91" s="397" t="s">
        <v>796</v>
      </c>
      <c r="B91" s="425" t="s">
        <v>506</v>
      </c>
      <c r="C91" s="399" t="s">
        <v>781</v>
      </c>
      <c r="D91" s="414" t="s">
        <v>782</v>
      </c>
      <c r="E91" s="182" t="s">
        <v>704</v>
      </c>
      <c r="F91" s="399">
        <v>156</v>
      </c>
      <c r="G91" s="399">
        <v>0</v>
      </c>
      <c r="H91" s="399">
        <v>2</v>
      </c>
      <c r="I91" s="399">
        <v>43</v>
      </c>
      <c r="J91" s="399">
        <v>243</v>
      </c>
      <c r="K91" s="399">
        <v>0</v>
      </c>
      <c r="L91" s="399">
        <v>444</v>
      </c>
      <c r="M91" s="424" t="str">
        <f t="shared" si="2"/>
        <v>GTOUNDER 3"</v>
      </c>
      <c r="N91" s="218">
        <f>VLOOKUP(E91,'Services-AUC'!$C$47:$F$61,4,FALSE)</f>
        <v>568.35</v>
      </c>
      <c r="O91" s="397" t="s">
        <v>485</v>
      </c>
      <c r="P91" s="416">
        <f t="shared" si="3"/>
        <v>252347.40000000002</v>
      </c>
    </row>
    <row r="92" spans="1:16" x14ac:dyDescent="0.2">
      <c r="A92" s="397" t="s">
        <v>796</v>
      </c>
      <c r="B92" s="425" t="s">
        <v>506</v>
      </c>
      <c r="C92" s="399" t="s">
        <v>783</v>
      </c>
      <c r="D92" s="414" t="s">
        <v>706</v>
      </c>
      <c r="E92" s="182" t="s">
        <v>704</v>
      </c>
      <c r="F92" s="399">
        <v>1</v>
      </c>
      <c r="G92" s="399">
        <v>0</v>
      </c>
      <c r="H92" s="399">
        <v>0</v>
      </c>
      <c r="I92" s="399">
        <v>0</v>
      </c>
      <c r="J92" s="399">
        <v>0</v>
      </c>
      <c r="K92" s="399">
        <v>0</v>
      </c>
      <c r="L92" s="399">
        <v>1</v>
      </c>
      <c r="M92" s="424" t="str">
        <f t="shared" si="2"/>
        <v>GTOUNDER 3"</v>
      </c>
      <c r="N92" s="218">
        <f>VLOOKUP(E92,'Services-AUC'!$C$47:$F$61,4,FALSE)</f>
        <v>568.35</v>
      </c>
      <c r="O92" s="397" t="s">
        <v>485</v>
      </c>
      <c r="P92" s="416">
        <f t="shared" si="3"/>
        <v>568.35</v>
      </c>
    </row>
    <row r="93" spans="1:16" x14ac:dyDescent="0.2">
      <c r="A93" s="397" t="s">
        <v>796</v>
      </c>
      <c r="B93" s="425" t="s">
        <v>506</v>
      </c>
      <c r="C93" s="399" t="s">
        <v>785</v>
      </c>
      <c r="D93" s="414" t="s">
        <v>708</v>
      </c>
      <c r="E93" s="182" t="s">
        <v>704</v>
      </c>
      <c r="F93" s="399">
        <v>93</v>
      </c>
      <c r="G93" s="399">
        <v>0</v>
      </c>
      <c r="H93" s="399">
        <v>1</v>
      </c>
      <c r="I93" s="399">
        <v>6</v>
      </c>
      <c r="J93" s="399">
        <v>10</v>
      </c>
      <c r="K93" s="399">
        <v>0</v>
      </c>
      <c r="L93" s="399">
        <v>110</v>
      </c>
      <c r="M93" s="424" t="str">
        <f t="shared" si="2"/>
        <v>GTOUNDER 3"</v>
      </c>
      <c r="N93" s="218">
        <f>VLOOKUP(E93,'Services-AUC'!$C$47:$F$61,4,FALSE)</f>
        <v>568.35</v>
      </c>
      <c r="O93" s="397" t="s">
        <v>485</v>
      </c>
      <c r="P93" s="416">
        <f t="shared" si="3"/>
        <v>62518.5</v>
      </c>
    </row>
    <row r="94" spans="1:16" x14ac:dyDescent="0.2">
      <c r="A94" s="397" t="s">
        <v>796</v>
      </c>
      <c r="B94" s="425" t="s">
        <v>506</v>
      </c>
      <c r="C94" s="399" t="s">
        <v>779</v>
      </c>
      <c r="D94" s="414" t="s">
        <v>706</v>
      </c>
      <c r="E94" s="182" t="s">
        <v>704</v>
      </c>
      <c r="F94" s="399">
        <v>1693</v>
      </c>
      <c r="G94" s="399">
        <v>26</v>
      </c>
      <c r="H94" s="399">
        <v>13</v>
      </c>
      <c r="I94" s="399">
        <v>257</v>
      </c>
      <c r="J94" s="399">
        <v>221</v>
      </c>
      <c r="K94" s="399">
        <v>0</v>
      </c>
      <c r="L94" s="399">
        <v>2210</v>
      </c>
      <c r="M94" s="424" t="str">
        <f t="shared" si="2"/>
        <v>GTOUNDER 3"</v>
      </c>
      <c r="N94" s="218">
        <f>VLOOKUP(E94,'Services-AUC'!$C$47:$F$61,4,FALSE)</f>
        <v>568.35</v>
      </c>
      <c r="O94" s="397" t="s">
        <v>485</v>
      </c>
      <c r="P94" s="416">
        <f t="shared" si="3"/>
        <v>1256053.5</v>
      </c>
    </row>
    <row r="95" spans="1:16" x14ac:dyDescent="0.2">
      <c r="A95" s="397" t="s">
        <v>796</v>
      </c>
      <c r="B95" s="425" t="s">
        <v>506</v>
      </c>
      <c r="C95" s="399" t="s">
        <v>780</v>
      </c>
      <c r="D95" s="414" t="s">
        <v>712</v>
      </c>
      <c r="E95" s="182" t="s">
        <v>704</v>
      </c>
      <c r="F95" s="399">
        <v>407</v>
      </c>
      <c r="G95" s="399">
        <v>5</v>
      </c>
      <c r="H95" s="399">
        <v>2</v>
      </c>
      <c r="I95" s="399">
        <v>97</v>
      </c>
      <c r="J95" s="399">
        <v>86</v>
      </c>
      <c r="K95" s="399">
        <v>0</v>
      </c>
      <c r="L95" s="399">
        <v>597</v>
      </c>
      <c r="M95" s="424" t="str">
        <f t="shared" si="2"/>
        <v>GTOUNDER 3"</v>
      </c>
      <c r="N95" s="218">
        <f>VLOOKUP(E95,'Services-AUC'!$C$47:$F$61,4,FALSE)</f>
        <v>568.35</v>
      </c>
      <c r="O95" s="397" t="s">
        <v>485</v>
      </c>
      <c r="P95" s="416">
        <f t="shared" si="3"/>
        <v>339304.95</v>
      </c>
    </row>
    <row r="96" spans="1:16" x14ac:dyDescent="0.2">
      <c r="A96" s="397" t="s">
        <v>796</v>
      </c>
      <c r="B96" s="425" t="s">
        <v>506</v>
      </c>
      <c r="C96" s="399" t="s">
        <v>787</v>
      </c>
      <c r="D96" s="414" t="s">
        <v>714</v>
      </c>
      <c r="E96" s="182" t="s">
        <v>704</v>
      </c>
      <c r="F96" s="399">
        <v>4</v>
      </c>
      <c r="G96" s="399">
        <v>0</v>
      </c>
      <c r="H96" s="399">
        <v>0</v>
      </c>
      <c r="I96" s="399">
        <v>1</v>
      </c>
      <c r="J96" s="399">
        <v>2</v>
      </c>
      <c r="K96" s="399">
        <v>0</v>
      </c>
      <c r="L96" s="399">
        <v>7</v>
      </c>
      <c r="M96" s="424" t="str">
        <f t="shared" si="2"/>
        <v>GTOUNDER 3"</v>
      </c>
      <c r="N96" s="218">
        <f>VLOOKUP(E96,'Services-AUC'!$C$47:$F$61,4,FALSE)</f>
        <v>568.35</v>
      </c>
      <c r="O96" s="397" t="s">
        <v>485</v>
      </c>
      <c r="P96" s="416">
        <f t="shared" si="3"/>
        <v>3978.4500000000003</v>
      </c>
    </row>
    <row r="97" spans="1:16" x14ac:dyDescent="0.2">
      <c r="A97" s="397" t="s">
        <v>796</v>
      </c>
      <c r="B97" s="425" t="s">
        <v>506</v>
      </c>
      <c r="C97" s="399" t="s">
        <v>788</v>
      </c>
      <c r="D97" s="414" t="s">
        <v>707</v>
      </c>
      <c r="E97" s="182" t="s">
        <v>704</v>
      </c>
      <c r="F97" s="399">
        <v>490</v>
      </c>
      <c r="G97" s="399">
        <v>8</v>
      </c>
      <c r="H97" s="399">
        <v>2</v>
      </c>
      <c r="I97" s="399">
        <v>84</v>
      </c>
      <c r="J97" s="399">
        <v>66</v>
      </c>
      <c r="K97" s="399">
        <v>0</v>
      </c>
      <c r="L97" s="399">
        <v>650</v>
      </c>
      <c r="M97" s="424" t="str">
        <f t="shared" si="2"/>
        <v>GTOUNDER 3"</v>
      </c>
      <c r="N97" s="218">
        <f>VLOOKUP(E97,'Services-AUC'!$C$47:$F$61,4,FALSE)</f>
        <v>568.35</v>
      </c>
      <c r="O97" s="397" t="s">
        <v>485</v>
      </c>
      <c r="P97" s="416">
        <f t="shared" si="3"/>
        <v>369427.5</v>
      </c>
    </row>
    <row r="98" spans="1:16" x14ac:dyDescent="0.2">
      <c r="A98" s="397" t="s">
        <v>796</v>
      </c>
      <c r="B98" s="425" t="s">
        <v>506</v>
      </c>
      <c r="C98" s="399" t="s">
        <v>795</v>
      </c>
      <c r="D98" s="414" t="s">
        <v>718</v>
      </c>
      <c r="E98" s="182" t="s">
        <v>704</v>
      </c>
      <c r="F98" s="399">
        <v>1</v>
      </c>
      <c r="G98" s="399">
        <v>0</v>
      </c>
      <c r="H98" s="399">
        <v>0</v>
      </c>
      <c r="I98" s="399">
        <v>0</v>
      </c>
      <c r="J98" s="399">
        <v>0</v>
      </c>
      <c r="K98" s="399">
        <v>0</v>
      </c>
      <c r="L98" s="399">
        <v>1</v>
      </c>
      <c r="M98" s="424" t="str">
        <f t="shared" si="2"/>
        <v>GTOUNDER 3"</v>
      </c>
      <c r="N98" s="218">
        <f>VLOOKUP(E98,'Services-AUC'!$C$47:$F$61,4,FALSE)</f>
        <v>568.35</v>
      </c>
      <c r="O98" s="397" t="s">
        <v>485</v>
      </c>
      <c r="P98" s="416">
        <f t="shared" si="3"/>
        <v>568.35</v>
      </c>
    </row>
    <row r="99" spans="1:16" x14ac:dyDescent="0.2">
      <c r="A99" s="397" t="s">
        <v>796</v>
      </c>
      <c r="B99" s="425" t="s">
        <v>506</v>
      </c>
      <c r="C99" s="399" t="s">
        <v>789</v>
      </c>
      <c r="D99" s="414" t="s">
        <v>559</v>
      </c>
      <c r="E99" s="182" t="s">
        <v>559</v>
      </c>
      <c r="F99" s="399">
        <v>55</v>
      </c>
      <c r="G99" s="399">
        <v>2</v>
      </c>
      <c r="H99" s="399">
        <v>0</v>
      </c>
      <c r="I99" s="399">
        <v>4</v>
      </c>
      <c r="J99" s="399">
        <v>6</v>
      </c>
      <c r="K99" s="399">
        <v>0</v>
      </c>
      <c r="L99" s="399">
        <v>67</v>
      </c>
      <c r="M99" s="424" t="str">
        <f t="shared" si="2"/>
        <v>GTO3"</v>
      </c>
      <c r="N99" s="218">
        <f>VLOOKUP(E99,'Services-AUC'!$C$47:$F$61,4,FALSE)</f>
        <v>1004.77</v>
      </c>
      <c r="O99" s="397" t="s">
        <v>485</v>
      </c>
      <c r="P99" s="416">
        <f t="shared" si="3"/>
        <v>67319.59</v>
      </c>
    </row>
    <row r="100" spans="1:16" x14ac:dyDescent="0.2">
      <c r="A100" s="397" t="s">
        <v>796</v>
      </c>
      <c r="B100" s="425" t="s">
        <v>506</v>
      </c>
      <c r="C100" s="399" t="s">
        <v>791</v>
      </c>
      <c r="D100" s="414" t="s">
        <v>721</v>
      </c>
      <c r="E100" s="425" t="s">
        <v>721</v>
      </c>
      <c r="F100" s="399">
        <v>57</v>
      </c>
      <c r="G100" s="399">
        <v>1</v>
      </c>
      <c r="H100" s="399">
        <v>0</v>
      </c>
      <c r="I100" s="399">
        <v>7</v>
      </c>
      <c r="J100" s="399">
        <v>3</v>
      </c>
      <c r="K100" s="399">
        <v>0</v>
      </c>
      <c r="L100" s="399">
        <v>68</v>
      </c>
      <c r="M100" s="424" t="str">
        <f t="shared" si="2"/>
        <v>GTO4"</v>
      </c>
      <c r="N100" s="218">
        <f>VLOOKUP(E100,'Services-AUC'!$C$47:$F$61,4,FALSE)</f>
        <v>3888.14</v>
      </c>
      <c r="O100" s="415" t="s">
        <v>485</v>
      </c>
      <c r="P100" s="416">
        <f t="shared" si="3"/>
        <v>264393.52</v>
      </c>
    </row>
    <row r="101" spans="1:16" x14ac:dyDescent="0.2">
      <c r="A101" s="397" t="s">
        <v>796</v>
      </c>
      <c r="B101" s="425" t="s">
        <v>506</v>
      </c>
      <c r="C101" s="399" t="s">
        <v>797</v>
      </c>
      <c r="D101" s="414" t="s">
        <v>727</v>
      </c>
      <c r="E101" s="182" t="s">
        <v>727</v>
      </c>
      <c r="F101" s="399">
        <v>4</v>
      </c>
      <c r="G101" s="399">
        <v>0</v>
      </c>
      <c r="H101" s="399">
        <v>0</v>
      </c>
      <c r="I101" s="399">
        <v>1</v>
      </c>
      <c r="J101" s="399">
        <v>0</v>
      </c>
      <c r="K101" s="399">
        <v>0</v>
      </c>
      <c r="L101" s="399">
        <v>5</v>
      </c>
      <c r="M101" s="424" t="str">
        <f t="shared" si="2"/>
        <v>GTO6"</v>
      </c>
      <c r="N101" s="218">
        <f>VLOOKUP(E101,'Services-AUC'!$C$47:$F$61,4,FALSE)</f>
        <v>15139.47</v>
      </c>
      <c r="O101" s="397" t="s">
        <v>485</v>
      </c>
      <c r="P101" s="416">
        <f t="shared" si="3"/>
        <v>75697.349999999991</v>
      </c>
    </row>
    <row r="102" spans="1:16" x14ac:dyDescent="0.2">
      <c r="A102" s="397" t="s">
        <v>796</v>
      </c>
      <c r="B102" s="425" t="s">
        <v>506</v>
      </c>
      <c r="C102" s="399" t="s">
        <v>793</v>
      </c>
      <c r="D102" s="414" t="s">
        <v>731</v>
      </c>
      <c r="E102" s="182" t="s">
        <v>731</v>
      </c>
      <c r="F102" s="399">
        <v>1</v>
      </c>
      <c r="G102" s="399">
        <v>0</v>
      </c>
      <c r="H102" s="399">
        <v>0</v>
      </c>
      <c r="I102" s="399">
        <v>0</v>
      </c>
      <c r="J102" s="399">
        <v>0</v>
      </c>
      <c r="K102" s="399">
        <v>0</v>
      </c>
      <c r="L102" s="399">
        <v>1</v>
      </c>
      <c r="M102" s="424" t="str">
        <f t="shared" si="2"/>
        <v>GTO8"</v>
      </c>
      <c r="N102" s="218">
        <f>VLOOKUP(E102,'Services-AUC'!$C$47:$F$61,4,FALSE)</f>
        <v>7539.47</v>
      </c>
      <c r="O102" s="397" t="s">
        <v>485</v>
      </c>
      <c r="P102" s="416">
        <f t="shared" si="3"/>
        <v>7539.47</v>
      </c>
    </row>
    <row r="103" spans="1:16" x14ac:dyDescent="0.2">
      <c r="A103" s="397" t="s">
        <v>796</v>
      </c>
      <c r="B103" s="425" t="s">
        <v>446</v>
      </c>
      <c r="C103" s="399" t="s">
        <v>781</v>
      </c>
      <c r="D103" s="414" t="s">
        <v>782</v>
      </c>
      <c r="E103" s="182" t="s">
        <v>704</v>
      </c>
      <c r="F103" s="399">
        <v>1</v>
      </c>
      <c r="G103" s="399">
        <v>0</v>
      </c>
      <c r="H103" s="399">
        <v>0</v>
      </c>
      <c r="I103" s="399">
        <v>0</v>
      </c>
      <c r="J103" s="399">
        <v>0</v>
      </c>
      <c r="K103" s="399">
        <v>0</v>
      </c>
      <c r="L103" s="399">
        <v>1</v>
      </c>
      <c r="M103" s="424" t="str">
        <f t="shared" si="2"/>
        <v>GTRUNDER 3"</v>
      </c>
      <c r="N103" s="218">
        <f>VLOOKUP(E103,'Services-AUC'!$C$47:$F$61,4,FALSE)</f>
        <v>568.35</v>
      </c>
      <c r="O103" s="397" t="s">
        <v>675</v>
      </c>
      <c r="P103" s="416">
        <f t="shared" si="3"/>
        <v>568.35</v>
      </c>
    </row>
    <row r="104" spans="1:16" x14ac:dyDescent="0.2">
      <c r="A104" s="397" t="s">
        <v>796</v>
      </c>
      <c r="B104" s="425" t="s">
        <v>446</v>
      </c>
      <c r="C104" s="399" t="s">
        <v>785</v>
      </c>
      <c r="D104" s="414" t="s">
        <v>708</v>
      </c>
      <c r="E104" s="182" t="s">
        <v>704</v>
      </c>
      <c r="F104" s="399">
        <v>0</v>
      </c>
      <c r="G104" s="399">
        <v>0</v>
      </c>
      <c r="H104" s="399">
        <v>1</v>
      </c>
      <c r="I104" s="399">
        <v>0</v>
      </c>
      <c r="J104" s="399">
        <v>0</v>
      </c>
      <c r="K104" s="399">
        <v>0</v>
      </c>
      <c r="L104" s="399">
        <v>1</v>
      </c>
      <c r="M104" s="424" t="str">
        <f t="shared" si="2"/>
        <v>GTRUNDER 3"</v>
      </c>
      <c r="N104" s="218">
        <f>VLOOKUP(E104,'Services-AUC'!$C$47:$F$61,4,FALSE)</f>
        <v>568.35</v>
      </c>
      <c r="O104" s="397" t="s">
        <v>675</v>
      </c>
      <c r="P104" s="416">
        <f t="shared" si="3"/>
        <v>568.35</v>
      </c>
    </row>
    <row r="105" spans="1:16" x14ac:dyDescent="0.2">
      <c r="A105" s="397" t="s">
        <v>796</v>
      </c>
      <c r="B105" s="425" t="s">
        <v>446</v>
      </c>
      <c r="C105" s="399" t="s">
        <v>779</v>
      </c>
      <c r="D105" s="414" t="s">
        <v>706</v>
      </c>
      <c r="E105" s="182" t="s">
        <v>704</v>
      </c>
      <c r="F105" s="399">
        <v>1</v>
      </c>
      <c r="G105" s="399">
        <v>0</v>
      </c>
      <c r="H105" s="399">
        <v>0</v>
      </c>
      <c r="I105" s="399">
        <v>0</v>
      </c>
      <c r="J105" s="399">
        <v>0</v>
      </c>
      <c r="K105" s="399">
        <v>0</v>
      </c>
      <c r="L105" s="399">
        <v>1</v>
      </c>
      <c r="M105" s="424" t="str">
        <f t="shared" si="2"/>
        <v>GTRUNDER 3"</v>
      </c>
      <c r="N105" s="218">
        <f>VLOOKUP(E105,'Services-AUC'!$C$47:$F$61,4,FALSE)</f>
        <v>568.35</v>
      </c>
      <c r="O105" s="397" t="s">
        <v>675</v>
      </c>
      <c r="P105" s="416">
        <f t="shared" si="3"/>
        <v>568.35</v>
      </c>
    </row>
    <row r="106" spans="1:16" x14ac:dyDescent="0.2">
      <c r="A106" s="397" t="s">
        <v>796</v>
      </c>
      <c r="B106" s="425" t="s">
        <v>446</v>
      </c>
      <c r="C106" s="399" t="s">
        <v>780</v>
      </c>
      <c r="D106" s="414" t="s">
        <v>712</v>
      </c>
      <c r="E106" s="182" t="s">
        <v>704</v>
      </c>
      <c r="F106" s="399">
        <v>1</v>
      </c>
      <c r="G106" s="399">
        <v>0</v>
      </c>
      <c r="H106" s="399">
        <v>0</v>
      </c>
      <c r="I106" s="399">
        <v>0</v>
      </c>
      <c r="J106" s="399">
        <v>0</v>
      </c>
      <c r="K106" s="399">
        <v>0</v>
      </c>
      <c r="L106" s="399">
        <v>1</v>
      </c>
      <c r="M106" s="424" t="str">
        <f t="shared" si="2"/>
        <v>GTRUNDER 3"</v>
      </c>
      <c r="N106" s="218">
        <f>VLOOKUP(E106,'Services-AUC'!$C$47:$F$61,4,FALSE)</f>
        <v>568.35</v>
      </c>
      <c r="O106" s="397" t="s">
        <v>675</v>
      </c>
      <c r="P106" s="416">
        <f t="shared" si="3"/>
        <v>568.35</v>
      </c>
    </row>
    <row r="107" spans="1:16" x14ac:dyDescent="0.2">
      <c r="A107" s="397" t="s">
        <v>796</v>
      </c>
      <c r="B107" s="425" t="s">
        <v>446</v>
      </c>
      <c r="C107" s="399" t="s">
        <v>789</v>
      </c>
      <c r="D107" s="414" t="s">
        <v>559</v>
      </c>
      <c r="E107" s="182" t="s">
        <v>559</v>
      </c>
      <c r="F107" s="399">
        <v>1</v>
      </c>
      <c r="G107" s="399">
        <v>0</v>
      </c>
      <c r="H107" s="399">
        <v>0</v>
      </c>
      <c r="I107" s="399">
        <v>0</v>
      </c>
      <c r="J107" s="399">
        <v>0</v>
      </c>
      <c r="K107" s="399">
        <v>0</v>
      </c>
      <c r="L107" s="399">
        <v>1</v>
      </c>
      <c r="M107" s="424" t="str">
        <f t="shared" si="2"/>
        <v>GTR3"</v>
      </c>
      <c r="N107" s="218">
        <f>VLOOKUP(E107,'Services-AUC'!$C$47:$F$61,4,FALSE)</f>
        <v>1004.77</v>
      </c>
      <c r="O107" s="397" t="s">
        <v>675</v>
      </c>
      <c r="P107" s="416">
        <f t="shared" si="3"/>
        <v>1004.77</v>
      </c>
    </row>
    <row r="108" spans="1:16" x14ac:dyDescent="0.2">
      <c r="A108" s="397" t="s">
        <v>796</v>
      </c>
      <c r="B108" s="425" t="s">
        <v>501</v>
      </c>
      <c r="C108" s="399" t="s">
        <v>781</v>
      </c>
      <c r="D108" s="414" t="s">
        <v>782</v>
      </c>
      <c r="E108" s="182" t="s">
        <v>704</v>
      </c>
      <c r="F108" s="399">
        <v>1</v>
      </c>
      <c r="G108" s="399">
        <v>0</v>
      </c>
      <c r="H108" s="399">
        <v>0</v>
      </c>
      <c r="I108" s="399">
        <v>0</v>
      </c>
      <c r="J108" s="399">
        <v>0</v>
      </c>
      <c r="K108" s="399">
        <v>0</v>
      </c>
      <c r="L108" s="399">
        <v>1</v>
      </c>
      <c r="M108" s="424" t="str">
        <f t="shared" si="2"/>
        <v>G1CUNDER 3"</v>
      </c>
      <c r="N108" s="218">
        <f>VLOOKUP(E108,'Services-AUC'!$C$47:$F$61,4,FALSE)</f>
        <v>568.35</v>
      </c>
      <c r="O108" s="397" t="s">
        <v>675</v>
      </c>
      <c r="P108" s="416">
        <f t="shared" si="3"/>
        <v>568.35</v>
      </c>
    </row>
    <row r="109" spans="1:16" x14ac:dyDescent="0.2">
      <c r="A109" s="397" t="s">
        <v>796</v>
      </c>
      <c r="B109" s="425" t="s">
        <v>501</v>
      </c>
      <c r="C109" s="399" t="s">
        <v>785</v>
      </c>
      <c r="D109" s="414" t="s">
        <v>708</v>
      </c>
      <c r="E109" s="182" t="s">
        <v>704</v>
      </c>
      <c r="F109" s="399">
        <v>0</v>
      </c>
      <c r="G109" s="399">
        <v>0</v>
      </c>
      <c r="H109" s="399">
        <v>0</v>
      </c>
      <c r="I109" s="399">
        <v>1</v>
      </c>
      <c r="J109" s="399">
        <v>0</v>
      </c>
      <c r="K109" s="399">
        <v>0</v>
      </c>
      <c r="L109" s="399">
        <v>1</v>
      </c>
      <c r="M109" s="424" t="str">
        <f t="shared" si="2"/>
        <v>G1CUNDER 3"</v>
      </c>
      <c r="N109" s="218">
        <f>VLOOKUP(E109,'Services-AUC'!$C$47:$F$61,4,FALSE)</f>
        <v>568.35</v>
      </c>
      <c r="O109" s="397" t="s">
        <v>675</v>
      </c>
      <c r="P109" s="416">
        <f t="shared" si="3"/>
        <v>568.35</v>
      </c>
    </row>
    <row r="110" spans="1:16" x14ac:dyDescent="0.2">
      <c r="A110" s="397" t="s">
        <v>796</v>
      </c>
      <c r="B110" s="425" t="s">
        <v>501</v>
      </c>
      <c r="C110" s="399" t="s">
        <v>779</v>
      </c>
      <c r="D110" s="414" t="s">
        <v>706</v>
      </c>
      <c r="E110" s="425" t="s">
        <v>704</v>
      </c>
      <c r="F110" s="399">
        <v>1</v>
      </c>
      <c r="G110" s="399">
        <v>0</v>
      </c>
      <c r="H110" s="399">
        <v>0</v>
      </c>
      <c r="I110" s="399">
        <v>0</v>
      </c>
      <c r="J110" s="399">
        <v>0</v>
      </c>
      <c r="K110" s="399">
        <v>0</v>
      </c>
      <c r="L110" s="399">
        <v>1</v>
      </c>
      <c r="M110" s="424" t="str">
        <f t="shared" si="2"/>
        <v>G1CUNDER 3"</v>
      </c>
      <c r="N110" s="218">
        <f>VLOOKUP(E110,'Services-AUC'!$C$47:$F$61,4,FALSE)</f>
        <v>568.35</v>
      </c>
      <c r="O110" s="397" t="s">
        <v>675</v>
      </c>
      <c r="P110" s="416">
        <f t="shared" si="3"/>
        <v>568.35</v>
      </c>
    </row>
    <row r="111" spans="1:16" x14ac:dyDescent="0.2">
      <c r="A111" s="397" t="s">
        <v>796</v>
      </c>
      <c r="B111" s="425" t="s">
        <v>505</v>
      </c>
      <c r="C111" s="399" t="s">
        <v>779</v>
      </c>
      <c r="D111" s="414" t="s">
        <v>706</v>
      </c>
      <c r="E111" s="182" t="s">
        <v>704</v>
      </c>
      <c r="F111" s="399">
        <v>1</v>
      </c>
      <c r="G111" s="399">
        <v>0</v>
      </c>
      <c r="H111" s="399">
        <v>0</v>
      </c>
      <c r="I111" s="399">
        <v>0</v>
      </c>
      <c r="J111" s="399">
        <v>0</v>
      </c>
      <c r="K111" s="399">
        <v>0</v>
      </c>
      <c r="L111" s="399">
        <v>1</v>
      </c>
      <c r="M111" s="424" t="str">
        <f t="shared" si="2"/>
        <v>LG2UNDER 3"COMMERCIAL</v>
      </c>
      <c r="N111" s="218">
        <f>VLOOKUP(E111,'Services-AUC'!$C$47:$F$61,4,FALSE)</f>
        <v>568.35</v>
      </c>
      <c r="O111" s="397" t="s">
        <v>485</v>
      </c>
      <c r="P111" s="416">
        <f t="shared" si="3"/>
        <v>568.35</v>
      </c>
    </row>
    <row r="112" spans="1:16" x14ac:dyDescent="0.2">
      <c r="A112" s="397" t="s">
        <v>796</v>
      </c>
      <c r="B112" s="425" t="s">
        <v>802</v>
      </c>
      <c r="C112" s="399" t="s">
        <v>781</v>
      </c>
      <c r="D112" s="414" t="s">
        <v>782</v>
      </c>
      <c r="E112" s="425" t="s">
        <v>704</v>
      </c>
      <c r="F112" s="399">
        <v>1</v>
      </c>
      <c r="G112" s="399">
        <v>0</v>
      </c>
      <c r="H112" s="399">
        <v>0</v>
      </c>
      <c r="I112" s="399">
        <v>0</v>
      </c>
      <c r="J112" s="399">
        <v>8</v>
      </c>
      <c r="K112" s="399">
        <v>0</v>
      </c>
      <c r="L112" s="399">
        <v>9</v>
      </c>
      <c r="M112" s="424" t="str">
        <f t="shared" si="2"/>
        <v>UNKNOWNUNDER 3"</v>
      </c>
      <c r="N112" s="218">
        <f>VLOOKUP(E112,'Services-AUC'!$C$47:$F$61,4,FALSE)</f>
        <v>568.35</v>
      </c>
    </row>
    <row r="113" spans="1:16" x14ac:dyDescent="0.2">
      <c r="A113" s="397" t="s">
        <v>796</v>
      </c>
      <c r="B113" s="425" t="s">
        <v>802</v>
      </c>
      <c r="C113" s="399" t="s">
        <v>785</v>
      </c>
      <c r="D113" s="414" t="s">
        <v>708</v>
      </c>
      <c r="E113" s="425" t="s">
        <v>704</v>
      </c>
      <c r="F113" s="399">
        <v>0</v>
      </c>
      <c r="G113" s="399">
        <v>0</v>
      </c>
      <c r="H113" s="399">
        <v>1</v>
      </c>
      <c r="I113" s="399">
        <v>0</v>
      </c>
      <c r="J113" s="399">
        <v>1</v>
      </c>
      <c r="K113" s="399">
        <v>0</v>
      </c>
      <c r="L113" s="399">
        <v>2</v>
      </c>
      <c r="M113" s="424" t="str">
        <f t="shared" si="2"/>
        <v>UNKNOWNUNDER 3"</v>
      </c>
      <c r="N113" s="218">
        <f>VLOOKUP(E113,'Services-AUC'!$C$47:$F$61,4,FALSE)</f>
        <v>568.35</v>
      </c>
    </row>
    <row r="114" spans="1:16" x14ac:dyDescent="0.2">
      <c r="A114" s="397" t="s">
        <v>796</v>
      </c>
      <c r="B114" s="425" t="s">
        <v>802</v>
      </c>
      <c r="C114" s="399" t="s">
        <v>779</v>
      </c>
      <c r="D114" s="414" t="s">
        <v>706</v>
      </c>
      <c r="E114" s="425" t="s">
        <v>704</v>
      </c>
      <c r="F114" s="399">
        <v>12</v>
      </c>
      <c r="G114" s="399">
        <v>1</v>
      </c>
      <c r="H114" s="399">
        <v>1</v>
      </c>
      <c r="I114" s="399">
        <v>9</v>
      </c>
      <c r="J114" s="399">
        <v>11</v>
      </c>
      <c r="K114" s="399">
        <v>0</v>
      </c>
      <c r="L114" s="399">
        <v>34</v>
      </c>
      <c r="M114" s="424" t="str">
        <f t="shared" si="2"/>
        <v>UNKNOWNUNDER 3"</v>
      </c>
      <c r="N114" s="218">
        <f>VLOOKUP(E114,'Services-AUC'!$C$47:$F$61,4,FALSE)</f>
        <v>568.35</v>
      </c>
    </row>
    <row r="115" spans="1:16" x14ac:dyDescent="0.2">
      <c r="A115" s="397" t="s">
        <v>796</v>
      </c>
      <c r="B115" s="425" t="s">
        <v>802</v>
      </c>
      <c r="C115" s="399" t="s">
        <v>780</v>
      </c>
      <c r="D115" s="414" t="s">
        <v>712</v>
      </c>
      <c r="E115" s="425" t="s">
        <v>704</v>
      </c>
      <c r="F115" s="399">
        <v>3</v>
      </c>
      <c r="G115" s="399">
        <v>0</v>
      </c>
      <c r="H115" s="399">
        <v>0</v>
      </c>
      <c r="I115" s="399">
        <v>4</v>
      </c>
      <c r="J115" s="399">
        <v>7</v>
      </c>
      <c r="K115" s="399">
        <v>0</v>
      </c>
      <c r="L115" s="399">
        <v>14</v>
      </c>
      <c r="M115" s="424" t="str">
        <f t="shared" si="2"/>
        <v>UNKNOWNUNDER 3"</v>
      </c>
      <c r="N115" s="218">
        <f>VLOOKUP(E115,'Services-AUC'!$C$47:$F$61,4,FALSE)</f>
        <v>568.35</v>
      </c>
    </row>
    <row r="116" spans="1:16" x14ac:dyDescent="0.2">
      <c r="A116" s="397" t="s">
        <v>796</v>
      </c>
      <c r="B116" s="425" t="s">
        <v>802</v>
      </c>
      <c r="C116" s="399" t="s">
        <v>788</v>
      </c>
      <c r="D116" s="414" t="s">
        <v>707</v>
      </c>
      <c r="E116" s="425" t="s">
        <v>704</v>
      </c>
      <c r="F116" s="399">
        <v>4</v>
      </c>
      <c r="G116" s="399">
        <v>0</v>
      </c>
      <c r="H116" s="399">
        <v>0</v>
      </c>
      <c r="I116" s="399">
        <v>1</v>
      </c>
      <c r="J116" s="399">
        <v>1</v>
      </c>
      <c r="K116" s="399">
        <v>0</v>
      </c>
      <c r="L116" s="399">
        <v>6</v>
      </c>
      <c r="M116" s="424" t="str">
        <f t="shared" si="2"/>
        <v>UNKNOWNUNDER 3"</v>
      </c>
      <c r="N116" s="218">
        <f>VLOOKUP(E116,'Services-AUC'!$C$47:$F$61,4,FALSE)</f>
        <v>568.35</v>
      </c>
    </row>
    <row r="117" spans="1:16" x14ac:dyDescent="0.2">
      <c r="A117" s="397" t="s">
        <v>796</v>
      </c>
      <c r="B117" s="425" t="s">
        <v>802</v>
      </c>
      <c r="C117" s="399" t="s">
        <v>789</v>
      </c>
      <c r="D117" s="414" t="s">
        <v>559</v>
      </c>
      <c r="E117" s="425" t="s">
        <v>559</v>
      </c>
      <c r="F117" s="399">
        <v>1</v>
      </c>
      <c r="G117" s="399">
        <v>0</v>
      </c>
      <c r="H117" s="399">
        <v>0</v>
      </c>
      <c r="I117" s="399">
        <v>0</v>
      </c>
      <c r="J117" s="399">
        <v>1</v>
      </c>
      <c r="K117" s="399">
        <v>0</v>
      </c>
      <c r="L117" s="399">
        <v>2</v>
      </c>
      <c r="M117" s="424" t="str">
        <f t="shared" si="2"/>
        <v>UNKNOWN3"</v>
      </c>
      <c r="N117" s="218">
        <f>VLOOKUP(E117,'Services-AUC'!$C$47:$F$61,4,FALSE)</f>
        <v>1004.77</v>
      </c>
    </row>
    <row r="118" spans="1:16" x14ac:dyDescent="0.2">
      <c r="A118" s="397" t="s">
        <v>796</v>
      </c>
      <c r="B118" s="425" t="s">
        <v>802</v>
      </c>
      <c r="C118" s="399" t="s">
        <v>791</v>
      </c>
      <c r="D118" s="414" t="s">
        <v>721</v>
      </c>
      <c r="E118" s="425" t="s">
        <v>721</v>
      </c>
      <c r="F118" s="399">
        <v>1</v>
      </c>
      <c r="G118" s="399">
        <v>0</v>
      </c>
      <c r="H118" s="399">
        <v>0</v>
      </c>
      <c r="I118" s="399">
        <v>0</v>
      </c>
      <c r="J118" s="399">
        <v>0</v>
      </c>
      <c r="K118" s="399">
        <v>0</v>
      </c>
      <c r="L118" s="399">
        <v>1</v>
      </c>
      <c r="M118" s="424" t="str">
        <f t="shared" si="2"/>
        <v>UNKNOWN4"</v>
      </c>
      <c r="N118" s="218">
        <f>VLOOKUP(E118,'Services-AUC'!$C$47:$F$61,4,FALSE)</f>
        <v>3888.14</v>
      </c>
    </row>
    <row r="119" spans="1:16" x14ac:dyDescent="0.2">
      <c r="A119" s="397" t="s">
        <v>796</v>
      </c>
      <c r="B119" s="425" t="s">
        <v>802</v>
      </c>
      <c r="C119" s="399" t="s">
        <v>797</v>
      </c>
      <c r="D119" s="414" t="s">
        <v>727</v>
      </c>
      <c r="E119" s="425" t="s">
        <v>727</v>
      </c>
      <c r="F119" s="399">
        <v>1</v>
      </c>
      <c r="G119" s="399">
        <v>0</v>
      </c>
      <c r="H119" s="399">
        <v>0</v>
      </c>
      <c r="I119" s="399">
        <v>0</v>
      </c>
      <c r="J119" s="399">
        <v>0</v>
      </c>
      <c r="K119" s="399">
        <v>0</v>
      </c>
      <c r="L119" s="399">
        <v>1</v>
      </c>
      <c r="M119" s="424" t="str">
        <f t="shared" si="2"/>
        <v>UNKNOWN6"</v>
      </c>
      <c r="N119" s="218">
        <f>VLOOKUP(E119,'Services-AUC'!$C$47:$F$61,4,FALSE)</f>
        <v>15139.47</v>
      </c>
    </row>
    <row r="120" spans="1:16" x14ac:dyDescent="0.2">
      <c r="A120" s="397" t="s">
        <v>799</v>
      </c>
      <c r="B120" s="425" t="s">
        <v>635</v>
      </c>
      <c r="C120" s="399" t="s">
        <v>781</v>
      </c>
      <c r="D120" s="414" t="s">
        <v>782</v>
      </c>
      <c r="E120" s="425" t="s">
        <v>704</v>
      </c>
      <c r="F120" s="399">
        <v>4</v>
      </c>
      <c r="G120" s="399">
        <v>0</v>
      </c>
      <c r="H120" s="399">
        <v>0</v>
      </c>
      <c r="I120" s="399">
        <v>0</v>
      </c>
      <c r="J120" s="399">
        <v>0</v>
      </c>
      <c r="K120" s="399">
        <v>0</v>
      </c>
      <c r="L120" s="399">
        <v>4</v>
      </c>
      <c r="M120" s="424" t="str">
        <f t="shared" si="2"/>
        <v>DSUNDER 3"</v>
      </c>
      <c r="N120" s="218">
        <f>VLOOKUP(E120,'Services-AUC'!$C$47:$F$61,4,FALSE)</f>
        <v>568.35</v>
      </c>
      <c r="O120" s="397" t="s">
        <v>632</v>
      </c>
      <c r="P120" s="416">
        <f t="shared" si="3"/>
        <v>2273.4</v>
      </c>
    </row>
    <row r="121" spans="1:16" x14ac:dyDescent="0.2">
      <c r="A121" s="397" t="s">
        <v>799</v>
      </c>
      <c r="B121" s="425" t="s">
        <v>635</v>
      </c>
      <c r="C121" s="399" t="s">
        <v>780</v>
      </c>
      <c r="D121" s="414" t="s">
        <v>712</v>
      </c>
      <c r="E121" s="425" t="s">
        <v>704</v>
      </c>
      <c r="F121" s="399">
        <v>1</v>
      </c>
      <c r="G121" s="399">
        <v>0</v>
      </c>
      <c r="H121" s="399">
        <v>0</v>
      </c>
      <c r="I121" s="399">
        <v>0</v>
      </c>
      <c r="J121" s="399">
        <v>0</v>
      </c>
      <c r="K121" s="399">
        <v>0</v>
      </c>
      <c r="L121" s="399">
        <v>1</v>
      </c>
      <c r="M121" s="424" t="str">
        <f t="shared" si="2"/>
        <v>DSUNDER 3"</v>
      </c>
      <c r="N121" s="218">
        <f>VLOOKUP(E121,'Services-AUC'!$C$47:$F$61,4,FALSE)</f>
        <v>568.35</v>
      </c>
      <c r="O121" s="397" t="s">
        <v>632</v>
      </c>
      <c r="P121" s="416">
        <f t="shared" si="3"/>
        <v>568.35</v>
      </c>
    </row>
    <row r="122" spans="1:16" x14ac:dyDescent="0.2">
      <c r="A122" s="397" t="s">
        <v>799</v>
      </c>
      <c r="B122" s="425" t="s">
        <v>635</v>
      </c>
      <c r="C122" s="399" t="s">
        <v>788</v>
      </c>
      <c r="D122" s="414" t="s">
        <v>707</v>
      </c>
      <c r="E122" s="182" t="s">
        <v>704</v>
      </c>
      <c r="F122" s="399">
        <v>3</v>
      </c>
      <c r="G122" s="399">
        <v>0</v>
      </c>
      <c r="H122" s="399">
        <v>0</v>
      </c>
      <c r="I122" s="399">
        <v>1</v>
      </c>
      <c r="J122" s="399">
        <v>1</v>
      </c>
      <c r="K122" s="399">
        <v>0</v>
      </c>
      <c r="L122" s="399">
        <v>5</v>
      </c>
      <c r="M122" s="424" t="str">
        <f t="shared" si="2"/>
        <v>DSUNDER 3"</v>
      </c>
      <c r="N122" s="218">
        <f>VLOOKUP(E122,'Services-AUC'!$C$47:$F$61,4,FALSE)</f>
        <v>568.35</v>
      </c>
      <c r="O122" s="397" t="s">
        <v>632</v>
      </c>
      <c r="P122" s="416">
        <f t="shared" si="3"/>
        <v>2841.75</v>
      </c>
    </row>
    <row r="123" spans="1:16" x14ac:dyDescent="0.2">
      <c r="A123" s="397" t="s">
        <v>799</v>
      </c>
      <c r="B123" s="425" t="s">
        <v>635</v>
      </c>
      <c r="C123" s="399" t="s">
        <v>789</v>
      </c>
      <c r="D123" s="414" t="s">
        <v>559</v>
      </c>
      <c r="E123" s="182" t="s">
        <v>559</v>
      </c>
      <c r="F123" s="399">
        <v>10</v>
      </c>
      <c r="G123" s="399">
        <v>0</v>
      </c>
      <c r="H123" s="399">
        <v>0</v>
      </c>
      <c r="I123" s="399">
        <v>2</v>
      </c>
      <c r="J123" s="399">
        <v>0</v>
      </c>
      <c r="K123" s="399">
        <v>0</v>
      </c>
      <c r="L123" s="399">
        <v>12</v>
      </c>
      <c r="M123" s="424" t="str">
        <f t="shared" si="2"/>
        <v>DS3"</v>
      </c>
      <c r="N123" s="218">
        <f>VLOOKUP(E123,'Services-AUC'!$C$47:$F$61,4,FALSE)</f>
        <v>1004.77</v>
      </c>
      <c r="O123" s="397" t="s">
        <v>632</v>
      </c>
      <c r="P123" s="416">
        <f t="shared" si="3"/>
        <v>12057.24</v>
      </c>
    </row>
    <row r="124" spans="1:16" x14ac:dyDescent="0.2">
      <c r="A124" s="397" t="s">
        <v>799</v>
      </c>
      <c r="B124" s="425" t="s">
        <v>635</v>
      </c>
      <c r="C124" s="399" t="s">
        <v>791</v>
      </c>
      <c r="D124" s="414" t="s">
        <v>721</v>
      </c>
      <c r="E124" s="182" t="s">
        <v>721</v>
      </c>
      <c r="F124" s="399">
        <v>12</v>
      </c>
      <c r="G124" s="399">
        <v>0</v>
      </c>
      <c r="H124" s="399">
        <v>0</v>
      </c>
      <c r="I124" s="399">
        <v>1</v>
      </c>
      <c r="J124" s="399">
        <v>0</v>
      </c>
      <c r="K124" s="399">
        <v>0</v>
      </c>
      <c r="L124" s="399">
        <v>13</v>
      </c>
      <c r="M124" s="424" t="str">
        <f t="shared" si="2"/>
        <v>DS4"</v>
      </c>
      <c r="N124" s="218">
        <f>VLOOKUP(E124,'Services-AUC'!$C$47:$F$61,4,FALSE)</f>
        <v>3888.14</v>
      </c>
      <c r="O124" s="397" t="s">
        <v>632</v>
      </c>
      <c r="P124" s="416">
        <f t="shared" si="3"/>
        <v>50545.82</v>
      </c>
    </row>
    <row r="125" spans="1:16" x14ac:dyDescent="0.2">
      <c r="A125" s="397" t="s">
        <v>799</v>
      </c>
      <c r="B125" s="425" t="s">
        <v>635</v>
      </c>
      <c r="C125" s="399" t="s">
        <v>797</v>
      </c>
      <c r="D125" s="414" t="s">
        <v>727</v>
      </c>
      <c r="E125" s="182" t="s">
        <v>727</v>
      </c>
      <c r="F125" s="399">
        <v>4</v>
      </c>
      <c r="G125" s="399">
        <v>0</v>
      </c>
      <c r="H125" s="399">
        <v>0</v>
      </c>
      <c r="I125" s="399">
        <v>0</v>
      </c>
      <c r="J125" s="399">
        <v>0</v>
      </c>
      <c r="K125" s="399">
        <v>0</v>
      </c>
      <c r="L125" s="399">
        <v>4</v>
      </c>
      <c r="M125" s="424" t="str">
        <f t="shared" si="2"/>
        <v>DS6"</v>
      </c>
      <c r="N125" s="218">
        <f>VLOOKUP(E125,'Services-AUC'!$C$47:$F$61,4,FALSE)</f>
        <v>15139.47</v>
      </c>
      <c r="O125" s="397" t="s">
        <v>632</v>
      </c>
      <c r="P125" s="416">
        <f t="shared" si="3"/>
        <v>60557.88</v>
      </c>
    </row>
    <row r="126" spans="1:16" x14ac:dyDescent="0.2">
      <c r="A126" s="397" t="s">
        <v>799</v>
      </c>
      <c r="B126" s="413" t="s">
        <v>635</v>
      </c>
      <c r="C126" s="399" t="s">
        <v>793</v>
      </c>
      <c r="D126" s="414" t="s">
        <v>731</v>
      </c>
      <c r="E126" s="182" t="s">
        <v>731</v>
      </c>
      <c r="F126" s="399">
        <v>1</v>
      </c>
      <c r="G126" s="399">
        <v>0</v>
      </c>
      <c r="H126" s="399">
        <v>0</v>
      </c>
      <c r="I126" s="399">
        <v>1</v>
      </c>
      <c r="J126" s="399">
        <v>0</v>
      </c>
      <c r="K126" s="399">
        <v>0</v>
      </c>
      <c r="L126" s="399">
        <v>2</v>
      </c>
      <c r="M126" s="424" t="str">
        <f t="shared" si="2"/>
        <v>DS8"</v>
      </c>
      <c r="N126" s="218">
        <f>VLOOKUP(E126,'Services-AUC'!$C$47:$F$61,4,FALSE)</f>
        <v>7539.47</v>
      </c>
      <c r="O126" s="397" t="s">
        <v>632</v>
      </c>
      <c r="P126" s="416">
        <f t="shared" si="3"/>
        <v>15078.94</v>
      </c>
    </row>
    <row r="127" spans="1:16" x14ac:dyDescent="0.2">
      <c r="A127" s="397" t="s">
        <v>799</v>
      </c>
      <c r="B127" s="413" t="s">
        <v>509</v>
      </c>
      <c r="C127" s="399" t="s">
        <v>781</v>
      </c>
      <c r="D127" s="414" t="s">
        <v>782</v>
      </c>
      <c r="E127" s="182" t="s">
        <v>704</v>
      </c>
      <c r="F127" s="399">
        <v>2</v>
      </c>
      <c r="G127" s="399">
        <v>0</v>
      </c>
      <c r="H127" s="399">
        <v>0</v>
      </c>
      <c r="I127" s="399">
        <v>0</v>
      </c>
      <c r="J127" s="399">
        <v>0</v>
      </c>
      <c r="K127" s="399">
        <v>0</v>
      </c>
      <c r="L127" s="399">
        <v>2</v>
      </c>
      <c r="M127" s="424" t="str">
        <f t="shared" si="2"/>
        <v>DS3UNDER 3"</v>
      </c>
      <c r="N127" s="218">
        <f>VLOOKUP(E127,'Services-AUC'!$C$47:$F$61,4,FALSE)</f>
        <v>568.35</v>
      </c>
      <c r="O127" s="397" t="s">
        <v>499</v>
      </c>
      <c r="P127" s="416">
        <f t="shared" si="3"/>
        <v>1136.7</v>
      </c>
    </row>
    <row r="128" spans="1:16" x14ac:dyDescent="0.2">
      <c r="A128" s="397" t="s">
        <v>799</v>
      </c>
      <c r="B128" s="413" t="s">
        <v>509</v>
      </c>
      <c r="C128" s="399" t="s">
        <v>788</v>
      </c>
      <c r="D128" s="414" t="s">
        <v>707</v>
      </c>
      <c r="E128" s="182" t="s">
        <v>704</v>
      </c>
      <c r="F128" s="399">
        <v>1</v>
      </c>
      <c r="G128" s="399">
        <v>0</v>
      </c>
      <c r="H128" s="399">
        <v>0</v>
      </c>
      <c r="I128" s="399">
        <v>0</v>
      </c>
      <c r="J128" s="399">
        <v>0</v>
      </c>
      <c r="K128" s="399">
        <v>0</v>
      </c>
      <c r="L128" s="399">
        <v>1</v>
      </c>
      <c r="M128" s="424" t="str">
        <f t="shared" si="2"/>
        <v>DS3UNDER 3"</v>
      </c>
      <c r="N128" s="218">
        <f>VLOOKUP(E128,'Services-AUC'!$C$47:$F$61,4,FALSE)</f>
        <v>568.35</v>
      </c>
      <c r="O128" s="397" t="s">
        <v>499</v>
      </c>
      <c r="P128" s="416">
        <f t="shared" si="3"/>
        <v>568.35</v>
      </c>
    </row>
    <row r="129" spans="1:16" x14ac:dyDescent="0.2">
      <c r="A129" s="397" t="s">
        <v>799</v>
      </c>
      <c r="B129" s="425" t="s">
        <v>507</v>
      </c>
      <c r="C129" s="399" t="s">
        <v>781</v>
      </c>
      <c r="D129" s="414" t="s">
        <v>782</v>
      </c>
      <c r="E129" s="182" t="s">
        <v>704</v>
      </c>
      <c r="F129" s="399">
        <v>2</v>
      </c>
      <c r="G129" s="399">
        <v>0</v>
      </c>
      <c r="H129" s="399">
        <v>0</v>
      </c>
      <c r="I129" s="399">
        <v>0</v>
      </c>
      <c r="J129" s="399">
        <v>0</v>
      </c>
      <c r="K129" s="399">
        <v>0</v>
      </c>
      <c r="L129" s="399">
        <v>2</v>
      </c>
      <c r="M129" s="424" t="str">
        <f t="shared" si="2"/>
        <v>FX5UNDER 3"</v>
      </c>
      <c r="N129" s="218">
        <f>VLOOKUP(E129,'Services-AUC'!$C$47:$F$61,4,FALSE)</f>
        <v>568.35</v>
      </c>
      <c r="O129" s="397" t="s">
        <v>499</v>
      </c>
      <c r="P129" s="416">
        <f t="shared" si="3"/>
        <v>1136.7</v>
      </c>
    </row>
    <row r="130" spans="1:16" x14ac:dyDescent="0.2">
      <c r="A130" s="397" t="s">
        <v>799</v>
      </c>
      <c r="B130" s="425" t="s">
        <v>507</v>
      </c>
      <c r="C130" s="399" t="s">
        <v>797</v>
      </c>
      <c r="D130" s="414" t="s">
        <v>727</v>
      </c>
      <c r="E130" s="182" t="s">
        <v>727</v>
      </c>
      <c r="F130" s="399">
        <v>1</v>
      </c>
      <c r="G130" s="399">
        <v>0</v>
      </c>
      <c r="H130" s="399">
        <v>0</v>
      </c>
      <c r="I130" s="399">
        <v>0</v>
      </c>
      <c r="J130" s="399">
        <v>0</v>
      </c>
      <c r="K130" s="399">
        <v>0</v>
      </c>
      <c r="L130" s="399">
        <v>1</v>
      </c>
      <c r="M130" s="424" t="str">
        <f t="shared" si="2"/>
        <v>FX56"</v>
      </c>
      <c r="N130" s="218">
        <f>VLOOKUP(E130,'Services-AUC'!$C$47:$F$61,4,FALSE)</f>
        <v>15139.47</v>
      </c>
      <c r="O130" s="397" t="s">
        <v>499</v>
      </c>
      <c r="P130" s="416">
        <f t="shared" si="3"/>
        <v>15139.47</v>
      </c>
    </row>
    <row r="131" spans="1:16" x14ac:dyDescent="0.2">
      <c r="A131" s="397" t="s">
        <v>799</v>
      </c>
      <c r="B131" s="425" t="s">
        <v>606</v>
      </c>
      <c r="C131" s="399" t="s">
        <v>797</v>
      </c>
      <c r="D131" s="414" t="s">
        <v>727</v>
      </c>
      <c r="E131" s="182" t="s">
        <v>727</v>
      </c>
      <c r="F131" s="399">
        <v>1</v>
      </c>
      <c r="G131" s="399">
        <v>0</v>
      </c>
      <c r="H131" s="399">
        <v>0</v>
      </c>
      <c r="I131" s="399">
        <v>0</v>
      </c>
      <c r="J131" s="399">
        <v>0</v>
      </c>
      <c r="K131" s="399">
        <v>0</v>
      </c>
      <c r="L131" s="399">
        <v>1</v>
      </c>
      <c r="M131" s="424" t="str">
        <f t="shared" si="2"/>
        <v>FX76"</v>
      </c>
      <c r="N131" s="218">
        <f>VLOOKUP(E131,'Services-AUC'!$C$47:$F$61,4,FALSE)</f>
        <v>15139.47</v>
      </c>
      <c r="O131" s="397" t="s">
        <v>632</v>
      </c>
      <c r="P131" s="416">
        <f t="shared" si="3"/>
        <v>15139.47</v>
      </c>
    </row>
    <row r="132" spans="1:16" x14ac:dyDescent="0.2">
      <c r="A132" s="397" t="s">
        <v>799</v>
      </c>
      <c r="B132" s="425" t="s">
        <v>634</v>
      </c>
      <c r="C132" s="399" t="s">
        <v>781</v>
      </c>
      <c r="D132" s="414" t="s">
        <v>782</v>
      </c>
      <c r="E132" s="182" t="s">
        <v>704</v>
      </c>
      <c r="F132" s="399">
        <v>1</v>
      </c>
      <c r="G132" s="399">
        <v>0</v>
      </c>
      <c r="H132" s="399">
        <v>0</v>
      </c>
      <c r="I132" s="399">
        <v>0</v>
      </c>
      <c r="J132" s="399">
        <v>0</v>
      </c>
      <c r="K132" s="399">
        <v>0</v>
      </c>
      <c r="L132" s="399">
        <v>1</v>
      </c>
      <c r="M132" s="424" t="str">
        <f t="shared" si="2"/>
        <v>GDSUNDER 3"</v>
      </c>
      <c r="N132" s="218">
        <f>VLOOKUP(E132,'Services-AUC'!$C$47:$F$61,4,FALSE)</f>
        <v>568.35</v>
      </c>
      <c r="O132" s="397" t="s">
        <v>485</v>
      </c>
      <c r="P132" s="416">
        <f t="shared" si="3"/>
        <v>568.35</v>
      </c>
    </row>
    <row r="133" spans="1:16" x14ac:dyDescent="0.2">
      <c r="A133" s="397" t="s">
        <v>799</v>
      </c>
      <c r="B133" s="425" t="s">
        <v>634</v>
      </c>
      <c r="C133" s="399" t="s">
        <v>788</v>
      </c>
      <c r="D133" s="414" t="s">
        <v>707</v>
      </c>
      <c r="E133" s="182" t="s">
        <v>704</v>
      </c>
      <c r="F133" s="399">
        <v>5</v>
      </c>
      <c r="G133" s="399">
        <v>0</v>
      </c>
      <c r="H133" s="399">
        <v>2</v>
      </c>
      <c r="I133" s="399">
        <v>2</v>
      </c>
      <c r="J133" s="399">
        <v>0</v>
      </c>
      <c r="K133" s="399">
        <v>0</v>
      </c>
      <c r="L133" s="399">
        <v>9</v>
      </c>
      <c r="M133" s="424" t="str">
        <f t="shared" si="2"/>
        <v>GDSUNDER 3"</v>
      </c>
      <c r="N133" s="218">
        <f>VLOOKUP(E133,'Services-AUC'!$C$47:$F$61,4,FALSE)</f>
        <v>568.35</v>
      </c>
      <c r="O133" s="397" t="s">
        <v>485</v>
      </c>
      <c r="P133" s="416">
        <f t="shared" si="3"/>
        <v>5115.1500000000005</v>
      </c>
    </row>
    <row r="134" spans="1:16" x14ac:dyDescent="0.2">
      <c r="A134" s="397" t="s">
        <v>799</v>
      </c>
      <c r="B134" s="425" t="s">
        <v>634</v>
      </c>
      <c r="C134" s="399" t="s">
        <v>789</v>
      </c>
      <c r="D134" s="414" t="s">
        <v>559</v>
      </c>
      <c r="E134" s="182" t="s">
        <v>559</v>
      </c>
      <c r="F134" s="399">
        <v>2</v>
      </c>
      <c r="G134" s="399">
        <v>0</v>
      </c>
      <c r="H134" s="399">
        <v>0</v>
      </c>
      <c r="I134" s="399">
        <v>0</v>
      </c>
      <c r="J134" s="399">
        <v>0</v>
      </c>
      <c r="K134" s="399">
        <v>0</v>
      </c>
      <c r="L134" s="399">
        <v>2</v>
      </c>
      <c r="M134" s="424" t="str">
        <f t="shared" si="2"/>
        <v>GDS3"</v>
      </c>
      <c r="N134" s="218">
        <f>VLOOKUP(E134,'Services-AUC'!$C$47:$F$61,4,FALSE)</f>
        <v>1004.77</v>
      </c>
      <c r="O134" s="397" t="s">
        <v>485</v>
      </c>
      <c r="P134" s="416">
        <f t="shared" si="3"/>
        <v>2009.54</v>
      </c>
    </row>
    <row r="135" spans="1:16" x14ac:dyDescent="0.2">
      <c r="A135" s="397" t="s">
        <v>799</v>
      </c>
      <c r="B135" s="425" t="s">
        <v>634</v>
      </c>
      <c r="C135" s="399" t="s">
        <v>791</v>
      </c>
      <c r="D135" s="414" t="s">
        <v>721</v>
      </c>
      <c r="E135" s="182" t="s">
        <v>721</v>
      </c>
      <c r="F135" s="399">
        <v>5</v>
      </c>
      <c r="G135" s="399">
        <v>0</v>
      </c>
      <c r="H135" s="399">
        <v>0</v>
      </c>
      <c r="I135" s="399">
        <v>0</v>
      </c>
      <c r="J135" s="399">
        <v>0</v>
      </c>
      <c r="K135" s="399">
        <v>0</v>
      </c>
      <c r="L135" s="399">
        <v>5</v>
      </c>
      <c r="M135" s="424" t="str">
        <f t="shared" si="2"/>
        <v>GDS4"</v>
      </c>
      <c r="N135" s="218">
        <f>VLOOKUP(E135,'Services-AUC'!$C$47:$F$61,4,FALSE)</f>
        <v>3888.14</v>
      </c>
      <c r="O135" s="397" t="s">
        <v>485</v>
      </c>
      <c r="P135" s="416">
        <f t="shared" si="3"/>
        <v>19440.7</v>
      </c>
    </row>
    <row r="136" spans="1:16" x14ac:dyDescent="0.2">
      <c r="A136" s="397" t="s">
        <v>799</v>
      </c>
      <c r="B136" s="413" t="s">
        <v>500</v>
      </c>
      <c r="C136" s="399" t="s">
        <v>781</v>
      </c>
      <c r="D136" s="414" t="s">
        <v>782</v>
      </c>
      <c r="E136" s="182" t="s">
        <v>704</v>
      </c>
      <c r="F136" s="399">
        <v>3</v>
      </c>
      <c r="G136" s="399">
        <v>0</v>
      </c>
      <c r="H136" s="399">
        <v>0</v>
      </c>
      <c r="I136" s="399">
        <v>0</v>
      </c>
      <c r="J136" s="399">
        <v>0</v>
      </c>
      <c r="K136" s="399">
        <v>0</v>
      </c>
      <c r="L136" s="399">
        <v>3</v>
      </c>
      <c r="M136" s="424" t="str">
        <f t="shared" si="2"/>
        <v>GSOUNDER 3"</v>
      </c>
      <c r="N136" s="218">
        <f>VLOOKUP(E136,'Services-AUC'!$C$47:$F$61,4,FALSE)</f>
        <v>568.35</v>
      </c>
      <c r="O136" s="397" t="s">
        <v>485</v>
      </c>
      <c r="P136" s="416">
        <f t="shared" si="3"/>
        <v>1705.0500000000002</v>
      </c>
    </row>
    <row r="137" spans="1:16" x14ac:dyDescent="0.2">
      <c r="A137" s="397" t="s">
        <v>799</v>
      </c>
      <c r="B137" s="413" t="s">
        <v>500</v>
      </c>
      <c r="C137" s="399" t="s">
        <v>779</v>
      </c>
      <c r="D137" s="414" t="s">
        <v>706</v>
      </c>
      <c r="E137" s="425" t="s">
        <v>704</v>
      </c>
      <c r="F137" s="399">
        <v>10</v>
      </c>
      <c r="G137" s="399">
        <v>0</v>
      </c>
      <c r="H137" s="399">
        <v>0</v>
      </c>
      <c r="I137" s="399">
        <v>0</v>
      </c>
      <c r="J137" s="399">
        <v>1</v>
      </c>
      <c r="K137" s="399">
        <v>0</v>
      </c>
      <c r="L137" s="399">
        <v>11</v>
      </c>
      <c r="M137" s="424" t="str">
        <f t="shared" si="2"/>
        <v>GSOUNDER 3"</v>
      </c>
      <c r="N137" s="218">
        <f>VLOOKUP(E137,'Services-AUC'!$C$47:$F$61,4,FALSE)</f>
        <v>568.35</v>
      </c>
      <c r="O137" s="397" t="s">
        <v>485</v>
      </c>
      <c r="P137" s="416">
        <f t="shared" si="3"/>
        <v>6251.85</v>
      </c>
    </row>
    <row r="138" spans="1:16" x14ac:dyDescent="0.2">
      <c r="A138" s="397" t="s">
        <v>799</v>
      </c>
      <c r="B138" s="413" t="s">
        <v>500</v>
      </c>
      <c r="C138" s="399" t="s">
        <v>780</v>
      </c>
      <c r="D138" s="414" t="s">
        <v>712</v>
      </c>
      <c r="E138" s="182" t="s">
        <v>704</v>
      </c>
      <c r="F138" s="399">
        <v>2</v>
      </c>
      <c r="G138" s="399">
        <v>0</v>
      </c>
      <c r="H138" s="399">
        <v>0</v>
      </c>
      <c r="I138" s="399">
        <v>0</v>
      </c>
      <c r="J138" s="399">
        <v>0</v>
      </c>
      <c r="K138" s="399">
        <v>0</v>
      </c>
      <c r="L138" s="399">
        <v>2</v>
      </c>
      <c r="M138" s="424" t="str">
        <f t="shared" ref="M138:M152" si="4">IF(B138="IN3",B138&amp;E138&amp;A138,IF(B138="LG2",B138&amp;E138&amp;A138,B138&amp;E138))</f>
        <v>GSOUNDER 3"</v>
      </c>
      <c r="N138" s="218">
        <f>VLOOKUP(E138,'Services-AUC'!$C$47:$F$61,4,FALSE)</f>
        <v>568.35</v>
      </c>
      <c r="O138" s="397" t="s">
        <v>485</v>
      </c>
      <c r="P138" s="416">
        <f t="shared" ref="P138:P152" si="5">N138*L138</f>
        <v>1136.7</v>
      </c>
    </row>
    <row r="139" spans="1:16" x14ac:dyDescent="0.2">
      <c r="A139" s="397" t="s">
        <v>799</v>
      </c>
      <c r="B139" s="413" t="s">
        <v>500</v>
      </c>
      <c r="C139" s="399" t="s">
        <v>787</v>
      </c>
      <c r="D139" s="414" t="s">
        <v>714</v>
      </c>
      <c r="E139" s="182" t="s">
        <v>704</v>
      </c>
      <c r="F139" s="399">
        <v>1</v>
      </c>
      <c r="G139" s="399">
        <v>0</v>
      </c>
      <c r="H139" s="399">
        <v>0</v>
      </c>
      <c r="I139" s="399">
        <v>0</v>
      </c>
      <c r="J139" s="399">
        <v>0</v>
      </c>
      <c r="K139" s="399">
        <v>0</v>
      </c>
      <c r="L139" s="399">
        <v>1</v>
      </c>
      <c r="M139" s="424" t="str">
        <f t="shared" si="4"/>
        <v>GSOUNDER 3"</v>
      </c>
      <c r="N139" s="218">
        <f>VLOOKUP(E139,'Services-AUC'!$C$47:$F$61,4,FALSE)</f>
        <v>568.35</v>
      </c>
      <c r="O139" s="397" t="s">
        <v>485</v>
      </c>
      <c r="P139" s="416">
        <f t="shared" si="5"/>
        <v>568.35</v>
      </c>
    </row>
    <row r="140" spans="1:16" x14ac:dyDescent="0.2">
      <c r="A140" s="397" t="s">
        <v>799</v>
      </c>
      <c r="B140" s="413" t="s">
        <v>500</v>
      </c>
      <c r="C140" s="399" t="s">
        <v>788</v>
      </c>
      <c r="D140" s="414" t="s">
        <v>707</v>
      </c>
      <c r="E140" s="182" t="s">
        <v>704</v>
      </c>
      <c r="F140" s="399">
        <v>14</v>
      </c>
      <c r="G140" s="399">
        <v>0</v>
      </c>
      <c r="H140" s="399">
        <v>0</v>
      </c>
      <c r="I140" s="399">
        <v>0</v>
      </c>
      <c r="J140" s="399">
        <v>0</v>
      </c>
      <c r="K140" s="399">
        <v>0</v>
      </c>
      <c r="L140" s="399">
        <v>14</v>
      </c>
      <c r="M140" s="424" t="str">
        <f t="shared" si="4"/>
        <v>GSOUNDER 3"</v>
      </c>
      <c r="N140" s="218">
        <f>VLOOKUP(E140,'Services-AUC'!$C$47:$F$61,4,FALSE)</f>
        <v>568.35</v>
      </c>
      <c r="O140" s="397" t="s">
        <v>485</v>
      </c>
      <c r="P140" s="416">
        <f t="shared" si="5"/>
        <v>7956.9000000000005</v>
      </c>
    </row>
    <row r="141" spans="1:16" x14ac:dyDescent="0.2">
      <c r="A141" s="397" t="s">
        <v>799</v>
      </c>
      <c r="B141" s="413" t="s">
        <v>500</v>
      </c>
      <c r="C141" s="399" t="s">
        <v>789</v>
      </c>
      <c r="D141" s="414" t="s">
        <v>559</v>
      </c>
      <c r="E141" s="182" t="s">
        <v>559</v>
      </c>
      <c r="F141" s="399">
        <v>3</v>
      </c>
      <c r="G141" s="399">
        <v>0</v>
      </c>
      <c r="H141" s="399">
        <v>0</v>
      </c>
      <c r="I141" s="399">
        <v>0</v>
      </c>
      <c r="J141" s="399">
        <v>0</v>
      </c>
      <c r="K141" s="399">
        <v>0</v>
      </c>
      <c r="L141" s="399">
        <v>3</v>
      </c>
      <c r="M141" s="424" t="str">
        <f t="shared" si="4"/>
        <v>GSO3"</v>
      </c>
      <c r="N141" s="218">
        <f>VLOOKUP(E141,'Services-AUC'!$C$47:$F$61,4,FALSE)</f>
        <v>1004.77</v>
      </c>
      <c r="O141" s="397" t="s">
        <v>485</v>
      </c>
      <c r="P141" s="416">
        <f t="shared" si="5"/>
        <v>3014.31</v>
      </c>
    </row>
    <row r="142" spans="1:16" x14ac:dyDescent="0.2">
      <c r="A142" s="397" t="s">
        <v>799</v>
      </c>
      <c r="B142" s="413" t="s">
        <v>500</v>
      </c>
      <c r="C142" s="399" t="s">
        <v>791</v>
      </c>
      <c r="D142" s="414" t="s">
        <v>721</v>
      </c>
      <c r="E142" s="182" t="s">
        <v>721</v>
      </c>
      <c r="F142" s="399">
        <v>4</v>
      </c>
      <c r="G142" s="399">
        <v>0</v>
      </c>
      <c r="H142" s="399">
        <v>0</v>
      </c>
      <c r="I142" s="399">
        <v>1</v>
      </c>
      <c r="J142" s="399">
        <v>0</v>
      </c>
      <c r="K142" s="399">
        <v>0</v>
      </c>
      <c r="L142" s="399">
        <v>5</v>
      </c>
      <c r="M142" s="424" t="str">
        <f t="shared" si="4"/>
        <v>GSO4"</v>
      </c>
      <c r="N142" s="218">
        <f>VLOOKUP(E142,'Services-AUC'!$C$47:$F$61,4,FALSE)</f>
        <v>3888.14</v>
      </c>
      <c r="O142" s="397" t="s">
        <v>485</v>
      </c>
      <c r="P142" s="416">
        <f t="shared" si="5"/>
        <v>19440.7</v>
      </c>
    </row>
    <row r="143" spans="1:16" x14ac:dyDescent="0.2">
      <c r="A143" s="397" t="s">
        <v>799</v>
      </c>
      <c r="B143" s="413" t="s">
        <v>500</v>
      </c>
      <c r="C143" s="399" t="s">
        <v>797</v>
      </c>
      <c r="D143" s="414" t="s">
        <v>727</v>
      </c>
      <c r="E143" s="425" t="s">
        <v>727</v>
      </c>
      <c r="F143" s="399">
        <v>1</v>
      </c>
      <c r="G143" s="399">
        <v>0</v>
      </c>
      <c r="H143" s="399">
        <v>0</v>
      </c>
      <c r="I143" s="399">
        <v>0</v>
      </c>
      <c r="J143" s="399">
        <v>0</v>
      </c>
      <c r="K143" s="399">
        <v>0</v>
      </c>
      <c r="L143" s="399">
        <v>1</v>
      </c>
      <c r="M143" s="424" t="str">
        <f t="shared" si="4"/>
        <v>GSO6"</v>
      </c>
      <c r="N143" s="218">
        <f>VLOOKUP(E143,'Services-AUC'!$C$47:$F$61,4,FALSE)</f>
        <v>15139.47</v>
      </c>
      <c r="O143" s="397" t="s">
        <v>485</v>
      </c>
      <c r="P143" s="416">
        <f t="shared" si="5"/>
        <v>15139.47</v>
      </c>
    </row>
    <row r="144" spans="1:16" x14ac:dyDescent="0.2">
      <c r="A144" s="397" t="s">
        <v>799</v>
      </c>
      <c r="B144" s="425" t="s">
        <v>506</v>
      </c>
      <c r="C144" s="399" t="s">
        <v>781</v>
      </c>
      <c r="D144" s="414" t="s">
        <v>782</v>
      </c>
      <c r="E144" s="182" t="s">
        <v>704</v>
      </c>
      <c r="F144" s="399">
        <v>1</v>
      </c>
      <c r="G144" s="399">
        <v>0</v>
      </c>
      <c r="H144" s="399">
        <v>0</v>
      </c>
      <c r="I144" s="399">
        <v>0</v>
      </c>
      <c r="J144" s="399">
        <v>1</v>
      </c>
      <c r="K144" s="399">
        <v>0</v>
      </c>
      <c r="L144" s="399">
        <v>2</v>
      </c>
      <c r="M144" s="424" t="str">
        <f t="shared" si="4"/>
        <v>GTOUNDER 3"</v>
      </c>
      <c r="N144" s="218">
        <f>VLOOKUP(E144,'Services-AUC'!$C$47:$F$61,4,FALSE)</f>
        <v>568.35</v>
      </c>
      <c r="O144" s="397" t="s">
        <v>485</v>
      </c>
      <c r="P144" s="416">
        <f t="shared" si="5"/>
        <v>1136.7</v>
      </c>
    </row>
    <row r="145" spans="1:16" x14ac:dyDescent="0.2">
      <c r="A145" s="397" t="s">
        <v>799</v>
      </c>
      <c r="B145" s="425" t="s">
        <v>506</v>
      </c>
      <c r="C145" s="399" t="s">
        <v>779</v>
      </c>
      <c r="D145" s="414" t="s">
        <v>706</v>
      </c>
      <c r="E145" s="182" t="s">
        <v>704</v>
      </c>
      <c r="F145" s="399">
        <v>4</v>
      </c>
      <c r="G145" s="399">
        <v>0</v>
      </c>
      <c r="H145" s="399">
        <v>0</v>
      </c>
      <c r="I145" s="399">
        <v>0</v>
      </c>
      <c r="J145" s="399">
        <v>1</v>
      </c>
      <c r="K145" s="399">
        <v>0</v>
      </c>
      <c r="L145" s="399">
        <v>5</v>
      </c>
      <c r="M145" s="424" t="str">
        <f t="shared" si="4"/>
        <v>GTOUNDER 3"</v>
      </c>
      <c r="N145" s="218">
        <f>VLOOKUP(E145,'Services-AUC'!$C$47:$F$61,4,FALSE)</f>
        <v>568.35</v>
      </c>
      <c r="O145" s="397" t="s">
        <v>485</v>
      </c>
      <c r="P145" s="416">
        <f t="shared" si="5"/>
        <v>2841.75</v>
      </c>
    </row>
    <row r="146" spans="1:16" x14ac:dyDescent="0.2">
      <c r="A146" s="397" t="s">
        <v>799</v>
      </c>
      <c r="B146" s="425" t="s">
        <v>506</v>
      </c>
      <c r="C146" s="399" t="s">
        <v>788</v>
      </c>
      <c r="D146" s="414" t="s">
        <v>707</v>
      </c>
      <c r="E146" s="182" t="s">
        <v>704</v>
      </c>
      <c r="F146" s="399">
        <v>5</v>
      </c>
      <c r="G146" s="399">
        <v>0</v>
      </c>
      <c r="H146" s="399">
        <v>0</v>
      </c>
      <c r="I146" s="399">
        <v>0</v>
      </c>
      <c r="J146" s="399">
        <v>0</v>
      </c>
      <c r="K146" s="399">
        <v>0</v>
      </c>
      <c r="L146" s="399">
        <v>5</v>
      </c>
      <c r="M146" s="424" t="str">
        <f t="shared" si="4"/>
        <v>GTOUNDER 3"</v>
      </c>
      <c r="N146" s="218">
        <f>VLOOKUP(E146,'Services-AUC'!$C$47:$F$61,4,FALSE)</f>
        <v>568.35</v>
      </c>
      <c r="O146" s="397" t="s">
        <v>485</v>
      </c>
      <c r="P146" s="416">
        <f t="shared" si="5"/>
        <v>2841.75</v>
      </c>
    </row>
    <row r="147" spans="1:16" x14ac:dyDescent="0.2">
      <c r="A147" s="397" t="s">
        <v>799</v>
      </c>
      <c r="B147" s="425" t="s">
        <v>506</v>
      </c>
      <c r="C147" s="399" t="s">
        <v>789</v>
      </c>
      <c r="D147" s="414" t="s">
        <v>559</v>
      </c>
      <c r="E147" s="182" t="s">
        <v>559</v>
      </c>
      <c r="F147" s="399">
        <v>2</v>
      </c>
      <c r="G147" s="399">
        <v>0</v>
      </c>
      <c r="H147" s="399">
        <v>0</v>
      </c>
      <c r="I147" s="399">
        <v>0</v>
      </c>
      <c r="J147" s="399">
        <v>0</v>
      </c>
      <c r="K147" s="399">
        <v>0</v>
      </c>
      <c r="L147" s="399">
        <v>2</v>
      </c>
      <c r="M147" s="424" t="str">
        <f t="shared" si="4"/>
        <v>GTO3"</v>
      </c>
      <c r="N147" s="218">
        <f>VLOOKUP(E147,'Services-AUC'!$C$47:$F$61,4,FALSE)</f>
        <v>1004.77</v>
      </c>
      <c r="O147" s="397" t="s">
        <v>485</v>
      </c>
      <c r="P147" s="416">
        <f t="shared" si="5"/>
        <v>2009.54</v>
      </c>
    </row>
    <row r="148" spans="1:16" x14ac:dyDescent="0.2">
      <c r="A148" s="397" t="s">
        <v>799</v>
      </c>
      <c r="B148" s="425" t="s">
        <v>508</v>
      </c>
      <c r="C148" s="399" t="s">
        <v>800</v>
      </c>
      <c r="D148" s="414" t="s">
        <v>715</v>
      </c>
      <c r="E148" s="182" t="s">
        <v>704</v>
      </c>
      <c r="F148" s="399">
        <v>1</v>
      </c>
      <c r="G148" s="399">
        <v>0</v>
      </c>
      <c r="H148" s="399">
        <v>0</v>
      </c>
      <c r="I148" s="399">
        <v>1</v>
      </c>
      <c r="J148" s="399">
        <v>0</v>
      </c>
      <c r="K148" s="399">
        <v>0</v>
      </c>
      <c r="L148" s="399">
        <v>2</v>
      </c>
      <c r="M148" s="424" t="str">
        <f t="shared" si="4"/>
        <v>SC3UNDER 3"</v>
      </c>
      <c r="N148" s="218">
        <f>VLOOKUP(E148,'Services-AUC'!$C$47:$F$61,4,FALSE)</f>
        <v>568.35</v>
      </c>
      <c r="O148" s="397" t="s">
        <v>632</v>
      </c>
      <c r="P148" s="416">
        <f t="shared" si="5"/>
        <v>1136.7</v>
      </c>
    </row>
    <row r="149" spans="1:16" x14ac:dyDescent="0.2">
      <c r="A149" s="397" t="s">
        <v>799</v>
      </c>
      <c r="B149" s="425" t="s">
        <v>508</v>
      </c>
      <c r="C149" s="399" t="s">
        <v>789</v>
      </c>
      <c r="D149" s="414" t="s">
        <v>559</v>
      </c>
      <c r="E149" s="182" t="s">
        <v>559</v>
      </c>
      <c r="F149" s="399">
        <v>1</v>
      </c>
      <c r="G149" s="399">
        <v>0</v>
      </c>
      <c r="H149" s="399">
        <v>0</v>
      </c>
      <c r="I149" s="399">
        <v>0</v>
      </c>
      <c r="J149" s="399">
        <v>0</v>
      </c>
      <c r="K149" s="399">
        <v>0</v>
      </c>
      <c r="L149" s="399">
        <v>1</v>
      </c>
      <c r="M149" s="424" t="str">
        <f t="shared" si="4"/>
        <v>SC33"</v>
      </c>
      <c r="N149" s="218">
        <f>VLOOKUP(E149,'Services-AUC'!$C$47:$F$61,4,FALSE)</f>
        <v>1004.77</v>
      </c>
      <c r="O149" s="397" t="s">
        <v>632</v>
      </c>
      <c r="P149" s="416">
        <f t="shared" si="5"/>
        <v>1004.77</v>
      </c>
    </row>
    <row r="150" spans="1:16" x14ac:dyDescent="0.2">
      <c r="A150" s="397" t="s">
        <v>801</v>
      </c>
      <c r="B150" s="425" t="s">
        <v>500</v>
      </c>
      <c r="C150" s="399" t="s">
        <v>793</v>
      </c>
      <c r="D150" s="414" t="s">
        <v>731</v>
      </c>
      <c r="E150" s="182" t="s">
        <v>731</v>
      </c>
      <c r="F150" s="399">
        <v>1</v>
      </c>
      <c r="G150" s="399">
        <v>0</v>
      </c>
      <c r="H150" s="399">
        <v>0</v>
      </c>
      <c r="I150" s="399">
        <v>0</v>
      </c>
      <c r="J150" s="399">
        <v>0</v>
      </c>
      <c r="K150" s="399">
        <v>0</v>
      </c>
      <c r="L150" s="399">
        <v>1</v>
      </c>
      <c r="M150" s="424" t="str">
        <f t="shared" si="4"/>
        <v>GSO8"</v>
      </c>
      <c r="N150" s="218">
        <f>VLOOKUP(E150,'Services-AUC'!$C$47:$F$61,4,FALSE)</f>
        <v>7539.47</v>
      </c>
      <c r="O150" s="397" t="s">
        <v>485</v>
      </c>
      <c r="P150" s="416">
        <f t="shared" si="5"/>
        <v>7539.47</v>
      </c>
    </row>
    <row r="151" spans="1:16" x14ac:dyDescent="0.2">
      <c r="A151" s="397" t="s">
        <v>179</v>
      </c>
      <c r="B151" s="425" t="s">
        <v>506</v>
      </c>
      <c r="C151" s="399" t="s">
        <v>797</v>
      </c>
      <c r="D151" s="414" t="s">
        <v>727</v>
      </c>
      <c r="E151" s="182" t="s">
        <v>727</v>
      </c>
      <c r="F151" s="399">
        <v>1</v>
      </c>
      <c r="G151" s="399">
        <v>0</v>
      </c>
      <c r="H151" s="399">
        <v>0</v>
      </c>
      <c r="I151" s="399">
        <v>0</v>
      </c>
      <c r="J151" s="399">
        <v>0</v>
      </c>
      <c r="K151" s="399">
        <v>0</v>
      </c>
      <c r="L151" s="399">
        <v>1</v>
      </c>
      <c r="M151" s="424" t="str">
        <f t="shared" si="4"/>
        <v>GTO6"</v>
      </c>
      <c r="N151" s="218">
        <f>VLOOKUP(E151,'Services-AUC'!$C$47:$F$61,4,FALSE)</f>
        <v>15139.47</v>
      </c>
      <c r="O151" s="397" t="s">
        <v>485</v>
      </c>
      <c r="P151" s="416">
        <f t="shared" si="5"/>
        <v>15139.47</v>
      </c>
    </row>
    <row r="152" spans="1:16" x14ac:dyDescent="0.2">
      <c r="A152" s="397" t="s">
        <v>179</v>
      </c>
      <c r="B152" s="425" t="s">
        <v>486</v>
      </c>
      <c r="C152" s="399" t="s">
        <v>781</v>
      </c>
      <c r="D152" s="414" t="s">
        <v>782</v>
      </c>
      <c r="E152" s="182" t="s">
        <v>704</v>
      </c>
      <c r="F152" s="399">
        <v>2</v>
      </c>
      <c r="G152" s="399">
        <v>0</v>
      </c>
      <c r="H152" s="399">
        <v>0</v>
      </c>
      <c r="I152" s="399">
        <v>0</v>
      </c>
      <c r="J152" s="399">
        <v>0</v>
      </c>
      <c r="K152" s="399">
        <v>0</v>
      </c>
      <c r="L152" s="399">
        <v>2</v>
      </c>
      <c r="M152" s="424" t="str">
        <f t="shared" si="4"/>
        <v>IUSUNDER 3"</v>
      </c>
      <c r="N152" s="218">
        <f>VLOOKUP(E152,'Services-AUC'!$C$47:$F$61,4,FALSE)</f>
        <v>568.35</v>
      </c>
      <c r="O152" s="397" t="s">
        <v>486</v>
      </c>
      <c r="P152" s="416">
        <f t="shared" si="5"/>
        <v>1136.7</v>
      </c>
    </row>
    <row r="153" spans="1:16" x14ac:dyDescent="0.2">
      <c r="A153" s="397" t="s">
        <v>8</v>
      </c>
      <c r="F153" s="399">
        <f>SUM(F9:F152)</f>
        <v>114281</v>
      </c>
      <c r="G153" s="399">
        <f t="shared" ref="G153:L153" si="6">SUM(G9:G152)</f>
        <v>1930</v>
      </c>
      <c r="H153" s="399">
        <f t="shared" si="6"/>
        <v>1188</v>
      </c>
      <c r="I153" s="399">
        <f t="shared" si="6"/>
        <v>8610</v>
      </c>
      <c r="J153" s="399">
        <f t="shared" si="6"/>
        <v>13706</v>
      </c>
      <c r="K153" s="399">
        <f t="shared" si="6"/>
        <v>0</v>
      </c>
      <c r="L153" s="399">
        <f t="shared" si="6"/>
        <v>139715</v>
      </c>
      <c r="M153" s="424"/>
      <c r="N153" s="427"/>
    </row>
    <row r="154" spans="1:16" x14ac:dyDescent="0.2">
      <c r="P154" s="416">
        <f>SUM(P9:P152)</f>
        <v>80522102.529999897</v>
      </c>
    </row>
    <row r="157" spans="1:16" x14ac:dyDescent="0.2">
      <c r="N157" s="430" t="s">
        <v>675</v>
      </c>
      <c r="O157" s="431">
        <f ca="1">SUMIF($O$9:$P$152,N157,$P$9:$P$152)</f>
        <v>71026625.529999897</v>
      </c>
      <c r="P157" s="432">
        <f ca="1">1-SUM(P158:P162)</f>
        <v>0.88227999999999995</v>
      </c>
    </row>
    <row r="158" spans="1:16" x14ac:dyDescent="0.2">
      <c r="N158" s="430" t="s">
        <v>485</v>
      </c>
      <c r="O158" s="431">
        <f t="shared" ref="O158:O164" ca="1" si="7">SUMIF($O$9:$P$152,N158,$P$9:$P$152)</f>
        <v>9192084.1899999958</v>
      </c>
      <c r="P158" s="433">
        <f ca="1">ROUND(O158/$O$163,5)</f>
        <v>0.11418</v>
      </c>
    </row>
    <row r="159" spans="1:16" x14ac:dyDescent="0.2">
      <c r="N159" s="430" t="s">
        <v>632</v>
      </c>
      <c r="O159" s="431">
        <f t="shared" ca="1" si="7"/>
        <v>284274.89</v>
      </c>
      <c r="P159" s="433">
        <f t="shared" ref="P159:P162" ca="1" si="8">ROUND(O159/$O$163,5)</f>
        <v>3.5300000000000002E-3</v>
      </c>
    </row>
    <row r="160" spans="1:16" x14ac:dyDescent="0.2">
      <c r="N160" s="430" t="s">
        <v>486</v>
      </c>
      <c r="O160" s="431">
        <f t="shared" ca="1" si="7"/>
        <v>1136.7</v>
      </c>
      <c r="P160" s="433">
        <f t="shared" ca="1" si="8"/>
        <v>1.0000000000000001E-5</v>
      </c>
    </row>
    <row r="161" spans="14:16" x14ac:dyDescent="0.2">
      <c r="N161" s="430" t="s">
        <v>697</v>
      </c>
      <c r="O161" s="431">
        <f t="shared" ca="1" si="7"/>
        <v>0</v>
      </c>
      <c r="P161" s="433">
        <f t="shared" ca="1" si="8"/>
        <v>0</v>
      </c>
    </row>
    <row r="162" spans="14:16" x14ac:dyDescent="0.2">
      <c r="N162" s="430" t="s">
        <v>697</v>
      </c>
      <c r="O162" s="434">
        <f t="shared" ca="1" si="7"/>
        <v>0</v>
      </c>
      <c r="P162" s="435">
        <f t="shared" ca="1" si="8"/>
        <v>0</v>
      </c>
    </row>
    <row r="163" spans="14:16" x14ac:dyDescent="0.2">
      <c r="N163" s="430" t="s">
        <v>953</v>
      </c>
      <c r="O163" s="431">
        <f ca="1">SUM(O157:O161)</f>
        <v>80504121.309999898</v>
      </c>
      <c r="P163" s="433">
        <f ca="1">SUM(P157:P162)</f>
        <v>0.99999999999999989</v>
      </c>
    </row>
    <row r="164" spans="14:16" x14ac:dyDescent="0.2">
      <c r="N164" s="397" t="s">
        <v>499</v>
      </c>
      <c r="O164" s="436">
        <f t="shared" ca="1" si="7"/>
        <v>17981.22</v>
      </c>
    </row>
    <row r="165" spans="14:16" x14ac:dyDescent="0.2">
      <c r="N165" s="414" t="s">
        <v>12</v>
      </c>
      <c r="O165" s="437">
        <f ca="1">O164+O163</f>
        <v>80522102.529999897</v>
      </c>
    </row>
    <row r="166" spans="14:16" x14ac:dyDescent="0.2">
      <c r="N166" s="399" t="s">
        <v>954</v>
      </c>
      <c r="O166" s="399">
        <f ca="1">O167-O165</f>
        <v>35880855.5200001</v>
      </c>
    </row>
    <row r="167" spans="14:16" x14ac:dyDescent="0.2">
      <c r="N167" s="399" t="s">
        <v>955</v>
      </c>
      <c r="O167" s="399">
        <f>'Services-AUC'!E62</f>
        <v>116402958.05</v>
      </c>
    </row>
  </sheetData>
  <pageMargins left="0.7" right="0.7" top="0.75" bottom="0.75" header="0.3" footer="0.3"/>
  <pageSetup scale="7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zoomScaleNormal="100" workbookViewId="0">
      <selection activeCell="C39" sqref="C39"/>
    </sheetView>
  </sheetViews>
  <sheetFormatPr defaultRowHeight="12" x14ac:dyDescent="0.2"/>
  <cols>
    <col min="1" max="1" width="24.5" style="7" customWidth="1"/>
    <col min="2" max="2" width="20.83203125" style="7" customWidth="1"/>
    <col min="3" max="3" width="15.33203125" style="7" bestFit="1" customWidth="1"/>
    <col min="4" max="4" width="18.33203125" style="7" bestFit="1" customWidth="1"/>
    <col min="5" max="5" width="4.1640625" style="7" bestFit="1" customWidth="1"/>
    <col min="6" max="6" width="17.1640625" style="7" bestFit="1" customWidth="1"/>
    <col min="7" max="7" width="11.6640625" style="7" bestFit="1" customWidth="1"/>
    <col min="8" max="8" width="10.5" style="7" bestFit="1" customWidth="1"/>
    <col min="9" max="9" width="18.33203125" style="7" customWidth="1"/>
    <col min="10" max="10" width="9.33203125" style="7" bestFit="1" customWidth="1"/>
    <col min="11" max="11" width="10.5" style="7" bestFit="1" customWidth="1"/>
    <col min="12" max="12" width="18.6640625" style="7" bestFit="1" customWidth="1"/>
    <col min="13" max="13" width="13" style="7" bestFit="1" customWidth="1"/>
    <col min="14" max="16384" width="9.33203125" style="7"/>
  </cols>
  <sheetData>
    <row r="1" spans="1:14" x14ac:dyDescent="0.2">
      <c r="A1" s="101" t="s">
        <v>44</v>
      </c>
      <c r="B1" s="101"/>
      <c r="C1" s="102"/>
      <c r="D1" s="103"/>
    </row>
    <row r="2" spans="1:14" x14ac:dyDescent="0.2">
      <c r="A2" s="101" t="s">
        <v>610</v>
      </c>
      <c r="B2" s="101"/>
      <c r="C2" s="102"/>
      <c r="D2" s="103"/>
    </row>
    <row r="3" spans="1:14" x14ac:dyDescent="0.2">
      <c r="A3" s="438" t="s">
        <v>835</v>
      </c>
      <c r="B3" s="120"/>
      <c r="C3" s="102"/>
      <c r="D3" s="103"/>
    </row>
    <row r="4" spans="1:14" ht="12.75" thickBot="1" x14ac:dyDescent="0.25">
      <c r="C4" s="52"/>
      <c r="D4" s="90"/>
      <c r="H4" s="11"/>
      <c r="J4" s="11"/>
    </row>
    <row r="5" spans="1:14" ht="12.75" thickBot="1" x14ac:dyDescent="0.25">
      <c r="A5" s="104" t="s">
        <v>522</v>
      </c>
      <c r="B5" s="105"/>
      <c r="C5" s="52"/>
      <c r="D5" s="90"/>
      <c r="I5" s="343" t="s">
        <v>44</v>
      </c>
    </row>
    <row r="6" spans="1:14" ht="14.25" x14ac:dyDescent="0.35">
      <c r="C6" s="106" t="s">
        <v>611</v>
      </c>
      <c r="D6" s="107" t="s">
        <v>612</v>
      </c>
      <c r="I6" s="343" t="s">
        <v>645</v>
      </c>
    </row>
    <row r="7" spans="1:14" x14ac:dyDescent="0.2">
      <c r="C7" s="52"/>
      <c r="D7" s="222"/>
      <c r="I7" s="332" t="s">
        <v>1148</v>
      </c>
    </row>
    <row r="8" spans="1:14" x14ac:dyDescent="0.2">
      <c r="A8" s="7" t="s">
        <v>613</v>
      </c>
      <c r="C8" s="63">
        <v>4906346</v>
      </c>
      <c r="D8" s="439">
        <v>45155907</v>
      </c>
      <c r="N8" s="95"/>
    </row>
    <row r="9" spans="1:14" x14ac:dyDescent="0.2">
      <c r="C9" s="52"/>
      <c r="D9" s="225"/>
      <c r="F9" s="343"/>
      <c r="G9" s="343"/>
      <c r="H9" s="343"/>
      <c r="I9" s="343" t="s">
        <v>527</v>
      </c>
      <c r="J9" s="343" t="s">
        <v>535</v>
      </c>
      <c r="L9" s="343" t="s">
        <v>537</v>
      </c>
    </row>
    <row r="10" spans="1:14" x14ac:dyDescent="0.2">
      <c r="C10" s="52"/>
      <c r="D10" s="225"/>
      <c r="E10" s="12" t="s">
        <v>539</v>
      </c>
      <c r="F10" s="343"/>
      <c r="G10" s="343"/>
      <c r="H10" s="343"/>
      <c r="I10" s="343" t="s">
        <v>529</v>
      </c>
      <c r="J10" s="343" t="s">
        <v>536</v>
      </c>
      <c r="L10" s="343" t="s">
        <v>529</v>
      </c>
    </row>
    <row r="11" spans="1:14" ht="12.75" thickBot="1" x14ac:dyDescent="0.25">
      <c r="C11" s="52"/>
      <c r="D11" s="225"/>
      <c r="E11" s="51" t="s">
        <v>524</v>
      </c>
      <c r="F11" s="55" t="s">
        <v>1150</v>
      </c>
      <c r="G11" s="55" t="s">
        <v>1149</v>
      </c>
      <c r="H11" s="55" t="s">
        <v>528</v>
      </c>
      <c r="I11" s="55" t="s">
        <v>530</v>
      </c>
      <c r="J11" s="55" t="s">
        <v>473</v>
      </c>
      <c r="K11" s="55" t="s">
        <v>528</v>
      </c>
      <c r="L11" s="55" t="s">
        <v>530</v>
      </c>
      <c r="M11" s="55" t="s">
        <v>12</v>
      </c>
    </row>
    <row r="12" spans="1:14" ht="12.75" thickBot="1" x14ac:dyDescent="0.25">
      <c r="A12" s="104" t="s">
        <v>523</v>
      </c>
      <c r="B12" s="105"/>
      <c r="C12" s="52"/>
      <c r="D12" s="225"/>
      <c r="F12" s="95" t="s">
        <v>531</v>
      </c>
      <c r="G12" s="95" t="s">
        <v>532</v>
      </c>
      <c r="H12" s="95" t="s">
        <v>533</v>
      </c>
      <c r="I12" s="95" t="str">
        <f>"(4) = (3) * "&amp;TEXT(C27,"0.000%")</f>
        <v>(4) = (3) * 64.825%</v>
      </c>
      <c r="J12" s="95" t="s">
        <v>534</v>
      </c>
      <c r="K12" s="95" t="s">
        <v>538</v>
      </c>
      <c r="L12" s="95" t="str">
        <f>"(7) = (6) * "&amp;TEXT(C28,"0.000%")</f>
        <v>(7) = (6) * 35.175%</v>
      </c>
      <c r="M12" s="95" t="str">
        <f>"(8) = (4) + (7)"</f>
        <v>(8) = (4) + (7)</v>
      </c>
    </row>
    <row r="13" spans="1:14" x14ac:dyDescent="0.2">
      <c r="C13" s="52"/>
      <c r="D13" s="225"/>
      <c r="I13" s="153"/>
      <c r="J13" s="11"/>
      <c r="K13" s="11"/>
      <c r="L13" s="153"/>
    </row>
    <row r="14" spans="1:14" x14ac:dyDescent="0.2">
      <c r="C14" s="52"/>
      <c r="D14" s="225"/>
      <c r="I14" s="151"/>
      <c r="J14" s="11"/>
    </row>
    <row r="15" spans="1:14" x14ac:dyDescent="0.2">
      <c r="A15" s="7" t="s">
        <v>614</v>
      </c>
      <c r="C15" s="63">
        <v>14119350</v>
      </c>
      <c r="D15" s="439">
        <v>200461723</v>
      </c>
      <c r="E15" s="7">
        <v>1</v>
      </c>
      <c r="F15" s="7" t="s">
        <v>525</v>
      </c>
      <c r="G15" s="7">
        <f>Customers!D39</f>
        <v>121915</v>
      </c>
      <c r="H15" s="96">
        <f>ROUND(G15/$G$23,5)</f>
        <v>0.89661000000000002</v>
      </c>
      <c r="I15" s="96">
        <f>ROUND(H15*$C$27,5)</f>
        <v>0.58123000000000002</v>
      </c>
      <c r="J15" s="11">
        <f>'Design Day'!C31</f>
        <v>137300</v>
      </c>
      <c r="K15" s="96">
        <f>ROUND(J15/$J$23,5)</f>
        <v>0.44549</v>
      </c>
      <c r="L15" s="96">
        <f>ROUND(K15*$C$28,5)</f>
        <v>0.15670000000000001</v>
      </c>
      <c r="M15" s="94">
        <f>I15+L15</f>
        <v>0.73792999999999997</v>
      </c>
    </row>
    <row r="16" spans="1:14" x14ac:dyDescent="0.2">
      <c r="C16" s="52"/>
      <c r="D16" s="52"/>
      <c r="I16" s="151"/>
      <c r="J16" s="11"/>
      <c r="K16" s="151"/>
      <c r="L16" s="151"/>
      <c r="M16" s="152"/>
    </row>
    <row r="17" spans="1:15" x14ac:dyDescent="0.2">
      <c r="C17" s="52"/>
      <c r="D17" s="90"/>
      <c r="E17" s="7">
        <f>E15+1</f>
        <v>2</v>
      </c>
      <c r="F17" s="7" t="s">
        <v>526</v>
      </c>
      <c r="G17" s="7">
        <f>Customers!E39</f>
        <v>13977</v>
      </c>
      <c r="H17" s="96">
        <f>ROUND(G17/$G$23,5)</f>
        <v>0.10279000000000001</v>
      </c>
      <c r="I17" s="96">
        <f>ROUND(H17*$C$27,5)</f>
        <v>6.6629999999999995E-2</v>
      </c>
      <c r="J17" s="11">
        <f>'Design Day'!D31</f>
        <v>88300</v>
      </c>
      <c r="K17" s="96">
        <f>ROUND(J17/$J$23,5)</f>
        <v>0.28649999999999998</v>
      </c>
      <c r="L17" s="96">
        <f>ROUND(K17*$C$28,5)</f>
        <v>0.10077999999999999</v>
      </c>
      <c r="M17" s="94">
        <f>I17+L17</f>
        <v>0.16741</v>
      </c>
    </row>
    <row r="18" spans="1:15" ht="14.25" x14ac:dyDescent="0.35">
      <c r="A18" s="7" t="s">
        <v>615</v>
      </c>
      <c r="C18" s="53">
        <f>D8</f>
        <v>45155907</v>
      </c>
      <c r="D18" s="90"/>
      <c r="I18" s="151"/>
      <c r="J18" s="11"/>
      <c r="K18" s="151"/>
      <c r="L18" s="151"/>
      <c r="M18" s="152"/>
    </row>
    <row r="19" spans="1:15" x14ac:dyDescent="0.2">
      <c r="A19" s="7" t="s">
        <v>616</v>
      </c>
      <c r="C19" s="52">
        <f>C8</f>
        <v>4906346</v>
      </c>
      <c r="D19" s="90"/>
      <c r="E19" s="7">
        <f>E17+1</f>
        <v>3</v>
      </c>
      <c r="F19" s="7" t="s">
        <v>486</v>
      </c>
      <c r="G19" s="7">
        <f>Customers!F39</f>
        <v>2</v>
      </c>
      <c r="H19" s="96">
        <f>ROUND(G19/$G$23,5)</f>
        <v>1.0000000000000001E-5</v>
      </c>
      <c r="I19" s="96">
        <f>ROUND(H19*$C$27,5)</f>
        <v>1.0000000000000001E-5</v>
      </c>
      <c r="J19" s="11">
        <f>'Design Day'!E31</f>
        <v>200</v>
      </c>
      <c r="K19" s="96">
        <f>ROUND(J19/$J$23,5)</f>
        <v>6.4999999999999997E-4</v>
      </c>
      <c r="L19" s="96">
        <f>ROUND(K19*$C$28,5)</f>
        <v>2.3000000000000001E-4</v>
      </c>
      <c r="M19" s="94">
        <f>I19+L19</f>
        <v>2.4000000000000001E-4</v>
      </c>
    </row>
    <row r="20" spans="1:15" x14ac:dyDescent="0.2">
      <c r="C20" s="52"/>
      <c r="D20" s="90"/>
      <c r="I20" s="151"/>
      <c r="J20" s="11"/>
      <c r="K20" s="151"/>
      <c r="L20" s="151"/>
      <c r="M20" s="152"/>
    </row>
    <row r="21" spans="1:15" x14ac:dyDescent="0.2">
      <c r="A21" s="7" t="s">
        <v>617</v>
      </c>
      <c r="C21" s="223">
        <f>ROUND(C18/C19,4)</f>
        <v>9.2035999999999998</v>
      </c>
      <c r="D21" s="90"/>
      <c r="E21" s="7">
        <f>E19+1</f>
        <v>4</v>
      </c>
      <c r="F21" s="7" t="s">
        <v>632</v>
      </c>
      <c r="G21" s="7">
        <f>Customers!H$39</f>
        <v>79</v>
      </c>
      <c r="H21" s="96">
        <f>ROUND(G21/$G$23,5)</f>
        <v>5.8E-4</v>
      </c>
      <c r="I21" s="96">
        <f>ROUND(H21*$C$27,5)</f>
        <v>3.8000000000000002E-4</v>
      </c>
      <c r="J21" s="11">
        <f>'Design Day'!G31</f>
        <v>82400</v>
      </c>
      <c r="K21" s="96">
        <f>ROUND(J21/$J$23,5)</f>
        <v>0.26735999999999999</v>
      </c>
      <c r="L21" s="96">
        <f>ROUND(K21*$C$28,5)</f>
        <v>9.4039999999999999E-2</v>
      </c>
      <c r="M21" s="94">
        <f>I21+L21</f>
        <v>9.4420000000000004E-2</v>
      </c>
    </row>
    <row r="22" spans="1:15" ht="14.25" x14ac:dyDescent="0.35">
      <c r="A22" s="7" t="s">
        <v>618</v>
      </c>
      <c r="B22" s="87" t="s">
        <v>619</v>
      </c>
      <c r="C22" s="53">
        <f>C15</f>
        <v>14119350</v>
      </c>
      <c r="D22" s="90"/>
      <c r="I22" s="151"/>
      <c r="J22" s="11"/>
      <c r="K22" s="151"/>
      <c r="L22" s="151"/>
      <c r="M22" s="152"/>
    </row>
    <row r="23" spans="1:15" x14ac:dyDescent="0.2">
      <c r="C23" s="52"/>
      <c r="D23" s="90"/>
      <c r="E23" s="7">
        <f>E21+1</f>
        <v>5</v>
      </c>
      <c r="F23" s="7" t="s">
        <v>957</v>
      </c>
      <c r="G23" s="7">
        <f>SUM(G15:G21)</f>
        <v>135973</v>
      </c>
      <c r="H23" s="96">
        <f>G23/$G$23</f>
        <v>1</v>
      </c>
      <c r="I23" s="96">
        <f>SUM(I15:I21)</f>
        <v>0.64824999999999999</v>
      </c>
      <c r="J23" s="7">
        <f>SUM(J15:J21)</f>
        <v>308200</v>
      </c>
      <c r="K23" s="96">
        <f>J23/$J$23</f>
        <v>1</v>
      </c>
      <c r="L23" s="96">
        <f>SUM(L15:L21)</f>
        <v>0.35175000000000001</v>
      </c>
      <c r="M23" s="94">
        <f>I23+L23</f>
        <v>1</v>
      </c>
    </row>
    <row r="24" spans="1:15" ht="14.25" x14ac:dyDescent="0.35">
      <c r="A24" s="7" t="s">
        <v>620</v>
      </c>
      <c r="C24" s="224">
        <f>ROUND(C22*C21,0)</f>
        <v>129948850</v>
      </c>
      <c r="D24" s="90"/>
    </row>
    <row r="25" spans="1:15" x14ac:dyDescent="0.2">
      <c r="A25" s="7" t="s">
        <v>621</v>
      </c>
      <c r="C25" s="225">
        <f>D15</f>
        <v>200461723</v>
      </c>
      <c r="D25" s="90"/>
      <c r="E25" s="11"/>
      <c r="F25" s="11"/>
      <c r="G25" s="11"/>
      <c r="H25" s="153"/>
      <c r="I25" s="153"/>
      <c r="J25" s="11"/>
      <c r="K25" s="153"/>
      <c r="L25" s="153"/>
      <c r="M25" s="153"/>
      <c r="N25" s="11"/>
      <c r="O25" s="11"/>
    </row>
    <row r="26" spans="1:15" ht="12.75" thickBot="1" x14ac:dyDescent="0.25">
      <c r="C26" s="52"/>
      <c r="D26" s="9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2.75" thickBot="1" x14ac:dyDescent="0.25">
      <c r="A27" s="97" t="s">
        <v>561</v>
      </c>
      <c r="B27" s="98"/>
      <c r="C27" s="154">
        <f>ROUND(C24/C25,5)</f>
        <v>0.64824999999999999</v>
      </c>
      <c r="D27" s="90"/>
      <c r="E27" s="11"/>
      <c r="F27" s="11"/>
      <c r="G27" s="226"/>
      <c r="H27" s="11"/>
      <c r="I27" s="11"/>
      <c r="J27" s="11"/>
      <c r="K27" s="11"/>
      <c r="L27" s="11"/>
      <c r="M27" s="11"/>
      <c r="N27" s="11"/>
      <c r="O27" s="11"/>
    </row>
    <row r="28" spans="1:15" ht="12.75" thickBot="1" x14ac:dyDescent="0.25">
      <c r="A28" s="97" t="s">
        <v>622</v>
      </c>
      <c r="B28" s="98"/>
      <c r="C28" s="154">
        <f>SUM(C30-C27)</f>
        <v>0.35175000000000001</v>
      </c>
      <c r="D28" s="90"/>
      <c r="G28" s="227"/>
    </row>
    <row r="29" spans="1:15" x14ac:dyDescent="0.2">
      <c r="C29" s="52"/>
      <c r="D29" s="90"/>
    </row>
    <row r="30" spans="1:15" x14ac:dyDescent="0.2">
      <c r="C30" s="99">
        <v>1</v>
      </c>
      <c r="D30" s="90"/>
    </row>
    <row r="31" spans="1:15" x14ac:dyDescent="0.2">
      <c r="C31" s="52"/>
      <c r="D31" s="90"/>
    </row>
    <row r="32" spans="1:15" x14ac:dyDescent="0.2">
      <c r="B32" s="13"/>
      <c r="C32" s="13"/>
      <c r="D32" s="13"/>
    </row>
    <row r="33" spans="2:5" x14ac:dyDescent="0.2">
      <c r="B33" s="100"/>
      <c r="C33" s="100"/>
      <c r="D33" s="13"/>
    </row>
    <row r="34" spans="2:5" x14ac:dyDescent="0.2">
      <c r="B34" s="13"/>
      <c r="C34" s="13"/>
      <c r="D34" s="13"/>
    </row>
    <row r="35" spans="2:5" x14ac:dyDescent="0.2">
      <c r="B35" s="13"/>
      <c r="C35" s="13"/>
      <c r="D35" s="13"/>
    </row>
    <row r="36" spans="2:5" x14ac:dyDescent="0.2">
      <c r="B36" s="13"/>
      <c r="C36" s="13"/>
      <c r="D36" s="13"/>
    </row>
    <row r="37" spans="2:5" x14ac:dyDescent="0.2">
      <c r="B37" s="13"/>
      <c r="C37" s="13"/>
      <c r="D37" s="13"/>
    </row>
    <row r="38" spans="2:5" x14ac:dyDescent="0.2">
      <c r="B38" s="13"/>
      <c r="C38" s="13"/>
      <c r="D38" s="13"/>
    </row>
    <row r="39" spans="2:5" x14ac:dyDescent="0.2">
      <c r="B39" s="13"/>
      <c r="C39" s="13"/>
      <c r="D39" s="13"/>
    </row>
    <row r="40" spans="2:5" x14ac:dyDescent="0.2">
      <c r="B40" s="13"/>
      <c r="C40" s="13"/>
      <c r="D40" s="13"/>
    </row>
    <row r="41" spans="2:5" x14ac:dyDescent="0.2">
      <c r="B41" s="13"/>
      <c r="C41" s="13"/>
      <c r="D41" s="13"/>
    </row>
    <row r="42" spans="2:5" x14ac:dyDescent="0.2">
      <c r="B42" s="13"/>
      <c r="C42" s="13"/>
      <c r="D42" s="13"/>
    </row>
    <row r="43" spans="2:5" x14ac:dyDescent="0.2">
      <c r="B43" s="13"/>
      <c r="C43" s="13"/>
      <c r="D43" s="13"/>
    </row>
    <row r="44" spans="2:5" x14ac:dyDescent="0.2">
      <c r="B44" s="13"/>
      <c r="C44" s="13"/>
      <c r="D44" s="13"/>
    </row>
    <row r="45" spans="2:5" x14ac:dyDescent="0.2">
      <c r="B45" s="13"/>
      <c r="C45" s="13"/>
      <c r="D45" s="13"/>
    </row>
    <row r="46" spans="2:5" x14ac:dyDescent="0.2">
      <c r="B46" s="13"/>
      <c r="C46" s="13"/>
      <c r="D46" s="13"/>
      <c r="E46" s="13"/>
    </row>
    <row r="47" spans="2:5" x14ac:dyDescent="0.2">
      <c r="B47" s="13"/>
      <c r="C47" s="13"/>
      <c r="D47" s="13"/>
    </row>
    <row r="48" spans="2:5" x14ac:dyDescent="0.2">
      <c r="B48" s="13"/>
      <c r="C48" s="13"/>
      <c r="D48" s="13"/>
    </row>
    <row r="49" spans="2:4" x14ac:dyDescent="0.2">
      <c r="B49" s="13"/>
      <c r="C49" s="13"/>
      <c r="D49" s="13"/>
    </row>
    <row r="50" spans="2:4" x14ac:dyDescent="0.2">
      <c r="B50" s="13"/>
      <c r="C50" s="13"/>
      <c r="D50" s="13"/>
    </row>
  </sheetData>
  <phoneticPr fontId="3" type="noConversion"/>
  <printOptions horizontalCentered="1"/>
  <pageMargins left="0.5" right="0" top="0.75" bottom="0.5" header="0.5" footer="0.5"/>
  <pageSetup scale="99" orientation="portrait" r:id="rId1"/>
  <headerFooter alignWithMargins="0"/>
  <colBreaks count="1" manualBreakCount="1">
    <brk id="4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06"/>
  <sheetViews>
    <sheetView tabSelected="1" zoomScale="110" zoomScaleNormal="110" zoomScaleSheetLayoutView="100" workbookViewId="0">
      <selection activeCell="E111" sqref="E111"/>
    </sheetView>
  </sheetViews>
  <sheetFormatPr defaultRowHeight="10.5" x14ac:dyDescent="0.15"/>
  <cols>
    <col min="1" max="1" width="4.83203125" style="330" customWidth="1"/>
    <col min="2" max="2" width="7.1640625" style="330" customWidth="1"/>
    <col min="3" max="3" width="39.33203125" style="330" customWidth="1"/>
    <col min="4" max="4" width="8.6640625" style="330" customWidth="1"/>
    <col min="5" max="5" width="15.5" style="330" customWidth="1"/>
    <col min="6" max="6" width="16.1640625" style="330" bestFit="1" customWidth="1"/>
    <col min="7" max="7" width="11.1640625" style="330" customWidth="1"/>
    <col min="8" max="8" width="8.33203125" style="330" bestFit="1" customWidth="1"/>
    <col min="9" max="9" width="9.83203125" style="330" bestFit="1" customWidth="1"/>
    <col min="10" max="10" width="10.83203125" style="330" bestFit="1" customWidth="1"/>
    <col min="11" max="12" width="9.6640625" style="330" bestFit="1" customWidth="1"/>
    <col min="13" max="13" width="9.33203125" style="330"/>
    <col min="14" max="16" width="11.1640625" style="330" bestFit="1" customWidth="1"/>
    <col min="17" max="17" width="7.6640625" style="330" bestFit="1" customWidth="1"/>
    <col min="18" max="18" width="8.6640625" style="330" bestFit="1" customWidth="1"/>
    <col min="19" max="19" width="10.1640625" style="330" bestFit="1" customWidth="1"/>
    <col min="20" max="20" width="7.6640625" style="330" bestFit="1" customWidth="1"/>
    <col min="21" max="23" width="9" style="330" customWidth="1"/>
    <col min="24" max="24" width="9.5" style="330" bestFit="1" customWidth="1"/>
    <col min="25" max="16384" width="9.33203125" style="330"/>
  </cols>
  <sheetData>
    <row r="1" spans="1:19" ht="11.25" x14ac:dyDescent="0.2">
      <c r="A1" s="3" t="s">
        <v>810</v>
      </c>
      <c r="B1" s="3"/>
      <c r="C1" s="3"/>
      <c r="D1" s="3"/>
      <c r="E1" s="3"/>
      <c r="F1" s="325" t="str">
        <f>""&amp;+Input!$B$1</f>
        <v>COLUMBIA GAS OF KENTUCKY, INC.</v>
      </c>
      <c r="H1" s="3"/>
      <c r="I1" s="3"/>
      <c r="J1" s="3"/>
      <c r="K1" s="3"/>
      <c r="L1" s="32" t="str">
        <f>Input!$B$2</f>
        <v>ATTACHMENT CEN-2</v>
      </c>
    </row>
    <row r="2" spans="1:19" ht="11.25" x14ac:dyDescent="0.2">
      <c r="A2" s="3" t="str">
        <f>Input!$B$7</f>
        <v>DEMAND-COMMODITY</v>
      </c>
      <c r="B2" s="3"/>
      <c r="C2" s="3"/>
      <c r="D2" s="3"/>
      <c r="E2" s="3"/>
      <c r="F2" s="325" t="s">
        <v>832</v>
      </c>
      <c r="H2" s="3"/>
      <c r="I2" s="3"/>
      <c r="J2" s="3"/>
      <c r="K2" s="3"/>
      <c r="L2" s="32" t="str">
        <f>"PAGE 1 OF "&amp;FIXED(Input!$B$8,0,TRUE)</f>
        <v>PAGE 1 OF 129</v>
      </c>
    </row>
    <row r="3" spans="1:19" ht="11.25" x14ac:dyDescent="0.2">
      <c r="A3" s="17" t="str">
        <f>Input!$B$6</f>
        <v>FORECASTED TEST YEAR - ORIGINAL FILING</v>
      </c>
      <c r="B3" s="17"/>
      <c r="C3" s="17"/>
      <c r="D3" s="18"/>
      <c r="E3" s="17"/>
      <c r="F3" s="19" t="str">
        <f>"FOR THE TWELVE MONTHS ENDED "&amp;Input!$B$4</f>
        <v>FOR THE TWELVE MONTHS ENDED 12/31/2017</v>
      </c>
      <c r="G3" s="329"/>
      <c r="H3" s="17"/>
      <c r="I3" s="17"/>
      <c r="J3" s="17"/>
      <c r="K3" s="17"/>
      <c r="L3" s="183" t="str">
        <f>"WITNESS: "&amp;Input!$B$5</f>
        <v>WITNESS: C. NOTESTONE</v>
      </c>
    </row>
    <row r="4" spans="1:19" ht="11.25" x14ac:dyDescent="0.2">
      <c r="A4" s="325" t="s">
        <v>5</v>
      </c>
      <c r="B4" s="3" t="s">
        <v>6</v>
      </c>
      <c r="C4" s="3"/>
      <c r="D4" s="325" t="s">
        <v>7</v>
      </c>
      <c r="E4" s="325" t="s">
        <v>8</v>
      </c>
      <c r="F4" s="3"/>
      <c r="G4" s="3"/>
      <c r="H4" s="3"/>
      <c r="I4" s="3"/>
      <c r="J4" s="3"/>
      <c r="K4" s="3"/>
      <c r="L4" s="3"/>
    </row>
    <row r="5" spans="1:19" ht="11.25" x14ac:dyDescent="0.2">
      <c r="A5" s="341" t="s">
        <v>9</v>
      </c>
      <c r="B5" s="341" t="s">
        <v>9</v>
      </c>
      <c r="C5" s="341" t="str">
        <f>"                        ACCOUNT TITLE                "</f>
        <v xml:space="preserve">                        ACCOUNT TITLE                </v>
      </c>
      <c r="D5" s="341" t="s">
        <v>10</v>
      </c>
      <c r="E5" s="341" t="s">
        <v>11</v>
      </c>
      <c r="F5" s="341" t="str">
        <f>"  "&amp;+Input!$C$12</f>
        <v xml:space="preserve">  GS-RESIDENTIAL</v>
      </c>
      <c r="G5" s="341" t="str">
        <f>Input!$C$13</f>
        <v>GS-OTHER</v>
      </c>
      <c r="H5" s="341" t="str">
        <f>Input!$C$14</f>
        <v>IUS</v>
      </c>
      <c r="I5" s="341" t="str">
        <f>Input!$C$15</f>
        <v>DS-ML</v>
      </c>
      <c r="J5" s="341" t="str">
        <f>Input!$C$16</f>
        <v>DS/IS</v>
      </c>
      <c r="K5" s="341" t="str">
        <f>Input!$C$17</f>
        <v>NOT USED</v>
      </c>
      <c r="L5" s="341" t="str">
        <f>Input!$C$18</f>
        <v>NOT USED</v>
      </c>
    </row>
    <row r="6" spans="1:19" ht="11.25" x14ac:dyDescent="0.2">
      <c r="A6" s="3"/>
      <c r="B6" s="342" t="s">
        <v>13</v>
      </c>
      <c r="C6" s="342" t="s">
        <v>14</v>
      </c>
      <c r="D6" s="325" t="s">
        <v>15</v>
      </c>
      <c r="E6" s="325" t="s">
        <v>16</v>
      </c>
      <c r="F6" s="325" t="s">
        <v>17</v>
      </c>
      <c r="G6" s="325" t="s">
        <v>18</v>
      </c>
      <c r="H6" s="325" t="s">
        <v>19</v>
      </c>
      <c r="I6" s="325" t="s">
        <v>20</v>
      </c>
      <c r="J6" s="325" t="s">
        <v>21</v>
      </c>
      <c r="K6" s="325" t="s">
        <v>22</v>
      </c>
      <c r="L6" s="325" t="s">
        <v>23</v>
      </c>
    </row>
    <row r="7" spans="1:19" ht="11.25" x14ac:dyDescent="0.2">
      <c r="A7" s="3"/>
      <c r="B7" s="3"/>
      <c r="C7" s="3"/>
      <c r="D7" s="3"/>
      <c r="E7" s="325" t="s">
        <v>26</v>
      </c>
      <c r="F7" s="325" t="s">
        <v>26</v>
      </c>
      <c r="G7" s="325" t="s">
        <v>26</v>
      </c>
      <c r="H7" s="325" t="s">
        <v>26</v>
      </c>
      <c r="I7" s="325" t="s">
        <v>26</v>
      </c>
      <c r="J7" s="325" t="s">
        <v>26</v>
      </c>
      <c r="K7" s="325" t="s">
        <v>26</v>
      </c>
      <c r="L7" s="325" t="s">
        <v>26</v>
      </c>
    </row>
    <row r="8" spans="1:19" ht="11.25" x14ac:dyDescent="0.2">
      <c r="A8" s="3">
        <v>1</v>
      </c>
      <c r="B8" s="3" t="s">
        <v>421</v>
      </c>
      <c r="C8" s="3"/>
      <c r="D8" s="3"/>
      <c r="E8" s="3">
        <f>SUM(F8:L8)</f>
        <v>92682166.749999985</v>
      </c>
      <c r="F8" s="3">
        <f>F97</f>
        <v>59679824.439999998</v>
      </c>
      <c r="G8" s="3">
        <f t="shared" ref="G8:L8" si="0">G97</f>
        <v>26685285.009999998</v>
      </c>
      <c r="H8" s="3">
        <f t="shared" si="0"/>
        <v>48080.330000000009</v>
      </c>
      <c r="I8" s="3">
        <f t="shared" si="0"/>
        <v>481734.93999999994</v>
      </c>
      <c r="J8" s="3">
        <f t="shared" si="0"/>
        <v>5787242.0300000003</v>
      </c>
      <c r="K8" s="3">
        <f t="shared" si="0"/>
        <v>0</v>
      </c>
      <c r="L8" s="3">
        <f t="shared" si="0"/>
        <v>0</v>
      </c>
      <c r="N8" s="3"/>
      <c r="O8" s="3"/>
      <c r="P8" s="3"/>
      <c r="Q8" s="3"/>
      <c r="R8" s="3"/>
      <c r="S8" s="3"/>
    </row>
    <row r="9" spans="1:19" ht="11.25" x14ac:dyDescent="0.2">
      <c r="A9" s="3">
        <f>A8+1</f>
        <v>2</v>
      </c>
      <c r="B9" s="3" t="s">
        <v>833</v>
      </c>
      <c r="C9" s="3"/>
      <c r="D9" s="3"/>
      <c r="E9" s="26">
        <f>SUM(F9:L9)</f>
        <v>25408372.659999996</v>
      </c>
      <c r="F9" s="26">
        <f>F10-F8</f>
        <v>16471875.799999997</v>
      </c>
      <c r="G9" s="26">
        <f t="shared" ref="G9:L9" si="1">G10-G8</f>
        <v>6826911.3900000006</v>
      </c>
      <c r="H9" s="26">
        <f t="shared" si="1"/>
        <v>8147.43</v>
      </c>
      <c r="I9" s="26">
        <f t="shared" si="1"/>
        <v>2.4200000000419095</v>
      </c>
      <c r="J9" s="26">
        <f t="shared" si="1"/>
        <v>2101435.6199999992</v>
      </c>
      <c r="K9" s="26">
        <f t="shared" si="1"/>
        <v>0</v>
      </c>
      <c r="L9" s="26">
        <f t="shared" si="1"/>
        <v>0</v>
      </c>
      <c r="N9" s="3"/>
      <c r="O9" s="3"/>
      <c r="P9" s="3"/>
      <c r="Q9" s="3"/>
      <c r="R9" s="3"/>
      <c r="S9" s="3"/>
    </row>
    <row r="10" spans="1:19" ht="11.25" x14ac:dyDescent="0.2">
      <c r="A10" s="3">
        <f>A9+1</f>
        <v>3</v>
      </c>
      <c r="B10" s="3" t="s">
        <v>834</v>
      </c>
      <c r="C10" s="3"/>
      <c r="D10" s="3"/>
      <c r="E10" s="3">
        <f>SUM(F10:L10)</f>
        <v>118090539.41</v>
      </c>
      <c r="F10" s="3">
        <f>SUM(Input!E549:E554)</f>
        <v>76151700.239999995</v>
      </c>
      <c r="G10" s="3">
        <f>SUM(Input!F549:F554)</f>
        <v>33512196.399999999</v>
      </c>
      <c r="H10" s="3">
        <f>SUM(Input!G549:G554)</f>
        <v>56227.760000000009</v>
      </c>
      <c r="I10" s="3">
        <f>SUM(Input!H549:H554)</f>
        <v>481737.36</v>
      </c>
      <c r="J10" s="3">
        <f>SUM(Input!I549:I554)</f>
        <v>7888677.6499999994</v>
      </c>
      <c r="K10" s="3">
        <f>SUM(Input!J549:J554)</f>
        <v>0</v>
      </c>
      <c r="L10" s="3">
        <f>SUM(Input!K549:K554)</f>
        <v>0</v>
      </c>
      <c r="N10" s="3"/>
      <c r="O10" s="3"/>
      <c r="P10" s="3"/>
      <c r="Q10" s="3"/>
      <c r="R10" s="3"/>
      <c r="S10" s="3"/>
    </row>
    <row r="11" spans="1:19" ht="11.25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N11" s="3"/>
      <c r="O11" s="3"/>
      <c r="P11" s="3"/>
      <c r="Q11" s="3"/>
      <c r="R11" s="3"/>
      <c r="S11" s="3"/>
    </row>
    <row r="12" spans="1:19" ht="11.25" x14ac:dyDescent="0.2">
      <c r="A12" s="3">
        <f>A10+1</f>
        <v>4</v>
      </c>
      <c r="B12" s="3" t="s">
        <v>409</v>
      </c>
      <c r="C12" s="3"/>
      <c r="D12" s="3"/>
      <c r="E12" s="3">
        <f t="shared" ref="E12:E15" si="2">SUM(F12:L12)</f>
        <v>21475950.109999996</v>
      </c>
      <c r="F12" s="3">
        <f>Customer!F12+Commodity!F12+Demand!F12</f>
        <v>13807094.589999998</v>
      </c>
      <c r="G12" s="3">
        <f>Customer!G12+Commodity!G12+Demand!G12</f>
        <v>7643846.9600000009</v>
      </c>
      <c r="H12" s="3">
        <f>Customer!H12+Commodity!H12+Demand!H12</f>
        <v>25008.560000000001</v>
      </c>
      <c r="I12" s="3">
        <f>Customer!I12+Commodity!I12+Demand!I12</f>
        <v>0</v>
      </c>
      <c r="J12" s="3">
        <f>Customer!J12+Commodity!J12+Demand!J12</f>
        <v>0</v>
      </c>
      <c r="K12" s="3">
        <f>Customer!K12+Commodity!K12+Demand!K12</f>
        <v>0</v>
      </c>
      <c r="L12" s="3">
        <f>Customer!L12+Commodity!L12+Demand!L12</f>
        <v>0</v>
      </c>
      <c r="N12" s="3"/>
      <c r="O12" s="3"/>
      <c r="P12" s="3"/>
      <c r="Q12" s="3"/>
      <c r="R12" s="3"/>
      <c r="S12" s="3"/>
    </row>
    <row r="13" spans="1:19" ht="11.25" x14ac:dyDescent="0.2">
      <c r="A13" s="3">
        <f t="shared" ref="A13:A18" si="3">A12+1</f>
        <v>5</v>
      </c>
      <c r="B13" s="3" t="s">
        <v>422</v>
      </c>
      <c r="C13" s="3"/>
      <c r="D13" s="3"/>
      <c r="E13" s="3">
        <f t="shared" ca="1" si="2"/>
        <v>45377927</v>
      </c>
      <c r="F13" s="3">
        <f ca="1">F100+ROUND(F9*(Input!$E$40+Input!$E$41),0)</f>
        <v>29674073</v>
      </c>
      <c r="G13" s="3">
        <f ca="1">G100+ROUND(G9*(Input!$E$40+Input!$E$41),0)</f>
        <v>9243341</v>
      </c>
      <c r="H13" s="3">
        <f ca="1">H100+ROUND(H9*(Input!$E$40+Input!$E$41),0)</f>
        <v>12141</v>
      </c>
      <c r="I13" s="3">
        <f ca="1">I100+ROUND(I9*(Input!$E$40+Input!$E$41),0)</f>
        <v>59307</v>
      </c>
      <c r="J13" s="3">
        <f ca="1">J100+ROUND(J9*(Input!$E$40+Input!$E$41),0)</f>
        <v>6389065</v>
      </c>
      <c r="K13" s="3">
        <f ca="1">K100+ROUND(K9*(Input!$E$40+Input!$E$41),0)</f>
        <v>0</v>
      </c>
      <c r="L13" s="3">
        <f ca="1">L100+ROUND(L9*(Input!$E$40+Input!$E$41),0)</f>
        <v>0</v>
      </c>
      <c r="N13" s="3"/>
      <c r="O13" s="3"/>
      <c r="P13" s="3"/>
      <c r="Q13" s="3"/>
      <c r="R13" s="3"/>
      <c r="S13" s="3"/>
    </row>
    <row r="14" spans="1:19" ht="11.25" x14ac:dyDescent="0.2">
      <c r="A14" s="3">
        <f t="shared" si="3"/>
        <v>6</v>
      </c>
      <c r="B14" s="3" t="s">
        <v>423</v>
      </c>
      <c r="C14" s="3"/>
      <c r="D14" s="3"/>
      <c r="E14" s="3">
        <f t="shared" ca="1" si="2"/>
        <v>15939783.859999999</v>
      </c>
      <c r="F14" s="3">
        <f ca="1">F101</f>
        <v>10262609</v>
      </c>
      <c r="G14" s="3">
        <f t="shared" ref="G14:L14" ca="1" si="4">G101</f>
        <v>3150131</v>
      </c>
      <c r="H14" s="3">
        <f t="shared" ca="1" si="4"/>
        <v>4212</v>
      </c>
      <c r="I14" s="3">
        <f t="shared" ca="1" si="4"/>
        <v>17839.86</v>
      </c>
      <c r="J14" s="3">
        <f t="shared" ca="1" si="4"/>
        <v>2504992</v>
      </c>
      <c r="K14" s="3">
        <f t="shared" ca="1" si="4"/>
        <v>0</v>
      </c>
      <c r="L14" s="3">
        <f t="shared" ca="1" si="4"/>
        <v>0</v>
      </c>
      <c r="N14" s="3"/>
      <c r="O14" s="3"/>
      <c r="P14" s="3"/>
      <c r="Q14" s="3"/>
      <c r="R14" s="3"/>
      <c r="S14" s="3"/>
    </row>
    <row r="15" spans="1:19" ht="11.25" x14ac:dyDescent="0.2">
      <c r="A15" s="3">
        <f t="shared" si="3"/>
        <v>7</v>
      </c>
      <c r="B15" s="3" t="s">
        <v>424</v>
      </c>
      <c r="C15" s="3"/>
      <c r="D15" s="3"/>
      <c r="E15" s="3">
        <f t="shared" ca="1" si="2"/>
        <v>7781833</v>
      </c>
      <c r="F15" s="1">
        <f ca="1">F102+ROUND(F9*Input!$E$45,0)</f>
        <v>5580264</v>
      </c>
      <c r="G15" s="1">
        <f ca="1">G102+ROUND(G9*Input!$E$45,0)</f>
        <v>3374496</v>
      </c>
      <c r="H15" s="1">
        <f ca="1">H102+ROUND(H9*Input!$E$45,0)</f>
        <v>2848</v>
      </c>
      <c r="I15" s="1">
        <f ca="1">I102+ROUND(I9*Input!$E$45,0)</f>
        <v>118907</v>
      </c>
      <c r="J15" s="1">
        <f ca="1">J102+ROUND(J9*Input!$E$45,0)</f>
        <v>-1294682</v>
      </c>
      <c r="K15" s="1">
        <f ca="1">K102+ROUND(K9*Input!$E$45,0)</f>
        <v>0</v>
      </c>
      <c r="L15" s="1">
        <f ca="1">L102+ROUND(L9*Input!$E$45,0)</f>
        <v>0</v>
      </c>
      <c r="N15" s="3"/>
      <c r="O15" s="3"/>
      <c r="P15" s="3"/>
      <c r="Q15" s="3"/>
      <c r="R15" s="3"/>
      <c r="S15" s="3"/>
    </row>
    <row r="16" spans="1:19" ht="11.25" x14ac:dyDescent="0.2">
      <c r="A16" s="3">
        <f t="shared" si="3"/>
        <v>8</v>
      </c>
      <c r="B16" s="3" t="s">
        <v>425</v>
      </c>
      <c r="C16" s="3"/>
      <c r="D16" s="3"/>
      <c r="E16" s="3">
        <f ca="1">SUM(F16:L16)</f>
        <v>1416521.3091967653</v>
      </c>
      <c r="F16" s="1">
        <f ca="1">F103+ROUND(F9*Input!$E$43,0)</f>
        <v>1018830.1987209069</v>
      </c>
      <c r="G16" s="1">
        <f ca="1">G103+ROUND(G9*Input!$E$43,0)</f>
        <v>621582.80131506594</v>
      </c>
      <c r="H16" s="1">
        <f ca="1">H103+ROUND(H9*Input!$E$43,0)</f>
        <v>520.0059380061798</v>
      </c>
      <c r="I16" s="1">
        <f ca="1">I103+ROUND(I9*Input!$E$43,0)</f>
        <v>22322.800225885188</v>
      </c>
      <c r="J16" s="1">
        <f ca="1">J103+ROUND(J9*Input!$E$43,0)</f>
        <v>-246734.49700309872</v>
      </c>
      <c r="K16" s="1">
        <f ca="1">K103+ROUND(K9*Input!$E$43,0)</f>
        <v>0</v>
      </c>
      <c r="L16" s="1">
        <f ca="1">L103+ROUND(L9*Input!$E$43,0)</f>
        <v>0</v>
      </c>
      <c r="N16" s="3"/>
      <c r="O16" s="3"/>
      <c r="P16" s="3"/>
      <c r="Q16" s="3"/>
      <c r="R16" s="3"/>
      <c r="S16" s="3"/>
    </row>
    <row r="17" spans="1:19" ht="11.25" x14ac:dyDescent="0.2">
      <c r="A17" s="3">
        <f t="shared" si="3"/>
        <v>9</v>
      </c>
      <c r="B17" s="3" t="s">
        <v>426</v>
      </c>
      <c r="C17" s="3"/>
      <c r="D17" s="3"/>
      <c r="E17" s="26">
        <f ca="1">SUM(F17:L17)</f>
        <v>4790882</v>
      </c>
      <c r="F17" s="26">
        <f ca="1">F104</f>
        <v>2789635</v>
      </c>
      <c r="G17" s="26">
        <f t="shared" ref="G17:L17" ca="1" si="5">G104</f>
        <v>1052137</v>
      </c>
      <c r="H17" s="26">
        <f t="shared" ca="1" si="5"/>
        <v>1604</v>
      </c>
      <c r="I17" s="26">
        <f t="shared" ca="1" si="5"/>
        <v>8556</v>
      </c>
      <c r="J17" s="26">
        <f t="shared" ca="1" si="5"/>
        <v>938950</v>
      </c>
      <c r="K17" s="26">
        <f t="shared" ca="1" si="5"/>
        <v>0</v>
      </c>
      <c r="L17" s="26">
        <f t="shared" ca="1" si="5"/>
        <v>0</v>
      </c>
      <c r="N17" s="3"/>
      <c r="O17" s="3"/>
      <c r="P17" s="3"/>
      <c r="Q17" s="3"/>
      <c r="R17" s="3"/>
      <c r="S17" s="3"/>
    </row>
    <row r="18" spans="1:19" ht="11.25" x14ac:dyDescent="0.2">
      <c r="A18" s="3">
        <f t="shared" si="3"/>
        <v>10</v>
      </c>
      <c r="B18" s="3" t="s">
        <v>415</v>
      </c>
      <c r="C18" s="3"/>
      <c r="D18" s="3"/>
      <c r="E18" s="3">
        <f t="shared" ref="E18:L18" ca="1" si="6">SUM(E12:E17)</f>
        <v>96782897.279196769</v>
      </c>
      <c r="F18" s="3">
        <f t="shared" ca="1" si="6"/>
        <v>63132505.788720906</v>
      </c>
      <c r="G18" s="3">
        <f t="shared" ca="1" si="6"/>
        <v>25085534.761315066</v>
      </c>
      <c r="H18" s="3">
        <f t="shared" ca="1" si="6"/>
        <v>46333.565938006177</v>
      </c>
      <c r="I18" s="3">
        <f t="shared" ca="1" si="6"/>
        <v>226932.66022588516</v>
      </c>
      <c r="J18" s="3">
        <f t="shared" ca="1" si="6"/>
        <v>8291590.5029969011</v>
      </c>
      <c r="K18" s="3">
        <f t="shared" ca="1" si="6"/>
        <v>0</v>
      </c>
      <c r="L18" s="3">
        <f t="shared" ca="1" si="6"/>
        <v>0</v>
      </c>
      <c r="N18" s="3"/>
      <c r="O18" s="3"/>
      <c r="P18" s="3"/>
      <c r="Q18" s="3"/>
      <c r="R18" s="3"/>
      <c r="S18" s="3"/>
    </row>
    <row r="19" spans="1:19" ht="11.25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N19" s="3"/>
      <c r="O19" s="3"/>
      <c r="P19" s="3"/>
      <c r="Q19" s="3"/>
      <c r="R19" s="3"/>
      <c r="S19" s="3"/>
    </row>
    <row r="20" spans="1:19" ht="11.25" x14ac:dyDescent="0.2">
      <c r="A20" s="3">
        <f>A18+1</f>
        <v>11</v>
      </c>
      <c r="B20" s="3" t="s">
        <v>48</v>
      </c>
      <c r="C20" s="3"/>
      <c r="D20" s="3"/>
      <c r="E20" s="3">
        <f ca="1">E10-E18</f>
        <v>21307642.130803227</v>
      </c>
      <c r="F20" s="3">
        <f ca="1">F10-F18</f>
        <v>13019194.451279089</v>
      </c>
      <c r="G20" s="3">
        <f t="shared" ref="G20:L20" ca="1" si="7">G10-G18</f>
        <v>8426661.6386849321</v>
      </c>
      <c r="H20" s="3">
        <f t="shared" ca="1" si="7"/>
        <v>9894.1940619938323</v>
      </c>
      <c r="I20" s="3">
        <f t="shared" ca="1" si="7"/>
        <v>254804.69977411482</v>
      </c>
      <c r="J20" s="3">
        <f t="shared" ca="1" si="7"/>
        <v>-402912.85299690161</v>
      </c>
      <c r="K20" s="3">
        <f t="shared" ca="1" si="7"/>
        <v>0</v>
      </c>
      <c r="L20" s="3">
        <f t="shared" ca="1" si="7"/>
        <v>0</v>
      </c>
      <c r="N20" s="3"/>
      <c r="O20" s="3"/>
      <c r="P20" s="3"/>
      <c r="Q20" s="3"/>
      <c r="R20" s="3"/>
      <c r="S20" s="3"/>
    </row>
    <row r="21" spans="1:19" ht="11.25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N21" s="3"/>
      <c r="O21" s="3"/>
      <c r="P21" s="3"/>
      <c r="Q21" s="3"/>
      <c r="R21" s="3"/>
      <c r="S21" s="3"/>
    </row>
    <row r="22" spans="1:19" ht="11.25" x14ac:dyDescent="0.2">
      <c r="A22" s="3">
        <f>A20+1</f>
        <v>12</v>
      </c>
      <c r="B22" s="3" t="s">
        <v>427</v>
      </c>
      <c r="C22" s="3"/>
      <c r="D22" s="3"/>
      <c r="E22" s="26">
        <f ca="1">SUM(F22:L22)</f>
        <v>6688725</v>
      </c>
      <c r="F22" s="26">
        <f ca="1">F109</f>
        <v>3655277</v>
      </c>
      <c r="G22" s="26">
        <f t="shared" ref="G22:L22" ca="1" si="8">G109</f>
        <v>1693088</v>
      </c>
      <c r="H22" s="26">
        <f t="shared" ca="1" si="8"/>
        <v>3176</v>
      </c>
      <c r="I22" s="26">
        <f t="shared" ca="1" si="8"/>
        <v>12817</v>
      </c>
      <c r="J22" s="26">
        <f t="shared" ca="1" si="8"/>
        <v>1324367</v>
      </c>
      <c r="K22" s="26">
        <f t="shared" ca="1" si="8"/>
        <v>0</v>
      </c>
      <c r="L22" s="26">
        <f t="shared" ca="1" si="8"/>
        <v>0</v>
      </c>
      <c r="N22" s="3"/>
      <c r="O22" s="3"/>
      <c r="P22" s="3"/>
      <c r="Q22" s="3"/>
      <c r="R22" s="3"/>
      <c r="S22" s="3"/>
    </row>
    <row r="23" spans="1:19" ht="11.25" x14ac:dyDescent="0.2">
      <c r="A23" s="3">
        <f>A22+1</f>
        <v>13</v>
      </c>
      <c r="B23" s="3" t="s">
        <v>417</v>
      </c>
      <c r="C23" s="3"/>
      <c r="D23" s="3"/>
      <c r="E23" s="3">
        <f t="shared" ref="E23:L23" ca="1" si="9">E20-E22</f>
        <v>14618917.130803227</v>
      </c>
      <c r="F23" s="3">
        <f t="shared" ca="1" si="9"/>
        <v>9363917.4512790889</v>
      </c>
      <c r="G23" s="3">
        <f t="shared" ca="1" si="9"/>
        <v>6733573.6386849321</v>
      </c>
      <c r="H23" s="3">
        <f t="shared" ca="1" si="9"/>
        <v>6718.1940619938323</v>
      </c>
      <c r="I23" s="3">
        <f t="shared" ca="1" si="9"/>
        <v>241987.69977411482</v>
      </c>
      <c r="J23" s="3">
        <f t="shared" ca="1" si="9"/>
        <v>-1727279.8529969016</v>
      </c>
      <c r="K23" s="3">
        <f t="shared" ca="1" si="9"/>
        <v>0</v>
      </c>
      <c r="L23" s="3">
        <f t="shared" ca="1" si="9"/>
        <v>0</v>
      </c>
      <c r="N23" s="3"/>
      <c r="O23" s="3"/>
      <c r="P23" s="3"/>
      <c r="Q23" s="3"/>
      <c r="R23" s="3"/>
      <c r="S23" s="3"/>
    </row>
    <row r="24" spans="1:19" ht="11.2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N24" s="3"/>
      <c r="O24" s="3"/>
      <c r="P24" s="3"/>
      <c r="Q24" s="3"/>
      <c r="R24" s="3"/>
      <c r="S24" s="3"/>
    </row>
    <row r="25" spans="1:19" ht="11.25" x14ac:dyDescent="0.2">
      <c r="A25" s="3">
        <f>A23+1</f>
        <v>14</v>
      </c>
      <c r="B25" s="3" t="s">
        <v>428</v>
      </c>
      <c r="C25" s="3"/>
      <c r="D25" s="3"/>
      <c r="E25" s="3">
        <f ca="1">E113</f>
        <v>253360780.86538461</v>
      </c>
      <c r="F25" s="3">
        <f ca="1">F113</f>
        <v>138457476</v>
      </c>
      <c r="G25" s="3">
        <f t="shared" ref="G25:L25" ca="1" si="10">G113</f>
        <v>64132114</v>
      </c>
      <c r="H25" s="3">
        <f t="shared" ca="1" si="10"/>
        <v>120294</v>
      </c>
      <c r="I25" s="3">
        <f t="shared" ca="1" si="10"/>
        <v>485505.45000000007</v>
      </c>
      <c r="J25" s="3">
        <f t="shared" ca="1" si="10"/>
        <v>50165419</v>
      </c>
      <c r="K25" s="3">
        <f t="shared" ca="1" si="10"/>
        <v>0</v>
      </c>
      <c r="L25" s="3">
        <f t="shared" ca="1" si="10"/>
        <v>0</v>
      </c>
      <c r="N25" s="3"/>
      <c r="O25" s="3"/>
      <c r="P25" s="3"/>
      <c r="Q25" s="3"/>
      <c r="R25" s="3"/>
      <c r="S25" s="3"/>
    </row>
    <row r="26" spans="1:19" ht="11.25" x14ac:dyDescent="0.2">
      <c r="A26" s="3"/>
      <c r="B26" s="3"/>
      <c r="C26" s="3"/>
      <c r="D26" s="3"/>
      <c r="E26" s="48"/>
      <c r="F26" s="48"/>
      <c r="G26" s="48"/>
      <c r="H26" s="48"/>
      <c r="I26" s="48"/>
      <c r="J26" s="48"/>
      <c r="K26" s="48"/>
      <c r="L26" s="48"/>
      <c r="N26" s="3"/>
      <c r="O26" s="3"/>
      <c r="P26" s="3"/>
      <c r="Q26" s="3"/>
      <c r="R26" s="3"/>
      <c r="S26" s="3"/>
    </row>
    <row r="27" spans="1:19" ht="11.25" x14ac:dyDescent="0.2">
      <c r="A27" s="3">
        <f>A25+1</f>
        <v>15</v>
      </c>
      <c r="B27" s="3" t="s">
        <v>429</v>
      </c>
      <c r="C27" s="3"/>
      <c r="D27" s="3"/>
      <c r="E27" s="49">
        <f t="shared" ref="E27:L27" ca="1" si="11">IF(E25=0,0,ROUND(E20/E25,4))</f>
        <v>8.4099999999999994E-2</v>
      </c>
      <c r="F27" s="49">
        <f t="shared" ca="1" si="11"/>
        <v>9.4E-2</v>
      </c>
      <c r="G27" s="49">
        <f t="shared" ca="1" si="11"/>
        <v>0.13139999999999999</v>
      </c>
      <c r="H27" s="49">
        <f t="shared" ca="1" si="11"/>
        <v>8.2299999999999998E-2</v>
      </c>
      <c r="I27" s="49">
        <f t="shared" ca="1" si="11"/>
        <v>0.52480000000000004</v>
      </c>
      <c r="J27" s="49">
        <f t="shared" ca="1" si="11"/>
        <v>-8.0000000000000002E-3</v>
      </c>
      <c r="K27" s="49">
        <f t="shared" ca="1" si="11"/>
        <v>0</v>
      </c>
      <c r="L27" s="49">
        <f t="shared" ca="1" si="11"/>
        <v>0</v>
      </c>
      <c r="N27" s="3"/>
      <c r="O27" s="3"/>
      <c r="P27" s="3"/>
      <c r="Q27" s="3"/>
      <c r="R27" s="3"/>
      <c r="S27" s="3"/>
    </row>
    <row r="28" spans="1:19" ht="11.25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N28" s="3"/>
      <c r="O28" s="3"/>
      <c r="P28" s="3"/>
      <c r="Q28" s="3"/>
      <c r="R28" s="3"/>
      <c r="S28" s="3"/>
    </row>
    <row r="29" spans="1:19" ht="11.25" x14ac:dyDescent="0.2">
      <c r="A29" s="3">
        <f>A27+1</f>
        <v>16</v>
      </c>
      <c r="B29" s="3" t="s">
        <v>420</v>
      </c>
      <c r="C29" s="3"/>
      <c r="D29" s="3"/>
      <c r="E29" s="24">
        <v>1</v>
      </c>
      <c r="F29" s="24">
        <f ca="1">ROUND(F27/$E$59,2)</f>
        <v>1.1200000000000001</v>
      </c>
      <c r="G29" s="24">
        <f ca="1">ROUND(G27/$E$59,2)</f>
        <v>1.56</v>
      </c>
      <c r="H29" s="24">
        <f ca="1">ROUND(H27/$E$59,2)</f>
        <v>0.98</v>
      </c>
      <c r="I29" s="24">
        <f ca="1">ROUND(I27/$E$59,2)</f>
        <v>6.24</v>
      </c>
      <c r="J29" s="24">
        <f ca="1">ROUND(J27/$E$59,2)</f>
        <v>-0.1</v>
      </c>
      <c r="K29" s="24">
        <f ca="1">ROUND(K27/'Total Co'!$E$115,2)</f>
        <v>0</v>
      </c>
      <c r="L29" s="24">
        <f ca="1">ROUND(L27/'Total Co'!$E$115,2)</f>
        <v>0</v>
      </c>
      <c r="N29" s="3"/>
      <c r="O29" s="3"/>
      <c r="P29" s="3"/>
      <c r="Q29" s="3"/>
      <c r="R29" s="3"/>
      <c r="S29" s="3"/>
    </row>
    <row r="30" spans="1:19" ht="11.25" x14ac:dyDescent="0.2">
      <c r="A30" s="3"/>
      <c r="B30" s="3"/>
      <c r="C30" s="3"/>
      <c r="D30" s="3"/>
      <c r="E30" s="31"/>
      <c r="F30" s="31"/>
      <c r="G30" s="31"/>
      <c r="H30" s="31"/>
      <c r="I30" s="31"/>
      <c r="J30" s="31"/>
      <c r="K30" s="31"/>
      <c r="L30" s="31"/>
      <c r="N30" s="3"/>
      <c r="O30" s="3"/>
      <c r="P30" s="3"/>
      <c r="Q30" s="3"/>
      <c r="R30" s="3"/>
      <c r="S30" s="3"/>
    </row>
    <row r="31" spans="1:19" ht="11.25" x14ac:dyDescent="0.2">
      <c r="A31" s="3"/>
      <c r="B31" s="3"/>
      <c r="C31" s="3"/>
      <c r="D31" s="3"/>
      <c r="E31" s="31"/>
      <c r="F31" s="31"/>
      <c r="G31" s="31"/>
      <c r="H31" s="31"/>
      <c r="I31" s="31"/>
      <c r="J31" s="31"/>
      <c r="K31" s="31"/>
      <c r="L31" s="31"/>
      <c r="N31" s="3"/>
      <c r="O31" s="3"/>
      <c r="P31" s="3"/>
      <c r="Q31" s="3"/>
      <c r="R31" s="3"/>
      <c r="S31" s="3"/>
    </row>
    <row r="32" spans="1:19" ht="11.25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N32" s="3"/>
      <c r="O32" s="3"/>
      <c r="P32" s="3"/>
      <c r="Q32" s="3"/>
      <c r="R32" s="3"/>
      <c r="S32" s="3"/>
    </row>
    <row r="33" spans="1:19" ht="11.25" x14ac:dyDescent="0.2">
      <c r="A33" s="3"/>
      <c r="B33" s="3"/>
      <c r="C33" s="3"/>
      <c r="D33" s="3"/>
      <c r="E33" s="24"/>
      <c r="F33" s="24"/>
      <c r="G33" s="24"/>
      <c r="H33" s="24"/>
      <c r="I33" s="24"/>
      <c r="J33" s="24"/>
      <c r="K33" s="24"/>
      <c r="L33" s="24"/>
      <c r="N33" s="3"/>
      <c r="O33" s="3"/>
      <c r="P33" s="3"/>
      <c r="Q33" s="3"/>
      <c r="R33" s="3"/>
      <c r="S33" s="3"/>
    </row>
    <row r="34" spans="1:19" ht="11.25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N34" s="3"/>
      <c r="O34" s="3"/>
      <c r="P34" s="3"/>
      <c r="Q34" s="3"/>
      <c r="R34" s="3"/>
      <c r="S34" s="3"/>
    </row>
    <row r="35" spans="1:19" ht="11.25" x14ac:dyDescent="0.2">
      <c r="A35" s="3" t="s">
        <v>810</v>
      </c>
      <c r="B35" s="3"/>
      <c r="C35" s="3"/>
      <c r="D35" s="3"/>
      <c r="E35" s="3"/>
      <c r="F35" s="325" t="str">
        <f>""&amp;+Input!$B$1</f>
        <v>COLUMBIA GAS OF KENTUCKY, INC.</v>
      </c>
      <c r="H35" s="3"/>
      <c r="I35" s="3"/>
      <c r="J35" s="3"/>
      <c r="K35" s="3"/>
      <c r="L35" s="32" t="str">
        <f>Input!$B$2</f>
        <v>ATTACHMENT CEN-2</v>
      </c>
      <c r="N35" s="3"/>
      <c r="O35" s="3"/>
      <c r="P35" s="3"/>
      <c r="Q35" s="3"/>
      <c r="R35" s="3"/>
      <c r="S35" s="3"/>
    </row>
    <row r="36" spans="1:19" ht="11.25" x14ac:dyDescent="0.2">
      <c r="A36" s="3" t="str">
        <f>Input!$B$7</f>
        <v>DEMAND-COMMODITY</v>
      </c>
      <c r="B36" s="3"/>
      <c r="C36" s="3"/>
      <c r="D36" s="3"/>
      <c r="E36" s="3"/>
      <c r="F36" s="325" t="s">
        <v>831</v>
      </c>
      <c r="H36" s="3"/>
      <c r="I36" s="3"/>
      <c r="J36" s="3"/>
      <c r="K36" s="3"/>
      <c r="L36" s="32" t="str">
        <f>"PAGE 2 OF "&amp;FIXED(Input!$B$8,0,TRUE)</f>
        <v>PAGE 2 OF 129</v>
      </c>
      <c r="N36" s="3"/>
      <c r="O36" s="3"/>
      <c r="P36" s="3"/>
      <c r="Q36" s="3"/>
      <c r="R36" s="3"/>
      <c r="S36" s="3"/>
    </row>
    <row r="37" spans="1:19" ht="11.25" x14ac:dyDescent="0.2">
      <c r="A37" s="17" t="str">
        <f>Input!$B$6</f>
        <v>FORECASTED TEST YEAR - ORIGINAL FILING</v>
      </c>
      <c r="B37" s="17"/>
      <c r="C37" s="17"/>
      <c r="D37" s="18"/>
      <c r="E37" s="17"/>
      <c r="F37" s="19" t="str">
        <f>"FOR THE TWELVE MONTHS ENDED "&amp;Input!$B$4</f>
        <v>FOR THE TWELVE MONTHS ENDED 12/31/2017</v>
      </c>
      <c r="G37" s="329"/>
      <c r="H37" s="17"/>
      <c r="I37" s="17"/>
      <c r="J37" s="17"/>
      <c r="K37" s="17"/>
      <c r="L37" s="183" t="str">
        <f>"WITNESS: "&amp;Input!$B$5</f>
        <v>WITNESS: C. NOTESTONE</v>
      </c>
      <c r="N37" s="3"/>
      <c r="O37" s="3"/>
      <c r="P37" s="3"/>
      <c r="Q37" s="3"/>
      <c r="R37" s="3"/>
      <c r="S37" s="3"/>
    </row>
    <row r="38" spans="1:19" ht="11.25" x14ac:dyDescent="0.2">
      <c r="A38" s="325" t="s">
        <v>5</v>
      </c>
      <c r="B38" s="3" t="s">
        <v>6</v>
      </c>
      <c r="C38" s="3"/>
      <c r="D38" s="325" t="s">
        <v>7</v>
      </c>
      <c r="E38" s="325" t="s">
        <v>8</v>
      </c>
      <c r="F38" s="3"/>
      <c r="G38" s="3"/>
      <c r="H38" s="3"/>
      <c r="I38" s="3"/>
      <c r="J38" s="3"/>
      <c r="K38" s="3"/>
      <c r="L38" s="3"/>
      <c r="N38" s="3"/>
      <c r="O38" s="3"/>
      <c r="P38" s="3"/>
      <c r="Q38" s="3"/>
      <c r="R38" s="3"/>
      <c r="S38" s="3"/>
    </row>
    <row r="39" spans="1:19" ht="11.25" x14ac:dyDescent="0.2">
      <c r="A39" s="341" t="s">
        <v>9</v>
      </c>
      <c r="B39" s="341" t="s">
        <v>9</v>
      </c>
      <c r="C39" s="341" t="str">
        <f>"                        ACCOUNT TITLE                "</f>
        <v xml:space="preserve">                        ACCOUNT TITLE                </v>
      </c>
      <c r="D39" s="341" t="s">
        <v>10</v>
      </c>
      <c r="E39" s="341" t="s">
        <v>11</v>
      </c>
      <c r="F39" s="341" t="str">
        <f>"  "&amp;+Input!$C$12</f>
        <v xml:space="preserve">  GS-RESIDENTIAL</v>
      </c>
      <c r="G39" s="341" t="str">
        <f>Input!$C$13</f>
        <v>GS-OTHER</v>
      </c>
      <c r="H39" s="341" t="str">
        <f>Input!$C$14</f>
        <v>IUS</v>
      </c>
      <c r="I39" s="341" t="str">
        <f>Input!$C$15</f>
        <v>DS-ML</v>
      </c>
      <c r="J39" s="341" t="str">
        <f>Input!$C$16</f>
        <v>DS/IS</v>
      </c>
      <c r="K39" s="341" t="str">
        <f>Input!$C$17</f>
        <v>NOT USED</v>
      </c>
      <c r="L39" s="341" t="str">
        <f>Input!$C$18</f>
        <v>NOT USED</v>
      </c>
      <c r="N39" s="3"/>
      <c r="O39" s="3"/>
      <c r="P39" s="3"/>
      <c r="Q39" s="3"/>
      <c r="R39" s="3"/>
      <c r="S39" s="3"/>
    </row>
    <row r="40" spans="1:19" ht="11.25" x14ac:dyDescent="0.2">
      <c r="A40" s="3"/>
      <c r="B40" s="342" t="s">
        <v>13</v>
      </c>
      <c r="C40" s="342" t="s">
        <v>14</v>
      </c>
      <c r="D40" s="325" t="s">
        <v>15</v>
      </c>
      <c r="E40" s="325" t="s">
        <v>16</v>
      </c>
      <c r="F40" s="325" t="s">
        <v>17</v>
      </c>
      <c r="G40" s="325" t="s">
        <v>18</v>
      </c>
      <c r="H40" s="325" t="s">
        <v>19</v>
      </c>
      <c r="I40" s="325" t="s">
        <v>20</v>
      </c>
      <c r="J40" s="325" t="s">
        <v>21</v>
      </c>
      <c r="K40" s="325" t="s">
        <v>22</v>
      </c>
      <c r="L40" s="325" t="s">
        <v>23</v>
      </c>
      <c r="N40" s="3"/>
      <c r="O40" s="3"/>
      <c r="P40" s="3"/>
      <c r="Q40" s="3"/>
      <c r="R40" s="3"/>
      <c r="S40" s="3"/>
    </row>
    <row r="41" spans="1:19" ht="11.25" x14ac:dyDescent="0.2">
      <c r="A41" s="3"/>
      <c r="B41" s="3"/>
      <c r="C41" s="3"/>
      <c r="D41" s="3"/>
      <c r="E41" s="325" t="s">
        <v>26</v>
      </c>
      <c r="F41" s="325" t="s">
        <v>26</v>
      </c>
      <c r="G41" s="325" t="s">
        <v>26</v>
      </c>
      <c r="H41" s="325" t="s">
        <v>26</v>
      </c>
      <c r="I41" s="325" t="s">
        <v>26</v>
      </c>
      <c r="J41" s="325" t="s">
        <v>26</v>
      </c>
      <c r="K41" s="325" t="s">
        <v>26</v>
      </c>
      <c r="L41" s="325" t="s">
        <v>26</v>
      </c>
      <c r="N41" s="3"/>
      <c r="O41" s="3"/>
      <c r="P41" s="3"/>
      <c r="Q41" s="3"/>
      <c r="R41" s="3"/>
      <c r="S41" s="3"/>
    </row>
    <row r="42" spans="1:19" ht="11.25" x14ac:dyDescent="0.2">
      <c r="A42" s="3">
        <v>1</v>
      </c>
      <c r="B42" s="3" t="s">
        <v>421</v>
      </c>
      <c r="C42" s="3"/>
      <c r="D42" s="3"/>
      <c r="E42" s="3">
        <f ca="1">E73+E97</f>
        <v>118090544.39916581</v>
      </c>
      <c r="F42" s="3">
        <f t="shared" ref="F42:L42" ca="1" si="12">F73+F97</f>
        <v>73876083.374178842</v>
      </c>
      <c r="G42" s="3">
        <f t="shared" ca="1" si="12"/>
        <v>28492059.690684382</v>
      </c>
      <c r="H42" s="3">
        <f t="shared" ca="1" si="12"/>
        <v>56596.155739335816</v>
      </c>
      <c r="I42" s="3">
        <f t="shared" ca="1" si="12"/>
        <v>127591.67629752506</v>
      </c>
      <c r="J42" s="3">
        <f t="shared" ca="1" si="12"/>
        <v>15538212.261629906</v>
      </c>
      <c r="K42" s="3">
        <f t="shared" ca="1" si="12"/>
        <v>0</v>
      </c>
      <c r="L42" s="3">
        <f t="shared" ca="1" si="12"/>
        <v>0</v>
      </c>
      <c r="N42" s="3"/>
      <c r="O42" s="3"/>
      <c r="P42" s="3"/>
      <c r="Q42" s="3"/>
      <c r="R42" s="3"/>
      <c r="S42" s="3"/>
    </row>
    <row r="43" spans="1:19" ht="11.2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N43" s="3"/>
      <c r="O43" s="3"/>
      <c r="P43" s="3"/>
      <c r="Q43" s="3"/>
      <c r="R43" s="3"/>
      <c r="S43" s="3"/>
    </row>
    <row r="44" spans="1:19" ht="11.25" x14ac:dyDescent="0.2">
      <c r="A44" s="3">
        <f>A42+1</f>
        <v>2</v>
      </c>
      <c r="B44" s="3" t="s">
        <v>409</v>
      </c>
      <c r="C44" s="3"/>
      <c r="D44" s="3"/>
      <c r="E44" s="3">
        <f>'Total Co'!E99+'Total Co'!E75</f>
        <v>21475950.109999996</v>
      </c>
      <c r="F44" s="3">
        <f>'Total Co'!F99+'Total Co'!F75</f>
        <v>13807094.589999998</v>
      </c>
      <c r="G44" s="3">
        <f>'Total Co'!G99+'Total Co'!G75</f>
        <v>7643846.9600000009</v>
      </c>
      <c r="H44" s="3">
        <f>'Total Co'!H99+'Total Co'!H75</f>
        <v>25008.560000000001</v>
      </c>
      <c r="I44" s="3">
        <f>'Total Co'!I99+'Total Co'!I75</f>
        <v>0</v>
      </c>
      <c r="J44" s="3">
        <f>'Total Co'!J99+'Total Co'!J75</f>
        <v>0</v>
      </c>
      <c r="K44" s="3">
        <f>'Total Co'!K99+'Total Co'!K75</f>
        <v>0</v>
      </c>
      <c r="L44" s="3">
        <f>'Total Co'!L99+'Total Co'!L75</f>
        <v>0</v>
      </c>
      <c r="N44" s="3"/>
      <c r="O44" s="3"/>
      <c r="P44" s="3"/>
      <c r="Q44" s="3"/>
      <c r="R44" s="3"/>
      <c r="S44" s="3"/>
    </row>
    <row r="45" spans="1:19" ht="11.25" x14ac:dyDescent="0.2">
      <c r="A45" s="3">
        <f t="shared" ref="A45:A50" si="13">A44+1</f>
        <v>3</v>
      </c>
      <c r="B45" s="3" t="s">
        <v>422</v>
      </c>
      <c r="C45" s="3"/>
      <c r="D45" s="3"/>
      <c r="E45" s="3">
        <f ca="1">SUM(F45:L45)</f>
        <v>45377927</v>
      </c>
      <c r="F45" s="3">
        <f ca="1">'Total Co'!F100+'Total Co'!F77+'Total Co'!F79</f>
        <v>29648735</v>
      </c>
      <c r="G45" s="3">
        <f ca="1">'Total Co'!G100+'Total Co'!G77+'Total Co'!G79</f>
        <v>9187445</v>
      </c>
      <c r="H45" s="3">
        <f ca="1">'Total Co'!H100+'Total Co'!H77+'Total Co'!H79</f>
        <v>12145</v>
      </c>
      <c r="I45" s="3">
        <f ca="1">'Total Co'!I100+'Total Co'!I77+'Total Co'!I79</f>
        <v>55364</v>
      </c>
      <c r="J45" s="3">
        <f ca="1">'Total Co'!J100+'Total Co'!J77+'Total Co'!J79</f>
        <v>6474238</v>
      </c>
      <c r="K45" s="3">
        <f ca="1">'Total Co'!K100+'Total Co'!K77+'Total Co'!K79</f>
        <v>0</v>
      </c>
      <c r="L45" s="3">
        <f ca="1">'Total Co'!L100+'Total Co'!L77+'Total Co'!L79</f>
        <v>0</v>
      </c>
      <c r="N45" s="3"/>
      <c r="O45" s="3"/>
      <c r="P45" s="3"/>
      <c r="Q45" s="3"/>
      <c r="R45" s="3"/>
      <c r="S45" s="3"/>
    </row>
    <row r="46" spans="1:19" ht="11.25" x14ac:dyDescent="0.2">
      <c r="A46" s="3">
        <f t="shared" si="13"/>
        <v>4</v>
      </c>
      <c r="B46" s="3" t="s">
        <v>423</v>
      </c>
      <c r="C46" s="3"/>
      <c r="D46" s="3"/>
      <c r="E46" s="3">
        <f>'Total Co'!E101</f>
        <v>15939786.563350823</v>
      </c>
      <c r="F46" s="3">
        <f ca="1">'Total Co'!F101</f>
        <v>10262609</v>
      </c>
      <c r="G46" s="3">
        <f ca="1">'Total Co'!G101</f>
        <v>3150131</v>
      </c>
      <c r="H46" s="3">
        <f ca="1">'Total Co'!H101</f>
        <v>4212</v>
      </c>
      <c r="I46" s="3">
        <f ca="1">'Total Co'!I101</f>
        <v>17839.86</v>
      </c>
      <c r="J46" s="3">
        <f ca="1">'Total Co'!J101</f>
        <v>2504992</v>
      </c>
      <c r="K46" s="3">
        <f ca="1">'Total Co'!K101</f>
        <v>0</v>
      </c>
      <c r="L46" s="3">
        <f ca="1">'Total Co'!L101</f>
        <v>0</v>
      </c>
      <c r="N46" s="3"/>
      <c r="O46" s="3"/>
      <c r="P46" s="3"/>
      <c r="Q46" s="3"/>
      <c r="R46" s="3"/>
      <c r="S46" s="3"/>
    </row>
    <row r="47" spans="1:19" ht="11.25" x14ac:dyDescent="0.2">
      <c r="A47" s="3">
        <f t="shared" si="13"/>
        <v>5</v>
      </c>
      <c r="B47" s="3" t="s">
        <v>424</v>
      </c>
      <c r="C47" s="3"/>
      <c r="D47" s="3"/>
      <c r="E47" s="3">
        <f ca="1">SUM(F47:L47)</f>
        <v>7781834</v>
      </c>
      <c r="F47" s="3">
        <f ca="1">'Total Co'!F102+'Total Co'!F87</f>
        <v>4839922</v>
      </c>
      <c r="G47" s="3">
        <f ca="1">'Total Co'!G102+'Total Co'!G87</f>
        <v>1741261</v>
      </c>
      <c r="H47" s="3">
        <f ca="1">'Total Co'!H102+'Total Co'!H87</f>
        <v>2968</v>
      </c>
      <c r="I47" s="3">
        <f ca="1">'Total Co'!I102+'Total Co'!I87</f>
        <v>3690</v>
      </c>
      <c r="J47" s="3">
        <f ca="1">'Total Co'!J102+'Total Co'!J87</f>
        <v>1193993</v>
      </c>
      <c r="K47" s="3">
        <f ca="1">'Total Co'!K102+'Total Co'!K87</f>
        <v>0</v>
      </c>
      <c r="L47" s="3">
        <f ca="1">'Total Co'!L102+'Total Co'!L87</f>
        <v>0</v>
      </c>
      <c r="N47" s="3"/>
      <c r="O47" s="3"/>
      <c r="P47" s="3"/>
      <c r="Q47" s="3"/>
      <c r="R47" s="3"/>
      <c r="S47" s="3"/>
    </row>
    <row r="48" spans="1:19" ht="11.25" x14ac:dyDescent="0.2">
      <c r="A48" s="3">
        <f t="shared" si="13"/>
        <v>6</v>
      </c>
      <c r="B48" s="3" t="s">
        <v>425</v>
      </c>
      <c r="C48" s="3"/>
      <c r="D48" s="3"/>
      <c r="E48" s="3">
        <f ca="1">SUM(F48:L48)</f>
        <v>1416522.3091967653</v>
      </c>
      <c r="F48" s="3">
        <f ca="1">'Total Co'!F103+'Total Co'!F83</f>
        <v>883814.19872090686</v>
      </c>
      <c r="G48" s="3">
        <f ca="1">'Total Co'!G103+'Total Co'!G83</f>
        <v>323727.80131506594</v>
      </c>
      <c r="H48" s="3">
        <f ca="1">'Total Co'!H103+'Total Co'!H83</f>
        <v>542.0059380061798</v>
      </c>
      <c r="I48" s="3">
        <f ca="1">'Total Co'!I103+'Total Co'!I83</f>
        <v>1310.8002258851884</v>
      </c>
      <c r="J48" s="3">
        <f ca="1">'Total Co'!J103+'Total Co'!J83</f>
        <v>207127.50299690128</v>
      </c>
      <c r="K48" s="3">
        <f ca="1">'Total Co'!K103+'Total Co'!K83</f>
        <v>0</v>
      </c>
      <c r="L48" s="3">
        <f ca="1">'Total Co'!L103+'Total Co'!L83</f>
        <v>0</v>
      </c>
      <c r="N48" s="3"/>
      <c r="O48" s="3"/>
      <c r="P48" s="3"/>
      <c r="Q48" s="3"/>
      <c r="R48" s="3"/>
      <c r="S48" s="3"/>
    </row>
    <row r="49" spans="1:19" ht="11.25" x14ac:dyDescent="0.2">
      <c r="A49" s="3">
        <f t="shared" si="13"/>
        <v>7</v>
      </c>
      <c r="B49" s="3" t="s">
        <v>426</v>
      </c>
      <c r="C49" s="3"/>
      <c r="D49" s="3"/>
      <c r="E49" s="26">
        <f ca="1">SUM(F49:L49)</f>
        <v>4790882</v>
      </c>
      <c r="F49" s="26">
        <f ca="1">'Total Co'!F104</f>
        <v>2789635</v>
      </c>
      <c r="G49" s="26">
        <f ca="1">'Total Co'!G104</f>
        <v>1052137</v>
      </c>
      <c r="H49" s="26">
        <f ca="1">'Total Co'!H104</f>
        <v>1604</v>
      </c>
      <c r="I49" s="26">
        <f ca="1">'Total Co'!I104</f>
        <v>8556</v>
      </c>
      <c r="J49" s="26">
        <f ca="1">'Total Co'!J104</f>
        <v>938950</v>
      </c>
      <c r="K49" s="26">
        <f ca="1">'Total Co'!K104</f>
        <v>0</v>
      </c>
      <c r="L49" s="26">
        <f ca="1">'Total Co'!L104</f>
        <v>0</v>
      </c>
      <c r="N49" s="3"/>
      <c r="O49" s="3"/>
      <c r="P49" s="3"/>
      <c r="Q49" s="3"/>
      <c r="R49" s="3"/>
      <c r="S49" s="3"/>
    </row>
    <row r="50" spans="1:19" ht="11.25" x14ac:dyDescent="0.2">
      <c r="A50" s="3">
        <f t="shared" si="13"/>
        <v>8</v>
      </c>
      <c r="B50" s="3" t="s">
        <v>415</v>
      </c>
      <c r="C50" s="3"/>
      <c r="D50" s="3"/>
      <c r="E50" s="3">
        <f t="shared" ref="E50:L50" ca="1" si="14">SUM(E44:E49)</f>
        <v>96782901.982547596</v>
      </c>
      <c r="F50" s="3">
        <f t="shared" ca="1" si="14"/>
        <v>62231809.788720906</v>
      </c>
      <c r="G50" s="3">
        <f t="shared" ca="1" si="14"/>
        <v>23098548.761315066</v>
      </c>
      <c r="H50" s="3">
        <f t="shared" ca="1" si="14"/>
        <v>46479.565938006177</v>
      </c>
      <c r="I50" s="3">
        <f t="shared" ca="1" si="14"/>
        <v>86760.660225885193</v>
      </c>
      <c r="J50" s="3">
        <f t="shared" ca="1" si="14"/>
        <v>11319300.502996901</v>
      </c>
      <c r="K50" s="3">
        <f t="shared" ca="1" si="14"/>
        <v>0</v>
      </c>
      <c r="L50" s="3">
        <f t="shared" ca="1" si="14"/>
        <v>0</v>
      </c>
      <c r="N50" s="3"/>
      <c r="O50" s="3"/>
      <c r="P50" s="3"/>
      <c r="Q50" s="3"/>
      <c r="R50" s="3"/>
      <c r="S50" s="3"/>
    </row>
    <row r="51" spans="1:19" ht="11.2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N51" s="3"/>
      <c r="O51" s="3"/>
      <c r="P51" s="3"/>
      <c r="Q51" s="3"/>
      <c r="R51" s="3"/>
      <c r="S51" s="3"/>
    </row>
    <row r="52" spans="1:19" ht="11.25" x14ac:dyDescent="0.2">
      <c r="A52" s="3">
        <f>A50+1</f>
        <v>9</v>
      </c>
      <c r="B52" s="3" t="s">
        <v>48</v>
      </c>
      <c r="C52" s="3"/>
      <c r="D52" s="3"/>
      <c r="E52" s="3">
        <f t="shared" ref="E52:L52" ca="1" si="15">E42-E50</f>
        <v>21307642.416618213</v>
      </c>
      <c r="F52" s="3">
        <f t="shared" ca="1" si="15"/>
        <v>11644273.585457936</v>
      </c>
      <c r="G52" s="3">
        <f t="shared" ca="1" si="15"/>
        <v>5393510.9293693155</v>
      </c>
      <c r="H52" s="3">
        <f t="shared" ca="1" si="15"/>
        <v>10116.589801329639</v>
      </c>
      <c r="I52" s="3">
        <f t="shared" ca="1" si="15"/>
        <v>40831.016071639868</v>
      </c>
      <c r="J52" s="3">
        <f t="shared" ca="1" si="15"/>
        <v>4218911.7586330045</v>
      </c>
      <c r="K52" s="3">
        <f t="shared" ca="1" si="15"/>
        <v>0</v>
      </c>
      <c r="L52" s="3">
        <f t="shared" ca="1" si="15"/>
        <v>0</v>
      </c>
      <c r="N52" s="3"/>
      <c r="O52" s="3"/>
      <c r="P52" s="3"/>
      <c r="Q52" s="3"/>
      <c r="R52" s="3"/>
      <c r="S52" s="3"/>
    </row>
    <row r="53" spans="1:19" ht="11.2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N53" s="3"/>
      <c r="O53" s="3"/>
      <c r="P53" s="3"/>
      <c r="Q53" s="3"/>
      <c r="R53" s="3"/>
      <c r="S53" s="3"/>
    </row>
    <row r="54" spans="1:19" ht="11.25" x14ac:dyDescent="0.2">
      <c r="A54" s="3">
        <f>A52+1</f>
        <v>10</v>
      </c>
      <c r="B54" s="3" t="s">
        <v>427</v>
      </c>
      <c r="C54" s="3"/>
      <c r="D54" s="3"/>
      <c r="E54" s="26">
        <f ca="1">SUM(F54:L54)</f>
        <v>6688725</v>
      </c>
      <c r="F54" s="26">
        <f ca="1">'Total Co'!F109</f>
        <v>3655277</v>
      </c>
      <c r="G54" s="26">
        <f ca="1">'Total Co'!G109</f>
        <v>1693088</v>
      </c>
      <c r="H54" s="26">
        <f ca="1">'Total Co'!H109</f>
        <v>3176</v>
      </c>
      <c r="I54" s="26">
        <f ca="1">'Total Co'!I109</f>
        <v>12817</v>
      </c>
      <c r="J54" s="26">
        <f ca="1">'Total Co'!J109</f>
        <v>1324367</v>
      </c>
      <c r="K54" s="26">
        <f ca="1">'Total Co'!K109</f>
        <v>0</v>
      </c>
      <c r="L54" s="26">
        <f ca="1">'Total Co'!L109</f>
        <v>0</v>
      </c>
      <c r="N54" s="3"/>
      <c r="O54" s="3"/>
      <c r="P54" s="3"/>
      <c r="Q54" s="3"/>
      <c r="R54" s="3"/>
      <c r="S54" s="3"/>
    </row>
    <row r="55" spans="1:19" ht="11.25" x14ac:dyDescent="0.2">
      <c r="A55" s="3">
        <f>A54+1</f>
        <v>11</v>
      </c>
      <c r="B55" s="3" t="s">
        <v>417</v>
      </c>
      <c r="C55" s="3"/>
      <c r="D55" s="3"/>
      <c r="E55" s="3">
        <f t="shared" ref="E55:L55" ca="1" si="16">E52-E54</f>
        <v>14618917.416618213</v>
      </c>
      <c r="F55" s="3">
        <f t="shared" ca="1" si="16"/>
        <v>7988996.5854579359</v>
      </c>
      <c r="G55" s="3">
        <f t="shared" ca="1" si="16"/>
        <v>3700422.9293693155</v>
      </c>
      <c r="H55" s="3">
        <f t="shared" ca="1" si="16"/>
        <v>6940.5898013296392</v>
      </c>
      <c r="I55" s="3">
        <f t="shared" ca="1" si="16"/>
        <v>28014.016071639868</v>
      </c>
      <c r="J55" s="3">
        <f t="shared" ca="1" si="16"/>
        <v>2894544.7586330045</v>
      </c>
      <c r="K55" s="3">
        <f t="shared" ca="1" si="16"/>
        <v>0</v>
      </c>
      <c r="L55" s="3">
        <f t="shared" ca="1" si="16"/>
        <v>0</v>
      </c>
      <c r="N55" s="3"/>
      <c r="O55" s="3"/>
      <c r="P55" s="3"/>
      <c r="Q55" s="3"/>
      <c r="R55" s="3"/>
      <c r="S55" s="3"/>
    </row>
    <row r="56" spans="1:19" ht="11.2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N56" s="3"/>
      <c r="O56" s="3"/>
      <c r="P56" s="3"/>
      <c r="Q56" s="3"/>
      <c r="R56" s="3"/>
      <c r="S56" s="3"/>
    </row>
    <row r="57" spans="1:19" ht="11.25" x14ac:dyDescent="0.2">
      <c r="A57" s="3">
        <f>A55+1</f>
        <v>12</v>
      </c>
      <c r="B57" s="3" t="s">
        <v>428</v>
      </c>
      <c r="C57" s="3"/>
      <c r="D57" s="3"/>
      <c r="E57" s="3">
        <f ca="1">'Total Co'!E113</f>
        <v>253360780.86538461</v>
      </c>
      <c r="F57" s="3">
        <f ca="1">'Total Co'!F113</f>
        <v>138457476</v>
      </c>
      <c r="G57" s="3">
        <f ca="1">'Total Co'!G113</f>
        <v>64132114</v>
      </c>
      <c r="H57" s="3">
        <f ca="1">'Total Co'!H113</f>
        <v>120294</v>
      </c>
      <c r="I57" s="3">
        <f ca="1">'Total Co'!I113</f>
        <v>485505.45000000007</v>
      </c>
      <c r="J57" s="3">
        <f ca="1">'Total Co'!J113</f>
        <v>50165419</v>
      </c>
      <c r="K57" s="3">
        <f ca="1">'Total Co'!K113</f>
        <v>0</v>
      </c>
      <c r="L57" s="3">
        <f ca="1">'Total Co'!L113</f>
        <v>0</v>
      </c>
      <c r="N57" s="3"/>
      <c r="O57" s="3"/>
      <c r="P57" s="3"/>
      <c r="Q57" s="3"/>
      <c r="R57" s="3"/>
      <c r="S57" s="3"/>
    </row>
    <row r="58" spans="1:19" ht="11.25" x14ac:dyDescent="0.2">
      <c r="A58" s="3"/>
      <c r="B58" s="3"/>
      <c r="C58" s="3"/>
      <c r="D58" s="3"/>
      <c r="E58" s="48"/>
      <c r="F58" s="48"/>
      <c r="G58" s="48"/>
      <c r="H58" s="48"/>
      <c r="I58" s="48"/>
      <c r="J58" s="48"/>
      <c r="K58" s="48"/>
      <c r="L58" s="48"/>
      <c r="N58" s="3"/>
      <c r="O58" s="3"/>
      <c r="P58" s="3"/>
      <c r="Q58" s="3"/>
      <c r="R58" s="3"/>
      <c r="S58" s="3"/>
    </row>
    <row r="59" spans="1:19" ht="11.25" x14ac:dyDescent="0.2">
      <c r="A59" s="3">
        <f>A57+1</f>
        <v>13</v>
      </c>
      <c r="B59" s="3" t="s">
        <v>429</v>
      </c>
      <c r="C59" s="3"/>
      <c r="D59" s="3"/>
      <c r="E59" s="49">
        <f ca="1">IF(E57=0,0,ROUND(E52/E57,4))</f>
        <v>8.4099999999999994E-2</v>
      </c>
      <c r="F59" s="49">
        <f ca="1">IF(F57=0,0,ROUND(F52/F57,4))</f>
        <v>8.4099999999999994E-2</v>
      </c>
      <c r="G59" s="49">
        <f ca="1">IF(G57=0,0,ROUND(G52/G57,4))</f>
        <v>8.4099999999999994E-2</v>
      </c>
      <c r="H59" s="49">
        <f ca="1">IF(H57=0,0,ROUND(H52/H57,4))</f>
        <v>8.4099999999999994E-2</v>
      </c>
      <c r="I59" s="49">
        <f t="shared" ref="I59:J59" ca="1" si="17">IF(I57=0,0,ROUND(I52/I57,4))</f>
        <v>8.4099999999999994E-2</v>
      </c>
      <c r="J59" s="49">
        <f t="shared" ca="1" si="17"/>
        <v>8.4099999999999994E-2</v>
      </c>
      <c r="K59" s="49">
        <f ca="1">IF(K57=0,0,ROUND(K52/K57,4))</f>
        <v>0</v>
      </c>
      <c r="L59" s="49">
        <f ca="1">IF(L57=0,0,ROUND(L52/L57,4))</f>
        <v>0</v>
      </c>
      <c r="N59" s="3"/>
      <c r="O59" s="3"/>
      <c r="P59" s="3"/>
      <c r="Q59" s="3"/>
      <c r="R59" s="3"/>
      <c r="S59" s="3"/>
    </row>
    <row r="60" spans="1:19" ht="11.2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N60" s="3"/>
      <c r="O60" s="3"/>
      <c r="P60" s="3"/>
      <c r="Q60" s="3"/>
      <c r="R60" s="3"/>
      <c r="S60" s="3"/>
    </row>
    <row r="61" spans="1:19" ht="11.25" x14ac:dyDescent="0.2">
      <c r="A61" s="3">
        <f>A59+1</f>
        <v>14</v>
      </c>
      <c r="B61" s="3" t="s">
        <v>420</v>
      </c>
      <c r="C61" s="3"/>
      <c r="D61" s="3"/>
      <c r="E61" s="24">
        <v>1</v>
      </c>
      <c r="F61" s="24">
        <f ca="1">ROUND(F59/$E$59,2)</f>
        <v>1</v>
      </c>
      <c r="G61" s="24">
        <f ca="1">ROUND(G59/$E$59,2)</f>
        <v>1</v>
      </c>
      <c r="H61" s="24">
        <f ca="1">ROUND(H59/$E$59,2)</f>
        <v>1</v>
      </c>
      <c r="I61" s="24">
        <f ca="1">ROUND(I59/$E$59,2)</f>
        <v>1</v>
      </c>
      <c r="J61" s="24">
        <f ca="1">ROUND(J59/$E$59,2)</f>
        <v>1</v>
      </c>
      <c r="K61" s="24">
        <f ca="1">ROUND(K59/'Total Co'!$E$115,2)</f>
        <v>0</v>
      </c>
      <c r="L61" s="24">
        <f ca="1">ROUND(L59/'Total Co'!$E$115,2)</f>
        <v>0</v>
      </c>
      <c r="N61" s="3"/>
      <c r="O61" s="3"/>
      <c r="P61" s="3"/>
      <c r="Q61" s="3"/>
      <c r="R61" s="3"/>
      <c r="S61" s="3"/>
    </row>
    <row r="62" spans="1:19" ht="11.25" x14ac:dyDescent="0.2">
      <c r="A62" s="3"/>
      <c r="B62" s="3"/>
      <c r="C62" s="3"/>
      <c r="D62" s="3"/>
      <c r="E62" s="31"/>
      <c r="F62" s="31"/>
      <c r="G62" s="31"/>
      <c r="H62" s="31"/>
      <c r="I62" s="31"/>
      <c r="J62" s="31"/>
      <c r="K62" s="31"/>
      <c r="L62" s="31"/>
      <c r="N62" s="3"/>
      <c r="O62" s="3"/>
      <c r="P62" s="3"/>
      <c r="Q62" s="3"/>
      <c r="R62" s="3"/>
      <c r="S62" s="3"/>
    </row>
    <row r="63" spans="1:19" ht="11.25" x14ac:dyDescent="0.2">
      <c r="A63" s="3"/>
      <c r="B63" s="3"/>
      <c r="C63" s="3"/>
      <c r="D63" s="3"/>
      <c r="E63" s="31"/>
      <c r="F63" s="31"/>
      <c r="G63" s="31"/>
      <c r="H63" s="31"/>
      <c r="I63" s="31"/>
      <c r="J63" s="31"/>
      <c r="K63" s="31"/>
      <c r="L63" s="31"/>
      <c r="N63" s="3"/>
      <c r="O63" s="3"/>
      <c r="P63" s="3"/>
      <c r="Q63" s="3"/>
      <c r="R63" s="3"/>
      <c r="S63" s="3"/>
    </row>
    <row r="64" spans="1:19" ht="11.2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N64" s="3"/>
      <c r="O64" s="3"/>
      <c r="P64" s="3"/>
      <c r="Q64" s="3"/>
      <c r="R64" s="3"/>
      <c r="S64" s="3"/>
    </row>
    <row r="65" spans="1:19" ht="11.25" x14ac:dyDescent="0.2">
      <c r="A65" s="3"/>
      <c r="B65" s="3"/>
      <c r="C65" s="3"/>
      <c r="D65" s="3"/>
      <c r="E65" s="24"/>
      <c r="F65" s="24"/>
      <c r="G65" s="24"/>
      <c r="H65" s="24"/>
      <c r="I65" s="24"/>
      <c r="J65" s="24"/>
      <c r="K65" s="24"/>
      <c r="L65" s="24"/>
      <c r="N65" s="3"/>
      <c r="O65" s="3"/>
      <c r="P65" s="3"/>
      <c r="Q65" s="3"/>
      <c r="R65" s="3"/>
      <c r="S65" s="3"/>
    </row>
    <row r="66" spans="1:19" ht="11.2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N66" s="3"/>
      <c r="O66" s="3"/>
      <c r="P66" s="3"/>
      <c r="Q66" s="3"/>
      <c r="R66" s="3"/>
      <c r="S66" s="3"/>
    </row>
    <row r="67" spans="1:19" ht="11.25" x14ac:dyDescent="0.2">
      <c r="A67" s="3" t="s">
        <v>810</v>
      </c>
      <c r="B67" s="3"/>
      <c r="C67" s="3"/>
      <c r="E67" s="3"/>
      <c r="F67" s="325" t="str">
        <f>""&amp;+Input!$B$1</f>
        <v>COLUMBIA GAS OF KENTUCKY, INC.</v>
      </c>
      <c r="H67" s="3"/>
      <c r="I67" s="3"/>
      <c r="J67" s="3"/>
      <c r="K67" s="3"/>
      <c r="L67" s="32" t="str">
        <f>Input!$B$2</f>
        <v>ATTACHMENT CEN-2</v>
      </c>
      <c r="N67" s="3"/>
      <c r="O67" s="3"/>
      <c r="P67" s="3"/>
      <c r="Q67" s="3"/>
      <c r="R67" s="3"/>
      <c r="S67" s="3"/>
    </row>
    <row r="68" spans="1:19" ht="11.25" x14ac:dyDescent="0.2">
      <c r="A68" s="3" t="str">
        <f>Input!$B$7</f>
        <v>DEMAND-COMMODITY</v>
      </c>
      <c r="B68" s="3"/>
      <c r="C68" s="3"/>
      <c r="E68" s="3"/>
      <c r="F68" s="325" t="s">
        <v>4</v>
      </c>
      <c r="H68" s="3"/>
      <c r="I68" s="3"/>
      <c r="J68" s="3"/>
      <c r="K68" s="3"/>
      <c r="L68" s="32" t="str">
        <f>"PAGE 3 OF "&amp;FIXED(Input!$B$8,0,TRUE)</f>
        <v>PAGE 3 OF 129</v>
      </c>
      <c r="N68" s="3"/>
      <c r="O68" s="3"/>
      <c r="P68" s="3"/>
      <c r="Q68" s="3"/>
      <c r="R68" s="3"/>
      <c r="S68" s="3"/>
    </row>
    <row r="69" spans="1:19" ht="11.25" x14ac:dyDescent="0.2">
      <c r="A69" s="17" t="str">
        <f>Input!$B$6</f>
        <v>FORECASTED TEST YEAR - ORIGINAL FILING</v>
      </c>
      <c r="B69" s="17"/>
      <c r="C69" s="17"/>
      <c r="D69" s="18"/>
      <c r="E69" s="18"/>
      <c r="F69" s="19" t="str">
        <f>"FOR THE TWELVE MONTHS ENDED "&amp;Input!$B$4</f>
        <v>FOR THE TWELVE MONTHS ENDED 12/31/2017</v>
      </c>
      <c r="G69" s="329"/>
      <c r="H69" s="17"/>
      <c r="I69" s="17"/>
      <c r="J69" s="17"/>
      <c r="K69" s="17"/>
      <c r="L69" s="183" t="str">
        <f>"WITNESS: "&amp;Input!$B$5</f>
        <v>WITNESS: C. NOTESTONE</v>
      </c>
      <c r="N69" s="3"/>
      <c r="O69" s="3"/>
      <c r="P69" s="3"/>
      <c r="Q69" s="3"/>
      <c r="R69" s="3"/>
      <c r="S69" s="3"/>
    </row>
    <row r="70" spans="1:19" ht="11.25" x14ac:dyDescent="0.2">
      <c r="A70" s="21" t="s">
        <v>5</v>
      </c>
      <c r="C70" s="3"/>
      <c r="D70" s="325" t="s">
        <v>7</v>
      </c>
      <c r="E70" s="325" t="s">
        <v>12</v>
      </c>
      <c r="F70" s="325"/>
      <c r="G70" s="325"/>
      <c r="H70" s="325"/>
      <c r="I70" s="325"/>
      <c r="J70" s="325"/>
      <c r="K70" s="325"/>
      <c r="L70" s="325"/>
      <c r="N70" s="3"/>
      <c r="O70" s="3"/>
      <c r="P70" s="3"/>
      <c r="Q70" s="3"/>
      <c r="R70" s="3"/>
      <c r="S70" s="3"/>
    </row>
    <row r="71" spans="1:19" ht="11.25" x14ac:dyDescent="0.2">
      <c r="A71" s="22" t="s">
        <v>9</v>
      </c>
      <c r="C71" s="341" t="s">
        <v>24</v>
      </c>
      <c r="D71" s="341" t="s">
        <v>10</v>
      </c>
      <c r="E71" s="341" t="s">
        <v>25</v>
      </c>
      <c r="F71" s="341" t="str">
        <f>Input!$C$12</f>
        <v>GS-RESIDENTIAL</v>
      </c>
      <c r="G71" s="341" t="str">
        <f>Input!$C$13</f>
        <v>GS-OTHER</v>
      </c>
      <c r="H71" s="341" t="str">
        <f>Input!$C$14</f>
        <v>IUS</v>
      </c>
      <c r="I71" s="341" t="str">
        <f>Input!$C$15</f>
        <v>DS-ML</v>
      </c>
      <c r="J71" s="341" t="str">
        <f>Input!$C$16</f>
        <v>DS/IS</v>
      </c>
      <c r="K71" s="341" t="str">
        <f>Input!$C$17</f>
        <v>NOT USED</v>
      </c>
      <c r="L71" s="341" t="str">
        <f>Input!$C$18</f>
        <v>NOT USED</v>
      </c>
      <c r="N71" s="3"/>
      <c r="O71" s="3"/>
      <c r="P71" s="3"/>
      <c r="Q71" s="3"/>
      <c r="R71" s="3"/>
      <c r="S71" s="3"/>
    </row>
    <row r="72" spans="1:19" ht="11.25" x14ac:dyDescent="0.2">
      <c r="A72" s="325"/>
      <c r="C72" s="342" t="s">
        <v>13</v>
      </c>
      <c r="D72" s="342" t="s">
        <v>14</v>
      </c>
      <c r="E72" s="325" t="s">
        <v>15</v>
      </c>
      <c r="F72" s="325" t="s">
        <v>16</v>
      </c>
      <c r="G72" s="325" t="s">
        <v>17</v>
      </c>
      <c r="H72" s="325" t="s">
        <v>18</v>
      </c>
      <c r="I72" s="325" t="s">
        <v>19</v>
      </c>
      <c r="J72" s="325" t="s">
        <v>20</v>
      </c>
      <c r="K72" s="325" t="s">
        <v>21</v>
      </c>
      <c r="L72" s="325" t="s">
        <v>22</v>
      </c>
      <c r="N72" s="3"/>
      <c r="O72" s="3"/>
      <c r="P72" s="3"/>
      <c r="Q72" s="3"/>
      <c r="R72" s="3"/>
      <c r="S72" s="3"/>
    </row>
    <row r="73" spans="1:19" ht="11.25" x14ac:dyDescent="0.2">
      <c r="A73" s="325">
        <v>1</v>
      </c>
      <c r="B73" s="3" t="s">
        <v>27</v>
      </c>
      <c r="C73" s="3"/>
      <c r="E73" s="3">
        <f ca="1">((ROUND(E113*Input!$D$24,0)-E107)*Input!$E$49)</f>
        <v>25408377.649165802</v>
      </c>
      <c r="F73" s="3">
        <f ca="1">((ROUND(F113*Input!$D$24,0)-F107)*Input!$E$49)</f>
        <v>14196258.934178842</v>
      </c>
      <c r="G73" s="3">
        <f ca="1">((ROUND(G113*Input!$D$24,0)-G107)*Input!$E$49)</f>
        <v>1806774.6806843844</v>
      </c>
      <c r="H73" s="3">
        <f ca="1">((ROUND(H113*Input!$D$24,0)-H107)*Input!$E$49)</f>
        <v>8515.8257393358072</v>
      </c>
      <c r="I73" s="3">
        <f ca="1">((ROUND(I113*Input!$D$24,0)-I107)*Input!$E$49)</f>
        <v>-354143.26370247488</v>
      </c>
      <c r="J73" s="3">
        <f ca="1">((ROUND(J113*Input!$D$24,0)-J107)*Input!$E$49)</f>
        <v>9750970.2316299062</v>
      </c>
      <c r="K73" s="3">
        <f ca="1">((ROUND(K113*Input!$D$24,0)-K107)*Input!$E$49)</f>
        <v>0</v>
      </c>
      <c r="L73" s="3">
        <f ca="1">((ROUND(L113*Input!$D$24,0)-L107)*Input!$E$49)</f>
        <v>0</v>
      </c>
      <c r="N73" s="3"/>
      <c r="O73" s="3"/>
      <c r="P73" s="3"/>
      <c r="Q73" s="3"/>
      <c r="R73" s="3"/>
      <c r="S73" s="3"/>
    </row>
    <row r="74" spans="1:19" ht="11.25" x14ac:dyDescent="0.2">
      <c r="A74" s="325"/>
      <c r="B74" s="3"/>
      <c r="C74" s="3"/>
      <c r="E74" s="23"/>
      <c r="F74" s="23"/>
      <c r="G74" s="23"/>
      <c r="H74" s="23"/>
      <c r="I74" s="23"/>
      <c r="J74" s="23"/>
      <c r="K74" s="23"/>
      <c r="L74" s="23"/>
      <c r="N74" s="3"/>
      <c r="O74" s="3"/>
      <c r="P74" s="3"/>
      <c r="Q74" s="3"/>
      <c r="R74" s="3"/>
      <c r="S74" s="3"/>
    </row>
    <row r="75" spans="1:19" ht="11.25" x14ac:dyDescent="0.2">
      <c r="A75" s="325">
        <f>A73+1</f>
        <v>2</v>
      </c>
      <c r="B75" s="25" t="s">
        <v>28</v>
      </c>
      <c r="C75" s="3"/>
      <c r="E75" s="23">
        <f>SUM(F75:L75)</f>
        <v>0</v>
      </c>
      <c r="F75" s="23">
        <f>Input!E556</f>
        <v>0</v>
      </c>
      <c r="G75" s="23">
        <f>Input!F556</f>
        <v>0</v>
      </c>
      <c r="H75" s="23">
        <f>Input!G556</f>
        <v>0</v>
      </c>
      <c r="I75" s="23">
        <f>Input!H556</f>
        <v>0</v>
      </c>
      <c r="J75" s="23">
        <f>Input!I556</f>
        <v>0</v>
      </c>
      <c r="K75" s="23">
        <f>Input!J556</f>
        <v>0</v>
      </c>
      <c r="L75" s="23">
        <f>Input!K556</f>
        <v>0</v>
      </c>
      <c r="N75" s="3"/>
      <c r="O75" s="3"/>
      <c r="P75" s="3"/>
      <c r="Q75" s="3"/>
      <c r="R75" s="3"/>
      <c r="S75" s="3"/>
    </row>
    <row r="76" spans="1:19" ht="11.25" x14ac:dyDescent="0.2">
      <c r="A76" s="325"/>
      <c r="B76" s="3"/>
      <c r="C76" s="3"/>
      <c r="E76" s="3"/>
      <c r="F76" s="3"/>
      <c r="G76" s="3"/>
      <c r="H76" s="3"/>
      <c r="I76" s="3"/>
      <c r="J76" s="3"/>
      <c r="K76" s="3"/>
      <c r="L76" s="3"/>
      <c r="N76" s="3"/>
      <c r="O76" s="3"/>
      <c r="P76" s="3"/>
      <c r="Q76" s="3"/>
      <c r="R76" s="3"/>
      <c r="S76" s="3"/>
    </row>
    <row r="77" spans="1:19" ht="11.25" x14ac:dyDescent="0.2">
      <c r="A77" s="325">
        <f>A75+1</f>
        <v>3</v>
      </c>
      <c r="B77" s="25" t="str">
        <f>"LESS: UNCOLLECTIBLES @ "&amp;FIXED(Input!$D$26,8,TRUE)</f>
        <v>LESS: UNCOLLECTIBLES @ 0.00923329</v>
      </c>
      <c r="C77" s="3"/>
      <c r="E77" s="23">
        <f ca="1">SUM(F77:L77)</f>
        <v>234603</v>
      </c>
      <c r="F77" s="23">
        <f ca="1">ROUND(F73*Input!$D$26,0)</f>
        <v>131078</v>
      </c>
      <c r="G77" s="23">
        <f ca="1">ROUND(G73*Input!$D$26,0)</f>
        <v>16682</v>
      </c>
      <c r="H77" s="23">
        <f ca="1">ROUND(H73*Input!$D$26,0)</f>
        <v>79</v>
      </c>
      <c r="I77" s="23">
        <f ca="1">ROUND(I73*Input!$D$26,0)</f>
        <v>-3270</v>
      </c>
      <c r="J77" s="23">
        <f ca="1">ROUND(J73*Input!$D$26,0)</f>
        <v>90034</v>
      </c>
      <c r="K77" s="23">
        <f ca="1">ROUND(K73*Input!$D$26,0)</f>
        <v>0</v>
      </c>
      <c r="L77" s="23">
        <f ca="1">ROUND(L73*Input!$D$26,0)</f>
        <v>0</v>
      </c>
      <c r="N77" s="3"/>
      <c r="O77" s="3"/>
      <c r="P77" s="3"/>
      <c r="Q77" s="3"/>
      <c r="R77" s="3"/>
      <c r="S77" s="3"/>
    </row>
    <row r="78" spans="1:19" ht="11.25" x14ac:dyDescent="0.2">
      <c r="A78" s="325"/>
      <c r="B78" s="3"/>
      <c r="C78" s="3"/>
      <c r="E78" s="23"/>
      <c r="F78" s="23"/>
      <c r="G78" s="23"/>
      <c r="H78" s="23"/>
      <c r="I78" s="23"/>
      <c r="J78" s="23"/>
      <c r="K78" s="23"/>
      <c r="L78" s="23"/>
      <c r="N78" s="3"/>
      <c r="O78" s="3"/>
      <c r="P78" s="3"/>
      <c r="Q78" s="3"/>
      <c r="R78" s="3"/>
      <c r="S78" s="3"/>
    </row>
    <row r="79" spans="1:19" ht="11.25" x14ac:dyDescent="0.2">
      <c r="A79" s="325">
        <f>A77+1</f>
        <v>4</v>
      </c>
      <c r="B79" s="25" t="str">
        <f>"LESS: PSC FEES @ "&amp;FIXED(Input!$D$31,8,TRUE)</f>
        <v>LESS: PSC FEES @ 0.00190100</v>
      </c>
      <c r="C79" s="3"/>
      <c r="E79" s="27">
        <f ca="1">SUM(F79:L79)</f>
        <v>48302</v>
      </c>
      <c r="F79" s="27">
        <f ca="1">ROUND(F73*Input!$D$31,0)</f>
        <v>26987</v>
      </c>
      <c r="G79" s="27">
        <f ca="1">ROUND(G73*Input!$D$31,0)</f>
        <v>3435</v>
      </c>
      <c r="H79" s="27">
        <f ca="1">ROUND(H73*Input!$D$31,0)</f>
        <v>16</v>
      </c>
      <c r="I79" s="27">
        <f ca="1">ROUND(I73*Input!$D$31,0)</f>
        <v>-673</v>
      </c>
      <c r="J79" s="27">
        <f ca="1">ROUND(J73*Input!$D$31,0)</f>
        <v>18537</v>
      </c>
      <c r="K79" s="27">
        <f ca="1">ROUND(K73*Input!$D$31,0)</f>
        <v>0</v>
      </c>
      <c r="L79" s="27">
        <f ca="1">ROUND(L73*Input!$D$31,0)</f>
        <v>0</v>
      </c>
      <c r="N79" s="3"/>
      <c r="O79" s="3"/>
      <c r="P79" s="3"/>
      <c r="Q79" s="3"/>
      <c r="R79" s="3"/>
      <c r="S79" s="3"/>
    </row>
    <row r="80" spans="1:19" ht="11.25" x14ac:dyDescent="0.2">
      <c r="A80" s="325"/>
      <c r="B80" s="3"/>
      <c r="C80" s="3"/>
      <c r="E80" s="3"/>
      <c r="F80" s="3"/>
      <c r="G80" s="3"/>
      <c r="H80" s="3"/>
      <c r="I80" s="3"/>
      <c r="J80" s="3"/>
      <c r="K80" s="3"/>
      <c r="L80" s="3"/>
      <c r="N80" s="3"/>
      <c r="O80" s="3"/>
      <c r="P80" s="3"/>
      <c r="Q80" s="3"/>
      <c r="R80" s="3"/>
      <c r="S80" s="3"/>
    </row>
    <row r="81" spans="1:24" ht="11.25" x14ac:dyDescent="0.2">
      <c r="A81" s="325">
        <f>A79+1</f>
        <v>5</v>
      </c>
      <c r="B81" s="25" t="s">
        <v>31</v>
      </c>
      <c r="C81" s="3"/>
      <c r="E81" s="23">
        <f t="shared" ref="E81:L81" ca="1" si="18">E73-E75-E77-E79</f>
        <v>25125472.649165802</v>
      </c>
      <c r="F81" s="23">
        <f t="shared" ca="1" si="18"/>
        <v>14038193.934178842</v>
      </c>
      <c r="G81" s="23">
        <f t="shared" ca="1" si="18"/>
        <v>1786657.6806843844</v>
      </c>
      <c r="H81" s="23">
        <f t="shared" ca="1" si="18"/>
        <v>8420.8257393358072</v>
      </c>
      <c r="I81" s="23">
        <f t="shared" ca="1" si="18"/>
        <v>-350200.26370247488</v>
      </c>
      <c r="J81" s="23">
        <f t="shared" ca="1" si="18"/>
        <v>9642399.2316299062</v>
      </c>
      <c r="K81" s="23">
        <f t="shared" ca="1" si="18"/>
        <v>0</v>
      </c>
      <c r="L81" s="23">
        <f t="shared" ca="1" si="18"/>
        <v>0</v>
      </c>
      <c r="N81" s="3"/>
      <c r="O81" s="3"/>
      <c r="P81" s="3"/>
      <c r="Q81" s="3"/>
      <c r="R81" s="3"/>
      <c r="S81" s="3"/>
    </row>
    <row r="82" spans="1:24" ht="11.25" x14ac:dyDescent="0.2">
      <c r="A82" s="325"/>
      <c r="B82" s="3"/>
      <c r="C82" s="3"/>
      <c r="E82" s="3"/>
      <c r="F82" s="3"/>
      <c r="G82" s="3"/>
      <c r="H82" s="3"/>
      <c r="I82" s="3"/>
      <c r="J82" s="3"/>
      <c r="K82" s="3"/>
      <c r="L82" s="3"/>
      <c r="N82" s="3"/>
      <c r="O82" s="3"/>
      <c r="P82" s="3"/>
      <c r="Q82" s="3"/>
      <c r="R82" s="3"/>
      <c r="S82" s="3"/>
    </row>
    <row r="83" spans="1:24" ht="11.25" x14ac:dyDescent="0.2">
      <c r="A83" s="325">
        <f>A81+1</f>
        <v>6</v>
      </c>
      <c r="B83" s="25" t="str">
        <f>"LESS: KENTUCKY STATE INCOME TAX @ "&amp;FIXED(Input!$D$28,4,TRUE)</f>
        <v>LESS: KENTUCKY STATE INCOME TAX @ 0.0600</v>
      </c>
      <c r="C83" s="3"/>
      <c r="E83" s="27">
        <f ca="1">ROUND(E81*Input!$D$28,0)</f>
        <v>1507528</v>
      </c>
      <c r="F83" s="27">
        <f ca="1">ROUND(F81*Input!$D$28,0)</f>
        <v>842292</v>
      </c>
      <c r="G83" s="27">
        <f ca="1">ROUND(G81*Input!$D$28,0)</f>
        <v>107199</v>
      </c>
      <c r="H83" s="27">
        <f ca="1">ROUND(H81*Input!$D$28,0)</f>
        <v>505</v>
      </c>
      <c r="I83" s="27">
        <f ca="1">ROUND(I81*Input!$D$28,0)</f>
        <v>-21012</v>
      </c>
      <c r="J83" s="27">
        <f ca="1">ROUND(J81*Input!$D$28,0)</f>
        <v>578544</v>
      </c>
      <c r="K83" s="27">
        <f ca="1">ROUND(K81*Input!$D$28,0)</f>
        <v>0</v>
      </c>
      <c r="L83" s="27">
        <f ca="1">ROUND(L81*Input!$D$28,0)</f>
        <v>0</v>
      </c>
      <c r="N83" s="3"/>
      <c r="O83" s="3"/>
      <c r="P83" s="3"/>
      <c r="Q83" s="3"/>
      <c r="R83" s="3"/>
      <c r="S83" s="3"/>
    </row>
    <row r="84" spans="1:24" ht="11.25" x14ac:dyDescent="0.2">
      <c r="A84" s="325"/>
      <c r="B84" s="3"/>
      <c r="C84" s="3"/>
      <c r="E84" s="23"/>
      <c r="F84" s="23"/>
      <c r="G84" s="23"/>
      <c r="H84" s="23"/>
      <c r="I84" s="23"/>
      <c r="J84" s="23"/>
      <c r="K84" s="23"/>
      <c r="L84" s="23"/>
      <c r="N84" s="3"/>
      <c r="O84" s="3"/>
      <c r="P84" s="3"/>
      <c r="Q84" s="3"/>
      <c r="R84" s="3"/>
      <c r="S84" s="3"/>
    </row>
    <row r="85" spans="1:24" ht="11.25" x14ac:dyDescent="0.2">
      <c r="A85" s="325">
        <f>A83+1</f>
        <v>7</v>
      </c>
      <c r="B85" s="25" t="s">
        <v>38</v>
      </c>
      <c r="C85" s="3"/>
      <c r="E85" s="23">
        <f t="shared" ref="E85:L85" ca="1" si="19">E81-E83</f>
        <v>23617944.649165802</v>
      </c>
      <c r="F85" s="23">
        <f t="shared" ca="1" si="19"/>
        <v>13195901.934178842</v>
      </c>
      <c r="G85" s="23">
        <f t="shared" ca="1" si="19"/>
        <v>1679458.6806843844</v>
      </c>
      <c r="H85" s="23">
        <f t="shared" ca="1" si="19"/>
        <v>7915.8257393358072</v>
      </c>
      <c r="I85" s="23">
        <f t="shared" ca="1" si="19"/>
        <v>-329188.26370247488</v>
      </c>
      <c r="J85" s="23">
        <f t="shared" ca="1" si="19"/>
        <v>9063855.2316299062</v>
      </c>
      <c r="K85" s="23">
        <f t="shared" ca="1" si="19"/>
        <v>0</v>
      </c>
      <c r="L85" s="23">
        <f t="shared" ca="1" si="19"/>
        <v>0</v>
      </c>
      <c r="N85" s="3"/>
      <c r="O85" s="3"/>
      <c r="P85" s="3"/>
      <c r="Q85" s="3"/>
      <c r="R85" s="3"/>
      <c r="S85" s="3"/>
    </row>
    <row r="86" spans="1:24" ht="11.25" x14ac:dyDescent="0.2">
      <c r="A86" s="325"/>
      <c r="B86" s="3"/>
      <c r="C86" s="3"/>
      <c r="E86" s="23"/>
      <c r="F86" s="23"/>
      <c r="G86" s="23"/>
      <c r="H86" s="23"/>
      <c r="I86" s="23"/>
      <c r="J86" s="23"/>
      <c r="K86" s="23"/>
      <c r="L86" s="23"/>
      <c r="N86" s="3"/>
      <c r="O86" s="3"/>
      <c r="P86" s="3"/>
      <c r="Q86" s="3"/>
      <c r="R86" s="3"/>
      <c r="S86" s="3"/>
    </row>
    <row r="87" spans="1:24" ht="11.25" x14ac:dyDescent="0.2">
      <c r="A87" s="325">
        <f>A85+1</f>
        <v>8</v>
      </c>
      <c r="B87" s="25" t="str">
        <f>"LESS: FEDERAL INCOME TAX @ "&amp;FIXED(Input!$D$33,8,TRUE)</f>
        <v>LESS: FEDERAL INCOME TAX @ 0.35000000</v>
      </c>
      <c r="C87" s="3"/>
      <c r="E87" s="27">
        <f ca="1">SUM(F87:L87)</f>
        <v>8266281</v>
      </c>
      <c r="F87" s="27">
        <f ca="1">ROUND(F85*Input!$D$33,0)</f>
        <v>4618566</v>
      </c>
      <c r="G87" s="27">
        <f ca="1">ROUND(G85*Input!$D$33,0)</f>
        <v>587811</v>
      </c>
      <c r="H87" s="27">
        <f ca="1">ROUND(H85*Input!$D$33,0)</f>
        <v>2771</v>
      </c>
      <c r="I87" s="27">
        <f ca="1">ROUND(I85*Input!$D$33,0)</f>
        <v>-115216</v>
      </c>
      <c r="J87" s="27">
        <f ca="1">ROUND(J85*Input!$D$33,0)</f>
        <v>3172349</v>
      </c>
      <c r="K87" s="27">
        <f ca="1">ROUND(K85*Input!$D$33,0)</f>
        <v>0</v>
      </c>
      <c r="L87" s="27">
        <f ca="1">ROUND(L85*Input!$D$33,0)</f>
        <v>0</v>
      </c>
      <c r="N87" s="3"/>
      <c r="O87" s="3"/>
      <c r="P87" s="3"/>
      <c r="Q87" s="3"/>
      <c r="R87" s="3"/>
      <c r="S87" s="3"/>
    </row>
    <row r="88" spans="1:24" ht="11.25" x14ac:dyDescent="0.2">
      <c r="A88" s="325"/>
      <c r="B88" s="3"/>
      <c r="C88" s="3"/>
      <c r="E88" s="23"/>
      <c r="F88" s="23"/>
      <c r="G88" s="23"/>
      <c r="H88" s="23"/>
      <c r="I88" s="23"/>
      <c r="J88" s="23"/>
      <c r="K88" s="23"/>
      <c r="L88" s="23"/>
      <c r="N88" s="3"/>
      <c r="O88" s="3"/>
      <c r="P88" s="3"/>
      <c r="Q88" s="3"/>
      <c r="R88" s="3"/>
      <c r="S88" s="3"/>
    </row>
    <row r="89" spans="1:24" ht="11.25" x14ac:dyDescent="0.2">
      <c r="A89" s="325">
        <f>A87+1</f>
        <v>9</v>
      </c>
      <c r="B89" s="25" t="s">
        <v>48</v>
      </c>
      <c r="C89" s="3"/>
      <c r="E89" s="23">
        <f t="shared" ref="E89:L89" ca="1" si="20">E85-E87</f>
        <v>15351663.649165802</v>
      </c>
      <c r="F89" s="23">
        <f t="shared" ca="1" si="20"/>
        <v>8577335.9341788422</v>
      </c>
      <c r="G89" s="23">
        <f t="shared" ca="1" si="20"/>
        <v>1091647.6806843844</v>
      </c>
      <c r="H89" s="23">
        <f t="shared" ca="1" si="20"/>
        <v>5144.8257393358072</v>
      </c>
      <c r="I89" s="23">
        <f t="shared" ca="1" si="20"/>
        <v>-213972.26370247488</v>
      </c>
      <c r="J89" s="23">
        <f t="shared" ca="1" si="20"/>
        <v>5891506.2316299062</v>
      </c>
      <c r="K89" s="23">
        <f t="shared" ca="1" si="20"/>
        <v>0</v>
      </c>
      <c r="L89" s="23">
        <f t="shared" ca="1" si="20"/>
        <v>0</v>
      </c>
      <c r="N89" s="3"/>
      <c r="O89" s="3"/>
      <c r="P89" s="3"/>
      <c r="Q89" s="3"/>
      <c r="R89" s="3"/>
      <c r="S89" s="3"/>
    </row>
    <row r="90" spans="1:24" ht="11.25" x14ac:dyDescent="0.2">
      <c r="A90" s="3" t="s">
        <v>810</v>
      </c>
      <c r="B90" s="3"/>
      <c r="C90" s="14"/>
      <c r="D90" s="3"/>
      <c r="E90" s="15"/>
      <c r="F90" s="325" t="str">
        <f>""&amp;+Input!$B$1</f>
        <v>COLUMBIA GAS OF KENTUCKY, INC.</v>
      </c>
      <c r="H90" s="3"/>
      <c r="I90" s="3"/>
      <c r="J90" s="3"/>
      <c r="K90" s="3"/>
      <c r="L90" s="32" t="str">
        <f>Input!$B$2</f>
        <v>ATTACHMENT CEN-2</v>
      </c>
      <c r="N90" s="3"/>
      <c r="O90" s="3"/>
      <c r="P90" s="3"/>
      <c r="Q90" s="3"/>
      <c r="R90" s="3"/>
      <c r="S90" s="3"/>
    </row>
    <row r="91" spans="1:24" ht="11.25" x14ac:dyDescent="0.2">
      <c r="A91" s="3" t="str">
        <f>Input!$B$7</f>
        <v>DEMAND-COMMODITY</v>
      </c>
      <c r="B91" s="3"/>
      <c r="C91" s="3"/>
      <c r="D91" s="3"/>
      <c r="E91" s="3"/>
      <c r="F91" s="325" t="s">
        <v>578</v>
      </c>
      <c r="H91" s="3"/>
      <c r="I91" s="3"/>
      <c r="J91" s="3"/>
      <c r="K91" s="3"/>
      <c r="L91" s="32" t="str">
        <f>"PAGE 4 OF "&amp;FIXED(Input!$B$8,0,TRUE)</f>
        <v>PAGE 4 OF 129</v>
      </c>
      <c r="N91" s="3"/>
      <c r="O91" s="3"/>
      <c r="P91" s="3"/>
      <c r="Q91" s="3"/>
      <c r="R91" s="3"/>
      <c r="S91" s="3"/>
    </row>
    <row r="92" spans="1:24" ht="11.25" x14ac:dyDescent="0.2">
      <c r="A92" s="17" t="str">
        <f>Input!$B$6</f>
        <v>FORECASTED TEST YEAR - ORIGINAL FILING</v>
      </c>
      <c r="B92" s="17"/>
      <c r="C92" s="17"/>
      <c r="D92" s="18"/>
      <c r="E92" s="17"/>
      <c r="F92" s="19" t="str">
        <f>"FOR THE TWELVE MONTHS ENDED "&amp;Input!$B$4</f>
        <v>FOR THE TWELVE MONTHS ENDED 12/31/2017</v>
      </c>
      <c r="G92" s="329"/>
      <c r="H92" s="17"/>
      <c r="I92" s="17"/>
      <c r="J92" s="17"/>
      <c r="K92" s="17"/>
      <c r="L92" s="183" t="str">
        <f>"WITNESS: "&amp;Input!$B$5</f>
        <v>WITNESS: C. NOTESTONE</v>
      </c>
      <c r="N92" s="3"/>
      <c r="O92" s="3"/>
      <c r="P92" s="3"/>
      <c r="Q92" s="3"/>
      <c r="R92" s="3"/>
      <c r="S92" s="3"/>
    </row>
    <row r="93" spans="1:24" ht="11.25" x14ac:dyDescent="0.2">
      <c r="A93" s="325" t="s">
        <v>5</v>
      </c>
      <c r="B93" s="3" t="s">
        <v>6</v>
      </c>
      <c r="C93" s="3"/>
      <c r="D93" s="325" t="s">
        <v>7</v>
      </c>
      <c r="E93" s="325" t="s">
        <v>8</v>
      </c>
      <c r="F93" s="325"/>
      <c r="G93" s="325"/>
      <c r="H93" s="325"/>
      <c r="I93" s="325"/>
      <c r="J93" s="325"/>
      <c r="K93" s="325"/>
      <c r="L93" s="325"/>
      <c r="N93" s="3"/>
      <c r="O93" s="3"/>
      <c r="P93" s="3"/>
      <c r="Q93" s="3"/>
      <c r="R93" s="3"/>
      <c r="S93" s="3"/>
    </row>
    <row r="94" spans="1:24" ht="11.25" x14ac:dyDescent="0.2">
      <c r="A94" s="341" t="s">
        <v>9</v>
      </c>
      <c r="B94" s="341" t="s">
        <v>9</v>
      </c>
      <c r="C94" s="341" t="str">
        <f>"                        ACCOUNT TITLE                "</f>
        <v xml:space="preserve">                        ACCOUNT TITLE                </v>
      </c>
      <c r="D94" s="341" t="s">
        <v>10</v>
      </c>
      <c r="E94" s="341" t="s">
        <v>11</v>
      </c>
      <c r="F94" s="341" t="str">
        <f>"  "&amp;+Input!$C$12</f>
        <v xml:space="preserve">  GS-RESIDENTIAL</v>
      </c>
      <c r="G94" s="341" t="str">
        <f>Input!$C$13</f>
        <v>GS-OTHER</v>
      </c>
      <c r="H94" s="341" t="str">
        <f>Input!$C$14</f>
        <v>IUS</v>
      </c>
      <c r="I94" s="341" t="str">
        <f>Input!$C$15</f>
        <v>DS-ML</v>
      </c>
      <c r="J94" s="341" t="str">
        <f>Input!$C$16</f>
        <v>DS/IS</v>
      </c>
      <c r="K94" s="341" t="str">
        <f>Input!$C$17</f>
        <v>NOT USED</v>
      </c>
      <c r="L94" s="341" t="str">
        <f>Input!$C$18</f>
        <v>NOT USED</v>
      </c>
      <c r="N94" s="3"/>
      <c r="O94" s="3"/>
      <c r="P94" s="3"/>
      <c r="Q94" s="3"/>
      <c r="R94" s="3"/>
      <c r="S94" s="3"/>
    </row>
    <row r="95" spans="1:24" ht="11.25" x14ac:dyDescent="0.2">
      <c r="A95" s="3"/>
      <c r="B95" s="342" t="s">
        <v>13</v>
      </c>
      <c r="C95" s="342" t="s">
        <v>14</v>
      </c>
      <c r="D95" s="325" t="s">
        <v>15</v>
      </c>
      <c r="E95" s="325" t="s">
        <v>16</v>
      </c>
      <c r="F95" s="325" t="s">
        <v>17</v>
      </c>
      <c r="G95" s="325" t="s">
        <v>18</v>
      </c>
      <c r="H95" s="325" t="s">
        <v>19</v>
      </c>
      <c r="I95" s="325" t="s">
        <v>20</v>
      </c>
      <c r="J95" s="325" t="s">
        <v>21</v>
      </c>
      <c r="K95" s="325" t="s">
        <v>22</v>
      </c>
      <c r="L95" s="325" t="s">
        <v>23</v>
      </c>
      <c r="N95" s="3"/>
      <c r="O95" s="3"/>
      <c r="P95" s="3"/>
      <c r="Q95" s="3"/>
      <c r="R95" s="3"/>
      <c r="S95" s="3"/>
      <c r="T95" s="258"/>
      <c r="U95" s="258"/>
      <c r="V95" s="258"/>
      <c r="W95" s="258"/>
      <c r="X95" s="254"/>
    </row>
    <row r="96" spans="1:24" ht="11.25" x14ac:dyDescent="0.2">
      <c r="A96" s="3"/>
      <c r="B96" s="3"/>
      <c r="C96" s="3"/>
      <c r="D96" s="3"/>
      <c r="E96" s="325" t="s">
        <v>26</v>
      </c>
      <c r="F96" s="325" t="s">
        <v>26</v>
      </c>
      <c r="G96" s="325" t="s">
        <v>26</v>
      </c>
      <c r="H96" s="325" t="s">
        <v>26</v>
      </c>
      <c r="I96" s="325" t="s">
        <v>26</v>
      </c>
      <c r="J96" s="325" t="s">
        <v>26</v>
      </c>
      <c r="K96" s="325" t="s">
        <v>26</v>
      </c>
      <c r="L96" s="325" t="s">
        <v>26</v>
      </c>
      <c r="N96" s="3"/>
      <c r="O96" s="3"/>
      <c r="P96" s="3"/>
      <c r="Q96" s="3"/>
      <c r="R96" s="3"/>
      <c r="S96" s="3"/>
      <c r="T96" s="258"/>
      <c r="U96" s="258"/>
      <c r="V96" s="258"/>
      <c r="W96" s="258"/>
      <c r="X96" s="254"/>
    </row>
    <row r="97" spans="1:24" ht="11.25" x14ac:dyDescent="0.2">
      <c r="A97" s="3">
        <v>1</v>
      </c>
      <c r="B97" s="3" t="s">
        <v>408</v>
      </c>
      <c r="C97" s="3"/>
      <c r="D97" s="3"/>
      <c r="E97" s="3">
        <f>'Total Co'!E396</f>
        <v>92682166.75</v>
      </c>
      <c r="F97" s="3">
        <f>'Total Co'!F396</f>
        <v>59679824.439999998</v>
      </c>
      <c r="G97" s="3">
        <f>'Total Co'!G396</f>
        <v>26685285.009999998</v>
      </c>
      <c r="H97" s="3">
        <f>'Total Co'!H396</f>
        <v>48080.330000000009</v>
      </c>
      <c r="I97" s="3">
        <f>'Total Co'!I396</f>
        <v>481734.93999999994</v>
      </c>
      <c r="J97" s="3">
        <f>'Total Co'!J396</f>
        <v>5787242.0300000003</v>
      </c>
      <c r="K97" s="3">
        <f>'Total Co'!K396</f>
        <v>0</v>
      </c>
      <c r="L97" s="3">
        <f>'Total Co'!L396</f>
        <v>0</v>
      </c>
      <c r="N97" s="3"/>
      <c r="O97" s="3"/>
      <c r="P97" s="3"/>
      <c r="Q97" s="3"/>
      <c r="R97" s="3"/>
      <c r="S97" s="3"/>
      <c r="T97" s="258"/>
      <c r="U97" s="258"/>
      <c r="V97" s="258"/>
      <c r="W97" s="258"/>
      <c r="X97" s="254"/>
    </row>
    <row r="98" spans="1:24" ht="11.2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N98" s="3"/>
      <c r="O98" s="3"/>
      <c r="P98" s="3"/>
      <c r="Q98" s="3"/>
      <c r="R98" s="3"/>
      <c r="S98" s="3"/>
      <c r="T98" s="258"/>
      <c r="U98" s="258"/>
      <c r="V98" s="258"/>
      <c r="W98" s="258"/>
      <c r="X98" s="254"/>
    </row>
    <row r="99" spans="1:24" ht="11.25" x14ac:dyDescent="0.2">
      <c r="A99" s="3">
        <f>A97+1</f>
        <v>2</v>
      </c>
      <c r="B99" s="3" t="s">
        <v>409</v>
      </c>
      <c r="C99" s="3"/>
      <c r="D99" s="3"/>
      <c r="E99" s="3">
        <f>'Total Co'!E427</f>
        <v>21475950.109999996</v>
      </c>
      <c r="F99" s="3">
        <f>'Total Co'!F427</f>
        <v>13807094.589999998</v>
      </c>
      <c r="G99" s="3">
        <f>'Total Co'!G427</f>
        <v>7643846.9600000009</v>
      </c>
      <c r="H99" s="3">
        <f>'Total Co'!H427</f>
        <v>25008.560000000001</v>
      </c>
      <c r="I99" s="3">
        <f>'Total Co'!I427</f>
        <v>0</v>
      </c>
      <c r="J99" s="3">
        <f>'Total Co'!J427</f>
        <v>0</v>
      </c>
      <c r="K99" s="3">
        <f>'Total Co'!K427</f>
        <v>0</v>
      </c>
      <c r="L99" s="3">
        <f>'Total Co'!L427</f>
        <v>0</v>
      </c>
      <c r="N99" s="3"/>
      <c r="O99" s="3"/>
      <c r="P99" s="3"/>
      <c r="Q99" s="3"/>
      <c r="R99" s="3"/>
      <c r="S99" s="3"/>
      <c r="T99" s="258"/>
      <c r="U99" s="258"/>
      <c r="V99" s="258"/>
      <c r="W99" s="258"/>
      <c r="X99" s="254"/>
    </row>
    <row r="100" spans="1:24" ht="11.25" x14ac:dyDescent="0.2">
      <c r="A100" s="3">
        <f t="shared" ref="A100:A105" si="21">A99+1</f>
        <v>3</v>
      </c>
      <c r="B100" s="3" t="s">
        <v>410</v>
      </c>
      <c r="C100" s="3"/>
      <c r="D100" s="3"/>
      <c r="E100" s="3">
        <f ca="1">'Total Co'!E663</f>
        <v>45095028.589959994</v>
      </c>
      <c r="F100" s="3">
        <f ca="1">'Total Co'!F663</f>
        <v>29490670</v>
      </c>
      <c r="G100" s="3">
        <f ca="1">'Total Co'!G663</f>
        <v>9167328</v>
      </c>
      <c r="H100" s="3">
        <f ca="1">'Total Co'!H663</f>
        <v>12050</v>
      </c>
      <c r="I100" s="3">
        <f ca="1">'Total Co'!I663</f>
        <v>59307</v>
      </c>
      <c r="J100" s="3">
        <f ca="1">'Total Co'!J663</f>
        <v>6365667</v>
      </c>
      <c r="K100" s="3">
        <f ca="1">'Total Co'!K663</f>
        <v>0</v>
      </c>
      <c r="L100" s="3">
        <f ca="1">'Total Co'!L663</f>
        <v>0</v>
      </c>
      <c r="N100" s="3"/>
      <c r="O100" s="3"/>
      <c r="P100" s="3"/>
      <c r="Q100" s="3"/>
      <c r="R100" s="3"/>
      <c r="S100" s="3"/>
      <c r="T100" s="258"/>
      <c r="U100" s="258"/>
      <c r="V100" s="258"/>
      <c r="W100" s="258"/>
      <c r="X100" s="254"/>
    </row>
    <row r="101" spans="1:24" ht="11.25" x14ac:dyDescent="0.2">
      <c r="A101" s="3">
        <f t="shared" si="21"/>
        <v>4</v>
      </c>
      <c r="B101" s="3" t="s">
        <v>411</v>
      </c>
      <c r="C101" s="3"/>
      <c r="D101" s="3"/>
      <c r="E101" s="3">
        <f>'Total Co'!E375</f>
        <v>15939786.563350823</v>
      </c>
      <c r="F101" s="3">
        <f ca="1">'Total Co'!F375</f>
        <v>10262609</v>
      </c>
      <c r="G101" s="3">
        <f ca="1">'Total Co'!G375</f>
        <v>3150131</v>
      </c>
      <c r="H101" s="3">
        <f ca="1">'Total Co'!H375</f>
        <v>4212</v>
      </c>
      <c r="I101" s="3">
        <f ca="1">'Total Co'!I375</f>
        <v>17839.86</v>
      </c>
      <c r="J101" s="3">
        <f ca="1">'Total Co'!J375</f>
        <v>2504992</v>
      </c>
      <c r="K101" s="3">
        <f ca="1">'Total Co'!K375</f>
        <v>0</v>
      </c>
      <c r="L101" s="3">
        <f ca="1">'Total Co'!L375</f>
        <v>0</v>
      </c>
      <c r="N101" s="3"/>
      <c r="O101" s="3"/>
      <c r="P101" s="3"/>
      <c r="Q101" s="3"/>
      <c r="R101" s="3"/>
      <c r="S101" s="3"/>
      <c r="T101" s="258"/>
      <c r="U101" s="258"/>
      <c r="V101" s="258"/>
      <c r="W101" s="258"/>
      <c r="X101" s="254"/>
    </row>
    <row r="102" spans="1:24" ht="11.25" x14ac:dyDescent="0.2">
      <c r="A102" s="3">
        <f t="shared" si="21"/>
        <v>5</v>
      </c>
      <c r="B102" s="3" t="s">
        <v>412</v>
      </c>
      <c r="C102" s="3"/>
      <c r="D102" s="3"/>
      <c r="E102" s="3">
        <f ca="1">'Total Co'!E771</f>
        <v>-484451.2345256788</v>
      </c>
      <c r="F102" s="3">
        <f ca="1">'Total Co'!F771</f>
        <v>221356</v>
      </c>
      <c r="G102" s="3">
        <f ca="1">'Total Co'!G771</f>
        <v>1153450</v>
      </c>
      <c r="H102" s="3">
        <f ca="1">'Total Co'!H771</f>
        <v>197</v>
      </c>
      <c r="I102" s="3">
        <f ca="1">'Total Co'!I771</f>
        <v>118906</v>
      </c>
      <c r="J102" s="3">
        <f ca="1">'Total Co'!J771</f>
        <v>-1978356</v>
      </c>
      <c r="K102" s="3">
        <f ca="1">'Total Co'!K771</f>
        <v>0</v>
      </c>
      <c r="L102" s="3">
        <f ca="1">'Total Co'!L771</f>
        <v>0</v>
      </c>
      <c r="N102" s="3"/>
      <c r="O102" s="3"/>
      <c r="P102" s="3"/>
      <c r="Q102" s="3"/>
      <c r="R102" s="3"/>
      <c r="S102" s="3"/>
      <c r="T102" s="258"/>
      <c r="U102" s="258"/>
      <c r="V102" s="258"/>
      <c r="W102" s="258"/>
      <c r="X102" s="254"/>
    </row>
    <row r="103" spans="1:24" ht="11.25" x14ac:dyDescent="0.2">
      <c r="A103" s="3">
        <f t="shared" si="21"/>
        <v>6</v>
      </c>
      <c r="B103" s="3" t="s">
        <v>413</v>
      </c>
      <c r="C103" s="3"/>
      <c r="D103" s="3"/>
      <c r="E103" s="3">
        <f ca="1">'Total Co'!E721</f>
        <v>-91006</v>
      </c>
      <c r="F103" s="3">
        <f ca="1">'Total Co'!F721</f>
        <v>41522.198720906861</v>
      </c>
      <c r="G103" s="3">
        <f ca="1">'Total Co'!G721</f>
        <v>216528.80131506594</v>
      </c>
      <c r="H103" s="3">
        <f ca="1">'Total Co'!H721</f>
        <v>37.005938006179761</v>
      </c>
      <c r="I103" s="3">
        <f ca="1">'Total Co'!I721</f>
        <v>22322.800225885188</v>
      </c>
      <c r="J103" s="3">
        <f ca="1">'Total Co'!J721</f>
        <v>-371416.49700309872</v>
      </c>
      <c r="K103" s="3">
        <f ca="1">'Total Co'!K721</f>
        <v>0</v>
      </c>
      <c r="L103" s="3">
        <f ca="1">'Total Co'!L721</f>
        <v>0</v>
      </c>
      <c r="N103" s="3"/>
      <c r="O103" s="3"/>
      <c r="P103" s="3"/>
      <c r="Q103" s="3"/>
      <c r="R103" s="3"/>
      <c r="S103" s="3"/>
      <c r="T103" s="258"/>
      <c r="U103" s="258"/>
      <c r="V103" s="258"/>
      <c r="W103" s="258"/>
      <c r="X103" s="254"/>
    </row>
    <row r="104" spans="1:24" ht="11.25" x14ac:dyDescent="0.2">
      <c r="A104" s="3">
        <f t="shared" si="21"/>
        <v>7</v>
      </c>
      <c r="B104" s="3" t="s">
        <v>414</v>
      </c>
      <c r="C104" s="3"/>
      <c r="D104" s="3"/>
      <c r="E104" s="26">
        <f>'Total Co'!E679</f>
        <v>4790881</v>
      </c>
      <c r="F104" s="26">
        <f ca="1">'Total Co'!F679</f>
        <v>2789635</v>
      </c>
      <c r="G104" s="26">
        <f ca="1">'Total Co'!G679</f>
        <v>1052137</v>
      </c>
      <c r="H104" s="26">
        <f ca="1">'Total Co'!H679</f>
        <v>1604</v>
      </c>
      <c r="I104" s="26">
        <f ca="1">'Total Co'!I679</f>
        <v>8556</v>
      </c>
      <c r="J104" s="26">
        <f ca="1">'Total Co'!J679</f>
        <v>938950</v>
      </c>
      <c r="K104" s="26">
        <f ca="1">'Total Co'!K679</f>
        <v>0</v>
      </c>
      <c r="L104" s="26">
        <f ca="1">'Total Co'!L679</f>
        <v>0</v>
      </c>
      <c r="N104" s="3"/>
      <c r="O104" s="3"/>
      <c r="P104" s="3"/>
      <c r="Q104" s="3"/>
      <c r="R104" s="3"/>
      <c r="S104" s="3"/>
      <c r="T104" s="258"/>
      <c r="U104" s="258"/>
      <c r="V104" s="258"/>
      <c r="W104" s="258"/>
      <c r="X104" s="254"/>
    </row>
    <row r="105" spans="1:24" ht="11.25" x14ac:dyDescent="0.2">
      <c r="A105" s="3">
        <f t="shared" si="21"/>
        <v>8</v>
      </c>
      <c r="B105" s="3" t="s">
        <v>415</v>
      </c>
      <c r="C105" s="3"/>
      <c r="D105" s="3"/>
      <c r="E105" s="3">
        <f t="shared" ref="E105:L105" ca="1" si="22">SUM(E99:E104)</f>
        <v>86726189.028785139</v>
      </c>
      <c r="F105" s="3">
        <f t="shared" ca="1" si="22"/>
        <v>56612886.788720906</v>
      </c>
      <c r="G105" s="3">
        <f t="shared" ca="1" si="22"/>
        <v>22383421.761315066</v>
      </c>
      <c r="H105" s="3">
        <f t="shared" ca="1" si="22"/>
        <v>43108.565938006177</v>
      </c>
      <c r="I105" s="3">
        <f t="shared" ca="1" si="22"/>
        <v>226931.66022588516</v>
      </c>
      <c r="J105" s="3">
        <f t="shared" ca="1" si="22"/>
        <v>7459836.5029969011</v>
      </c>
      <c r="K105" s="3">
        <f t="shared" ca="1" si="22"/>
        <v>0</v>
      </c>
      <c r="L105" s="3">
        <f t="shared" ca="1" si="22"/>
        <v>0</v>
      </c>
      <c r="N105" s="3"/>
      <c r="O105" s="3"/>
      <c r="P105" s="3"/>
      <c r="Q105" s="3"/>
      <c r="R105" s="3"/>
      <c r="S105" s="3"/>
      <c r="T105" s="258"/>
      <c r="U105" s="258"/>
      <c r="V105" s="258"/>
      <c r="W105" s="258"/>
      <c r="X105" s="254"/>
    </row>
    <row r="106" spans="1:24" ht="11.2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N106" s="3"/>
      <c r="O106" s="3"/>
      <c r="P106" s="3"/>
      <c r="Q106" s="3"/>
      <c r="R106" s="3"/>
      <c r="S106" s="3"/>
      <c r="T106" s="258"/>
      <c r="U106" s="258"/>
      <c r="V106" s="258"/>
      <c r="W106" s="258"/>
      <c r="X106" s="254"/>
    </row>
    <row r="107" spans="1:24" ht="11.25" x14ac:dyDescent="0.2">
      <c r="A107" s="3">
        <f>A105+1</f>
        <v>9</v>
      </c>
      <c r="B107" s="3" t="s">
        <v>48</v>
      </c>
      <c r="C107" s="3"/>
      <c r="D107" s="3"/>
      <c r="E107" s="3">
        <f t="shared" ref="E107:L107" ca="1" si="23">E97-E105</f>
        <v>5955977.7212148607</v>
      </c>
      <c r="F107" s="3">
        <f t="shared" ca="1" si="23"/>
        <v>3066937.6512790918</v>
      </c>
      <c r="G107" s="3">
        <f t="shared" ca="1" si="23"/>
        <v>4301863.2486849315</v>
      </c>
      <c r="H107" s="3">
        <f t="shared" ca="1" si="23"/>
        <v>4971.764061993832</v>
      </c>
      <c r="I107" s="3">
        <f t="shared" ca="1" si="23"/>
        <v>254803.27977411478</v>
      </c>
      <c r="J107" s="3">
        <f t="shared" ca="1" si="23"/>
        <v>-1672594.4729969008</v>
      </c>
      <c r="K107" s="3">
        <f t="shared" ca="1" si="23"/>
        <v>0</v>
      </c>
      <c r="L107" s="3">
        <f t="shared" ca="1" si="23"/>
        <v>0</v>
      </c>
      <c r="N107" s="3"/>
      <c r="O107" s="3"/>
      <c r="P107" s="3"/>
      <c r="Q107" s="3"/>
      <c r="R107" s="3"/>
      <c r="S107" s="3"/>
      <c r="T107" s="258"/>
      <c r="U107" s="258"/>
      <c r="V107" s="258"/>
      <c r="W107" s="258"/>
      <c r="X107" s="254"/>
    </row>
    <row r="108" spans="1:24" ht="11.2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N108" s="3"/>
      <c r="O108" s="3"/>
      <c r="P108" s="3"/>
      <c r="Q108" s="3"/>
      <c r="R108" s="3"/>
      <c r="S108" s="3"/>
      <c r="T108" s="258"/>
      <c r="U108" s="258"/>
      <c r="V108" s="258"/>
      <c r="W108" s="258"/>
      <c r="X108" s="254"/>
    </row>
    <row r="109" spans="1:24" ht="11.25" x14ac:dyDescent="0.2">
      <c r="A109" s="3">
        <f>A107+1</f>
        <v>10</v>
      </c>
      <c r="B109" s="3" t="s">
        <v>416</v>
      </c>
      <c r="C109" s="3"/>
      <c r="D109" s="3"/>
      <c r="E109" s="26">
        <f ca="1">'Total Co'!E736</f>
        <v>6688725</v>
      </c>
      <c r="F109" s="26">
        <f ca="1">'Total Co'!F736</f>
        <v>3655277</v>
      </c>
      <c r="G109" s="26">
        <f ca="1">'Total Co'!G736</f>
        <v>1693088</v>
      </c>
      <c r="H109" s="26">
        <f ca="1">'Total Co'!H736</f>
        <v>3176</v>
      </c>
      <c r="I109" s="26">
        <f ca="1">'Total Co'!I736</f>
        <v>12817</v>
      </c>
      <c r="J109" s="26">
        <f ca="1">'Total Co'!J736</f>
        <v>1324367</v>
      </c>
      <c r="K109" s="26">
        <f ca="1">'Total Co'!K736</f>
        <v>0</v>
      </c>
      <c r="L109" s="26">
        <f ca="1">'Total Co'!L736</f>
        <v>0</v>
      </c>
      <c r="N109" s="3"/>
      <c r="O109" s="3"/>
      <c r="P109" s="3"/>
      <c r="Q109" s="3"/>
      <c r="R109" s="3"/>
      <c r="S109" s="3"/>
      <c r="T109" s="258"/>
      <c r="U109" s="258"/>
      <c r="V109" s="258"/>
      <c r="W109" s="258"/>
      <c r="X109" s="254"/>
    </row>
    <row r="110" spans="1:24" ht="11.2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N110" s="3"/>
      <c r="O110" s="3"/>
      <c r="P110" s="3"/>
      <c r="Q110" s="3"/>
      <c r="R110" s="3"/>
      <c r="S110" s="3"/>
      <c r="T110" s="258"/>
      <c r="U110" s="258"/>
      <c r="V110" s="258"/>
      <c r="W110" s="258"/>
      <c r="X110" s="254"/>
    </row>
    <row r="111" spans="1:24" ht="11.25" x14ac:dyDescent="0.2">
      <c r="A111" s="3">
        <f>A109+1</f>
        <v>11</v>
      </c>
      <c r="B111" s="3" t="s">
        <v>417</v>
      </c>
      <c r="C111" s="3"/>
      <c r="D111" s="3"/>
      <c r="E111" s="3">
        <f t="shared" ref="E111:L111" ca="1" si="24">E107-E109</f>
        <v>-732747.27878513932</v>
      </c>
      <c r="F111" s="3">
        <f t="shared" ca="1" si="24"/>
        <v>-588339.34872090816</v>
      </c>
      <c r="G111" s="3">
        <f t="shared" ca="1" si="24"/>
        <v>2608775.2486849315</v>
      </c>
      <c r="H111" s="3">
        <f t="shared" ca="1" si="24"/>
        <v>1795.764061993832</v>
      </c>
      <c r="I111" s="3">
        <f t="shared" ca="1" si="24"/>
        <v>241986.27977411478</v>
      </c>
      <c r="J111" s="3">
        <f t="shared" ca="1" si="24"/>
        <v>-2996961.4729969008</v>
      </c>
      <c r="K111" s="3">
        <f t="shared" ca="1" si="24"/>
        <v>0</v>
      </c>
      <c r="L111" s="3">
        <f t="shared" ca="1" si="24"/>
        <v>0</v>
      </c>
      <c r="N111" s="3"/>
      <c r="O111" s="3"/>
      <c r="P111" s="3"/>
      <c r="Q111" s="3"/>
      <c r="R111" s="3"/>
      <c r="S111" s="3"/>
      <c r="T111" s="254"/>
      <c r="U111" s="254"/>
      <c r="V111" s="254"/>
      <c r="W111" s="254"/>
      <c r="X111" s="254"/>
    </row>
    <row r="112" spans="1:24" ht="11.2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N112" s="3"/>
      <c r="O112" s="3"/>
      <c r="P112" s="3"/>
      <c r="Q112" s="3"/>
      <c r="R112" s="3"/>
      <c r="S112" s="3"/>
      <c r="T112" s="254"/>
      <c r="U112" s="254"/>
      <c r="V112" s="254"/>
      <c r="W112" s="254"/>
      <c r="X112" s="254"/>
    </row>
    <row r="113" spans="1:24" ht="11.25" x14ac:dyDescent="0.2">
      <c r="A113" s="3">
        <f>A111+1</f>
        <v>12</v>
      </c>
      <c r="B113" s="3" t="s">
        <v>418</v>
      </c>
      <c r="C113" s="3"/>
      <c r="D113" s="3"/>
      <c r="E113" s="3">
        <f ca="1">'Total Co'!E800</f>
        <v>253360780.86538461</v>
      </c>
      <c r="F113" s="3">
        <f ca="1">'Total Co'!F800</f>
        <v>138457476</v>
      </c>
      <c r="G113" s="3">
        <f ca="1">'Total Co'!G800</f>
        <v>64132114</v>
      </c>
      <c r="H113" s="3">
        <f ca="1">'Total Co'!H800</f>
        <v>120294</v>
      </c>
      <c r="I113" s="3">
        <f ca="1">'Total Co'!I800</f>
        <v>485505.45000000007</v>
      </c>
      <c r="J113" s="3">
        <f ca="1">'Total Co'!J800</f>
        <v>50165419</v>
      </c>
      <c r="K113" s="3">
        <f ca="1">'Total Co'!K800</f>
        <v>0</v>
      </c>
      <c r="L113" s="3">
        <f ca="1">'Total Co'!L800</f>
        <v>0</v>
      </c>
      <c r="N113" s="3"/>
      <c r="O113" s="3"/>
      <c r="P113" s="3"/>
      <c r="Q113" s="3"/>
      <c r="R113" s="3"/>
      <c r="S113" s="3"/>
      <c r="T113" s="254"/>
      <c r="U113" s="254"/>
      <c r="V113" s="254"/>
      <c r="W113" s="254"/>
      <c r="X113" s="254"/>
    </row>
    <row r="114" spans="1:24" ht="11.25" x14ac:dyDescent="0.2">
      <c r="A114" s="3"/>
      <c r="B114" s="3"/>
      <c r="C114" s="3"/>
      <c r="D114" s="3"/>
      <c r="E114" s="48"/>
      <c r="F114" s="48"/>
      <c r="G114" s="48"/>
      <c r="H114" s="48"/>
      <c r="I114" s="48"/>
      <c r="J114" s="48"/>
      <c r="K114" s="48"/>
      <c r="L114" s="48"/>
      <c r="N114" s="3"/>
      <c r="O114" s="3"/>
      <c r="P114" s="3"/>
      <c r="Q114" s="3"/>
      <c r="R114" s="3"/>
      <c r="S114" s="3"/>
      <c r="T114" s="254"/>
      <c r="U114" s="254"/>
      <c r="V114" s="254"/>
      <c r="W114" s="254"/>
      <c r="X114" s="254"/>
    </row>
    <row r="115" spans="1:24" ht="11.25" x14ac:dyDescent="0.2">
      <c r="A115" s="3">
        <f>A113+1</f>
        <v>13</v>
      </c>
      <c r="B115" s="3" t="s">
        <v>419</v>
      </c>
      <c r="C115" s="3"/>
      <c r="D115" s="3"/>
      <c r="E115" s="49">
        <f t="shared" ref="E115:L115" ca="1" si="25">IF(E113=0,0,ROUND(E107/E113,4))</f>
        <v>2.35E-2</v>
      </c>
      <c r="F115" s="49">
        <f t="shared" ca="1" si="25"/>
        <v>2.2200000000000001E-2</v>
      </c>
      <c r="G115" s="49">
        <f t="shared" ca="1" si="25"/>
        <v>6.7100000000000007E-2</v>
      </c>
      <c r="H115" s="49">
        <f t="shared" ca="1" si="25"/>
        <v>4.1300000000000003E-2</v>
      </c>
      <c r="I115" s="49">
        <f t="shared" ca="1" si="25"/>
        <v>0.52480000000000004</v>
      </c>
      <c r="J115" s="49">
        <f t="shared" ca="1" si="25"/>
        <v>-3.3300000000000003E-2</v>
      </c>
      <c r="K115" s="49">
        <f t="shared" ca="1" si="25"/>
        <v>0</v>
      </c>
      <c r="L115" s="49">
        <f t="shared" ca="1" si="25"/>
        <v>0</v>
      </c>
      <c r="N115" s="3"/>
      <c r="O115" s="3"/>
      <c r="P115" s="3"/>
      <c r="Q115" s="3"/>
      <c r="R115" s="3"/>
      <c r="S115" s="3"/>
      <c r="T115" s="254"/>
      <c r="U115" s="254">
        <v>0</v>
      </c>
      <c r="V115" s="254"/>
      <c r="W115" s="254"/>
      <c r="X115" s="254"/>
    </row>
    <row r="116" spans="1:24" ht="11.2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N116" s="3"/>
      <c r="O116" s="3"/>
      <c r="P116" s="3"/>
      <c r="Q116" s="3"/>
      <c r="R116" s="3"/>
      <c r="S116" s="3"/>
    </row>
    <row r="117" spans="1:24" ht="11.25" x14ac:dyDescent="0.2">
      <c r="A117" s="3">
        <f>A115+1</f>
        <v>14</v>
      </c>
      <c r="B117" s="3" t="s">
        <v>420</v>
      </c>
      <c r="C117" s="3"/>
      <c r="D117" s="3"/>
      <c r="E117" s="24">
        <v>1</v>
      </c>
      <c r="F117" s="24">
        <f t="shared" ref="F117:L117" ca="1" si="26">ROUND(F115/$E$115,2)</f>
        <v>0.94</v>
      </c>
      <c r="G117" s="24">
        <f t="shared" ca="1" si="26"/>
        <v>2.86</v>
      </c>
      <c r="H117" s="24">
        <f t="shared" ca="1" si="26"/>
        <v>1.76</v>
      </c>
      <c r="I117" s="24">
        <f t="shared" ca="1" si="26"/>
        <v>22.33</v>
      </c>
      <c r="J117" s="24">
        <f t="shared" ca="1" si="26"/>
        <v>-1.42</v>
      </c>
      <c r="K117" s="24">
        <f t="shared" ca="1" si="26"/>
        <v>0</v>
      </c>
      <c r="L117" s="24">
        <f t="shared" ca="1" si="26"/>
        <v>0</v>
      </c>
      <c r="N117" s="3"/>
      <c r="O117" s="3"/>
      <c r="P117" s="3"/>
      <c r="Q117" s="3"/>
      <c r="R117" s="3"/>
      <c r="S117" s="3"/>
      <c r="U117" s="330">
        <v>0</v>
      </c>
    </row>
    <row r="118" spans="1:24" ht="11.25" x14ac:dyDescent="0.2">
      <c r="A118" s="3"/>
      <c r="B118" s="3"/>
      <c r="C118" s="3"/>
      <c r="D118" s="3"/>
      <c r="E118" s="31"/>
      <c r="F118" s="31"/>
      <c r="G118" s="31"/>
      <c r="H118" s="31"/>
      <c r="I118" s="31"/>
      <c r="J118" s="31"/>
      <c r="K118" s="31"/>
      <c r="L118" s="31"/>
      <c r="N118" s="3"/>
      <c r="O118" s="3"/>
      <c r="P118" s="3"/>
      <c r="Q118" s="3"/>
      <c r="R118" s="3"/>
      <c r="S118" s="3"/>
    </row>
    <row r="119" spans="1:24" ht="11.25" x14ac:dyDescent="0.2">
      <c r="A119" s="3"/>
      <c r="B119" s="3"/>
      <c r="C119" s="3"/>
      <c r="D119" s="3"/>
      <c r="E119" s="31"/>
      <c r="F119" s="31"/>
      <c r="G119" s="31"/>
      <c r="H119" s="31"/>
      <c r="I119" s="31"/>
      <c r="J119" s="31"/>
      <c r="K119" s="31"/>
      <c r="L119" s="31"/>
      <c r="N119" s="3"/>
      <c r="O119" s="3"/>
      <c r="P119" s="3"/>
      <c r="Q119" s="3"/>
      <c r="R119" s="3"/>
      <c r="S119" s="3"/>
    </row>
    <row r="120" spans="1:24" ht="11.2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N120" s="3"/>
      <c r="O120" s="3"/>
      <c r="P120" s="3"/>
      <c r="Q120" s="3"/>
      <c r="R120" s="3"/>
      <c r="S120" s="3"/>
    </row>
    <row r="121" spans="1:24" ht="11.2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N121" s="3"/>
      <c r="O121" s="3"/>
      <c r="P121" s="3"/>
      <c r="Q121" s="3"/>
      <c r="R121" s="3"/>
      <c r="S121" s="3"/>
    </row>
    <row r="122" spans="1:24" ht="11.25" x14ac:dyDescent="0.2">
      <c r="A122" s="3" t="s">
        <v>1133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N122" s="3"/>
      <c r="O122" s="3"/>
      <c r="P122" s="3"/>
      <c r="Q122" s="3"/>
      <c r="R122" s="3"/>
      <c r="S122" s="3"/>
    </row>
    <row r="123" spans="1:24" ht="11.2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N123" s="3"/>
      <c r="O123" s="3"/>
      <c r="P123" s="3"/>
      <c r="Q123" s="3"/>
      <c r="R123" s="3"/>
      <c r="S123" s="3"/>
    </row>
    <row r="124" spans="1:24" ht="11.25" x14ac:dyDescent="0.2">
      <c r="A124" s="3" t="s">
        <v>810</v>
      </c>
      <c r="B124" s="14"/>
      <c r="C124" s="3"/>
      <c r="D124" s="3"/>
      <c r="E124" s="3"/>
      <c r="F124" s="325" t="str">
        <f>""&amp;+Input!$B$1</f>
        <v>COLUMBIA GAS OF KENTUCKY, INC.</v>
      </c>
      <c r="H124" s="3"/>
      <c r="I124" s="15"/>
      <c r="J124" s="3"/>
      <c r="K124" s="3"/>
      <c r="L124" s="32" t="str">
        <f>Input!$B$2</f>
        <v>ATTACHMENT CEN-2</v>
      </c>
      <c r="N124" s="3"/>
      <c r="O124" s="3"/>
      <c r="P124" s="3"/>
      <c r="Q124" s="3"/>
      <c r="R124" s="3"/>
      <c r="S124" s="3"/>
    </row>
    <row r="125" spans="1:24" ht="11.25" x14ac:dyDescent="0.2">
      <c r="A125" s="3" t="str">
        <f>Input!$B$7</f>
        <v>DEMAND-COMMODITY</v>
      </c>
      <c r="B125" s="3"/>
      <c r="C125" s="3"/>
      <c r="D125" s="3"/>
      <c r="E125" s="3"/>
      <c r="F125" s="325" t="s">
        <v>805</v>
      </c>
      <c r="H125" s="3"/>
      <c r="I125" s="3"/>
      <c r="J125" s="3"/>
      <c r="K125" s="3"/>
      <c r="L125" s="32" t="str">
        <f>"PAGE 5 OF "&amp;FIXED(Input!$B$8,0,TRUE)</f>
        <v>PAGE 5 OF 129</v>
      </c>
      <c r="N125" s="3"/>
      <c r="O125" s="3"/>
      <c r="P125" s="3"/>
      <c r="Q125" s="3"/>
      <c r="R125" s="3"/>
      <c r="S125" s="3"/>
    </row>
    <row r="126" spans="1:24" ht="11.25" x14ac:dyDescent="0.2">
      <c r="A126" s="17" t="str">
        <f>Input!$B$6</f>
        <v>FORECASTED TEST YEAR - ORIGINAL FILING</v>
      </c>
      <c r="B126" s="17"/>
      <c r="C126" s="17"/>
      <c r="D126" s="17"/>
      <c r="E126" s="18"/>
      <c r="F126" s="19" t="str">
        <f>"FOR THE TWELVE MONTHS ENDED "&amp;Input!$B$4</f>
        <v>FOR THE TWELVE MONTHS ENDED 12/31/2017</v>
      </c>
      <c r="G126" s="329"/>
      <c r="H126" s="17"/>
      <c r="I126" s="17"/>
      <c r="J126" s="17"/>
      <c r="K126" s="17"/>
      <c r="L126" s="183" t="str">
        <f>"WITNESS: "&amp;Input!$B$5</f>
        <v>WITNESS: C. NOTESTONE</v>
      </c>
      <c r="N126" s="3"/>
      <c r="O126" s="3"/>
      <c r="P126" s="3"/>
      <c r="Q126" s="3"/>
      <c r="R126" s="3"/>
      <c r="S126" s="3"/>
    </row>
    <row r="127" spans="1:24" ht="11.25" x14ac:dyDescent="0.2">
      <c r="A127" s="325" t="s">
        <v>5</v>
      </c>
      <c r="B127" s="3" t="s">
        <v>6</v>
      </c>
      <c r="C127" s="3"/>
      <c r="D127" s="325" t="s">
        <v>7</v>
      </c>
      <c r="E127" s="325" t="s">
        <v>8</v>
      </c>
      <c r="F127" s="325"/>
      <c r="G127" s="325"/>
      <c r="H127" s="325"/>
      <c r="I127" s="325"/>
      <c r="J127" s="325"/>
      <c r="K127" s="325"/>
      <c r="L127" s="325"/>
      <c r="N127" s="3"/>
      <c r="O127" s="3"/>
      <c r="P127" s="3"/>
      <c r="Q127" s="3"/>
      <c r="R127" s="3"/>
      <c r="S127" s="3"/>
    </row>
    <row r="128" spans="1:24" ht="11.25" x14ac:dyDescent="0.2">
      <c r="A128" s="341" t="s">
        <v>9</v>
      </c>
      <c r="B128" s="341" t="s">
        <v>9</v>
      </c>
      <c r="C128" s="20" t="s">
        <v>484</v>
      </c>
      <c r="D128" s="341" t="s">
        <v>10</v>
      </c>
      <c r="E128" s="341" t="s">
        <v>11</v>
      </c>
      <c r="F128" s="341" t="str">
        <f>"  "&amp;+Input!$C$12</f>
        <v xml:space="preserve">  GS-RESIDENTIAL</v>
      </c>
      <c r="G128" s="341" t="str">
        <f>Input!$C$13</f>
        <v>GS-OTHER</v>
      </c>
      <c r="H128" s="341" t="str">
        <f>Input!$C$14</f>
        <v>IUS</v>
      </c>
      <c r="I128" s="341" t="str">
        <f>Input!$C$15</f>
        <v>DS-ML</v>
      </c>
      <c r="J128" s="341" t="str">
        <f>Input!$C$16</f>
        <v>DS/IS</v>
      </c>
      <c r="K128" s="341" t="str">
        <f>Input!$C$17</f>
        <v>NOT USED</v>
      </c>
      <c r="L128" s="341" t="str">
        <f>Input!$C$18</f>
        <v>NOT USED</v>
      </c>
      <c r="N128" s="3"/>
      <c r="O128" s="3"/>
      <c r="P128" s="3"/>
      <c r="Q128" s="3"/>
      <c r="R128" s="3"/>
      <c r="S128" s="3"/>
    </row>
    <row r="129" spans="1:19" ht="11.25" x14ac:dyDescent="0.2">
      <c r="A129" s="325"/>
      <c r="B129" s="342" t="s">
        <v>13</v>
      </c>
      <c r="C129" s="342" t="s">
        <v>14</v>
      </c>
      <c r="D129" s="325" t="s">
        <v>15</v>
      </c>
      <c r="E129" s="325" t="s">
        <v>16</v>
      </c>
      <c r="F129" s="325" t="s">
        <v>17</v>
      </c>
      <c r="G129" s="325" t="s">
        <v>18</v>
      </c>
      <c r="H129" s="325" t="s">
        <v>19</v>
      </c>
      <c r="I129" s="325" t="s">
        <v>20</v>
      </c>
      <c r="J129" s="325" t="s">
        <v>21</v>
      </c>
      <c r="K129" s="325" t="s">
        <v>22</v>
      </c>
      <c r="L129" s="325" t="s">
        <v>23</v>
      </c>
      <c r="N129" s="3"/>
      <c r="O129" s="3"/>
      <c r="P129" s="3"/>
      <c r="Q129" s="3"/>
      <c r="R129" s="3"/>
      <c r="S129" s="3"/>
    </row>
    <row r="130" spans="1:19" ht="11.25" x14ac:dyDescent="0.2">
      <c r="A130" s="325"/>
      <c r="B130" s="3"/>
      <c r="C130" s="3"/>
      <c r="D130" s="3"/>
      <c r="E130" s="325" t="s">
        <v>26</v>
      </c>
      <c r="F130" s="325" t="s">
        <v>26</v>
      </c>
      <c r="G130" s="325" t="s">
        <v>26</v>
      </c>
      <c r="H130" s="325" t="s">
        <v>26</v>
      </c>
      <c r="I130" s="325" t="s">
        <v>26</v>
      </c>
      <c r="J130" s="325" t="s">
        <v>26</v>
      </c>
      <c r="K130" s="325" t="s">
        <v>26</v>
      </c>
      <c r="L130" s="325" t="s">
        <v>26</v>
      </c>
      <c r="N130" s="3"/>
      <c r="O130" s="3"/>
      <c r="P130" s="3"/>
      <c r="Q130" s="3"/>
      <c r="R130" s="3"/>
      <c r="S130" s="3"/>
    </row>
    <row r="131" spans="1:19" ht="11.25" x14ac:dyDescent="0.2">
      <c r="A131" s="325">
        <v>1</v>
      </c>
      <c r="B131" s="3"/>
      <c r="C131" s="3" t="str">
        <f>Input!A85</f>
        <v>INTANGIBLE PLANT</v>
      </c>
      <c r="D131" s="3"/>
      <c r="E131" s="3"/>
      <c r="F131" s="3"/>
      <c r="G131" s="3"/>
      <c r="H131" s="3"/>
      <c r="I131" s="3"/>
      <c r="J131" s="3"/>
      <c r="K131" s="3"/>
      <c r="L131" s="3"/>
      <c r="N131" s="3"/>
      <c r="O131" s="3"/>
      <c r="P131" s="3"/>
      <c r="Q131" s="3"/>
      <c r="R131" s="3"/>
      <c r="S131" s="3"/>
    </row>
    <row r="132" spans="1:19" ht="11.25" x14ac:dyDescent="0.2">
      <c r="A132" s="325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N132" s="3"/>
      <c r="O132" s="3"/>
      <c r="P132" s="3"/>
      <c r="Q132" s="3"/>
      <c r="R132" s="3"/>
      <c r="S132" s="3"/>
    </row>
    <row r="133" spans="1:19" ht="11.25" x14ac:dyDescent="0.2">
      <c r="A133" s="325">
        <f>A131+1</f>
        <v>2</v>
      </c>
      <c r="B133" s="24">
        <f>Input!A86</f>
        <v>301</v>
      </c>
      <c r="C133" s="3" t="str">
        <f>Input!B86</f>
        <v>ORGANIZATION</v>
      </c>
      <c r="D133" s="3"/>
      <c r="E133" s="3">
        <f>SUM(Input!D86:E86)</f>
        <v>521</v>
      </c>
      <c r="F133" s="3">
        <f ca="1">Customer!F133+Commodity!F133+Demand!F133</f>
        <v>298</v>
      </c>
      <c r="G133" s="3">
        <f ca="1">Customer!G133+Commodity!G133+Demand!G133</f>
        <v>114</v>
      </c>
      <c r="H133" s="3">
        <f ca="1">Customer!H133+Commodity!H133+Demand!H133</f>
        <v>0</v>
      </c>
      <c r="I133" s="3">
        <f ca="1">Customer!I133+Commodity!I133+Demand!I133</f>
        <v>1</v>
      </c>
      <c r="J133" s="3">
        <f ca="1">Customer!J133+Commodity!J133+Demand!J133</f>
        <v>108</v>
      </c>
      <c r="K133" s="3">
        <f ca="1">Customer!K133+Commodity!K133+Demand!K133</f>
        <v>0</v>
      </c>
      <c r="L133" s="3">
        <f ca="1">Customer!L133+Commodity!L133+Demand!L133</f>
        <v>0</v>
      </c>
      <c r="N133" s="3"/>
      <c r="O133" s="3"/>
      <c r="P133" s="3"/>
      <c r="Q133" s="3"/>
      <c r="R133" s="3"/>
      <c r="S133" s="3"/>
    </row>
    <row r="134" spans="1:19" ht="11.25" x14ac:dyDescent="0.2">
      <c r="A134" s="325">
        <f>A133+1</f>
        <v>3</v>
      </c>
      <c r="B134" s="24">
        <f>Input!A87</f>
        <v>303</v>
      </c>
      <c r="C134" s="3" t="str">
        <f>Input!B87</f>
        <v>MISC. INTANGIBLE PLANT</v>
      </c>
      <c r="D134" s="3"/>
      <c r="E134" s="3">
        <f>SUM(Input!D87:E87)</f>
        <v>74348</v>
      </c>
      <c r="F134" s="3">
        <f ca="1">Customer!F134+Commodity!F134+Demand!F134</f>
        <v>42566</v>
      </c>
      <c r="G134" s="3">
        <f ca="1">Customer!G134+Commodity!G134+Demand!G134</f>
        <v>16208</v>
      </c>
      <c r="H134" s="3">
        <f ca="1">Customer!H134+Commodity!H134+Demand!H134</f>
        <v>25</v>
      </c>
      <c r="I134" s="3">
        <f ca="1">Customer!I134+Commodity!I134+Demand!I134</f>
        <v>133</v>
      </c>
      <c r="J134" s="3">
        <f ca="1">Customer!J134+Commodity!J134+Demand!J134</f>
        <v>15414</v>
      </c>
      <c r="K134" s="3">
        <f ca="1">Customer!K134+Commodity!K134+Demand!K134</f>
        <v>0</v>
      </c>
      <c r="L134" s="3">
        <f ca="1">Customer!L134+Commodity!L134+Demand!L134</f>
        <v>0</v>
      </c>
      <c r="N134" s="3"/>
      <c r="O134" s="3"/>
      <c r="P134" s="3"/>
      <c r="Q134" s="3"/>
      <c r="R134" s="3"/>
      <c r="S134" s="3"/>
    </row>
    <row r="135" spans="1:19" ht="11.25" x14ac:dyDescent="0.2">
      <c r="A135" s="325">
        <f>A134+1</f>
        <v>4</v>
      </c>
      <c r="B135" s="24">
        <f>Input!A88</f>
        <v>303.10000000000002</v>
      </c>
      <c r="C135" s="3" t="str">
        <f>Input!B88</f>
        <v>DIS SOFTWARE</v>
      </c>
      <c r="D135" s="3"/>
      <c r="E135" s="3">
        <f>SUM(Input!D88:E88)</f>
        <v>0</v>
      </c>
      <c r="F135" s="3">
        <f ca="1">Customer!F135+Commodity!F135+Demand!F135</f>
        <v>0</v>
      </c>
      <c r="G135" s="3">
        <f ca="1">Customer!G135+Commodity!G135+Demand!G135</f>
        <v>0</v>
      </c>
      <c r="H135" s="3">
        <f ca="1">Customer!H135+Commodity!H135+Demand!H135</f>
        <v>0</v>
      </c>
      <c r="I135" s="3">
        <f ca="1">Customer!I135+Commodity!I135+Demand!I135</f>
        <v>0</v>
      </c>
      <c r="J135" s="3">
        <f ca="1">Customer!J135+Commodity!J135+Demand!J135</f>
        <v>0</v>
      </c>
      <c r="K135" s="3">
        <f ca="1">Customer!K135+Commodity!K135+Demand!K135</f>
        <v>0</v>
      </c>
      <c r="L135" s="3">
        <f ca="1">Customer!L135+Commodity!L135+Demand!L135</f>
        <v>0</v>
      </c>
      <c r="N135" s="3"/>
      <c r="O135" s="3"/>
      <c r="P135" s="3"/>
      <c r="Q135" s="3"/>
      <c r="R135" s="3"/>
      <c r="S135" s="3"/>
    </row>
    <row r="136" spans="1:19" ht="11.25" x14ac:dyDescent="0.2">
      <c r="A136" s="325">
        <f>A135+1</f>
        <v>5</v>
      </c>
      <c r="B136" s="24">
        <f>Input!A89</f>
        <v>303.2</v>
      </c>
      <c r="C136" s="3" t="str">
        <f>Input!B89</f>
        <v>FARA SOFTWARE</v>
      </c>
      <c r="D136" s="3"/>
      <c r="E136" s="3">
        <f>SUM(Input!D89:E89)</f>
        <v>0</v>
      </c>
      <c r="F136" s="3">
        <f ca="1">Customer!F136+Commodity!F136+Demand!F136</f>
        <v>0</v>
      </c>
      <c r="G136" s="3">
        <f ca="1">Customer!G136+Commodity!G136+Demand!G136</f>
        <v>0</v>
      </c>
      <c r="H136" s="3">
        <f ca="1">Customer!H136+Commodity!H136+Demand!H136</f>
        <v>0</v>
      </c>
      <c r="I136" s="3">
        <f ca="1">Customer!I136+Commodity!I136+Demand!I136</f>
        <v>0</v>
      </c>
      <c r="J136" s="3">
        <f ca="1">Customer!J136+Commodity!J136+Demand!J136</f>
        <v>0</v>
      </c>
      <c r="K136" s="3">
        <f ca="1">Customer!K136+Commodity!K136+Demand!K136</f>
        <v>0</v>
      </c>
      <c r="L136" s="3">
        <f ca="1">Customer!L136+Commodity!L136+Demand!L136</f>
        <v>0</v>
      </c>
      <c r="N136" s="3"/>
      <c r="O136" s="3"/>
      <c r="P136" s="3"/>
      <c r="Q136" s="3"/>
      <c r="R136" s="3"/>
      <c r="S136" s="3"/>
    </row>
    <row r="137" spans="1:19" ht="11.25" x14ac:dyDescent="0.2">
      <c r="A137" s="325">
        <f>A136+1</f>
        <v>6</v>
      </c>
      <c r="B137" s="24">
        <f>Input!A90</f>
        <v>303.3</v>
      </c>
      <c r="C137" s="3" t="str">
        <f>Input!B90</f>
        <v>OTHER SOFTWARE</v>
      </c>
      <c r="D137" s="3"/>
      <c r="E137" s="26">
        <f>SUM(Input!D90:E90)</f>
        <v>8341319</v>
      </c>
      <c r="F137" s="26">
        <f ca="1">Customer!F137+Commodity!F137+Demand!F137</f>
        <v>4775674</v>
      </c>
      <c r="G137" s="26">
        <f ca="1">Customer!G137+Commodity!G137+Demand!G137</f>
        <v>1818292</v>
      </c>
      <c r="H137" s="26">
        <f ca="1">Customer!H137+Commodity!H137+Demand!H137</f>
        <v>2904</v>
      </c>
      <c r="I137" s="26">
        <f ca="1">Customer!I137+Commodity!I137+Demand!I137</f>
        <v>14987</v>
      </c>
      <c r="J137" s="26">
        <f ca="1">Customer!J137+Commodity!J137+Demand!J137</f>
        <v>1729462</v>
      </c>
      <c r="K137" s="26">
        <f ca="1">Customer!K137+Commodity!K137+Demand!K137</f>
        <v>0</v>
      </c>
      <c r="L137" s="26">
        <f ca="1">Customer!L137+Commodity!L137+Demand!L137</f>
        <v>0</v>
      </c>
      <c r="N137" s="3"/>
      <c r="O137" s="3"/>
      <c r="P137" s="3"/>
      <c r="Q137" s="3"/>
      <c r="R137" s="3"/>
      <c r="S137" s="3"/>
    </row>
    <row r="138" spans="1:19" ht="11.25" x14ac:dyDescent="0.2">
      <c r="A138" s="325">
        <f>A137+1</f>
        <v>7</v>
      </c>
      <c r="B138" s="3"/>
      <c r="C138" s="3" t="s">
        <v>30</v>
      </c>
      <c r="D138" s="3"/>
      <c r="E138" s="3">
        <f t="shared" ref="E138:L138" si="27">SUM(E133:E137)</f>
        <v>8416188</v>
      </c>
      <c r="F138" s="3">
        <f t="shared" ca="1" si="27"/>
        <v>4818538</v>
      </c>
      <c r="G138" s="3">
        <f t="shared" ca="1" si="27"/>
        <v>1834614</v>
      </c>
      <c r="H138" s="3">
        <f t="shared" ca="1" si="27"/>
        <v>2929</v>
      </c>
      <c r="I138" s="3">
        <f t="shared" ca="1" si="27"/>
        <v>15121</v>
      </c>
      <c r="J138" s="3">
        <f t="shared" ca="1" si="27"/>
        <v>1744984</v>
      </c>
      <c r="K138" s="3">
        <f t="shared" ca="1" si="27"/>
        <v>0</v>
      </c>
      <c r="L138" s="3">
        <f t="shared" ca="1" si="27"/>
        <v>0</v>
      </c>
      <c r="N138" s="3"/>
      <c r="O138" s="3"/>
      <c r="P138" s="3"/>
      <c r="Q138" s="3"/>
      <c r="R138" s="3"/>
      <c r="S138" s="3"/>
    </row>
    <row r="139" spans="1:19" ht="11.25" x14ac:dyDescent="0.2">
      <c r="A139" s="325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N139" s="3"/>
      <c r="O139" s="3"/>
      <c r="P139" s="3"/>
      <c r="Q139" s="3"/>
      <c r="R139" s="3"/>
      <c r="S139" s="3"/>
    </row>
    <row r="140" spans="1:19" ht="11.25" x14ac:dyDescent="0.2">
      <c r="A140" s="325">
        <f>A138+1</f>
        <v>8</v>
      </c>
      <c r="B140" s="3"/>
      <c r="C140" s="25" t="str">
        <f>Input!A91</f>
        <v>PRODUCTION PLANT</v>
      </c>
      <c r="D140" s="3"/>
      <c r="E140" s="3"/>
      <c r="F140" s="3"/>
      <c r="G140" s="3"/>
      <c r="H140" s="3"/>
      <c r="I140" s="3"/>
      <c r="J140" s="3"/>
      <c r="K140" s="3"/>
      <c r="L140" s="3"/>
      <c r="N140" s="3"/>
      <c r="O140" s="3"/>
      <c r="P140" s="3"/>
      <c r="Q140" s="3"/>
      <c r="R140" s="3"/>
      <c r="S140" s="3"/>
    </row>
    <row r="141" spans="1:19" ht="11.25" x14ac:dyDescent="0.2">
      <c r="A141" s="325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N141" s="3"/>
      <c r="O141" s="3"/>
      <c r="P141" s="3"/>
      <c r="Q141" s="3"/>
      <c r="R141" s="3"/>
      <c r="S141" s="3"/>
    </row>
    <row r="142" spans="1:19" ht="11.25" x14ac:dyDescent="0.2">
      <c r="A142" s="325">
        <f>A140+1</f>
        <v>9</v>
      </c>
      <c r="B142" s="24">
        <f>Input!A92</f>
        <v>304.10000000000002</v>
      </c>
      <c r="C142" s="3" t="str">
        <f>Input!B92</f>
        <v>LAND</v>
      </c>
      <c r="D142" s="3"/>
      <c r="E142" s="3">
        <f>SUM(Input!D92:E92)</f>
        <v>0</v>
      </c>
      <c r="F142" s="3">
        <f>Customer!F142+Commodity!F142+Demand!F142</f>
        <v>0</v>
      </c>
      <c r="G142" s="3">
        <f>Customer!G142+Commodity!G142+Demand!G142</f>
        <v>0</v>
      </c>
      <c r="H142" s="3">
        <f>Customer!H142+Commodity!H142+Demand!H142</f>
        <v>0</v>
      </c>
      <c r="I142" s="3">
        <f>Customer!I142+Commodity!I142+Demand!I142</f>
        <v>0</v>
      </c>
      <c r="J142" s="3">
        <f>Customer!J142+Commodity!J142+Demand!J142</f>
        <v>0</v>
      </c>
      <c r="K142" s="3">
        <f>Customer!K142+Commodity!K142+Demand!K142</f>
        <v>0</v>
      </c>
      <c r="L142" s="3">
        <f>Customer!L142+Commodity!L142+Demand!L142</f>
        <v>0</v>
      </c>
      <c r="N142" s="3"/>
      <c r="O142" s="3"/>
      <c r="P142" s="3"/>
      <c r="Q142" s="3"/>
      <c r="R142" s="3"/>
      <c r="S142" s="3"/>
    </row>
    <row r="143" spans="1:19" ht="11.25" x14ac:dyDescent="0.2">
      <c r="A143" s="325">
        <f>A142+1</f>
        <v>10</v>
      </c>
      <c r="B143" s="24">
        <f>Input!A93</f>
        <v>305</v>
      </c>
      <c r="C143" s="3" t="str">
        <f>Input!B93</f>
        <v>STRUCTURES &amp; IMPROVEMENTS</v>
      </c>
      <c r="D143" s="3"/>
      <c r="E143" s="3">
        <f>SUM(Input!D93:E93)</f>
        <v>0</v>
      </c>
      <c r="F143" s="3">
        <f>Customer!F143+Commodity!F143+Demand!F143</f>
        <v>0</v>
      </c>
      <c r="G143" s="3">
        <f>Customer!G143+Commodity!G143+Demand!G143</f>
        <v>0</v>
      </c>
      <c r="H143" s="3">
        <f>Customer!H143+Commodity!H143+Demand!H143</f>
        <v>0</v>
      </c>
      <c r="I143" s="3">
        <f>Customer!I143+Commodity!I143+Demand!I143</f>
        <v>0</v>
      </c>
      <c r="J143" s="3">
        <f>Customer!J143+Commodity!J143+Demand!J143</f>
        <v>0</v>
      </c>
      <c r="K143" s="3">
        <f>Customer!K143+Commodity!K143+Demand!K143</f>
        <v>0</v>
      </c>
      <c r="L143" s="3">
        <f>Customer!L143+Commodity!L143+Demand!L143</f>
        <v>0</v>
      </c>
      <c r="N143" s="3"/>
      <c r="O143" s="3"/>
      <c r="P143" s="3"/>
      <c r="Q143" s="3"/>
      <c r="R143" s="3"/>
      <c r="S143" s="3"/>
    </row>
    <row r="144" spans="1:19" ht="11.25" x14ac:dyDescent="0.2">
      <c r="A144" s="325">
        <f>A143+1</f>
        <v>11</v>
      </c>
      <c r="B144" s="24">
        <f>Input!A94</f>
        <v>311</v>
      </c>
      <c r="C144" s="3" t="str">
        <f>Input!B94</f>
        <v>LIQUEFIED PETROLEUM GAS EQUIP</v>
      </c>
      <c r="D144" s="3"/>
      <c r="E144" s="26">
        <f>SUM(Input!D94:E94)</f>
        <v>0</v>
      </c>
      <c r="F144" s="26">
        <f>Customer!F144+Commodity!F144+Demand!F144</f>
        <v>0</v>
      </c>
      <c r="G144" s="26">
        <f>Customer!G144+Commodity!G144+Demand!G144</f>
        <v>0</v>
      </c>
      <c r="H144" s="26">
        <f>Customer!H144+Commodity!H144+Demand!H144</f>
        <v>0</v>
      </c>
      <c r="I144" s="26">
        <f>Customer!I144+Commodity!I144+Demand!I144</f>
        <v>0</v>
      </c>
      <c r="J144" s="26">
        <f>Customer!J144+Commodity!J144+Demand!J144</f>
        <v>0</v>
      </c>
      <c r="K144" s="26">
        <f>Customer!K144+Commodity!K144+Demand!K144</f>
        <v>0</v>
      </c>
      <c r="L144" s="26">
        <f>Customer!L144+Commodity!L144+Demand!L144</f>
        <v>0</v>
      </c>
      <c r="N144" s="3"/>
      <c r="O144" s="3"/>
      <c r="P144" s="3"/>
      <c r="Q144" s="3"/>
      <c r="R144" s="3"/>
      <c r="S144" s="3"/>
    </row>
    <row r="145" spans="1:31" ht="11.25" x14ac:dyDescent="0.2">
      <c r="A145" s="325">
        <f>A144+1</f>
        <v>12</v>
      </c>
      <c r="B145" s="3"/>
      <c r="C145" s="3" t="s">
        <v>41</v>
      </c>
      <c r="D145" s="3"/>
      <c r="E145" s="3">
        <f t="shared" ref="E145:L145" si="28">SUM(E142:E144)</f>
        <v>0</v>
      </c>
      <c r="F145" s="3">
        <f t="shared" si="28"/>
        <v>0</v>
      </c>
      <c r="G145" s="3">
        <f t="shared" si="28"/>
        <v>0</v>
      </c>
      <c r="H145" s="3">
        <f t="shared" si="28"/>
        <v>0</v>
      </c>
      <c r="I145" s="3">
        <f t="shared" si="28"/>
        <v>0</v>
      </c>
      <c r="J145" s="3">
        <f t="shared" si="28"/>
        <v>0</v>
      </c>
      <c r="K145" s="3">
        <f t="shared" si="28"/>
        <v>0</v>
      </c>
      <c r="L145" s="3">
        <f t="shared" si="28"/>
        <v>0</v>
      </c>
      <c r="N145" s="3"/>
      <c r="O145" s="3"/>
      <c r="P145" s="3"/>
      <c r="Q145" s="3"/>
      <c r="R145" s="3"/>
      <c r="S145" s="3"/>
    </row>
    <row r="146" spans="1:31" ht="11.25" x14ac:dyDescent="0.2">
      <c r="A146" s="325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N146" s="3"/>
      <c r="O146" s="3"/>
      <c r="P146" s="3"/>
      <c r="Q146" s="3"/>
      <c r="R146" s="3"/>
      <c r="S146" s="3"/>
    </row>
    <row r="147" spans="1:31" ht="11.25" x14ac:dyDescent="0.2">
      <c r="A147" s="325">
        <f>A145+1</f>
        <v>13</v>
      </c>
      <c r="B147" s="24"/>
      <c r="C147" s="25" t="str">
        <f>Input!A95</f>
        <v>DISTRIBUTION PLANT</v>
      </c>
      <c r="D147" s="3"/>
      <c r="E147" s="3"/>
      <c r="F147" s="3"/>
      <c r="G147" s="3"/>
      <c r="H147" s="3"/>
      <c r="I147" s="3"/>
      <c r="J147" s="3"/>
      <c r="K147" s="3"/>
      <c r="L147" s="3"/>
      <c r="N147" s="3"/>
      <c r="O147" s="3"/>
      <c r="P147" s="3"/>
      <c r="Q147" s="3"/>
      <c r="R147" s="3"/>
      <c r="S147" s="3"/>
    </row>
    <row r="148" spans="1:31" ht="11.25" x14ac:dyDescent="0.2">
      <c r="A148" s="325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N148" s="3"/>
      <c r="O148" s="3"/>
      <c r="P148" s="3"/>
      <c r="Q148" s="3"/>
      <c r="R148" s="3"/>
      <c r="S148" s="3"/>
    </row>
    <row r="149" spans="1:31" ht="11.25" x14ac:dyDescent="0.2">
      <c r="A149" s="325">
        <f>A147+1</f>
        <v>14</v>
      </c>
      <c r="B149" s="24">
        <f>Input!A96</f>
        <v>374.1</v>
      </c>
      <c r="C149" s="25" t="str">
        <f>Input!B96</f>
        <v>LAND - CITY GATE &amp; M/L IND M&amp;R</v>
      </c>
      <c r="D149" s="3"/>
      <c r="E149" s="3">
        <f>SUM(Input!D96:E96)</f>
        <v>206</v>
      </c>
      <c r="F149" s="3">
        <f>Customer!F149+Commodity!F149+Demand!F149</f>
        <v>80</v>
      </c>
      <c r="G149" s="3">
        <f>Customer!G149+Commodity!G149+Demand!G149</f>
        <v>54</v>
      </c>
      <c r="H149" s="3">
        <f>Customer!H149+Commodity!H149+Demand!H149</f>
        <v>0</v>
      </c>
      <c r="I149" s="3">
        <f>Customer!I149+Commodity!I149+Demand!I149</f>
        <v>0</v>
      </c>
      <c r="J149" s="3">
        <f>Customer!J149+Commodity!J149+Demand!J149</f>
        <v>72</v>
      </c>
      <c r="K149" s="3">
        <f>Customer!K149+Commodity!K149+Demand!K149</f>
        <v>0</v>
      </c>
      <c r="L149" s="3">
        <f>Customer!L149+Commodity!L149+Demand!L149</f>
        <v>0</v>
      </c>
      <c r="N149" s="3"/>
      <c r="O149" s="3"/>
      <c r="P149" s="3"/>
      <c r="Q149" s="3"/>
      <c r="R149" s="3"/>
      <c r="S149" s="3"/>
      <c r="T149" s="244"/>
      <c r="U149" s="244"/>
      <c r="V149" s="244"/>
      <c r="W149" s="244"/>
      <c r="X149" s="244"/>
      <c r="Z149" s="375"/>
      <c r="AA149" s="376"/>
      <c r="AB149" s="376">
        <f t="shared" ref="AB149:AE149" si="29">P149-V149</f>
        <v>0</v>
      </c>
      <c r="AC149" s="376">
        <f t="shared" si="29"/>
        <v>0</v>
      </c>
      <c r="AD149" s="376">
        <f t="shared" si="29"/>
        <v>0</v>
      </c>
      <c r="AE149" s="376">
        <f t="shared" si="29"/>
        <v>0</v>
      </c>
    </row>
    <row r="150" spans="1:31" ht="11.25" x14ac:dyDescent="0.2">
      <c r="A150" s="325">
        <f t="shared" ref="A150:A167" si="30">A149+1</f>
        <v>15</v>
      </c>
      <c r="B150" s="24">
        <f>Input!A97</f>
        <v>374.2</v>
      </c>
      <c r="C150" s="25" t="str">
        <f>Input!B97</f>
        <v>LAND - OTHER DISTRIBUTION</v>
      </c>
      <c r="D150" s="3"/>
      <c r="E150" s="3">
        <f>SUM(Input!D97:E97)</f>
        <v>877756</v>
      </c>
      <c r="F150" s="3">
        <f>Customer!F150+Commodity!F150+Demand!F150</f>
        <v>342184</v>
      </c>
      <c r="G150" s="3">
        <f>Customer!G150+Commodity!G150+Demand!G150</f>
        <v>231718</v>
      </c>
      <c r="H150" s="3">
        <f>Customer!H150+Commodity!H150+Demand!H150</f>
        <v>500</v>
      </c>
      <c r="I150" s="3">
        <f>Customer!I150+Commodity!I150+Demand!I150</f>
        <v>0</v>
      </c>
      <c r="J150" s="3">
        <f>Customer!J150+Commodity!J150+Demand!J150</f>
        <v>303352</v>
      </c>
      <c r="K150" s="3">
        <f>Customer!K150+Commodity!K150+Demand!K150</f>
        <v>0</v>
      </c>
      <c r="L150" s="3">
        <f>Customer!L150+Commodity!L150+Demand!L150</f>
        <v>0</v>
      </c>
      <c r="N150" s="3"/>
      <c r="O150" s="3"/>
      <c r="P150" s="3"/>
      <c r="Q150" s="3"/>
      <c r="R150" s="3"/>
      <c r="S150" s="3"/>
      <c r="T150" s="244"/>
      <c r="U150" s="244"/>
      <c r="V150" s="244"/>
      <c r="W150" s="244"/>
      <c r="X150" s="244"/>
      <c r="Z150" s="376"/>
      <c r="AA150" s="376"/>
      <c r="AB150" s="376"/>
      <c r="AC150" s="376"/>
      <c r="AD150" s="376"/>
      <c r="AE150" s="376"/>
    </row>
    <row r="151" spans="1:31" ht="11.25" x14ac:dyDescent="0.2">
      <c r="A151" s="325">
        <f t="shared" si="30"/>
        <v>16</v>
      </c>
      <c r="B151" s="24">
        <f>Input!A98</f>
        <v>374.4</v>
      </c>
      <c r="C151" s="25" t="str">
        <f>Input!B98</f>
        <v>LAND RIGHTS - OTHER DISTRIBUTION</v>
      </c>
      <c r="D151" s="3"/>
      <c r="E151" s="3">
        <f>SUM(Input!D98:E98)</f>
        <v>661306</v>
      </c>
      <c r="F151" s="3">
        <f>Customer!F151+Commodity!F151+Demand!F151</f>
        <v>257804</v>
      </c>
      <c r="G151" s="3">
        <f>Customer!G151+Commodity!G151+Demand!G151</f>
        <v>174578</v>
      </c>
      <c r="H151" s="3">
        <f>Customer!H151+Commodity!H151+Demand!H151</f>
        <v>376</v>
      </c>
      <c r="I151" s="3">
        <f>Customer!I151+Commodity!I151+Demand!I151</f>
        <v>0</v>
      </c>
      <c r="J151" s="3">
        <f>Customer!J151+Commodity!J151+Demand!J151</f>
        <v>228548</v>
      </c>
      <c r="K151" s="3">
        <f>Customer!K151+Commodity!K151+Demand!K151</f>
        <v>0</v>
      </c>
      <c r="L151" s="3">
        <f>Customer!L151+Commodity!L151+Demand!L151</f>
        <v>0</v>
      </c>
      <c r="N151" s="3"/>
      <c r="O151" s="3"/>
      <c r="P151" s="3"/>
      <c r="Q151" s="3"/>
      <c r="R151" s="3"/>
      <c r="S151" s="3"/>
      <c r="T151" s="244"/>
      <c r="U151" s="244"/>
      <c r="V151" s="244"/>
      <c r="W151" s="244"/>
      <c r="X151" s="244"/>
      <c r="Z151" s="376"/>
      <c r="AA151" s="376"/>
      <c r="AB151" s="376"/>
      <c r="AC151" s="376"/>
      <c r="AD151" s="376"/>
      <c r="AE151" s="376"/>
    </row>
    <row r="152" spans="1:31" ht="11.25" x14ac:dyDescent="0.2">
      <c r="A152" s="325">
        <f t="shared" si="30"/>
        <v>17</v>
      </c>
      <c r="B152" s="24">
        <f>Input!A99</f>
        <v>374.5</v>
      </c>
      <c r="C152" s="25" t="str">
        <f>Input!B99</f>
        <v>RIGHTS OF WAY</v>
      </c>
      <c r="D152" s="3"/>
      <c r="E152" s="3">
        <f>SUM(Input!D99:E99)</f>
        <v>2729828</v>
      </c>
      <c r="F152" s="3">
        <f>Customer!F152+Commodity!F152+Demand!F152</f>
        <v>1064196</v>
      </c>
      <c r="G152" s="3">
        <f>Customer!G152+Commodity!G152+Demand!G152</f>
        <v>720648</v>
      </c>
      <c r="H152" s="3">
        <f>Customer!H152+Commodity!H152+Demand!H152</f>
        <v>1556</v>
      </c>
      <c r="I152" s="3">
        <f>Customer!I152+Commodity!I152+Demand!I152</f>
        <v>0</v>
      </c>
      <c r="J152" s="3">
        <f>Customer!J152+Commodity!J152+Demand!J152</f>
        <v>943428</v>
      </c>
      <c r="K152" s="3">
        <f>Customer!K152+Commodity!K152+Demand!K152</f>
        <v>0</v>
      </c>
      <c r="L152" s="3">
        <f>Customer!L152+Commodity!L152+Demand!L152</f>
        <v>0</v>
      </c>
      <c r="N152" s="3"/>
      <c r="O152" s="3"/>
      <c r="P152" s="3"/>
      <c r="Q152" s="3"/>
      <c r="R152" s="3"/>
      <c r="S152" s="3"/>
      <c r="T152" s="244"/>
      <c r="U152" s="244"/>
      <c r="V152" s="244"/>
      <c r="W152" s="244"/>
      <c r="X152" s="244"/>
      <c r="Z152" s="376"/>
      <c r="AA152" s="376"/>
      <c r="AB152" s="376"/>
      <c r="AC152" s="376"/>
      <c r="AD152" s="376"/>
      <c r="AE152" s="376"/>
    </row>
    <row r="153" spans="1:31" ht="11.25" x14ac:dyDescent="0.2">
      <c r="A153" s="325">
        <f t="shared" si="30"/>
        <v>18</v>
      </c>
      <c r="B153" s="24">
        <f>Input!A100</f>
        <v>375.2</v>
      </c>
      <c r="C153" s="25" t="str">
        <f>Input!B100</f>
        <v>CITY GATE - MEAS &amp; REG STRUCTURES</v>
      </c>
      <c r="D153" s="3"/>
      <c r="E153" s="3">
        <f>SUM(Input!D100:E100)</f>
        <v>2125</v>
      </c>
      <c r="F153" s="3">
        <f>Customer!F153+Commodity!F153+Demand!F153</f>
        <v>828</v>
      </c>
      <c r="G153" s="3">
        <f>Customer!G153+Commodity!G153+Demand!G153</f>
        <v>561</v>
      </c>
      <c r="H153" s="3">
        <f>Customer!H153+Commodity!H153+Demand!H153</f>
        <v>2</v>
      </c>
      <c r="I153" s="3">
        <f>Customer!I153+Commodity!I153+Demand!I153</f>
        <v>0</v>
      </c>
      <c r="J153" s="3">
        <f>Customer!J153+Commodity!J153+Demand!J153</f>
        <v>734</v>
      </c>
      <c r="K153" s="3">
        <f>Customer!K153+Commodity!K153+Demand!K153</f>
        <v>0</v>
      </c>
      <c r="L153" s="3">
        <f>Customer!L153+Commodity!L153+Demand!L153</f>
        <v>0</v>
      </c>
      <c r="N153" s="3"/>
      <c r="O153" s="3"/>
      <c r="P153" s="3"/>
      <c r="Q153" s="3"/>
      <c r="R153" s="3"/>
      <c r="S153" s="3"/>
      <c r="T153" s="244"/>
      <c r="U153" s="244"/>
      <c r="V153" s="244"/>
      <c r="W153" s="244"/>
      <c r="X153" s="244"/>
      <c r="Z153" s="376"/>
      <c r="AA153" s="376"/>
      <c r="AB153" s="376"/>
      <c r="AC153" s="376"/>
      <c r="AD153" s="376"/>
      <c r="AE153" s="376"/>
    </row>
    <row r="154" spans="1:31" ht="11.25" x14ac:dyDescent="0.2">
      <c r="A154" s="325">
        <f t="shared" si="30"/>
        <v>19</v>
      </c>
      <c r="B154" s="24">
        <f>Input!A101</f>
        <v>375.3</v>
      </c>
      <c r="C154" s="25" t="str">
        <f>Input!B101</f>
        <v>STRUC &amp; IMPROV-GENERAL M&amp;R</v>
      </c>
      <c r="D154" s="3"/>
      <c r="E154" s="3">
        <f>SUM(Input!D101:E101)</f>
        <v>0</v>
      </c>
      <c r="F154" s="3">
        <f>Customer!F154+Commodity!F154+Demand!F154</f>
        <v>0</v>
      </c>
      <c r="G154" s="3">
        <f>Customer!G154+Commodity!G154+Demand!G154</f>
        <v>0</v>
      </c>
      <c r="H154" s="3">
        <f>Customer!H154+Commodity!H154+Demand!H154</f>
        <v>0</v>
      </c>
      <c r="I154" s="3">
        <f>Customer!I154+Commodity!I154+Demand!I154</f>
        <v>0</v>
      </c>
      <c r="J154" s="3">
        <f>Customer!J154+Commodity!J154+Demand!J154</f>
        <v>0</v>
      </c>
      <c r="K154" s="3">
        <f>Customer!K154+Commodity!K154+Demand!K154</f>
        <v>0</v>
      </c>
      <c r="L154" s="3">
        <f>Customer!L154+Commodity!L154+Demand!L154</f>
        <v>0</v>
      </c>
      <c r="N154" s="3"/>
      <c r="O154" s="3"/>
      <c r="P154" s="3"/>
      <c r="Q154" s="3"/>
      <c r="R154" s="3"/>
      <c r="S154" s="3"/>
      <c r="T154" s="244"/>
      <c r="U154" s="244"/>
      <c r="V154" s="244"/>
      <c r="W154" s="244"/>
      <c r="X154" s="244"/>
      <c r="Z154" s="376"/>
      <c r="AA154" s="376"/>
      <c r="AB154" s="376"/>
      <c r="AC154" s="376"/>
      <c r="AD154" s="376"/>
      <c r="AE154" s="376"/>
    </row>
    <row r="155" spans="1:31" ht="11.25" x14ac:dyDescent="0.2">
      <c r="A155" s="325">
        <f t="shared" si="30"/>
        <v>20</v>
      </c>
      <c r="B155" s="24">
        <f>Input!A102</f>
        <v>375.4</v>
      </c>
      <c r="C155" s="25" t="str">
        <f>Input!B102</f>
        <v>STRUC &amp; IMPROV-REGULATING</v>
      </c>
      <c r="D155" s="3"/>
      <c r="E155" s="221">
        <f>SUM(Input!D102:E102)-SUM(Input!G102:M102)</f>
        <v>2176686.2400000002</v>
      </c>
      <c r="F155" s="3">
        <f>Customer!F155+Commodity!F155+Demand!F155</f>
        <v>848560</v>
      </c>
      <c r="G155" s="3">
        <f>Customer!G155+Commodity!G155+Demand!G155</f>
        <v>574624</v>
      </c>
      <c r="H155" s="3">
        <f>Customer!H155+Commodity!H155+Demand!H155</f>
        <v>1240</v>
      </c>
      <c r="I155" s="3">
        <f>Customer!I155+Commodity!I155+Demand!I155</f>
        <v>0</v>
      </c>
      <c r="J155" s="3">
        <f>Customer!J155+Commodity!J155+Demand!J155</f>
        <v>752262</v>
      </c>
      <c r="K155" s="3">
        <f>Customer!K155+Commodity!K155+Demand!K155</f>
        <v>0</v>
      </c>
      <c r="L155" s="3">
        <f>Customer!L155+Commodity!L155+Demand!L155</f>
        <v>0</v>
      </c>
      <c r="N155" s="3"/>
      <c r="O155" s="3"/>
      <c r="P155" s="3"/>
      <c r="Q155" s="3"/>
      <c r="R155" s="3"/>
      <c r="S155" s="3"/>
      <c r="T155" s="244"/>
      <c r="U155" s="244"/>
      <c r="V155" s="244"/>
      <c r="W155" s="244"/>
      <c r="X155" s="244"/>
      <c r="Z155" s="376"/>
      <c r="AA155" s="376"/>
      <c r="AB155" s="376"/>
      <c r="AC155" s="376"/>
      <c r="AD155" s="376"/>
      <c r="AE155" s="376"/>
    </row>
    <row r="156" spans="1:31" ht="11.25" x14ac:dyDescent="0.2">
      <c r="A156" s="325">
        <f t="shared" si="30"/>
        <v>21</v>
      </c>
      <c r="B156" s="24">
        <f>B155</f>
        <v>375.4</v>
      </c>
      <c r="C156" s="25" t="str">
        <f>"DIRECT "&amp;Input!B102</f>
        <v>DIRECT STRUC &amp; IMPROV-REGULATING</v>
      </c>
      <c r="D156" s="3"/>
      <c r="E156" s="3">
        <f>SUM(F156:L156)</f>
        <v>46210.76</v>
      </c>
      <c r="F156" s="3">
        <f>Customer!F156+Commodity!F156+Demand!F156</f>
        <v>0</v>
      </c>
      <c r="G156" s="3">
        <f>Customer!G156+Commodity!G156+Demand!G156</f>
        <v>0</v>
      </c>
      <c r="H156" s="3">
        <f>Customer!H156+Commodity!H156+Demand!H156</f>
        <v>0</v>
      </c>
      <c r="I156" s="3">
        <f>Customer!I156+Commodity!I156+Demand!I156</f>
        <v>46210.76</v>
      </c>
      <c r="J156" s="3">
        <f>Customer!J156+Commodity!J156+Demand!J156</f>
        <v>0</v>
      </c>
      <c r="K156" s="3">
        <f>Customer!K156+Commodity!K156+Demand!K156</f>
        <v>0</v>
      </c>
      <c r="L156" s="3">
        <f>Customer!L156+Commodity!L156+Demand!L156</f>
        <v>0</v>
      </c>
      <c r="N156" s="3"/>
      <c r="O156" s="3"/>
      <c r="P156" s="3"/>
      <c r="Q156" s="3"/>
      <c r="R156" s="3"/>
      <c r="S156" s="3"/>
      <c r="T156" s="244"/>
      <c r="U156" s="244"/>
      <c r="V156" s="244"/>
      <c r="W156" s="244"/>
      <c r="X156" s="244"/>
      <c r="Z156" s="376"/>
      <c r="AA156" s="376"/>
      <c r="AB156" s="376"/>
      <c r="AC156" s="376"/>
      <c r="AD156" s="376"/>
      <c r="AE156" s="376"/>
    </row>
    <row r="157" spans="1:31" ht="11.25" x14ac:dyDescent="0.2">
      <c r="A157" s="325">
        <f t="shared" si="30"/>
        <v>22</v>
      </c>
      <c r="B157" s="24">
        <f>Input!A103</f>
        <v>375.6</v>
      </c>
      <c r="C157" s="25" t="str">
        <f>Input!B103</f>
        <v>STRUC &amp; IMPROV-DIST. IND. M &amp; R</v>
      </c>
      <c r="D157" s="3"/>
      <c r="E157" s="3">
        <f>SUM(Input!D103:E103)</f>
        <v>0</v>
      </c>
      <c r="F157" s="3">
        <f>Customer!F157+Commodity!F157+Demand!F157</f>
        <v>0</v>
      </c>
      <c r="G157" s="3">
        <f>Customer!G157+Commodity!G157+Demand!G157</f>
        <v>0</v>
      </c>
      <c r="H157" s="3">
        <f>Customer!H157+Commodity!H157+Demand!H157</f>
        <v>0</v>
      </c>
      <c r="I157" s="3">
        <f>Customer!I157+Commodity!I157+Demand!I157</f>
        <v>0</v>
      </c>
      <c r="J157" s="3">
        <f>Customer!J157+Commodity!J157+Demand!J157</f>
        <v>0</v>
      </c>
      <c r="K157" s="3">
        <f>Customer!K157+Commodity!K157+Demand!K157</f>
        <v>0</v>
      </c>
      <c r="L157" s="3">
        <f>Customer!L157+Commodity!L157+Demand!L157</f>
        <v>0</v>
      </c>
      <c r="N157" s="3"/>
      <c r="O157" s="3"/>
      <c r="P157" s="3"/>
      <c r="Q157" s="3"/>
      <c r="R157" s="3"/>
      <c r="S157" s="3"/>
      <c r="T157" s="244"/>
      <c r="U157" s="244"/>
      <c r="V157" s="244"/>
      <c r="W157" s="244"/>
      <c r="X157" s="244"/>
      <c r="Z157" s="376"/>
      <c r="AA157" s="376"/>
      <c r="AB157" s="376"/>
      <c r="AC157" s="376"/>
      <c r="AD157" s="376"/>
      <c r="AE157" s="376"/>
    </row>
    <row r="158" spans="1:31" ht="11.25" x14ac:dyDescent="0.2">
      <c r="A158" s="325">
        <f t="shared" si="30"/>
        <v>23</v>
      </c>
      <c r="B158" s="24">
        <f>Input!A104</f>
        <v>375.7</v>
      </c>
      <c r="C158" s="25" t="str">
        <f>Input!B104</f>
        <v>STRUC &amp; IMPROV-OTHER DIST. SYSTEM</v>
      </c>
      <c r="D158" s="3"/>
      <c r="E158" s="3">
        <f>SUM(Input!D104:E104)</f>
        <v>8761416</v>
      </c>
      <c r="F158" s="3">
        <f ca="1">Customer!F158+Commodity!F158+Demand!F158</f>
        <v>5016193</v>
      </c>
      <c r="G158" s="3">
        <f ca="1">Customer!G158+Commodity!G158+Demand!G158</f>
        <v>1909866</v>
      </c>
      <c r="H158" s="3">
        <f ca="1">Customer!H158+Commodity!H158+Demand!H158</f>
        <v>3051</v>
      </c>
      <c r="I158" s="3">
        <f ca="1">Customer!I158+Commodity!I158+Demand!I158</f>
        <v>15741</v>
      </c>
      <c r="J158" s="3">
        <f ca="1">Customer!J158+Commodity!J158+Demand!J158</f>
        <v>1816564</v>
      </c>
      <c r="K158" s="3">
        <f ca="1">Customer!K158+Commodity!K158+Demand!K158</f>
        <v>0</v>
      </c>
      <c r="L158" s="3">
        <f ca="1">Customer!L158+Commodity!L158+Demand!L158</f>
        <v>0</v>
      </c>
      <c r="N158" s="3"/>
      <c r="O158" s="3"/>
      <c r="P158" s="3"/>
      <c r="Q158" s="3"/>
      <c r="R158" s="3"/>
      <c r="S158" s="3"/>
      <c r="T158" s="244"/>
      <c r="U158" s="244"/>
      <c r="V158" s="244"/>
      <c r="W158" s="244"/>
      <c r="X158" s="244"/>
      <c r="Z158" s="376"/>
      <c r="AA158" s="376"/>
      <c r="AB158" s="376"/>
      <c r="AC158" s="376"/>
      <c r="AD158" s="376"/>
      <c r="AE158" s="376"/>
    </row>
    <row r="159" spans="1:31" ht="11.25" x14ac:dyDescent="0.2">
      <c r="A159" s="325">
        <f t="shared" si="30"/>
        <v>24</v>
      </c>
      <c r="B159" s="24">
        <f>Input!A105</f>
        <v>375.71</v>
      </c>
      <c r="C159" s="25" t="str">
        <f>Input!B105</f>
        <v>STRUCT &amp; IMPROV-OTHER DIST. SYSTEM-IMPROV</v>
      </c>
      <c r="D159" s="3"/>
      <c r="E159" s="3">
        <f>SUM(Input!D105:E105)</f>
        <v>259809</v>
      </c>
      <c r="F159" s="3">
        <f ca="1">Customer!F159+Commodity!F159+Demand!F159</f>
        <v>148749</v>
      </c>
      <c r="G159" s="3">
        <f ca="1">Customer!G159+Commodity!G159+Demand!G159</f>
        <v>56634</v>
      </c>
      <c r="H159" s="3">
        <f ca="1">Customer!H159+Commodity!H159+Demand!H159</f>
        <v>90</v>
      </c>
      <c r="I159" s="3">
        <f ca="1">Customer!I159+Commodity!I159+Demand!I159</f>
        <v>467</v>
      </c>
      <c r="J159" s="3">
        <f ca="1">Customer!J159+Commodity!J159+Demand!J159</f>
        <v>53869</v>
      </c>
      <c r="K159" s="3">
        <f ca="1">Customer!K159+Commodity!K159+Demand!K159</f>
        <v>0</v>
      </c>
      <c r="L159" s="3">
        <f ca="1">Customer!L159+Commodity!L159+Demand!L159</f>
        <v>0</v>
      </c>
      <c r="N159" s="3"/>
      <c r="O159" s="3"/>
      <c r="P159" s="3"/>
      <c r="Q159" s="3"/>
      <c r="R159" s="3"/>
      <c r="S159" s="3"/>
      <c r="T159" s="244"/>
      <c r="U159" s="244"/>
      <c r="V159" s="244"/>
      <c r="W159" s="244"/>
      <c r="X159" s="244"/>
      <c r="Z159" s="376"/>
      <c r="AA159" s="376"/>
      <c r="AB159" s="376"/>
      <c r="AC159" s="376"/>
      <c r="AD159" s="376"/>
      <c r="AE159" s="376"/>
    </row>
    <row r="160" spans="1:31" ht="11.25" x14ac:dyDescent="0.2">
      <c r="A160" s="325">
        <f t="shared" si="30"/>
        <v>25</v>
      </c>
      <c r="B160" s="24">
        <f>Input!A106</f>
        <v>375.8</v>
      </c>
      <c r="C160" s="25" t="str">
        <f>Input!B106</f>
        <v>STRUC &amp; IMPROV-COMMUNICATION</v>
      </c>
      <c r="D160" s="3"/>
      <c r="E160" s="3">
        <f>SUM(Input!D106:E106)</f>
        <v>0</v>
      </c>
      <c r="F160" s="3">
        <f>Customer!F160+Commodity!F160+Demand!F160</f>
        <v>0</v>
      </c>
      <c r="G160" s="3">
        <f>Customer!G160+Commodity!G160+Demand!G160</f>
        <v>0</v>
      </c>
      <c r="H160" s="3">
        <f>Customer!H160+Commodity!H160+Demand!H160</f>
        <v>0</v>
      </c>
      <c r="I160" s="3">
        <f>Customer!I160+Commodity!I160+Demand!I160</f>
        <v>0</v>
      </c>
      <c r="J160" s="3">
        <f>Customer!J160+Commodity!J160+Demand!J160</f>
        <v>0</v>
      </c>
      <c r="K160" s="3">
        <f>Customer!K160+Commodity!K160+Demand!K160</f>
        <v>0</v>
      </c>
      <c r="L160" s="3">
        <f>Customer!L160+Commodity!L160+Demand!L160</f>
        <v>0</v>
      </c>
      <c r="N160" s="3"/>
      <c r="O160" s="3"/>
      <c r="P160" s="3"/>
      <c r="Q160" s="3"/>
      <c r="R160" s="3"/>
      <c r="S160" s="3"/>
      <c r="T160" s="244"/>
      <c r="U160" s="244"/>
      <c r="V160" s="244"/>
      <c r="W160" s="244"/>
      <c r="X160" s="244"/>
      <c r="Z160" s="376"/>
      <c r="AA160" s="376"/>
      <c r="AB160" s="376"/>
      <c r="AC160" s="376"/>
      <c r="AD160" s="376"/>
      <c r="AE160" s="376"/>
    </row>
    <row r="161" spans="1:31" ht="11.25" x14ac:dyDescent="0.2">
      <c r="A161" s="325">
        <f t="shared" si="30"/>
        <v>26</v>
      </c>
      <c r="B161" s="24">
        <f>Input!A107</f>
        <v>376</v>
      </c>
      <c r="C161" s="25" t="str">
        <f>Input!B107</f>
        <v>MAINS</v>
      </c>
      <c r="D161" s="3"/>
      <c r="E161" s="3">
        <f>SUM(Input!D107:E107)-SUM(Input!G107:O107)</f>
        <v>221300854.21000001</v>
      </c>
      <c r="F161" s="3">
        <f>Customer!F161+Commodity!F161+Demand!F161</f>
        <v>86271925</v>
      </c>
      <c r="G161" s="3">
        <f>Customer!G161+Commodity!G161+Demand!G161</f>
        <v>58421212</v>
      </c>
      <c r="H161" s="3">
        <f>Customer!H161+Commodity!H161+Demand!H161</f>
        <v>126142</v>
      </c>
      <c r="I161" s="3">
        <f>Customer!I161+Commodity!I161+Demand!I161</f>
        <v>0</v>
      </c>
      <c r="J161" s="3">
        <f>Customer!J161+Commodity!J161+Demand!J161</f>
        <v>76481576</v>
      </c>
      <c r="K161" s="3">
        <f>Customer!K161+Commodity!K161+Demand!K161</f>
        <v>0</v>
      </c>
      <c r="L161" s="3">
        <f>Customer!L161+Commodity!L161+Demand!L161</f>
        <v>0</v>
      </c>
      <c r="N161" s="3"/>
      <c r="O161" s="3"/>
      <c r="P161" s="3"/>
      <c r="Q161" s="3"/>
      <c r="R161" s="3"/>
      <c r="S161" s="3"/>
      <c r="T161" s="244"/>
      <c r="U161" s="244"/>
      <c r="V161" s="244"/>
      <c r="W161" s="244"/>
      <c r="X161" s="244"/>
      <c r="Z161" s="376"/>
      <c r="AA161" s="376"/>
      <c r="AB161" s="376"/>
      <c r="AC161" s="376"/>
      <c r="AD161" s="376"/>
      <c r="AE161" s="376"/>
    </row>
    <row r="162" spans="1:31" ht="11.25" x14ac:dyDescent="0.2">
      <c r="A162" s="325">
        <f t="shared" si="30"/>
        <v>27</v>
      </c>
      <c r="B162" s="24">
        <f>Input!A107</f>
        <v>376</v>
      </c>
      <c r="C162" s="25" t="str">
        <f>"DIRECT "&amp;+Input!B107</f>
        <v>DIRECT MAINS</v>
      </c>
      <c r="D162" s="3"/>
      <c r="E162" s="3">
        <f>SUM(Input!G107:O107)</f>
        <v>11681.79</v>
      </c>
      <c r="F162" s="3">
        <f>Customer!F162+Commodity!F162+Demand!F162</f>
        <v>0</v>
      </c>
      <c r="G162" s="3">
        <f>Customer!G162+Commodity!G162+Demand!G162</f>
        <v>0</v>
      </c>
      <c r="H162" s="3">
        <f>Customer!H162+Commodity!H162+Demand!H162</f>
        <v>0</v>
      </c>
      <c r="I162" s="3">
        <f>Customer!I162+Commodity!I162+Demand!I162</f>
        <v>11681.79</v>
      </c>
      <c r="J162" s="3">
        <f>Customer!J162+Commodity!J162+Demand!J162</f>
        <v>0</v>
      </c>
      <c r="K162" s="3">
        <f>Customer!K162+Commodity!K162+Demand!K162</f>
        <v>0</v>
      </c>
      <c r="L162" s="3">
        <f>Customer!L162+Commodity!L162+Demand!L162</f>
        <v>0</v>
      </c>
      <c r="N162" s="3"/>
      <c r="O162" s="3"/>
      <c r="P162" s="3"/>
      <c r="Q162" s="3"/>
      <c r="R162" s="3"/>
      <c r="S162" s="3"/>
      <c r="T162" s="244"/>
      <c r="U162" s="244"/>
      <c r="V162" s="244"/>
      <c r="W162" s="244"/>
      <c r="X162" s="244"/>
      <c r="Z162" s="376"/>
      <c r="AA162" s="376"/>
      <c r="AB162" s="376"/>
      <c r="AC162" s="376"/>
      <c r="AD162" s="376"/>
      <c r="AE162" s="376"/>
    </row>
    <row r="163" spans="1:31" ht="11.25" x14ac:dyDescent="0.2">
      <c r="A163" s="325">
        <f t="shared" si="30"/>
        <v>28</v>
      </c>
      <c r="B163" s="24">
        <f>Input!A108</f>
        <v>378.1</v>
      </c>
      <c r="C163" s="25" t="str">
        <f>Input!B108</f>
        <v>M &amp; R GENERAL</v>
      </c>
      <c r="D163" s="3"/>
      <c r="E163" s="3">
        <f>SUM(Input!D108:E108)</f>
        <v>518504</v>
      </c>
      <c r="F163" s="3">
        <f>Customer!F163+Commodity!F163+Demand!F163</f>
        <v>202134</v>
      </c>
      <c r="G163" s="3">
        <f>Customer!G163+Commodity!G163+Demand!G163</f>
        <v>136880</v>
      </c>
      <c r="H163" s="3">
        <f>Customer!H163+Commodity!H163+Demand!H163</f>
        <v>296</v>
      </c>
      <c r="I163" s="3">
        <f>Customer!I163+Commodity!I163+Demand!I163</f>
        <v>0</v>
      </c>
      <c r="J163" s="3">
        <f>Customer!J163+Commodity!J163+Demand!J163</f>
        <v>179194</v>
      </c>
      <c r="K163" s="3">
        <f>Customer!K163+Commodity!K163+Demand!K163</f>
        <v>0</v>
      </c>
      <c r="L163" s="3">
        <f>Customer!L163+Commodity!L163+Demand!L163</f>
        <v>0</v>
      </c>
      <c r="N163" s="3"/>
      <c r="O163" s="3"/>
      <c r="P163" s="3"/>
      <c r="Q163" s="3"/>
      <c r="R163" s="3"/>
      <c r="S163" s="3"/>
      <c r="T163" s="244"/>
      <c r="U163" s="244"/>
      <c r="V163" s="244"/>
      <c r="W163" s="244"/>
      <c r="X163" s="244"/>
      <c r="Z163" s="376"/>
      <c r="AA163" s="376"/>
      <c r="AB163" s="376"/>
      <c r="AC163" s="376"/>
      <c r="AD163" s="376"/>
      <c r="AE163" s="376"/>
    </row>
    <row r="164" spans="1:31" ht="11.25" x14ac:dyDescent="0.2">
      <c r="A164" s="325">
        <f t="shared" si="30"/>
        <v>29</v>
      </c>
      <c r="B164" s="24">
        <f>Input!A109</f>
        <v>378.2</v>
      </c>
      <c r="C164" s="25" t="str">
        <f>Input!B109</f>
        <v>M &amp; R GENERAL - REGULATING</v>
      </c>
      <c r="D164" s="3"/>
      <c r="E164" s="3">
        <f>SUM(Input!D109:E109)</f>
        <v>9175090</v>
      </c>
      <c r="F164" s="3">
        <f>Customer!F164+Commodity!F164+Demand!F164</f>
        <v>3576818</v>
      </c>
      <c r="G164" s="3">
        <f>Customer!G164+Commodity!G164+Demand!G164</f>
        <v>2422132</v>
      </c>
      <c r="H164" s="3">
        <f>Customer!H164+Commodity!H164+Demand!H164</f>
        <v>5230</v>
      </c>
      <c r="I164" s="3">
        <f>Customer!I164+Commodity!I164+Demand!I164</f>
        <v>0</v>
      </c>
      <c r="J164" s="3">
        <f>Customer!J164+Commodity!J164+Demand!J164</f>
        <v>3170912</v>
      </c>
      <c r="K164" s="3">
        <f>Customer!K164+Commodity!K164+Demand!K164</f>
        <v>0</v>
      </c>
      <c r="L164" s="3">
        <f>Customer!L164+Commodity!L164+Demand!L164</f>
        <v>0</v>
      </c>
      <c r="N164" s="3"/>
      <c r="O164" s="3"/>
      <c r="P164" s="3"/>
      <c r="Q164" s="3"/>
      <c r="R164" s="3"/>
      <c r="S164" s="3"/>
      <c r="T164" s="244"/>
      <c r="U164" s="244"/>
      <c r="V164" s="244"/>
      <c r="W164" s="244"/>
      <c r="X164" s="244"/>
      <c r="Z164" s="376"/>
      <c r="AA164" s="376"/>
      <c r="AB164" s="376"/>
      <c r="AC164" s="376"/>
      <c r="AD164" s="376"/>
      <c r="AE164" s="376"/>
    </row>
    <row r="165" spans="1:31" ht="11.25" x14ac:dyDescent="0.2">
      <c r="A165" s="325">
        <f t="shared" si="30"/>
        <v>30</v>
      </c>
      <c r="B165" s="24">
        <f>Input!A110</f>
        <v>378.3</v>
      </c>
      <c r="C165" s="25" t="str">
        <f>Input!B110</f>
        <v>M &amp; R EQUIP - LOCAL GAS PURCHASES</v>
      </c>
      <c r="D165" s="3"/>
      <c r="E165" s="3">
        <f>SUM(Input!D110:E110)</f>
        <v>45443</v>
      </c>
      <c r="F165" s="3">
        <f>Customer!F165+Commodity!F165+Demand!F165</f>
        <v>17716</v>
      </c>
      <c r="G165" s="3">
        <f>Customer!G165+Commodity!G165+Demand!G165</f>
        <v>11996</v>
      </c>
      <c r="H165" s="3">
        <f>Customer!H165+Commodity!H165+Demand!H165</f>
        <v>26</v>
      </c>
      <c r="I165" s="3">
        <f>Customer!I165+Commodity!I165+Demand!I165</f>
        <v>0</v>
      </c>
      <c r="J165" s="3">
        <f>Customer!J165+Commodity!J165+Demand!J165</f>
        <v>15705</v>
      </c>
      <c r="K165" s="3">
        <f>Customer!K165+Commodity!K165+Demand!K165</f>
        <v>0</v>
      </c>
      <c r="L165" s="3">
        <f>Customer!L165+Commodity!L165+Demand!L165</f>
        <v>0</v>
      </c>
      <c r="N165" s="3"/>
      <c r="O165" s="3"/>
      <c r="P165" s="3"/>
      <c r="Q165" s="3"/>
      <c r="R165" s="3"/>
      <c r="S165" s="3"/>
      <c r="T165" s="244"/>
      <c r="U165" s="244"/>
      <c r="V165" s="244"/>
      <c r="W165" s="244"/>
      <c r="X165" s="244"/>
      <c r="Z165" s="376"/>
      <c r="AA165" s="376"/>
      <c r="AB165" s="376"/>
      <c r="AC165" s="376"/>
      <c r="AD165" s="376"/>
      <c r="AE165" s="376"/>
    </row>
    <row r="166" spans="1:31" ht="11.25" x14ac:dyDescent="0.2">
      <c r="A166" s="325">
        <f t="shared" si="30"/>
        <v>31</v>
      </c>
      <c r="B166" s="24">
        <f>Input!A111</f>
        <v>379.1</v>
      </c>
      <c r="C166" s="25" t="str">
        <f>Input!B111</f>
        <v>STA EQUIP - CITY</v>
      </c>
      <c r="D166" s="3"/>
      <c r="E166" s="3">
        <f>SUM(Input!D111:E111)</f>
        <v>254901</v>
      </c>
      <c r="F166" s="3">
        <f>Customer!F166+Commodity!F166+Demand!F166</f>
        <v>99370</v>
      </c>
      <c r="G166" s="3">
        <f>Customer!G166+Commodity!G166+Demand!G166</f>
        <v>67292</v>
      </c>
      <c r="H166" s="3">
        <f>Customer!H166+Commodity!H166+Demand!H166</f>
        <v>146</v>
      </c>
      <c r="I166" s="3">
        <f>Customer!I166+Commodity!I166+Demand!I166</f>
        <v>0</v>
      </c>
      <c r="J166" s="3">
        <f>Customer!J166+Commodity!J166+Demand!J166</f>
        <v>88094</v>
      </c>
      <c r="K166" s="3">
        <f>Customer!K166+Commodity!K166+Demand!K166</f>
        <v>0</v>
      </c>
      <c r="L166" s="3">
        <f>Customer!L166+Commodity!L166+Demand!L166</f>
        <v>0</v>
      </c>
      <c r="N166" s="3"/>
      <c r="O166" s="3"/>
      <c r="P166" s="3"/>
      <c r="Q166" s="3"/>
      <c r="R166" s="3"/>
      <c r="S166" s="3"/>
      <c r="T166" s="244"/>
      <c r="U166" s="244"/>
      <c r="V166" s="244"/>
      <c r="W166" s="244"/>
      <c r="X166" s="244"/>
      <c r="Z166" s="376"/>
      <c r="AA166" s="376"/>
      <c r="AB166" s="376"/>
      <c r="AC166" s="376"/>
      <c r="AD166" s="376"/>
      <c r="AE166" s="376"/>
    </row>
    <row r="167" spans="1:31" ht="11.25" x14ac:dyDescent="0.2">
      <c r="A167" s="325">
        <f t="shared" si="30"/>
        <v>32</v>
      </c>
      <c r="B167" s="24">
        <f>Input!A112</f>
        <v>380</v>
      </c>
      <c r="C167" s="25" t="str">
        <f>Input!B112</f>
        <v>SERVICES</v>
      </c>
      <c r="D167" s="3"/>
      <c r="E167" s="3">
        <f>SUM(Input!D112:E112)-SUM(Input!G112:O112)</f>
        <v>127467343</v>
      </c>
      <c r="F167" s="3">
        <f ca="1">Customer!F167+Commodity!F167+Demand!F167</f>
        <v>112461887</v>
      </c>
      <c r="G167" s="3">
        <f ca="1">Customer!G167+Commodity!G167+Demand!G167</f>
        <v>14554221</v>
      </c>
      <c r="H167" s="3">
        <f ca="1">Customer!H167+Commodity!H167+Demand!H167</f>
        <v>1275</v>
      </c>
      <c r="I167" s="3">
        <f ca="1">Customer!I167+Commodity!I167+Demand!I167</f>
        <v>0</v>
      </c>
      <c r="J167" s="3">
        <f ca="1">Customer!J167+Commodity!J167+Demand!J167</f>
        <v>449960</v>
      </c>
      <c r="K167" s="3">
        <f ca="1">Customer!K167+Commodity!K167+Demand!K167</f>
        <v>0</v>
      </c>
      <c r="L167" s="3">
        <f ca="1">Customer!L167+Commodity!L167+Demand!L167</f>
        <v>0</v>
      </c>
      <c r="N167" s="3"/>
      <c r="O167" s="3"/>
      <c r="P167" s="3"/>
      <c r="Q167" s="3"/>
      <c r="R167" s="3"/>
      <c r="S167" s="3"/>
      <c r="T167" s="244"/>
      <c r="U167" s="244"/>
      <c r="V167" s="244"/>
      <c r="W167" s="244"/>
      <c r="X167" s="244"/>
      <c r="Z167" s="376"/>
      <c r="AA167" s="376"/>
      <c r="AB167" s="376"/>
      <c r="AC167" s="376"/>
      <c r="AD167" s="376"/>
      <c r="AE167" s="376"/>
    </row>
    <row r="168" spans="1:31" ht="11.25" x14ac:dyDescent="0.2">
      <c r="A168" s="3" t="s">
        <v>810</v>
      </c>
      <c r="B168" s="3"/>
      <c r="C168" s="14"/>
      <c r="D168" s="3"/>
      <c r="E168" s="3"/>
      <c r="F168" s="325" t="str">
        <f>""&amp;+Input!$B$1</f>
        <v>COLUMBIA GAS OF KENTUCKY, INC.</v>
      </c>
      <c r="H168" s="3"/>
      <c r="I168" s="3"/>
      <c r="J168" s="3"/>
      <c r="K168" s="3"/>
      <c r="L168" s="32" t="str">
        <f>Input!$B$2</f>
        <v>ATTACHMENT CEN-2</v>
      </c>
      <c r="N168" s="3"/>
      <c r="O168" s="3"/>
      <c r="P168" s="3"/>
      <c r="Q168" s="3"/>
      <c r="R168" s="3"/>
      <c r="S168" s="3"/>
      <c r="T168" s="244"/>
      <c r="U168" s="244"/>
      <c r="V168" s="244"/>
      <c r="W168" s="244"/>
      <c r="X168" s="244"/>
      <c r="Z168" s="376"/>
      <c r="AA168" s="376"/>
      <c r="AB168" s="376"/>
      <c r="AC168" s="376"/>
      <c r="AD168" s="376"/>
      <c r="AE168" s="376"/>
    </row>
    <row r="169" spans="1:31" ht="11.25" x14ac:dyDescent="0.2">
      <c r="A169" s="3" t="str">
        <f>Input!$B$7</f>
        <v>DEMAND-COMMODITY</v>
      </c>
      <c r="B169" s="3"/>
      <c r="C169" s="3"/>
      <c r="D169" s="3"/>
      <c r="E169" s="3"/>
      <c r="F169" s="325" t="s">
        <v>806</v>
      </c>
      <c r="H169" s="3"/>
      <c r="I169" s="3"/>
      <c r="J169" s="3"/>
      <c r="K169" s="3"/>
      <c r="L169" s="32" t="str">
        <f>"PAGE 6 OF "&amp;FIXED(Input!$B$8,0,TRUE)</f>
        <v>PAGE 6 OF 129</v>
      </c>
      <c r="N169" s="3"/>
      <c r="O169" s="3"/>
      <c r="P169" s="3"/>
      <c r="Q169" s="3"/>
      <c r="R169" s="3"/>
      <c r="S169" s="3"/>
      <c r="T169" s="244"/>
      <c r="U169" s="244"/>
      <c r="V169" s="244"/>
      <c r="W169" s="244"/>
      <c r="X169" s="244"/>
      <c r="Z169" s="376"/>
      <c r="AA169" s="376"/>
      <c r="AB169" s="376"/>
      <c r="AC169" s="376"/>
      <c r="AD169" s="376"/>
      <c r="AE169" s="376"/>
    </row>
    <row r="170" spans="1:31" ht="11.25" x14ac:dyDescent="0.2">
      <c r="A170" s="17" t="str">
        <f>Input!$B$6</f>
        <v>FORECASTED TEST YEAR - ORIGINAL FILING</v>
      </c>
      <c r="B170" s="17"/>
      <c r="C170" s="17"/>
      <c r="D170" s="18"/>
      <c r="E170" s="18"/>
      <c r="F170" s="19" t="str">
        <f>"FOR THE TWELVE MONTHS ENDED "&amp;Input!$B$4</f>
        <v>FOR THE TWELVE MONTHS ENDED 12/31/2017</v>
      </c>
      <c r="G170" s="329"/>
      <c r="H170" s="17"/>
      <c r="I170" s="17"/>
      <c r="J170" s="17"/>
      <c r="K170" s="17"/>
      <c r="L170" s="183" t="str">
        <f>"WITNESS: "&amp;Input!$B$5</f>
        <v>WITNESS: C. NOTESTONE</v>
      </c>
      <c r="N170" s="3"/>
      <c r="O170" s="3"/>
      <c r="P170" s="3"/>
      <c r="Q170" s="3"/>
      <c r="R170" s="3"/>
      <c r="S170" s="3"/>
      <c r="T170" s="244"/>
      <c r="U170" s="244"/>
      <c r="V170" s="244"/>
      <c r="W170" s="244"/>
      <c r="X170" s="244"/>
      <c r="Z170" s="376"/>
      <c r="AA170" s="376"/>
      <c r="AB170" s="376"/>
      <c r="AC170" s="376"/>
      <c r="AD170" s="376"/>
      <c r="AE170" s="376"/>
    </row>
    <row r="171" spans="1:31" ht="11.25" x14ac:dyDescent="0.2">
      <c r="A171" s="325" t="s">
        <v>5</v>
      </c>
      <c r="B171" s="3" t="s">
        <v>6</v>
      </c>
      <c r="C171" s="3"/>
      <c r="D171" s="325" t="s">
        <v>7</v>
      </c>
      <c r="E171" s="325" t="s">
        <v>8</v>
      </c>
      <c r="F171" s="3"/>
      <c r="G171" s="3"/>
      <c r="H171" s="3"/>
      <c r="I171" s="3"/>
      <c r="J171" s="3"/>
      <c r="K171" s="3"/>
      <c r="L171" s="3"/>
      <c r="N171" s="3"/>
      <c r="O171" s="3"/>
      <c r="P171" s="3"/>
      <c r="Q171" s="3"/>
      <c r="R171" s="3"/>
      <c r="S171" s="3"/>
      <c r="T171" s="244"/>
      <c r="U171" s="244"/>
      <c r="V171" s="244"/>
      <c r="W171" s="244"/>
      <c r="X171" s="244"/>
      <c r="Z171" s="376"/>
      <c r="AA171" s="376"/>
      <c r="AB171" s="376"/>
      <c r="AC171" s="376"/>
      <c r="AD171" s="376"/>
      <c r="AE171" s="376"/>
    </row>
    <row r="172" spans="1:31" ht="11.25" x14ac:dyDescent="0.2">
      <c r="A172" s="341" t="s">
        <v>9</v>
      </c>
      <c r="B172" s="341" t="s">
        <v>9</v>
      </c>
      <c r="C172" s="20" t="str">
        <f>'Total Co'!C128</f>
        <v xml:space="preserve"> ACCOUNT TITLE</v>
      </c>
      <c r="D172" s="26" t="s">
        <v>10</v>
      </c>
      <c r="E172" s="341" t="s">
        <v>11</v>
      </c>
      <c r="F172" s="341" t="str">
        <f>"  "&amp;+Input!$C$12</f>
        <v xml:space="preserve">  GS-RESIDENTIAL</v>
      </c>
      <c r="G172" s="341" t="str">
        <f>Input!$C$13</f>
        <v>GS-OTHER</v>
      </c>
      <c r="H172" s="341" t="str">
        <f>Input!$C$14</f>
        <v>IUS</v>
      </c>
      <c r="I172" s="341" t="str">
        <f>Input!$C$15</f>
        <v>DS-ML</v>
      </c>
      <c r="J172" s="341" t="str">
        <f>Input!$C$16</f>
        <v>DS/IS</v>
      </c>
      <c r="K172" s="341" t="str">
        <f>Input!$C$17</f>
        <v>NOT USED</v>
      </c>
      <c r="L172" s="341" t="str">
        <f>Input!$C$18</f>
        <v>NOT USED</v>
      </c>
      <c r="N172" s="3"/>
      <c r="O172" s="3"/>
      <c r="P172" s="3"/>
      <c r="Q172" s="3"/>
      <c r="R172" s="3"/>
      <c r="S172" s="3"/>
      <c r="T172" s="244"/>
      <c r="U172" s="244"/>
      <c r="V172" s="244"/>
      <c r="W172" s="244"/>
      <c r="X172" s="244"/>
      <c r="Z172" s="376"/>
      <c r="AA172" s="376"/>
      <c r="AB172" s="376"/>
      <c r="AC172" s="376"/>
      <c r="AD172" s="376"/>
      <c r="AE172" s="376"/>
    </row>
    <row r="173" spans="1:31" ht="11.25" x14ac:dyDescent="0.2">
      <c r="A173" s="325"/>
      <c r="B173" s="342" t="s">
        <v>13</v>
      </c>
      <c r="C173" s="342" t="s">
        <v>14</v>
      </c>
      <c r="D173" s="325" t="s">
        <v>15</v>
      </c>
      <c r="E173" s="325" t="s">
        <v>16</v>
      </c>
      <c r="F173" s="325" t="s">
        <v>17</v>
      </c>
      <c r="G173" s="325" t="s">
        <v>18</v>
      </c>
      <c r="H173" s="325" t="s">
        <v>19</v>
      </c>
      <c r="I173" s="325" t="s">
        <v>20</v>
      </c>
      <c r="J173" s="325" t="s">
        <v>21</v>
      </c>
      <c r="K173" s="325" t="s">
        <v>22</v>
      </c>
      <c r="L173" s="325" t="s">
        <v>23</v>
      </c>
      <c r="N173" s="3"/>
      <c r="O173" s="3"/>
      <c r="P173" s="3"/>
      <c r="Q173" s="3"/>
      <c r="R173" s="3"/>
      <c r="S173" s="3"/>
      <c r="T173" s="244"/>
      <c r="U173" s="244"/>
      <c r="V173" s="244"/>
      <c r="W173" s="244"/>
      <c r="X173" s="244"/>
      <c r="Z173" s="376"/>
      <c r="AA173" s="376"/>
      <c r="AB173" s="376"/>
      <c r="AC173" s="376"/>
      <c r="AD173" s="376"/>
      <c r="AE173" s="376"/>
    </row>
    <row r="174" spans="1:31" ht="11.25" x14ac:dyDescent="0.2">
      <c r="A174" s="325"/>
      <c r="B174" s="3"/>
      <c r="C174" s="3"/>
      <c r="D174" s="3"/>
      <c r="E174" s="325" t="s">
        <v>26</v>
      </c>
      <c r="F174" s="325" t="s">
        <v>26</v>
      </c>
      <c r="G174" s="325" t="s">
        <v>26</v>
      </c>
      <c r="H174" s="325" t="s">
        <v>26</v>
      </c>
      <c r="I174" s="325" t="s">
        <v>26</v>
      </c>
      <c r="J174" s="325" t="s">
        <v>26</v>
      </c>
      <c r="K174" s="325" t="s">
        <v>26</v>
      </c>
      <c r="L174" s="325" t="s">
        <v>26</v>
      </c>
      <c r="N174" s="3"/>
      <c r="O174" s="3"/>
      <c r="P174" s="3"/>
      <c r="Q174" s="3"/>
      <c r="R174" s="3"/>
      <c r="S174" s="3"/>
      <c r="T174" s="244"/>
      <c r="U174" s="244"/>
      <c r="V174" s="244"/>
      <c r="W174" s="244"/>
      <c r="X174" s="244"/>
      <c r="Z174" s="376"/>
      <c r="AA174" s="376"/>
      <c r="AB174" s="376"/>
      <c r="AC174" s="376"/>
      <c r="AD174" s="376"/>
      <c r="AE174" s="376"/>
    </row>
    <row r="175" spans="1:31" ht="11.25" x14ac:dyDescent="0.2">
      <c r="A175" s="325">
        <v>1</v>
      </c>
      <c r="B175" s="24">
        <f>Input!A112</f>
        <v>380</v>
      </c>
      <c r="C175" s="25" t="str">
        <f>"DIRECT "&amp;+Input!B112</f>
        <v>DIRECT SERVICES</v>
      </c>
      <c r="D175" s="3"/>
      <c r="E175" s="3">
        <f>SUM(Input!G112:O112)</f>
        <v>0</v>
      </c>
      <c r="F175" s="3">
        <f>Customer!F175+Commodity!F175+Demand!F175</f>
        <v>0</v>
      </c>
      <c r="G175" s="3">
        <f>Customer!G175+Commodity!G175+Demand!G175</f>
        <v>0</v>
      </c>
      <c r="H175" s="3">
        <f>Customer!H175+Commodity!H175+Demand!H175</f>
        <v>0</v>
      </c>
      <c r="I175" s="3">
        <f>Customer!I175+Commodity!I175+Demand!I175</f>
        <v>0</v>
      </c>
      <c r="J175" s="3">
        <f>Customer!J175+Commodity!J175+Demand!J175</f>
        <v>0</v>
      </c>
      <c r="K175" s="3">
        <f>Customer!K175+Commodity!K175+Demand!K175</f>
        <v>0</v>
      </c>
      <c r="L175" s="3">
        <f>Customer!L175+Commodity!L175+Demand!L175</f>
        <v>0</v>
      </c>
      <c r="N175" s="3"/>
      <c r="O175" s="3"/>
      <c r="P175" s="3"/>
      <c r="Q175" s="3"/>
      <c r="R175" s="3"/>
      <c r="S175" s="3"/>
      <c r="T175" s="244"/>
      <c r="U175" s="244"/>
      <c r="V175" s="244"/>
      <c r="W175" s="244"/>
      <c r="X175" s="244"/>
      <c r="Z175" s="376"/>
      <c r="AA175" s="376"/>
      <c r="AB175" s="376"/>
      <c r="AC175" s="376"/>
      <c r="AD175" s="376"/>
      <c r="AE175" s="376"/>
    </row>
    <row r="176" spans="1:31" ht="11.25" x14ac:dyDescent="0.2">
      <c r="A176" s="325">
        <f t="shared" ref="A176:A205" si="31">A175+1</f>
        <v>2</v>
      </c>
      <c r="B176" s="24">
        <f>Input!A113</f>
        <v>381</v>
      </c>
      <c r="C176" s="25" t="str">
        <f>Input!B113</f>
        <v>METERS</v>
      </c>
      <c r="D176" s="3"/>
      <c r="E176" s="3">
        <f>SUM(Input!D113:E113)</f>
        <v>22789579</v>
      </c>
      <c r="F176" s="3">
        <f>Customer!F176+Commodity!F176+Demand!F176</f>
        <v>16395279</v>
      </c>
      <c r="G176" s="3">
        <f>Customer!G176+Commodity!G176+Demand!G176</f>
        <v>6292659</v>
      </c>
      <c r="H176" s="3">
        <f>Customer!H176+Commodity!H176+Demand!H176</f>
        <v>2963</v>
      </c>
      <c r="I176" s="3">
        <f>Customer!I176+Commodity!I176+Demand!I176</f>
        <v>0</v>
      </c>
      <c r="J176" s="3">
        <f>Customer!J176+Commodity!J176+Demand!J176</f>
        <v>98679</v>
      </c>
      <c r="K176" s="3">
        <f>Customer!K176+Commodity!K176+Demand!K176</f>
        <v>0</v>
      </c>
      <c r="L176" s="3">
        <f>Customer!L176+Commodity!L176+Demand!L176</f>
        <v>0</v>
      </c>
      <c r="N176" s="3"/>
      <c r="O176" s="3"/>
      <c r="P176" s="3"/>
      <c r="Q176" s="3"/>
      <c r="R176" s="3"/>
      <c r="S176" s="3"/>
      <c r="T176" s="244"/>
      <c r="U176" s="244"/>
      <c r="V176" s="244"/>
      <c r="W176" s="244"/>
      <c r="X176" s="244"/>
      <c r="Z176" s="376"/>
      <c r="AA176" s="376"/>
      <c r="AB176" s="376"/>
      <c r="AC176" s="376"/>
      <c r="AD176" s="376"/>
      <c r="AE176" s="376"/>
    </row>
    <row r="177" spans="1:31" ht="11.25" x14ac:dyDescent="0.2">
      <c r="A177" s="325">
        <f t="shared" si="31"/>
        <v>3</v>
      </c>
      <c r="B177" s="24">
        <f>Input!A114</f>
        <v>382</v>
      </c>
      <c r="C177" s="25" t="str">
        <f>Input!B114</f>
        <v>METER INSTALLATIONS</v>
      </c>
      <c r="D177" s="3"/>
      <c r="E177" s="3">
        <f>SUM(Input!D114:E114)</f>
        <v>9462175</v>
      </c>
      <c r="F177" s="3">
        <f>Customer!F177+Commodity!F177+Demand!F177</f>
        <v>6807278</v>
      </c>
      <c r="G177" s="3">
        <f>Customer!G177+Commodity!G177+Demand!G177</f>
        <v>2612696</v>
      </c>
      <c r="H177" s="3">
        <f>Customer!H177+Commodity!H177+Demand!H177</f>
        <v>1230</v>
      </c>
      <c r="I177" s="3">
        <f>Customer!I177+Commodity!I177+Demand!I177</f>
        <v>0</v>
      </c>
      <c r="J177" s="3">
        <f>Customer!J177+Commodity!J177+Demand!J177</f>
        <v>40971</v>
      </c>
      <c r="K177" s="3">
        <f>Customer!K177+Commodity!K177+Demand!K177</f>
        <v>0</v>
      </c>
      <c r="L177" s="3">
        <f>Customer!L177+Commodity!L177+Demand!L177</f>
        <v>0</v>
      </c>
      <c r="N177" s="3"/>
      <c r="O177" s="3"/>
      <c r="P177" s="3"/>
      <c r="Q177" s="3"/>
      <c r="R177" s="3"/>
      <c r="S177" s="3"/>
      <c r="T177" s="244"/>
      <c r="U177" s="244"/>
      <c r="V177" s="244"/>
      <c r="W177" s="244"/>
      <c r="X177" s="244"/>
      <c r="Z177" s="376"/>
      <c r="AA177" s="376"/>
      <c r="AB177" s="376"/>
      <c r="AC177" s="376"/>
      <c r="AD177" s="376"/>
      <c r="AE177" s="376"/>
    </row>
    <row r="178" spans="1:31" ht="11.25" x14ac:dyDescent="0.2">
      <c r="A178" s="325">
        <f t="shared" si="31"/>
        <v>4</v>
      </c>
      <c r="B178" s="24">
        <f>Input!A115</f>
        <v>383</v>
      </c>
      <c r="C178" s="25" t="str">
        <f>Input!B115</f>
        <v>HOUSE REGULATORS</v>
      </c>
      <c r="D178" s="3"/>
      <c r="E178" s="3">
        <f>SUM(Input!D115:E115)</f>
        <v>5770311</v>
      </c>
      <c r="F178" s="3">
        <f>Customer!F178+Commodity!F178+Demand!F178</f>
        <v>4151277</v>
      </c>
      <c r="G178" s="3">
        <f>Customer!G178+Commodity!G178+Demand!G178</f>
        <v>1593298</v>
      </c>
      <c r="H178" s="3">
        <f>Customer!H178+Commodity!H178+Demand!H178</f>
        <v>750</v>
      </c>
      <c r="I178" s="3">
        <f>Customer!I178+Commodity!I178+Demand!I178</f>
        <v>0</v>
      </c>
      <c r="J178" s="3">
        <f>Customer!J178+Commodity!J178+Demand!J178</f>
        <v>24985</v>
      </c>
      <c r="K178" s="3">
        <f>Customer!K178+Commodity!K178+Demand!K178</f>
        <v>0</v>
      </c>
      <c r="L178" s="3">
        <f>Customer!L178+Commodity!L178+Demand!L178</f>
        <v>0</v>
      </c>
      <c r="N178" s="3"/>
      <c r="O178" s="3"/>
      <c r="P178" s="3"/>
      <c r="Q178" s="3"/>
      <c r="R178" s="3"/>
      <c r="S178" s="3"/>
      <c r="T178" s="244"/>
      <c r="U178" s="244"/>
      <c r="V178" s="244"/>
      <c r="W178" s="244"/>
      <c r="X178" s="244"/>
      <c r="Z178" s="376"/>
      <c r="AA178" s="376"/>
      <c r="AB178" s="376"/>
      <c r="AC178" s="376"/>
      <c r="AD178" s="376"/>
      <c r="AE178" s="376"/>
    </row>
    <row r="179" spans="1:31" ht="11.25" x14ac:dyDescent="0.2">
      <c r="A179" s="325">
        <f t="shared" si="31"/>
        <v>5</v>
      </c>
      <c r="B179" s="24">
        <f>Input!A116</f>
        <v>384</v>
      </c>
      <c r="C179" s="25" t="str">
        <f>Input!B116</f>
        <v>HOUSE REG INSTALLATIONS</v>
      </c>
      <c r="D179" s="3"/>
      <c r="E179" s="3">
        <f>SUM(Input!D116:E116)</f>
        <v>2257522</v>
      </c>
      <c r="F179" s="3">
        <f>Customer!F179+Commodity!F179+Demand!F179</f>
        <v>1624106</v>
      </c>
      <c r="G179" s="3">
        <f>Customer!G179+Commodity!G179+Demand!G179</f>
        <v>623347</v>
      </c>
      <c r="H179" s="3">
        <f>Customer!H179+Commodity!H179+Demand!H179</f>
        <v>293</v>
      </c>
      <c r="I179" s="3">
        <f>Customer!I179+Commodity!I179+Demand!I179</f>
        <v>0</v>
      </c>
      <c r="J179" s="3">
        <f>Customer!J179+Commodity!J179+Demand!J179</f>
        <v>9775</v>
      </c>
      <c r="K179" s="3">
        <f>Customer!K179+Commodity!K179+Demand!K179</f>
        <v>0</v>
      </c>
      <c r="L179" s="3">
        <f>Customer!L179+Commodity!L179+Demand!L179</f>
        <v>0</v>
      </c>
      <c r="N179" s="3"/>
      <c r="O179" s="3"/>
      <c r="P179" s="3"/>
      <c r="Q179" s="3"/>
      <c r="R179" s="3"/>
      <c r="S179" s="3"/>
      <c r="T179" s="244"/>
      <c r="U179" s="244"/>
      <c r="V179" s="244"/>
      <c r="W179" s="244"/>
      <c r="X179" s="244"/>
      <c r="Z179" s="376"/>
      <c r="AA179" s="376"/>
      <c r="AB179" s="376"/>
      <c r="AC179" s="376"/>
      <c r="AD179" s="376"/>
      <c r="AE179" s="376"/>
    </row>
    <row r="180" spans="1:31" ht="11.25" x14ac:dyDescent="0.2">
      <c r="A180" s="325">
        <f t="shared" si="31"/>
        <v>6</v>
      </c>
      <c r="B180" s="24">
        <f>Input!A117</f>
        <v>385</v>
      </c>
      <c r="C180" s="25" t="str">
        <f>Input!B117</f>
        <v>IND M&amp;R EQUIPMENT</v>
      </c>
      <c r="D180" s="3"/>
      <c r="E180" s="3">
        <f>SUM(Input!D117:E117)-SUM(Input!G117:O117)</f>
        <v>2697547</v>
      </c>
      <c r="F180" s="3">
        <f>Customer!F180+Commodity!F180+Demand!F180</f>
        <v>0</v>
      </c>
      <c r="G180" s="3">
        <f>Customer!G180+Commodity!G180+Demand!G180</f>
        <v>700742</v>
      </c>
      <c r="H180" s="3">
        <f>Customer!H180+Commodity!H180+Demand!H180</f>
        <v>782</v>
      </c>
      <c r="I180" s="3">
        <f>Customer!I180+Commodity!I180+Demand!I180</f>
        <v>0</v>
      </c>
      <c r="J180" s="3">
        <f>Customer!J180+Commodity!J180+Demand!J180</f>
        <v>1996050</v>
      </c>
      <c r="K180" s="3">
        <f>Customer!K180+Commodity!K180+Demand!K180</f>
        <v>0</v>
      </c>
      <c r="L180" s="3">
        <f>Customer!L180+Commodity!L180+Demand!L180</f>
        <v>0</v>
      </c>
      <c r="N180" s="3"/>
      <c r="O180" s="3"/>
      <c r="P180" s="3"/>
      <c r="Q180" s="3"/>
      <c r="R180" s="3"/>
      <c r="S180" s="3"/>
      <c r="T180" s="244"/>
      <c r="U180" s="244"/>
      <c r="V180" s="244"/>
      <c r="W180" s="244"/>
      <c r="X180" s="244"/>
      <c r="Z180" s="376"/>
      <c r="AA180" s="376"/>
      <c r="AB180" s="376"/>
      <c r="AC180" s="376"/>
      <c r="AD180" s="376"/>
      <c r="AE180" s="376"/>
    </row>
    <row r="181" spans="1:31" ht="11.25" x14ac:dyDescent="0.2">
      <c r="A181" s="325">
        <f t="shared" si="31"/>
        <v>7</v>
      </c>
      <c r="B181" s="24">
        <f>Input!A117</f>
        <v>385</v>
      </c>
      <c r="C181" s="25" t="str">
        <f>"DIRECT "&amp;+Input!B117</f>
        <v>DIRECT IND M&amp;R EQUIPMENT</v>
      </c>
      <c r="D181" s="3"/>
      <c r="E181" s="3">
        <f>SUM(Input!G117:O117)</f>
        <v>677829</v>
      </c>
      <c r="F181" s="3">
        <f>Customer!F181+Commodity!F181+Demand!F181</f>
        <v>0</v>
      </c>
      <c r="G181" s="3">
        <f>Customer!G181+Commodity!G181+Demand!G181</f>
        <v>0</v>
      </c>
      <c r="H181" s="3">
        <f>Customer!H181+Commodity!H181+Demand!H181</f>
        <v>0</v>
      </c>
      <c r="I181" s="3">
        <f>Customer!I181+Commodity!I181+Demand!I181</f>
        <v>677829</v>
      </c>
      <c r="J181" s="3">
        <f>Customer!J181+Commodity!J181+Demand!J181</f>
        <v>0</v>
      </c>
      <c r="K181" s="3">
        <f>Customer!K181+Commodity!K181+Demand!K181</f>
        <v>0</v>
      </c>
      <c r="L181" s="3">
        <f>Customer!L181+Commodity!L181+Demand!L181</f>
        <v>0</v>
      </c>
      <c r="N181" s="3"/>
      <c r="O181" s="3"/>
      <c r="P181" s="3"/>
      <c r="Q181" s="3"/>
      <c r="R181" s="3"/>
      <c r="S181" s="3"/>
      <c r="T181" s="244"/>
      <c r="U181" s="244"/>
      <c r="V181" s="244"/>
      <c r="W181" s="244"/>
      <c r="X181" s="244"/>
      <c r="Z181" s="376"/>
      <c r="AA181" s="376"/>
      <c r="AB181" s="376"/>
      <c r="AC181" s="376"/>
      <c r="AD181" s="376"/>
      <c r="AE181" s="376"/>
    </row>
    <row r="182" spans="1:31" ht="11.25" x14ac:dyDescent="0.2">
      <c r="A182" s="325">
        <f t="shared" si="31"/>
        <v>8</v>
      </c>
      <c r="B182" s="24">
        <f>Input!A118</f>
        <v>387.2</v>
      </c>
      <c r="C182" s="25" t="str">
        <f>Input!B118</f>
        <v>ODORIZATION</v>
      </c>
      <c r="D182" s="3"/>
      <c r="E182" s="3">
        <f>SUM(Input!D118:E118)</f>
        <v>0</v>
      </c>
      <c r="F182" s="3">
        <f ca="1">Customer!F182+Commodity!F182+Demand!F182</f>
        <v>0</v>
      </c>
      <c r="G182" s="3">
        <f ca="1">Customer!G182+Commodity!G182+Demand!G182</f>
        <v>0</v>
      </c>
      <c r="H182" s="3">
        <f ca="1">Customer!H182+Commodity!H182+Demand!H182</f>
        <v>0</v>
      </c>
      <c r="I182" s="3">
        <f ca="1">Customer!I182+Commodity!I182+Demand!I182</f>
        <v>0</v>
      </c>
      <c r="J182" s="3">
        <f ca="1">Customer!J182+Commodity!J182+Demand!J182</f>
        <v>0</v>
      </c>
      <c r="K182" s="3">
        <f ca="1">Customer!K182+Commodity!K182+Demand!K182</f>
        <v>0</v>
      </c>
      <c r="L182" s="3">
        <f ca="1">Customer!L182+Commodity!L182+Demand!L182</f>
        <v>0</v>
      </c>
      <c r="N182" s="3"/>
      <c r="O182" s="3"/>
      <c r="P182" s="3"/>
      <c r="Q182" s="3"/>
      <c r="R182" s="3"/>
      <c r="S182" s="3"/>
      <c r="Z182" s="376"/>
      <c r="AA182" s="376"/>
      <c r="AB182" s="376"/>
      <c r="AC182" s="376"/>
      <c r="AD182" s="376"/>
      <c r="AE182" s="376"/>
    </row>
    <row r="183" spans="1:31" ht="11.25" x14ac:dyDescent="0.2">
      <c r="A183" s="325">
        <f t="shared" si="31"/>
        <v>9</v>
      </c>
      <c r="B183" s="24">
        <f>Input!A119</f>
        <v>387.41</v>
      </c>
      <c r="C183" s="25" t="str">
        <f>Input!B119</f>
        <v>TELEPHONE</v>
      </c>
      <c r="D183" s="3"/>
      <c r="E183" s="3">
        <f>SUM(Input!D119:E119)</f>
        <v>735771</v>
      </c>
      <c r="F183" s="3">
        <f ca="1">Customer!F183+Commodity!F183+Demand!F183</f>
        <v>421252</v>
      </c>
      <c r="G183" s="3">
        <f ca="1">Customer!G183+Commodity!G183+Demand!G183</f>
        <v>160388</v>
      </c>
      <c r="H183" s="3">
        <f ca="1">Customer!H183+Commodity!H183+Demand!H183</f>
        <v>256</v>
      </c>
      <c r="I183" s="3">
        <f ca="1">Customer!I183+Commodity!I183+Demand!I183</f>
        <v>1321</v>
      </c>
      <c r="J183" s="3">
        <f ca="1">Customer!J183+Commodity!J183+Demand!J183</f>
        <v>152552</v>
      </c>
      <c r="K183" s="3">
        <f ca="1">Customer!K183+Commodity!K183+Demand!K183</f>
        <v>0</v>
      </c>
      <c r="L183" s="3">
        <f ca="1">Customer!L183+Commodity!L183+Demand!L183</f>
        <v>0</v>
      </c>
      <c r="N183" s="3"/>
      <c r="O183" s="3"/>
      <c r="P183" s="3"/>
      <c r="Q183" s="3"/>
      <c r="R183" s="3"/>
      <c r="S183" s="3"/>
    </row>
    <row r="184" spans="1:31" ht="11.25" x14ac:dyDescent="0.2">
      <c r="A184" s="325">
        <f t="shared" si="31"/>
        <v>10</v>
      </c>
      <c r="B184" s="24">
        <f>Input!A120</f>
        <v>387.42</v>
      </c>
      <c r="C184" s="25" t="str">
        <f>Input!B120</f>
        <v>RADIO</v>
      </c>
      <c r="D184" s="3"/>
      <c r="E184" s="3">
        <f>SUM(Input!D120:E120)</f>
        <v>795187</v>
      </c>
      <c r="F184" s="3">
        <f ca="1">Customer!F184+Commodity!F184+Demand!F184</f>
        <v>455271</v>
      </c>
      <c r="G184" s="3">
        <f ca="1">Customer!G184+Commodity!G184+Demand!G184</f>
        <v>173340</v>
      </c>
      <c r="H184" s="3">
        <f ca="1">Customer!H184+Commodity!H184+Demand!H184</f>
        <v>277</v>
      </c>
      <c r="I184" s="3">
        <f ca="1">Customer!I184+Commodity!I184+Demand!I184</f>
        <v>1428</v>
      </c>
      <c r="J184" s="3">
        <f ca="1">Customer!J184+Commodity!J184+Demand!J184</f>
        <v>164871</v>
      </c>
      <c r="K184" s="3">
        <f ca="1">Customer!K184+Commodity!K184+Demand!K184</f>
        <v>0</v>
      </c>
      <c r="L184" s="3">
        <f ca="1">Customer!L184+Commodity!L184+Demand!L184</f>
        <v>0</v>
      </c>
      <c r="N184" s="3"/>
      <c r="O184" s="3"/>
      <c r="P184" s="3"/>
      <c r="Q184" s="3"/>
      <c r="R184" s="3"/>
      <c r="S184" s="3"/>
    </row>
    <row r="185" spans="1:31" ht="11.25" x14ac:dyDescent="0.2">
      <c r="A185" s="325">
        <f t="shared" si="31"/>
        <v>11</v>
      </c>
      <c r="B185" s="24">
        <f>Input!A121</f>
        <v>387.44</v>
      </c>
      <c r="C185" s="25" t="str">
        <f>Input!B121</f>
        <v>OTHER COMMUNICATION</v>
      </c>
      <c r="D185" s="3"/>
      <c r="E185" s="3">
        <f>SUM(Input!D121:E121)</f>
        <v>133590</v>
      </c>
      <c r="F185" s="3">
        <f ca="1">Customer!F185+Commodity!F185+Demand!F185</f>
        <v>76485</v>
      </c>
      <c r="G185" s="3">
        <f ca="1">Customer!G185+Commodity!G185+Demand!G185</f>
        <v>29121</v>
      </c>
      <c r="H185" s="3">
        <f ca="1">Customer!H185+Commodity!H185+Demand!H185</f>
        <v>46</v>
      </c>
      <c r="I185" s="3">
        <f ca="1">Customer!I185+Commodity!I185+Demand!I185</f>
        <v>239</v>
      </c>
      <c r="J185" s="3">
        <f ca="1">Customer!J185+Commodity!J185+Demand!J185</f>
        <v>27698</v>
      </c>
      <c r="K185" s="3">
        <f ca="1">Customer!K185+Commodity!K185+Demand!K185</f>
        <v>0</v>
      </c>
      <c r="L185" s="3">
        <f ca="1">Customer!L185+Commodity!L185+Demand!L185</f>
        <v>0</v>
      </c>
      <c r="N185" s="3"/>
      <c r="O185" s="3"/>
      <c r="P185" s="3"/>
      <c r="Q185" s="3"/>
      <c r="R185" s="3"/>
      <c r="S185" s="3"/>
    </row>
    <row r="186" spans="1:31" ht="11.25" x14ac:dyDescent="0.2">
      <c r="A186" s="325">
        <f t="shared" si="31"/>
        <v>12</v>
      </c>
      <c r="B186" s="24">
        <f>Input!A122</f>
        <v>387.45</v>
      </c>
      <c r="C186" s="25" t="str">
        <f>Input!B122</f>
        <v>TELEMETERING</v>
      </c>
      <c r="D186" s="3"/>
      <c r="E186" s="3">
        <f>SUM(Input!D122:E122)</f>
        <v>3779585</v>
      </c>
      <c r="F186" s="3">
        <f ca="1">Customer!F186+Commodity!F186+Demand!F186</f>
        <v>2163935</v>
      </c>
      <c r="G186" s="3">
        <f ca="1">Customer!G186+Commodity!G186+Demand!G186</f>
        <v>823897</v>
      </c>
      <c r="H186" s="3">
        <f ca="1">Customer!H186+Commodity!H186+Demand!H186</f>
        <v>1315</v>
      </c>
      <c r="I186" s="3">
        <f ca="1">Customer!I186+Commodity!I186+Demand!I186</f>
        <v>6791</v>
      </c>
      <c r="J186" s="3">
        <f ca="1">Customer!J186+Commodity!J186+Demand!J186</f>
        <v>783647</v>
      </c>
      <c r="K186" s="3">
        <f ca="1">Customer!K186+Commodity!K186+Demand!K186</f>
        <v>0</v>
      </c>
      <c r="L186" s="3">
        <f ca="1">Customer!L186+Commodity!L186+Demand!L186</f>
        <v>0</v>
      </c>
      <c r="N186" s="3"/>
      <c r="O186" s="3"/>
      <c r="P186" s="3"/>
      <c r="Q186" s="3"/>
      <c r="R186" s="3"/>
      <c r="S186" s="3"/>
    </row>
    <row r="187" spans="1:31" ht="11.25" x14ac:dyDescent="0.2">
      <c r="A187" s="325">
        <f t="shared" si="31"/>
        <v>13</v>
      </c>
      <c r="B187" s="24">
        <f>Input!A123</f>
        <v>387.46</v>
      </c>
      <c r="C187" s="25" t="str">
        <f>Input!B123</f>
        <v>CIS</v>
      </c>
      <c r="D187" s="3"/>
      <c r="E187" s="26">
        <f>SUM(Input!D123:E123)</f>
        <v>113644</v>
      </c>
      <c r="F187" s="256">
        <f ca="1">Customer!F187+Commodity!F187+Demand!F187</f>
        <v>65065</v>
      </c>
      <c r="G187" s="256">
        <f ca="1">Customer!G187+Commodity!G187+Demand!G187</f>
        <v>24772</v>
      </c>
      <c r="H187" s="256">
        <f ca="1">Customer!H187+Commodity!H187+Demand!H187</f>
        <v>40</v>
      </c>
      <c r="I187" s="256">
        <f ca="1">Customer!I187+Commodity!I187+Demand!I187</f>
        <v>204</v>
      </c>
      <c r="J187" s="256">
        <f ca="1">Customer!J187+Commodity!J187+Demand!J187</f>
        <v>23562</v>
      </c>
      <c r="K187" s="256">
        <f ca="1">Customer!K187+Commodity!K187+Demand!K187</f>
        <v>0</v>
      </c>
      <c r="L187" s="256">
        <f ca="1">Customer!L187+Commodity!L187+Demand!L187</f>
        <v>0</v>
      </c>
      <c r="N187" s="3"/>
      <c r="O187" s="3"/>
      <c r="P187" s="3"/>
      <c r="Q187" s="3"/>
      <c r="R187" s="3"/>
      <c r="S187" s="3"/>
    </row>
    <row r="188" spans="1:31" ht="11.25" x14ac:dyDescent="0.2">
      <c r="A188" s="325">
        <f t="shared" si="31"/>
        <v>14</v>
      </c>
      <c r="B188" s="3"/>
      <c r="C188" s="25" t="s">
        <v>84</v>
      </c>
      <c r="D188" s="3"/>
      <c r="E188" s="3">
        <f>SUM('Total Co'!E149:E167)+SUM(E175:E187)</f>
        <v>423501900</v>
      </c>
      <c r="F188" s="3">
        <f ca="1">SUM('Total Co'!F149:F167)+SUM(F175:F187)</f>
        <v>242468392</v>
      </c>
      <c r="G188" s="3">
        <f ca="1">SUM('Total Co'!G149:G167)+SUM(G175:G187)</f>
        <v>92316676</v>
      </c>
      <c r="H188" s="3">
        <f ca="1">SUM('Total Co'!H149:H167)+SUM(H175:H187)</f>
        <v>147882</v>
      </c>
      <c r="I188" s="3">
        <f ca="1">SUM('Total Co'!I149:I167)+SUM(I175:I187)</f>
        <v>761912.55</v>
      </c>
      <c r="J188" s="3">
        <f ca="1">SUM('Total Co'!J149:J167)+SUM(J175:J187)</f>
        <v>87807060</v>
      </c>
      <c r="K188" s="3">
        <f ca="1">SUM('Total Co'!K149:K167)+SUM(K175:K187)</f>
        <v>0</v>
      </c>
      <c r="L188" s="3">
        <f ca="1">SUM('Total Co'!L149:L167)+SUM(L175:L187)</f>
        <v>0</v>
      </c>
      <c r="N188" s="3"/>
      <c r="O188" s="3"/>
      <c r="P188" s="3"/>
      <c r="Q188" s="3"/>
      <c r="R188" s="3"/>
      <c r="S188" s="3"/>
    </row>
    <row r="189" spans="1:31" ht="11.25" x14ac:dyDescent="0.2">
      <c r="A189" s="325">
        <f t="shared" si="31"/>
        <v>15</v>
      </c>
      <c r="B189" s="3"/>
      <c r="C189" s="24" t="str">
        <f>Input!A124</f>
        <v>GENERAL PLANT</v>
      </c>
      <c r="D189" s="3"/>
      <c r="E189" s="3"/>
      <c r="F189" s="3"/>
      <c r="G189" s="3"/>
      <c r="H189" s="3"/>
      <c r="I189" s="3"/>
      <c r="J189" s="3"/>
      <c r="K189" s="3"/>
      <c r="L189" s="3"/>
      <c r="N189" s="3"/>
      <c r="O189" s="3"/>
      <c r="P189" s="3"/>
      <c r="Q189" s="3"/>
      <c r="R189" s="3"/>
      <c r="S189" s="3"/>
    </row>
    <row r="190" spans="1:31" ht="11.25" x14ac:dyDescent="0.2">
      <c r="A190" s="325">
        <f t="shared" si="31"/>
        <v>16</v>
      </c>
      <c r="B190" s="24">
        <f>Input!A125</f>
        <v>391.1</v>
      </c>
      <c r="C190" s="25" t="str">
        <f>Input!B125</f>
        <v>OFF FURN &amp; EQUIP - UNSPEC</v>
      </c>
      <c r="D190" s="3"/>
      <c r="E190" s="3">
        <f>SUM(Input!D125:E125)</f>
        <v>735278</v>
      </c>
      <c r="F190" s="3">
        <f ca="1">Customer!F190+Commodity!F190+Demand!F190</f>
        <v>420971</v>
      </c>
      <c r="G190" s="3">
        <f ca="1">Customer!G190+Commodity!G190+Demand!G190</f>
        <v>160280</v>
      </c>
      <c r="H190" s="3">
        <f ca="1">Customer!H190+Commodity!H190+Demand!H190</f>
        <v>256</v>
      </c>
      <c r="I190" s="3">
        <f ca="1">Customer!I190+Commodity!I190+Demand!I190</f>
        <v>1320</v>
      </c>
      <c r="J190" s="3">
        <f ca="1">Customer!J190+Commodity!J190+Demand!J190</f>
        <v>152451</v>
      </c>
      <c r="K190" s="3">
        <f ca="1">Customer!K190+Commodity!K190+Demand!K190</f>
        <v>0</v>
      </c>
      <c r="L190" s="3">
        <f ca="1">Customer!L190+Commodity!L190+Demand!L190</f>
        <v>0</v>
      </c>
      <c r="N190" s="3"/>
      <c r="O190" s="3"/>
      <c r="P190" s="3"/>
      <c r="Q190" s="3"/>
      <c r="R190" s="3"/>
      <c r="S190" s="3"/>
    </row>
    <row r="191" spans="1:31" ht="11.25" x14ac:dyDescent="0.2">
      <c r="A191" s="325">
        <f t="shared" si="31"/>
        <v>17</v>
      </c>
      <c r="B191" s="24">
        <f>Input!A126</f>
        <v>391.11</v>
      </c>
      <c r="C191" s="25" t="str">
        <f>Input!B126</f>
        <v>OFF FURN &amp; EQUIP - DATA HAND</v>
      </c>
      <c r="D191" s="3"/>
      <c r="E191" s="3">
        <f>SUM(Input!D126:E126)</f>
        <v>18816</v>
      </c>
      <c r="F191" s="3">
        <f ca="1">Customer!F191+Commodity!F191+Demand!F191</f>
        <v>10772</v>
      </c>
      <c r="G191" s="3">
        <f ca="1">Customer!G191+Commodity!G191+Demand!G191</f>
        <v>4102</v>
      </c>
      <c r="H191" s="3">
        <f ca="1">Customer!H191+Commodity!H191+Demand!H191</f>
        <v>6</v>
      </c>
      <c r="I191" s="3">
        <f ca="1">Customer!I191+Commodity!I191+Demand!I191</f>
        <v>33</v>
      </c>
      <c r="J191" s="3">
        <f ca="1">Customer!J191+Commodity!J191+Demand!J191</f>
        <v>3901</v>
      </c>
      <c r="K191" s="3">
        <f ca="1">Customer!K191+Commodity!K191+Demand!K191</f>
        <v>0</v>
      </c>
      <c r="L191" s="3">
        <f ca="1">Customer!L191+Commodity!L191+Demand!L191</f>
        <v>0</v>
      </c>
      <c r="N191" s="3"/>
      <c r="O191" s="3"/>
      <c r="P191" s="3"/>
      <c r="Q191" s="3"/>
      <c r="R191" s="3"/>
      <c r="S191" s="3"/>
    </row>
    <row r="192" spans="1:31" ht="11.25" x14ac:dyDescent="0.2">
      <c r="A192" s="325">
        <f t="shared" si="31"/>
        <v>18</v>
      </c>
      <c r="B192" s="24">
        <f>Input!A127</f>
        <v>391.12</v>
      </c>
      <c r="C192" s="25" t="str">
        <f>Input!B127</f>
        <v>OFF FURN &amp; EQUIP - INFO SYSTEM</v>
      </c>
      <c r="D192" s="3"/>
      <c r="E192" s="3">
        <f>SUM(Input!D127:E127)</f>
        <v>1257641</v>
      </c>
      <c r="F192" s="3">
        <f ca="1">Customer!F192+Commodity!F192+Demand!F192</f>
        <v>720040</v>
      </c>
      <c r="G192" s="3">
        <f ca="1">Customer!G192+Commodity!G192+Demand!G192</f>
        <v>274148</v>
      </c>
      <c r="H192" s="3">
        <f ca="1">Customer!H192+Commodity!H192+Demand!H192</f>
        <v>437</v>
      </c>
      <c r="I192" s="3">
        <f ca="1">Customer!I192+Commodity!I192+Demand!I192</f>
        <v>2260</v>
      </c>
      <c r="J192" s="3">
        <f ca="1">Customer!J192+Commodity!J192+Demand!J192</f>
        <v>260755</v>
      </c>
      <c r="K192" s="3">
        <f ca="1">Customer!K192+Commodity!K192+Demand!K192</f>
        <v>0</v>
      </c>
      <c r="L192" s="3">
        <f ca="1">Customer!L192+Commodity!L192+Demand!L192</f>
        <v>0</v>
      </c>
      <c r="N192" s="3"/>
      <c r="O192" s="3"/>
      <c r="P192" s="3"/>
      <c r="Q192" s="3"/>
      <c r="R192" s="3"/>
      <c r="S192" s="3"/>
    </row>
    <row r="193" spans="1:19" ht="11.25" x14ac:dyDescent="0.2">
      <c r="A193" s="325">
        <f t="shared" si="31"/>
        <v>19</v>
      </c>
      <c r="B193" s="24">
        <f>Input!A128</f>
        <v>392.2</v>
      </c>
      <c r="C193" s="25" t="str">
        <f>Input!B128</f>
        <v>TR EQ - TRAILER &gt; $1,000</v>
      </c>
      <c r="D193" s="3"/>
      <c r="E193" s="3">
        <f>SUM(Input!D128:E128)</f>
        <v>95778</v>
      </c>
      <c r="F193" s="3">
        <f ca="1">Customer!F193+Commodity!F193+Demand!F193</f>
        <v>54836</v>
      </c>
      <c r="G193" s="3">
        <f ca="1">Customer!G193+Commodity!G193+Demand!G193</f>
        <v>20878</v>
      </c>
      <c r="H193" s="3">
        <f ca="1">Customer!H193+Commodity!H193+Demand!H193</f>
        <v>34</v>
      </c>
      <c r="I193" s="3">
        <f ca="1">Customer!I193+Commodity!I193+Demand!I193</f>
        <v>173</v>
      </c>
      <c r="J193" s="3">
        <f ca="1">Customer!J193+Commodity!J193+Demand!J193</f>
        <v>19858</v>
      </c>
      <c r="K193" s="3">
        <f ca="1">Customer!K193+Commodity!K193+Demand!K193</f>
        <v>0</v>
      </c>
      <c r="L193" s="3">
        <f ca="1">Customer!L193+Commodity!L193+Demand!L193</f>
        <v>0</v>
      </c>
      <c r="N193" s="3"/>
      <c r="O193" s="3"/>
      <c r="P193" s="3"/>
      <c r="Q193" s="3"/>
      <c r="R193" s="3"/>
      <c r="S193" s="3"/>
    </row>
    <row r="194" spans="1:19" ht="11.25" x14ac:dyDescent="0.2">
      <c r="A194" s="325">
        <f t="shared" si="31"/>
        <v>20</v>
      </c>
      <c r="B194" s="24">
        <f>Input!A129</f>
        <v>392.21</v>
      </c>
      <c r="C194" s="25" t="str">
        <f>Input!B129</f>
        <v>TR EQ - TRAILER &lt; $1,000</v>
      </c>
      <c r="D194" s="3"/>
      <c r="E194" s="3">
        <f>SUM(Input!D129:E129)</f>
        <v>24462</v>
      </c>
      <c r="F194" s="3">
        <f ca="1">Customer!F194+Commodity!F194+Demand!F194</f>
        <v>14005</v>
      </c>
      <c r="G194" s="3">
        <f ca="1">Customer!G194+Commodity!G194+Demand!G194</f>
        <v>5332</v>
      </c>
      <c r="H194" s="3">
        <f ca="1">Customer!H194+Commodity!H194+Demand!H194</f>
        <v>8</v>
      </c>
      <c r="I194" s="3">
        <f ca="1">Customer!I194+Commodity!I194+Demand!I194</f>
        <v>45</v>
      </c>
      <c r="J194" s="3">
        <f ca="1">Customer!J194+Commodity!J194+Demand!J194</f>
        <v>5072</v>
      </c>
      <c r="K194" s="3">
        <f ca="1">Customer!K194+Commodity!K194+Demand!K194</f>
        <v>0</v>
      </c>
      <c r="L194" s="3">
        <f ca="1">Customer!L194+Commodity!L194+Demand!L194</f>
        <v>0</v>
      </c>
      <c r="N194" s="3"/>
      <c r="O194" s="3"/>
      <c r="P194" s="3"/>
      <c r="Q194" s="3"/>
      <c r="R194" s="3"/>
      <c r="S194" s="3"/>
    </row>
    <row r="195" spans="1:19" ht="11.25" x14ac:dyDescent="0.2">
      <c r="A195" s="325">
        <f t="shared" si="31"/>
        <v>21</v>
      </c>
      <c r="B195" s="24">
        <f>Input!A130</f>
        <v>394.1</v>
      </c>
      <c r="C195" s="25" t="str">
        <f>Input!B130</f>
        <v>TOOLS,SHOP, &amp; GAR EQ-GARAGE &amp; SERV</v>
      </c>
      <c r="D195" s="3"/>
      <c r="E195" s="3">
        <f>SUM(Input!D130:E130)</f>
        <v>24241</v>
      </c>
      <c r="F195" s="3">
        <f ca="1">Customer!F195+Commodity!F195+Demand!F195</f>
        <v>13879</v>
      </c>
      <c r="G195" s="3">
        <f ca="1">Customer!G195+Commodity!G195+Demand!G195</f>
        <v>5284</v>
      </c>
      <c r="H195" s="3">
        <f ca="1">Customer!H195+Commodity!H195+Demand!H195</f>
        <v>8</v>
      </c>
      <c r="I195" s="3">
        <f ca="1">Customer!I195+Commodity!I195+Demand!I195</f>
        <v>44</v>
      </c>
      <c r="J195" s="3">
        <f ca="1">Customer!J195+Commodity!J195+Demand!J195</f>
        <v>5026</v>
      </c>
      <c r="K195" s="3">
        <f ca="1">Customer!K195+Commodity!K195+Demand!K195</f>
        <v>0</v>
      </c>
      <c r="L195" s="3">
        <f ca="1">Customer!L195+Commodity!L195+Demand!L195</f>
        <v>0</v>
      </c>
      <c r="N195" s="3"/>
      <c r="O195" s="3"/>
      <c r="P195" s="3"/>
      <c r="Q195" s="3"/>
      <c r="R195" s="3"/>
      <c r="S195" s="3"/>
    </row>
    <row r="196" spans="1:19" ht="11.25" x14ac:dyDescent="0.2">
      <c r="A196" s="325">
        <f t="shared" si="31"/>
        <v>22</v>
      </c>
      <c r="B196" s="24">
        <f>Input!A131</f>
        <v>394.13</v>
      </c>
      <c r="C196" s="25" t="str">
        <f>Input!B131</f>
        <v>TOOLS,SHOP, &amp; GAR EQ-UND TANK CLEANUP</v>
      </c>
      <c r="D196" s="3"/>
      <c r="E196" s="3">
        <f>SUM(Input!D131:E131)</f>
        <v>0</v>
      </c>
      <c r="F196" s="3">
        <f ca="1">Customer!F196+Commodity!F196+Demand!F196</f>
        <v>0</v>
      </c>
      <c r="G196" s="3">
        <f ca="1">Customer!G196+Commodity!G196+Demand!G196</f>
        <v>0</v>
      </c>
      <c r="H196" s="3">
        <f ca="1">Customer!H196+Commodity!H196+Demand!H196</f>
        <v>0</v>
      </c>
      <c r="I196" s="3">
        <f ca="1">Customer!I196+Commodity!I196+Demand!I196</f>
        <v>0</v>
      </c>
      <c r="J196" s="3">
        <f ca="1">Customer!J196+Commodity!J196+Demand!J196</f>
        <v>0</v>
      </c>
      <c r="K196" s="3">
        <f ca="1">Customer!K196+Commodity!K196+Demand!K196</f>
        <v>0</v>
      </c>
      <c r="L196" s="3">
        <f ca="1">Customer!L196+Commodity!L196+Demand!L196</f>
        <v>0</v>
      </c>
      <c r="N196" s="3"/>
      <c r="O196" s="3"/>
      <c r="P196" s="3"/>
      <c r="Q196" s="3"/>
      <c r="R196" s="3"/>
      <c r="S196" s="3"/>
    </row>
    <row r="197" spans="1:19" ht="11.25" x14ac:dyDescent="0.2">
      <c r="A197" s="325">
        <f t="shared" si="31"/>
        <v>23</v>
      </c>
      <c r="B197" s="24">
        <f>Input!A132</f>
        <v>393</v>
      </c>
      <c r="C197" s="25" t="str">
        <f>Input!B132</f>
        <v>STORES EQUIPMENT</v>
      </c>
      <c r="D197" s="3"/>
      <c r="E197" s="3">
        <f>SUM(Input!D132:E132)</f>
        <v>0</v>
      </c>
      <c r="F197" s="3">
        <f ca="1">Customer!F197+Commodity!F197+Demand!F197</f>
        <v>0</v>
      </c>
      <c r="G197" s="3">
        <f ca="1">Customer!G197+Commodity!G197+Demand!G197</f>
        <v>0</v>
      </c>
      <c r="H197" s="3">
        <f ca="1">Customer!H197+Commodity!H197+Demand!H197</f>
        <v>0</v>
      </c>
      <c r="I197" s="3">
        <f ca="1">Customer!I197+Commodity!I197+Demand!I197</f>
        <v>0</v>
      </c>
      <c r="J197" s="3">
        <f ca="1">Customer!J197+Commodity!J197+Demand!J197</f>
        <v>0</v>
      </c>
      <c r="K197" s="3">
        <f ca="1">Customer!K197+Commodity!K197+Demand!K197</f>
        <v>0</v>
      </c>
      <c r="L197" s="3">
        <f ca="1">Customer!L197+Commodity!L197+Demand!L197</f>
        <v>0</v>
      </c>
      <c r="N197" s="3"/>
      <c r="O197" s="3"/>
      <c r="P197" s="3"/>
      <c r="Q197" s="3"/>
      <c r="R197" s="3"/>
      <c r="S197" s="3"/>
    </row>
    <row r="198" spans="1:19" ht="11.25" x14ac:dyDescent="0.2">
      <c r="A198" s="325">
        <f t="shared" si="31"/>
        <v>24</v>
      </c>
      <c r="B198" s="24">
        <f>Input!A133</f>
        <v>394.2</v>
      </c>
      <c r="C198" s="25" t="str">
        <f>Input!B133</f>
        <v>SHOP EQUIPMENT</v>
      </c>
      <c r="D198" s="3"/>
      <c r="E198" s="3">
        <f>SUM(Input!D133:E133)</f>
        <v>0</v>
      </c>
      <c r="F198" s="3">
        <f ca="1">Customer!F198+Commodity!F198+Demand!F198</f>
        <v>0</v>
      </c>
      <c r="G198" s="3">
        <f ca="1">Customer!G198+Commodity!G198+Demand!G198</f>
        <v>0</v>
      </c>
      <c r="H198" s="3">
        <f ca="1">Customer!H198+Commodity!H198+Demand!H198</f>
        <v>0</v>
      </c>
      <c r="I198" s="3">
        <f ca="1">Customer!I198+Commodity!I198+Demand!I198</f>
        <v>0</v>
      </c>
      <c r="J198" s="3">
        <f ca="1">Customer!J198+Commodity!J198+Demand!J198</f>
        <v>0</v>
      </c>
      <c r="K198" s="3">
        <f ca="1">Customer!K198+Commodity!K198+Demand!K198</f>
        <v>0</v>
      </c>
      <c r="L198" s="3">
        <f ca="1">Customer!L198+Commodity!L198+Demand!L198</f>
        <v>0</v>
      </c>
      <c r="N198" s="3"/>
      <c r="O198" s="3"/>
      <c r="P198" s="3"/>
      <c r="Q198" s="3"/>
      <c r="R198" s="3"/>
      <c r="S198" s="3"/>
    </row>
    <row r="199" spans="1:19" ht="11.25" x14ac:dyDescent="0.2">
      <c r="A199" s="325">
        <f t="shared" si="31"/>
        <v>25</v>
      </c>
      <c r="B199" s="24">
        <f>Input!A134</f>
        <v>394.3</v>
      </c>
      <c r="C199" s="25" t="str">
        <f>Input!B134</f>
        <v>TOOLS &amp; OTHER EQUIPMENT</v>
      </c>
      <c r="D199" s="3"/>
      <c r="E199" s="3">
        <f>SUM(Input!D134:E134)</f>
        <v>3259030</v>
      </c>
      <c r="F199" s="3">
        <f ca="1">Customer!F199+Commodity!F199+Demand!F199</f>
        <v>1865900</v>
      </c>
      <c r="G199" s="3">
        <f ca="1">Customer!G199+Commodity!G199+Demand!G199</f>
        <v>710424</v>
      </c>
      <c r="H199" s="3">
        <f ca="1">Customer!H199+Commodity!H199+Demand!H199</f>
        <v>1135</v>
      </c>
      <c r="I199" s="3">
        <f ca="1">Customer!I199+Commodity!I199+Demand!I199</f>
        <v>5855</v>
      </c>
      <c r="J199" s="3">
        <f ca="1">Customer!J199+Commodity!J199+Demand!J199</f>
        <v>675717</v>
      </c>
      <c r="K199" s="3">
        <f ca="1">Customer!K199+Commodity!K199+Demand!K199</f>
        <v>0</v>
      </c>
      <c r="L199" s="3">
        <f ca="1">Customer!L199+Commodity!L199+Demand!L199</f>
        <v>0</v>
      </c>
      <c r="N199" s="3"/>
      <c r="O199" s="3"/>
      <c r="P199" s="3"/>
      <c r="Q199" s="3"/>
      <c r="R199" s="3"/>
      <c r="S199" s="3"/>
    </row>
    <row r="200" spans="1:19" ht="11.25" x14ac:dyDescent="0.2">
      <c r="A200" s="325">
        <f t="shared" si="31"/>
        <v>26</v>
      </c>
      <c r="B200" s="24">
        <f>Input!A135</f>
        <v>395</v>
      </c>
      <c r="C200" s="25" t="str">
        <f>Input!B135</f>
        <v>LABORATORY EQUIPMENT</v>
      </c>
      <c r="D200" s="3"/>
      <c r="E200" s="3">
        <f>SUM(Input!D135:E135)</f>
        <v>9258</v>
      </c>
      <c r="F200" s="3">
        <f ca="1">Customer!F200+Commodity!F200+Demand!F200</f>
        <v>5300</v>
      </c>
      <c r="G200" s="3">
        <f ca="1">Customer!G200+Commodity!G200+Demand!G200</f>
        <v>2017</v>
      </c>
      <c r="H200" s="3">
        <f ca="1">Customer!H200+Commodity!H200+Demand!H200</f>
        <v>4</v>
      </c>
      <c r="I200" s="3">
        <f ca="1">Customer!I200+Commodity!I200+Demand!I200</f>
        <v>17</v>
      </c>
      <c r="J200" s="3">
        <f ca="1">Customer!J200+Commodity!J200+Demand!J200</f>
        <v>1919</v>
      </c>
      <c r="K200" s="3">
        <f ca="1">Customer!K200+Commodity!K200+Demand!K200</f>
        <v>0</v>
      </c>
      <c r="L200" s="3">
        <f ca="1">Customer!L200+Commodity!L200+Demand!L200</f>
        <v>0</v>
      </c>
      <c r="N200" s="3"/>
      <c r="O200" s="3"/>
      <c r="P200" s="3"/>
      <c r="Q200" s="3"/>
      <c r="R200" s="3"/>
      <c r="S200" s="3"/>
    </row>
    <row r="201" spans="1:19" ht="11.25" x14ac:dyDescent="0.2">
      <c r="A201" s="325">
        <f t="shared" si="31"/>
        <v>27</v>
      </c>
      <c r="B201" s="24">
        <f>Input!A136</f>
        <v>396</v>
      </c>
      <c r="C201" s="25" t="str">
        <f>Input!B136</f>
        <v>POWER OP EQUIP-GEN TOOLS</v>
      </c>
      <c r="D201" s="3"/>
      <c r="E201" s="3">
        <f>SUM(Input!D136:E136)</f>
        <v>253135</v>
      </c>
      <c r="F201" s="3">
        <f ca="1">Customer!F201+Commodity!F201+Demand!F201</f>
        <v>144928</v>
      </c>
      <c r="G201" s="3">
        <f ca="1">Customer!G201+Commodity!G201+Demand!G201</f>
        <v>55180</v>
      </c>
      <c r="H201" s="3">
        <f ca="1">Customer!H201+Commodity!H201+Demand!H201</f>
        <v>88</v>
      </c>
      <c r="I201" s="3">
        <f ca="1">Customer!I201+Commodity!I201+Demand!I201</f>
        <v>455</v>
      </c>
      <c r="J201" s="3">
        <f ca="1">Customer!J201+Commodity!J201+Demand!J201</f>
        <v>52484</v>
      </c>
      <c r="K201" s="3">
        <f ca="1">Customer!K201+Commodity!K201+Demand!K201</f>
        <v>0</v>
      </c>
      <c r="L201" s="3">
        <f ca="1">Customer!L201+Commodity!L201+Demand!L201</f>
        <v>0</v>
      </c>
      <c r="N201" s="3"/>
      <c r="O201" s="3"/>
      <c r="P201" s="3"/>
      <c r="Q201" s="3"/>
      <c r="R201" s="3"/>
      <c r="S201" s="3"/>
    </row>
    <row r="202" spans="1:19" ht="11.25" x14ac:dyDescent="0.2">
      <c r="A202" s="325">
        <f t="shared" si="31"/>
        <v>28</v>
      </c>
      <c r="B202" s="24">
        <f>Input!A137</f>
        <v>397.5</v>
      </c>
      <c r="C202" s="25" t="str">
        <f>Input!B137</f>
        <v>COMMUNICATION EQUIP - TELEMETERING</v>
      </c>
      <c r="D202" s="3"/>
      <c r="E202" s="3">
        <f>SUM(Input!D137:E137)</f>
        <v>0</v>
      </c>
      <c r="F202" s="3">
        <f ca="1">Customer!F202+Commodity!F202+Demand!F202</f>
        <v>0</v>
      </c>
      <c r="G202" s="3">
        <f ca="1">Customer!G202+Commodity!G202+Demand!G202</f>
        <v>0</v>
      </c>
      <c r="H202" s="3">
        <f ca="1">Customer!H202+Commodity!H202+Demand!H202</f>
        <v>0</v>
      </c>
      <c r="I202" s="3">
        <f ca="1">Customer!I202+Commodity!I202+Demand!I202</f>
        <v>0</v>
      </c>
      <c r="J202" s="3">
        <f ca="1">Customer!J202+Commodity!J202+Demand!J202</f>
        <v>0</v>
      </c>
      <c r="K202" s="3">
        <f ca="1">Customer!K202+Commodity!K202+Demand!K202</f>
        <v>0</v>
      </c>
      <c r="L202" s="3">
        <f ca="1">Customer!L202+Commodity!L202+Demand!L202</f>
        <v>0</v>
      </c>
      <c r="N202" s="3"/>
      <c r="O202" s="3"/>
      <c r="P202" s="3"/>
      <c r="Q202" s="3"/>
      <c r="R202" s="3"/>
      <c r="S202" s="3"/>
    </row>
    <row r="203" spans="1:19" ht="11.25" x14ac:dyDescent="0.2">
      <c r="A203" s="325">
        <f t="shared" si="31"/>
        <v>29</v>
      </c>
      <c r="B203" s="24">
        <f>Input!A138</f>
        <v>398</v>
      </c>
      <c r="C203" s="25" t="str">
        <f>Input!B138</f>
        <v>MISCELLANEOUS EQUIPMENT</v>
      </c>
      <c r="D203" s="3"/>
      <c r="E203" s="26">
        <f>SUM(Input!D138:E138)</f>
        <v>294060</v>
      </c>
      <c r="F203" s="26">
        <f ca="1">Customer!F203+Commodity!F203+Demand!F203</f>
        <v>168360</v>
      </c>
      <c r="G203" s="26">
        <f ca="1">Customer!G203+Commodity!G203+Demand!G203</f>
        <v>64102</v>
      </c>
      <c r="H203" s="26">
        <f ca="1">Customer!H203+Commodity!H203+Demand!H203</f>
        <v>103</v>
      </c>
      <c r="I203" s="26">
        <f ca="1">Customer!I203+Commodity!I203+Demand!I203</f>
        <v>529</v>
      </c>
      <c r="J203" s="26">
        <f ca="1">Customer!J203+Commodity!J203+Demand!J203</f>
        <v>60970</v>
      </c>
      <c r="K203" s="26">
        <f ca="1">Customer!K203+Commodity!K203+Demand!K203</f>
        <v>0</v>
      </c>
      <c r="L203" s="26">
        <f ca="1">Customer!L203+Commodity!L203+Demand!L203</f>
        <v>0</v>
      </c>
      <c r="N203" s="3"/>
      <c r="O203" s="3"/>
      <c r="P203" s="3"/>
      <c r="Q203" s="3"/>
      <c r="R203" s="3"/>
      <c r="S203" s="3"/>
    </row>
    <row r="204" spans="1:19" ht="11.25" x14ac:dyDescent="0.2">
      <c r="A204" s="325">
        <f t="shared" si="31"/>
        <v>30</v>
      </c>
      <c r="B204" s="3"/>
      <c r="C204" s="25" t="s">
        <v>90</v>
      </c>
      <c r="D204" s="3"/>
      <c r="E204" s="26">
        <f t="shared" ref="E204:L204" si="32">SUM(E190:E203)</f>
        <v>5971699</v>
      </c>
      <c r="F204" s="26">
        <f t="shared" ca="1" si="32"/>
        <v>3418991</v>
      </c>
      <c r="G204" s="26">
        <f t="shared" ca="1" si="32"/>
        <v>1301747</v>
      </c>
      <c r="H204" s="26">
        <f t="shared" ca="1" si="32"/>
        <v>2079</v>
      </c>
      <c r="I204" s="26">
        <f t="shared" ca="1" si="32"/>
        <v>10731</v>
      </c>
      <c r="J204" s="26">
        <f t="shared" ca="1" si="32"/>
        <v>1238153</v>
      </c>
      <c r="K204" s="26">
        <f t="shared" ca="1" si="32"/>
        <v>0</v>
      </c>
      <c r="L204" s="26">
        <f t="shared" ca="1" si="32"/>
        <v>0</v>
      </c>
      <c r="N204" s="3"/>
      <c r="O204" s="3"/>
      <c r="P204" s="3"/>
      <c r="Q204" s="3"/>
      <c r="R204" s="3"/>
      <c r="S204" s="3"/>
    </row>
    <row r="205" spans="1:19" ht="11.25" x14ac:dyDescent="0.2">
      <c r="A205" s="325">
        <f t="shared" si="31"/>
        <v>31</v>
      </c>
      <c r="B205" s="3"/>
      <c r="C205" s="25" t="s">
        <v>93</v>
      </c>
      <c r="D205" s="3"/>
      <c r="E205" s="3">
        <f>'Total Co'!E138+'Total Co'!E145+E188+E204</f>
        <v>437889787</v>
      </c>
      <c r="F205" s="3">
        <f ca="1">'Total Co'!F138+'Total Co'!F145+F188+F204</f>
        <v>250705921</v>
      </c>
      <c r="G205" s="3">
        <f ca="1">'Total Co'!G138+'Total Co'!G145+G188+G204</f>
        <v>95453037</v>
      </c>
      <c r="H205" s="3">
        <f ca="1">'Total Co'!H138+'Total Co'!H145+H188+H204</f>
        <v>152890</v>
      </c>
      <c r="I205" s="3">
        <f ca="1">'Total Co'!I138+'Total Co'!I145+I188+I204</f>
        <v>787764.55</v>
      </c>
      <c r="J205" s="3">
        <f ca="1">'Total Co'!J138+'Total Co'!J145+J188+J204</f>
        <v>90790197</v>
      </c>
      <c r="K205" s="3">
        <f ca="1">'Total Co'!K138+'Total Co'!K145+K188+K204</f>
        <v>0</v>
      </c>
      <c r="L205" s="3">
        <f ca="1">'Total Co'!L138+'Total Co'!L145+L188+L204</f>
        <v>0</v>
      </c>
      <c r="N205" s="3"/>
      <c r="O205" s="3"/>
      <c r="P205" s="3"/>
      <c r="Q205" s="3"/>
      <c r="R205" s="3"/>
      <c r="S205" s="3"/>
    </row>
    <row r="206" spans="1:19" ht="11.25" x14ac:dyDescent="0.2">
      <c r="A206" s="3" t="s">
        <v>810</v>
      </c>
      <c r="B206" s="3"/>
      <c r="C206" s="14"/>
      <c r="D206" s="3"/>
      <c r="E206" s="3"/>
      <c r="F206" s="325" t="str">
        <f>" "&amp;+Input!$B$1</f>
        <v xml:space="preserve"> COLUMBIA GAS OF KENTUCKY, INC.</v>
      </c>
      <c r="H206" s="3"/>
      <c r="I206" s="3"/>
      <c r="J206" s="3"/>
      <c r="K206" s="3"/>
      <c r="L206" s="32" t="str">
        <f>Input!$B$2</f>
        <v>ATTACHMENT CEN-2</v>
      </c>
      <c r="N206" s="3"/>
      <c r="O206" s="3"/>
      <c r="P206" s="3"/>
      <c r="Q206" s="3"/>
      <c r="R206" s="3"/>
      <c r="S206" s="3"/>
    </row>
    <row r="207" spans="1:19" ht="11.25" x14ac:dyDescent="0.2">
      <c r="A207" s="3" t="str">
        <f>Input!$B$7</f>
        <v>DEMAND-COMMODITY</v>
      </c>
      <c r="B207" s="3"/>
      <c r="C207" s="3"/>
      <c r="D207" s="3"/>
      <c r="E207" s="3"/>
      <c r="F207" s="325" t="s">
        <v>158</v>
      </c>
      <c r="H207" s="3"/>
      <c r="I207" s="3"/>
      <c r="J207" s="3"/>
      <c r="K207" s="3"/>
      <c r="L207" s="32" t="str">
        <f>"PAGE 7 OF "&amp;FIXED(Input!$B$8,0,TRUE)</f>
        <v>PAGE 7 OF 129</v>
      </c>
      <c r="N207" s="3"/>
      <c r="O207" s="3"/>
      <c r="P207" s="3"/>
      <c r="Q207" s="3"/>
      <c r="R207" s="3"/>
      <c r="S207" s="3"/>
    </row>
    <row r="208" spans="1:19" ht="11.25" x14ac:dyDescent="0.2">
      <c r="A208" s="17" t="str">
        <f>Input!$B$6</f>
        <v>FORECASTED TEST YEAR - ORIGINAL FILING</v>
      </c>
      <c r="B208" s="17"/>
      <c r="C208" s="17"/>
      <c r="D208" s="18"/>
      <c r="E208" s="18"/>
      <c r="F208" s="19" t="str">
        <f>"FOR THE TWELVE MONTHS ENDED "&amp;Input!$B$4</f>
        <v>FOR THE TWELVE MONTHS ENDED 12/31/2017</v>
      </c>
      <c r="G208" s="329"/>
      <c r="H208" s="17"/>
      <c r="I208" s="17"/>
      <c r="J208" s="17"/>
      <c r="K208" s="17"/>
      <c r="L208" s="183" t="str">
        <f>"WITNESS: "&amp;Input!$B$5</f>
        <v>WITNESS: C. NOTESTONE</v>
      </c>
      <c r="N208" s="3"/>
      <c r="O208" s="3"/>
      <c r="P208" s="3"/>
      <c r="Q208" s="3"/>
      <c r="R208" s="3"/>
      <c r="S208" s="3"/>
    </row>
    <row r="209" spans="1:19" ht="11.25" x14ac:dyDescent="0.2">
      <c r="A209" s="325" t="s">
        <v>5</v>
      </c>
      <c r="B209" s="3" t="s">
        <v>6</v>
      </c>
      <c r="C209" s="3"/>
      <c r="D209" s="325" t="s">
        <v>7</v>
      </c>
      <c r="E209" s="325" t="s">
        <v>8</v>
      </c>
      <c r="F209" s="325"/>
      <c r="G209" s="325"/>
      <c r="H209" s="325"/>
      <c r="I209" s="325"/>
      <c r="J209" s="325"/>
      <c r="K209" s="325"/>
      <c r="L209" s="325"/>
      <c r="N209" s="3"/>
      <c r="O209" s="3"/>
      <c r="P209" s="3"/>
      <c r="Q209" s="3"/>
      <c r="R209" s="3"/>
      <c r="S209" s="3"/>
    </row>
    <row r="210" spans="1:19" ht="11.25" x14ac:dyDescent="0.2">
      <c r="A210" s="341" t="s">
        <v>9</v>
      </c>
      <c r="B210" s="341" t="s">
        <v>9</v>
      </c>
      <c r="C210" s="34" t="str">
        <f>'Total Co'!C128</f>
        <v xml:space="preserve"> ACCOUNT TITLE</v>
      </c>
      <c r="D210" s="341" t="s">
        <v>10</v>
      </c>
      <c r="E210" s="341" t="s">
        <v>11</v>
      </c>
      <c r="F210" s="341" t="str">
        <f>"  "&amp;+Input!$C$12</f>
        <v xml:space="preserve">  GS-RESIDENTIAL</v>
      </c>
      <c r="G210" s="341" t="str">
        <f>Input!$C$13</f>
        <v>GS-OTHER</v>
      </c>
      <c r="H210" s="341" t="str">
        <f>Input!$C$14</f>
        <v>IUS</v>
      </c>
      <c r="I210" s="341" t="str">
        <f>Input!$C$15</f>
        <v>DS-ML</v>
      </c>
      <c r="J210" s="341" t="str">
        <f>Input!$C$16</f>
        <v>DS/IS</v>
      </c>
      <c r="K210" s="341" t="str">
        <f>Input!$C$17</f>
        <v>NOT USED</v>
      </c>
      <c r="L210" s="341" t="str">
        <f>Input!$C$18</f>
        <v>NOT USED</v>
      </c>
      <c r="N210" s="3"/>
      <c r="O210" s="3"/>
      <c r="P210" s="3"/>
      <c r="Q210" s="3"/>
      <c r="R210" s="3"/>
      <c r="S210" s="3"/>
    </row>
    <row r="211" spans="1:19" ht="11.25" x14ac:dyDescent="0.2">
      <c r="A211" s="325"/>
      <c r="B211" s="342" t="s">
        <v>13</v>
      </c>
      <c r="C211" s="342" t="s">
        <v>14</v>
      </c>
      <c r="D211" s="325" t="s">
        <v>15</v>
      </c>
      <c r="E211" s="325" t="s">
        <v>16</v>
      </c>
      <c r="F211" s="325" t="s">
        <v>17</v>
      </c>
      <c r="G211" s="325" t="s">
        <v>18</v>
      </c>
      <c r="H211" s="325" t="s">
        <v>19</v>
      </c>
      <c r="I211" s="325" t="s">
        <v>20</v>
      </c>
      <c r="J211" s="325" t="s">
        <v>21</v>
      </c>
      <c r="K211" s="325" t="s">
        <v>22</v>
      </c>
      <c r="L211" s="325" t="s">
        <v>23</v>
      </c>
      <c r="N211" s="3"/>
      <c r="O211" s="3"/>
      <c r="P211" s="3"/>
      <c r="Q211" s="3"/>
      <c r="R211" s="3"/>
      <c r="S211" s="3"/>
    </row>
    <row r="212" spans="1:19" ht="11.25" x14ac:dyDescent="0.2">
      <c r="A212" s="325"/>
      <c r="B212" s="3"/>
      <c r="C212" s="3"/>
      <c r="D212" s="3"/>
      <c r="E212" s="325" t="s">
        <v>26</v>
      </c>
      <c r="F212" s="325" t="s">
        <v>26</v>
      </c>
      <c r="G212" s="325" t="s">
        <v>26</v>
      </c>
      <c r="H212" s="325" t="s">
        <v>26</v>
      </c>
      <c r="I212" s="325" t="s">
        <v>26</v>
      </c>
      <c r="J212" s="325" t="s">
        <v>26</v>
      </c>
      <c r="K212" s="325" t="s">
        <v>26</v>
      </c>
      <c r="L212" s="325" t="s">
        <v>26</v>
      </c>
      <c r="N212" s="3"/>
      <c r="O212" s="3"/>
      <c r="P212" s="3"/>
      <c r="Q212" s="3"/>
      <c r="R212" s="3"/>
      <c r="S212" s="3"/>
    </row>
    <row r="213" spans="1:19" ht="11.25" x14ac:dyDescent="0.2">
      <c r="A213" s="325">
        <v>1</v>
      </c>
      <c r="B213" s="3"/>
      <c r="C213" s="3" t="str">
        <f>Input!A145</f>
        <v>INTANGIBLE PLANT</v>
      </c>
      <c r="D213" s="3"/>
      <c r="E213" s="3"/>
      <c r="F213" s="3"/>
      <c r="G213" s="3"/>
      <c r="H213" s="3"/>
      <c r="I213" s="3"/>
      <c r="J213" s="3"/>
      <c r="K213" s="3"/>
      <c r="L213" s="3"/>
      <c r="N213" s="3"/>
      <c r="O213" s="3"/>
      <c r="P213" s="3"/>
      <c r="Q213" s="3"/>
      <c r="R213" s="3"/>
      <c r="S213" s="3"/>
    </row>
    <row r="214" spans="1:19" ht="11.25" x14ac:dyDescent="0.2">
      <c r="A214" s="325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N214" s="3"/>
      <c r="O214" s="3"/>
      <c r="P214" s="3"/>
      <c r="Q214" s="3"/>
      <c r="R214" s="3"/>
      <c r="S214" s="3"/>
    </row>
    <row r="215" spans="1:19" ht="11.25" x14ac:dyDescent="0.2">
      <c r="A215" s="325">
        <f>A213+1</f>
        <v>2</v>
      </c>
      <c r="B215" s="24">
        <f>Input!A146</f>
        <v>301</v>
      </c>
      <c r="C215" s="3" t="str">
        <f>Input!B146</f>
        <v>ORGANIZATION</v>
      </c>
      <c r="D215" s="3"/>
      <c r="E215" s="3">
        <f>Input!D146+Input!E146</f>
        <v>0</v>
      </c>
      <c r="F215" s="3">
        <f ca="1">Customer!F215+Commodity!F215+Demand!F215</f>
        <v>0</v>
      </c>
      <c r="G215" s="3">
        <f ca="1">Customer!G215+Commodity!G215+Demand!G215</f>
        <v>0</v>
      </c>
      <c r="H215" s="3">
        <f ca="1">Customer!H215+Commodity!H215+Demand!H215</f>
        <v>0</v>
      </c>
      <c r="I215" s="3">
        <f ca="1">Customer!I215+Commodity!I215+Demand!I215</f>
        <v>0</v>
      </c>
      <c r="J215" s="3">
        <f ca="1">Customer!J215+Commodity!J215+Demand!J215</f>
        <v>0</v>
      </c>
      <c r="K215" s="3">
        <f ca="1">Customer!K215+Commodity!K215+Demand!K215</f>
        <v>0</v>
      </c>
      <c r="L215" s="3">
        <f ca="1">Customer!L215+Commodity!L215+Demand!L215</f>
        <v>0</v>
      </c>
      <c r="N215" s="3"/>
      <c r="O215" s="3"/>
      <c r="P215" s="3"/>
      <c r="Q215" s="3"/>
      <c r="R215" s="3"/>
      <c r="S215" s="3"/>
    </row>
    <row r="216" spans="1:19" ht="11.25" x14ac:dyDescent="0.2">
      <c r="A216" s="325">
        <f>A215+1</f>
        <v>3</v>
      </c>
      <c r="B216" s="24">
        <f>Input!A147</f>
        <v>303</v>
      </c>
      <c r="C216" s="3" t="str">
        <f>Input!B147</f>
        <v>MISC. INTANGIBLE PLANT</v>
      </c>
      <c r="D216" s="3"/>
      <c r="E216" s="3">
        <f>Input!D147+Input!E147</f>
        <v>49104</v>
      </c>
      <c r="F216" s="3">
        <f ca="1">Customer!F216+Commodity!F216+Demand!F216</f>
        <v>28114</v>
      </c>
      <c r="G216" s="3">
        <f ca="1">Customer!G216+Commodity!G216+Demand!G216</f>
        <v>10703</v>
      </c>
      <c r="H216" s="3">
        <f ca="1">Customer!H216+Commodity!H216+Demand!H216</f>
        <v>17</v>
      </c>
      <c r="I216" s="3">
        <f ca="1">Customer!I216+Commodity!I216+Demand!I216</f>
        <v>87</v>
      </c>
      <c r="J216" s="3">
        <f ca="1">Customer!J216+Commodity!J216+Demand!J216</f>
        <v>10181</v>
      </c>
      <c r="K216" s="3">
        <f ca="1">Customer!K216+Commodity!K216+Demand!K216</f>
        <v>0</v>
      </c>
      <c r="L216" s="3">
        <f ca="1">Customer!L216+Commodity!L216+Demand!L216</f>
        <v>0</v>
      </c>
      <c r="N216" s="3"/>
      <c r="O216" s="3"/>
      <c r="P216" s="3"/>
      <c r="Q216" s="3"/>
      <c r="R216" s="3"/>
      <c r="S216" s="3"/>
    </row>
    <row r="217" spans="1:19" ht="11.25" x14ac:dyDescent="0.2">
      <c r="A217" s="325">
        <f>A216+1</f>
        <v>4</v>
      </c>
      <c r="B217" s="24">
        <f>Input!A148</f>
        <v>303.10000000000002</v>
      </c>
      <c r="C217" s="3" t="str">
        <f>Input!B148</f>
        <v>DIS SOFTWARE</v>
      </c>
      <c r="D217" s="3"/>
      <c r="E217" s="3">
        <f>Input!D148+Input!E148</f>
        <v>0</v>
      </c>
      <c r="F217" s="3">
        <f ca="1">Customer!F217+Commodity!F217+Demand!F217</f>
        <v>0</v>
      </c>
      <c r="G217" s="3">
        <f ca="1">Customer!G217+Commodity!G217+Demand!G217</f>
        <v>0</v>
      </c>
      <c r="H217" s="3">
        <f ca="1">Customer!H217+Commodity!H217+Demand!H217</f>
        <v>0</v>
      </c>
      <c r="I217" s="3">
        <f ca="1">Customer!I217+Commodity!I217+Demand!I217</f>
        <v>0</v>
      </c>
      <c r="J217" s="3">
        <f ca="1">Customer!J217+Commodity!J217+Demand!J217</f>
        <v>0</v>
      </c>
      <c r="K217" s="3">
        <f ca="1">Customer!K217+Commodity!K217+Demand!K217</f>
        <v>0</v>
      </c>
      <c r="L217" s="3">
        <f ca="1">Customer!L217+Commodity!L217+Demand!L217</f>
        <v>0</v>
      </c>
      <c r="N217" s="3"/>
      <c r="O217" s="3"/>
      <c r="P217" s="3"/>
      <c r="Q217" s="3"/>
      <c r="R217" s="3"/>
      <c r="S217" s="3"/>
    </row>
    <row r="218" spans="1:19" ht="11.25" x14ac:dyDescent="0.2">
      <c r="A218" s="325">
        <f>A217+1</f>
        <v>5</v>
      </c>
      <c r="B218" s="24">
        <f>Input!A149</f>
        <v>303.2</v>
      </c>
      <c r="C218" s="3" t="str">
        <f>Input!B149</f>
        <v>FARA SOFTWARE</v>
      </c>
      <c r="D218" s="3"/>
      <c r="E218" s="3">
        <f>Input!D149+Input!E149</f>
        <v>0</v>
      </c>
      <c r="F218" s="3">
        <f ca="1">Customer!F218+Commodity!F218+Demand!F218</f>
        <v>0</v>
      </c>
      <c r="G218" s="3">
        <f ca="1">Customer!G218+Commodity!G218+Demand!G218</f>
        <v>0</v>
      </c>
      <c r="H218" s="3">
        <f ca="1">Customer!H218+Commodity!H218+Demand!H218</f>
        <v>0</v>
      </c>
      <c r="I218" s="3">
        <f ca="1">Customer!I218+Commodity!I218+Demand!I218</f>
        <v>0</v>
      </c>
      <c r="J218" s="3">
        <f ca="1">Customer!J218+Commodity!J218+Demand!J218</f>
        <v>0</v>
      </c>
      <c r="K218" s="3">
        <f ca="1">Customer!K218+Commodity!K218+Demand!K218</f>
        <v>0</v>
      </c>
      <c r="L218" s="3">
        <f ca="1">Customer!L218+Commodity!L218+Demand!L218</f>
        <v>0</v>
      </c>
      <c r="N218" s="3"/>
      <c r="O218" s="3"/>
      <c r="P218" s="3"/>
      <c r="Q218" s="3"/>
      <c r="R218" s="3"/>
      <c r="S218" s="3"/>
    </row>
    <row r="219" spans="1:19" ht="11.25" x14ac:dyDescent="0.2">
      <c r="A219" s="325">
        <f>A218+1</f>
        <v>6</v>
      </c>
      <c r="B219" s="24">
        <f>Input!A150</f>
        <v>303.3</v>
      </c>
      <c r="C219" s="3" t="str">
        <f>Input!B150</f>
        <v>OTHER SOFTWARE</v>
      </c>
      <c r="D219" s="3"/>
      <c r="E219" s="26">
        <f>Input!D150+Input!E150</f>
        <v>3424538</v>
      </c>
      <c r="F219" s="26">
        <f ca="1">Customer!F219+Commodity!F219+Demand!F219</f>
        <v>1960658</v>
      </c>
      <c r="G219" s="26">
        <f ca="1">Customer!G219+Commodity!G219+Demand!G219</f>
        <v>746501</v>
      </c>
      <c r="H219" s="26">
        <f ca="1">Customer!H219+Commodity!H219+Demand!H219</f>
        <v>1193</v>
      </c>
      <c r="I219" s="26">
        <f ca="1">Customer!I219+Commodity!I219+Demand!I219</f>
        <v>6153</v>
      </c>
      <c r="J219" s="26">
        <f ca="1">Customer!J219+Commodity!J219+Demand!J219</f>
        <v>710032</v>
      </c>
      <c r="K219" s="26">
        <f ca="1">Customer!K219+Commodity!K219+Demand!K219</f>
        <v>0</v>
      </c>
      <c r="L219" s="26">
        <f ca="1">Customer!L219+Commodity!L219+Demand!L219</f>
        <v>0</v>
      </c>
      <c r="N219" s="3"/>
      <c r="O219" s="3"/>
      <c r="P219" s="3"/>
      <c r="Q219" s="3"/>
      <c r="R219" s="3"/>
      <c r="S219" s="3"/>
    </row>
    <row r="220" spans="1:19" ht="11.25" x14ac:dyDescent="0.2">
      <c r="A220" s="325">
        <f>A219+1</f>
        <v>7</v>
      </c>
      <c r="B220" s="3"/>
      <c r="C220" s="3" t="s">
        <v>159</v>
      </c>
      <c r="D220" s="3"/>
      <c r="E220" s="3">
        <f t="shared" ref="E220:L220" si="33">SUM(E215:E219)</f>
        <v>3473642</v>
      </c>
      <c r="F220" s="3">
        <f t="shared" ca="1" si="33"/>
        <v>1988772</v>
      </c>
      <c r="G220" s="3">
        <f t="shared" ca="1" si="33"/>
        <v>757204</v>
      </c>
      <c r="H220" s="3">
        <f t="shared" ca="1" si="33"/>
        <v>1210</v>
      </c>
      <c r="I220" s="3">
        <f t="shared" ca="1" si="33"/>
        <v>6240</v>
      </c>
      <c r="J220" s="3">
        <f t="shared" ca="1" si="33"/>
        <v>720213</v>
      </c>
      <c r="K220" s="3">
        <f t="shared" ca="1" si="33"/>
        <v>0</v>
      </c>
      <c r="L220" s="3">
        <f t="shared" ca="1" si="33"/>
        <v>0</v>
      </c>
      <c r="N220" s="3"/>
      <c r="O220" s="3"/>
      <c r="P220" s="3"/>
      <c r="Q220" s="3"/>
      <c r="R220" s="3"/>
      <c r="S220" s="3"/>
    </row>
    <row r="221" spans="1:19" ht="11.25" x14ac:dyDescent="0.2">
      <c r="A221" s="325"/>
      <c r="B221" s="24"/>
      <c r="C221" s="3"/>
      <c r="D221" s="3"/>
      <c r="E221" s="3"/>
      <c r="F221" s="3"/>
      <c r="G221" s="3"/>
      <c r="H221" s="3"/>
      <c r="I221" s="3"/>
      <c r="J221" s="3"/>
      <c r="K221" s="3"/>
      <c r="L221" s="3"/>
      <c r="N221" s="3"/>
      <c r="O221" s="3"/>
      <c r="P221" s="3"/>
      <c r="Q221" s="3"/>
      <c r="R221" s="3"/>
      <c r="S221" s="3"/>
    </row>
    <row r="222" spans="1:19" ht="11.25" x14ac:dyDescent="0.2">
      <c r="A222" s="325">
        <f>A220+1</f>
        <v>8</v>
      </c>
      <c r="B222" s="3"/>
      <c r="C222" s="3" t="str">
        <f>Input!A151</f>
        <v>PRODUCTION PLANT</v>
      </c>
      <c r="D222" s="3"/>
      <c r="E222" s="3"/>
      <c r="F222" s="3"/>
      <c r="G222" s="3"/>
      <c r="H222" s="3"/>
      <c r="I222" s="3"/>
      <c r="J222" s="3"/>
      <c r="K222" s="3"/>
      <c r="L222" s="3"/>
      <c r="N222" s="3"/>
      <c r="O222" s="3"/>
      <c r="P222" s="3"/>
      <c r="Q222" s="3"/>
      <c r="R222" s="3"/>
      <c r="S222" s="3"/>
    </row>
    <row r="223" spans="1:19" ht="11.25" x14ac:dyDescent="0.2">
      <c r="A223" s="325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N223" s="3"/>
      <c r="O223" s="3"/>
      <c r="P223" s="3"/>
      <c r="Q223" s="3"/>
      <c r="R223" s="3"/>
      <c r="S223" s="3"/>
    </row>
    <row r="224" spans="1:19" ht="11.25" x14ac:dyDescent="0.2">
      <c r="A224" s="325">
        <f>A222+1</f>
        <v>9</v>
      </c>
      <c r="B224" s="24">
        <f>Input!A152</f>
        <v>304.10000000000002</v>
      </c>
      <c r="C224" s="3" t="str">
        <f>Input!B152</f>
        <v>LAND</v>
      </c>
      <c r="D224" s="3"/>
      <c r="E224" s="3">
        <f>Input!D152+Input!E152</f>
        <v>0</v>
      </c>
      <c r="F224" s="3">
        <f>Customer!F224+Commodity!F224+Demand!F224</f>
        <v>0</v>
      </c>
      <c r="G224" s="3">
        <f>Customer!G224+Commodity!G224+Demand!G224</f>
        <v>0</v>
      </c>
      <c r="H224" s="3">
        <f>Customer!H224+Commodity!H224+Demand!H224</f>
        <v>0</v>
      </c>
      <c r="I224" s="3">
        <f>Customer!I224+Commodity!I224+Demand!I224</f>
        <v>0</v>
      </c>
      <c r="J224" s="3">
        <f>Customer!J224+Commodity!J224+Demand!J224</f>
        <v>0</v>
      </c>
      <c r="K224" s="3">
        <f>Customer!K224+Commodity!K224+Demand!K224</f>
        <v>0</v>
      </c>
      <c r="L224" s="3">
        <f>Customer!L224+Commodity!L224+Demand!L224</f>
        <v>0</v>
      </c>
      <c r="N224" s="3"/>
      <c r="O224" s="3"/>
      <c r="P224" s="3"/>
      <c r="Q224" s="3"/>
      <c r="R224" s="3"/>
      <c r="S224" s="3"/>
    </row>
    <row r="225" spans="1:19" ht="11.25" x14ac:dyDescent="0.2">
      <c r="A225" s="325">
        <f>A224+1</f>
        <v>10</v>
      </c>
      <c r="B225" s="24">
        <f>Input!A153</f>
        <v>305</v>
      </c>
      <c r="C225" s="3" t="str">
        <f>Input!B153</f>
        <v>STRUCTURES &amp; IMPROVEMENTS</v>
      </c>
      <c r="D225" s="3"/>
      <c r="E225" s="3">
        <f>Input!D153+Input!E153</f>
        <v>0</v>
      </c>
      <c r="F225" s="3">
        <f>Customer!F225+Commodity!F225+Demand!F225</f>
        <v>0</v>
      </c>
      <c r="G225" s="3">
        <f>Customer!G225+Commodity!G225+Demand!G225</f>
        <v>0</v>
      </c>
      <c r="H225" s="3">
        <f>Customer!H225+Commodity!H225+Demand!H225</f>
        <v>0</v>
      </c>
      <c r="I225" s="3">
        <f>Customer!I225+Commodity!I225+Demand!I225</f>
        <v>0</v>
      </c>
      <c r="J225" s="3">
        <f>Customer!J225+Commodity!J225+Demand!J225</f>
        <v>0</v>
      </c>
      <c r="K225" s="3">
        <f>Customer!K225+Commodity!K225+Demand!K225</f>
        <v>0</v>
      </c>
      <c r="L225" s="3">
        <f>Customer!L225+Commodity!L225+Demand!L225</f>
        <v>0</v>
      </c>
      <c r="N225" s="3"/>
      <c r="O225" s="3"/>
      <c r="P225" s="3"/>
      <c r="Q225" s="3"/>
      <c r="R225" s="3"/>
      <c r="S225" s="3"/>
    </row>
    <row r="226" spans="1:19" ht="11.25" x14ac:dyDescent="0.2">
      <c r="A226" s="325">
        <f>A225+1</f>
        <v>11</v>
      </c>
      <c r="B226" s="24">
        <f>Input!A154</f>
        <v>311</v>
      </c>
      <c r="C226" s="3" t="str">
        <f>Input!B154</f>
        <v>LIQUEFIED PETROLEUM GAS EQUIP</v>
      </c>
      <c r="D226" s="3"/>
      <c r="E226" s="26">
        <f>Input!D154+Input!E154</f>
        <v>0</v>
      </c>
      <c r="F226" s="26">
        <f>Customer!F226+Commodity!F226+Demand!F226</f>
        <v>0</v>
      </c>
      <c r="G226" s="26">
        <f>Customer!G226+Commodity!G226+Demand!G226</f>
        <v>0</v>
      </c>
      <c r="H226" s="26">
        <f>Customer!H226+Commodity!H226+Demand!H226</f>
        <v>0</v>
      </c>
      <c r="I226" s="26">
        <f>Customer!I226+Commodity!I226+Demand!I226</f>
        <v>0</v>
      </c>
      <c r="J226" s="26">
        <f>Customer!J226+Commodity!J226+Demand!J226</f>
        <v>0</v>
      </c>
      <c r="K226" s="26">
        <f>Customer!K226+Commodity!K226+Demand!K226</f>
        <v>0</v>
      </c>
      <c r="L226" s="26">
        <f>Customer!L226+Commodity!L226+Demand!L226</f>
        <v>0</v>
      </c>
      <c r="N226" s="3"/>
      <c r="O226" s="3"/>
      <c r="P226" s="3"/>
      <c r="Q226" s="3"/>
      <c r="R226" s="3"/>
      <c r="S226" s="3"/>
    </row>
    <row r="227" spans="1:19" ht="11.25" x14ac:dyDescent="0.2">
      <c r="A227" s="325">
        <f>A226+1</f>
        <v>12</v>
      </c>
      <c r="B227" s="24"/>
      <c r="C227" s="3" t="s">
        <v>160</v>
      </c>
      <c r="D227" s="3"/>
      <c r="E227" s="3">
        <f t="shared" ref="E227:L227" si="34">SUM(E224:E226)</f>
        <v>0</v>
      </c>
      <c r="F227" s="3">
        <f t="shared" si="34"/>
        <v>0</v>
      </c>
      <c r="G227" s="3">
        <f t="shared" si="34"/>
        <v>0</v>
      </c>
      <c r="H227" s="3">
        <f t="shared" si="34"/>
        <v>0</v>
      </c>
      <c r="I227" s="3">
        <f t="shared" si="34"/>
        <v>0</v>
      </c>
      <c r="J227" s="3">
        <f t="shared" si="34"/>
        <v>0</v>
      </c>
      <c r="K227" s="3">
        <f t="shared" si="34"/>
        <v>0</v>
      </c>
      <c r="L227" s="3">
        <f t="shared" si="34"/>
        <v>0</v>
      </c>
      <c r="N227" s="3"/>
      <c r="O227" s="3"/>
      <c r="P227" s="3"/>
      <c r="Q227" s="3"/>
      <c r="R227" s="3"/>
      <c r="S227" s="3"/>
    </row>
    <row r="228" spans="1:19" ht="11.25" x14ac:dyDescent="0.2">
      <c r="A228" s="325"/>
      <c r="B228" s="24"/>
      <c r="C228" s="3"/>
      <c r="D228" s="3"/>
      <c r="E228" s="26"/>
      <c r="F228" s="26"/>
      <c r="G228" s="26"/>
      <c r="H228" s="26"/>
      <c r="I228" s="26"/>
      <c r="J228" s="26"/>
      <c r="K228" s="26"/>
      <c r="L228" s="26"/>
      <c r="N228" s="3"/>
      <c r="O228" s="3"/>
      <c r="P228" s="3"/>
      <c r="Q228" s="3"/>
      <c r="R228" s="3"/>
      <c r="S228" s="3"/>
    </row>
    <row r="229" spans="1:19" ht="11.25" x14ac:dyDescent="0.2">
      <c r="A229" s="325">
        <f>A227+1</f>
        <v>13</v>
      </c>
      <c r="B229" s="3"/>
      <c r="C229" s="24" t="str">
        <f>Input!A155</f>
        <v>DISTRIBUTION PLANT</v>
      </c>
      <c r="D229" s="3"/>
      <c r="E229" s="26"/>
      <c r="F229" s="26"/>
      <c r="G229" s="26"/>
      <c r="H229" s="26"/>
      <c r="I229" s="26"/>
      <c r="J229" s="26"/>
      <c r="K229" s="26"/>
      <c r="L229" s="26"/>
      <c r="N229" s="3"/>
      <c r="O229" s="3"/>
      <c r="P229" s="3"/>
      <c r="Q229" s="3"/>
      <c r="R229" s="3"/>
      <c r="S229" s="3"/>
    </row>
    <row r="230" spans="1:19" ht="11.25" x14ac:dyDescent="0.2">
      <c r="A230" s="325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N230" s="3"/>
      <c r="O230" s="3"/>
      <c r="P230" s="3"/>
      <c r="Q230" s="3"/>
      <c r="R230" s="3"/>
      <c r="S230" s="3"/>
    </row>
    <row r="231" spans="1:19" ht="11.25" x14ac:dyDescent="0.2">
      <c r="A231" s="325">
        <f>A229+1</f>
        <v>14</v>
      </c>
      <c r="B231" s="24">
        <f>Input!A156</f>
        <v>374.1</v>
      </c>
      <c r="C231" s="3" t="str">
        <f>Input!B156</f>
        <v>LAND - CITY GATE &amp; M/L IND M&amp;R</v>
      </c>
      <c r="D231" s="3"/>
      <c r="E231" s="3">
        <f>Input!D156+Input!E156</f>
        <v>0</v>
      </c>
      <c r="F231" s="3">
        <f>Customer!F231+Commodity!F231+Demand!F231</f>
        <v>0</v>
      </c>
      <c r="G231" s="3">
        <f>Customer!G231+Commodity!G231+Demand!G231</f>
        <v>0</v>
      </c>
      <c r="H231" s="3">
        <f>Customer!H231+Commodity!H231+Demand!H231</f>
        <v>0</v>
      </c>
      <c r="I231" s="3">
        <f>Customer!I231+Commodity!I231+Demand!I231</f>
        <v>0</v>
      </c>
      <c r="J231" s="3">
        <f>Customer!J231+Commodity!J231+Demand!J231</f>
        <v>0</v>
      </c>
      <c r="K231" s="3">
        <f>Customer!K231+Commodity!K231+Demand!K231</f>
        <v>0</v>
      </c>
      <c r="L231" s="3">
        <f>Customer!L231+Commodity!L231+Demand!L231</f>
        <v>0</v>
      </c>
      <c r="N231" s="3"/>
      <c r="O231" s="3"/>
      <c r="P231" s="3"/>
      <c r="Q231" s="3"/>
      <c r="R231" s="3"/>
      <c r="S231" s="3"/>
    </row>
    <row r="232" spans="1:19" ht="11.25" x14ac:dyDescent="0.2">
      <c r="A232" s="325">
        <f t="shared" ref="A232:A250" si="35">A231+1</f>
        <v>15</v>
      </c>
      <c r="B232" s="24">
        <f>Input!A157</f>
        <v>374.2</v>
      </c>
      <c r="C232" s="3" t="str">
        <f>Input!B157</f>
        <v>LAND - OTHER DISTRIBUTION</v>
      </c>
      <c r="D232" s="3"/>
      <c r="E232" s="3">
        <f>Input!D157+Input!E157</f>
        <v>-523</v>
      </c>
      <c r="F232" s="3">
        <f>Customer!F232+Commodity!F232+Demand!F232</f>
        <v>-204</v>
      </c>
      <c r="G232" s="3">
        <f>Customer!G232+Commodity!G232+Demand!G232</f>
        <v>-138</v>
      </c>
      <c r="H232" s="3">
        <f>Customer!H232+Commodity!H232+Demand!H232</f>
        <v>0</v>
      </c>
      <c r="I232" s="3">
        <f>Customer!I232+Commodity!I232+Demand!I232</f>
        <v>0</v>
      </c>
      <c r="J232" s="3">
        <f>Customer!J232+Commodity!J232+Demand!J232</f>
        <v>-181</v>
      </c>
      <c r="K232" s="3">
        <f>Customer!K232+Commodity!K232+Demand!K232</f>
        <v>0</v>
      </c>
      <c r="L232" s="3">
        <f>Customer!L232+Commodity!L232+Demand!L232</f>
        <v>0</v>
      </c>
      <c r="N232" s="3"/>
      <c r="O232" s="3"/>
      <c r="P232" s="3"/>
      <c r="Q232" s="3"/>
      <c r="R232" s="3"/>
      <c r="S232" s="3"/>
    </row>
    <row r="233" spans="1:19" ht="11.25" x14ac:dyDescent="0.2">
      <c r="A233" s="325">
        <f t="shared" si="35"/>
        <v>16</v>
      </c>
      <c r="B233" s="24">
        <f>Input!A158</f>
        <v>374.4</v>
      </c>
      <c r="C233" s="3" t="str">
        <f>Input!B158</f>
        <v>LAND RIGHTS - OTHER DISTRIBUTION</v>
      </c>
      <c r="D233" s="3"/>
      <c r="E233" s="3">
        <f>Input!D158+Input!E158</f>
        <v>184637</v>
      </c>
      <c r="F233" s="3">
        <f>Customer!F233+Commodity!F233+Demand!F233</f>
        <v>71979</v>
      </c>
      <c r="G233" s="3">
        <f>Customer!G233+Commodity!G233+Demand!G233</f>
        <v>48742</v>
      </c>
      <c r="H233" s="3">
        <f>Customer!H233+Commodity!H233+Demand!H233</f>
        <v>106</v>
      </c>
      <c r="I233" s="3">
        <f>Customer!I233+Commodity!I233+Demand!I233</f>
        <v>0</v>
      </c>
      <c r="J233" s="3">
        <f>Customer!J233+Commodity!J233+Demand!J233</f>
        <v>63810</v>
      </c>
      <c r="K233" s="3">
        <f>Customer!K233+Commodity!K233+Demand!K233</f>
        <v>0</v>
      </c>
      <c r="L233" s="3">
        <f>Customer!L233+Commodity!L233+Demand!L233</f>
        <v>0</v>
      </c>
      <c r="N233" s="3"/>
      <c r="O233" s="3"/>
      <c r="P233" s="3"/>
      <c r="Q233" s="3"/>
      <c r="R233" s="3"/>
      <c r="S233" s="3"/>
    </row>
    <row r="234" spans="1:19" ht="11.25" x14ac:dyDescent="0.2">
      <c r="A234" s="325">
        <f t="shared" si="35"/>
        <v>17</v>
      </c>
      <c r="B234" s="24">
        <f>Input!A159</f>
        <v>374.5</v>
      </c>
      <c r="C234" s="3" t="str">
        <f>Input!B159</f>
        <v>RIGHTS OF WAY</v>
      </c>
      <c r="D234" s="3"/>
      <c r="E234" s="3">
        <f>Input!D159+Input!E159</f>
        <v>942676</v>
      </c>
      <c r="F234" s="3">
        <f>Customer!F234+Commodity!F234+Demand!F234</f>
        <v>367492</v>
      </c>
      <c r="G234" s="3">
        <f>Customer!G234+Commodity!G234+Demand!G234</f>
        <v>248858</v>
      </c>
      <c r="H234" s="3">
        <f>Customer!H234+Commodity!H234+Demand!H234</f>
        <v>538</v>
      </c>
      <c r="I234" s="3">
        <f>Customer!I234+Commodity!I234+Demand!I234</f>
        <v>0</v>
      </c>
      <c r="J234" s="3">
        <f>Customer!J234+Commodity!J234+Demand!J234</f>
        <v>325788</v>
      </c>
      <c r="K234" s="3">
        <f>Customer!K234+Commodity!K234+Demand!K234</f>
        <v>0</v>
      </c>
      <c r="L234" s="3">
        <f>Customer!L234+Commodity!L234+Demand!L234</f>
        <v>0</v>
      </c>
      <c r="N234" s="3"/>
      <c r="O234" s="3"/>
      <c r="P234" s="3"/>
      <c r="Q234" s="3"/>
      <c r="R234" s="3"/>
      <c r="S234" s="3"/>
    </row>
    <row r="235" spans="1:19" ht="11.25" x14ac:dyDescent="0.2">
      <c r="A235" s="325">
        <f t="shared" si="35"/>
        <v>18</v>
      </c>
      <c r="B235" s="24">
        <f>Input!A160</f>
        <v>375.2</v>
      </c>
      <c r="C235" s="3" t="str">
        <f>Input!B160</f>
        <v>CITY GATE - MEAS &amp; REG STRUCTURES</v>
      </c>
      <c r="D235" s="3"/>
      <c r="E235" s="3">
        <f>Input!D160+Input!E160</f>
        <v>2063</v>
      </c>
      <c r="F235" s="3">
        <f>Customer!F235+Commodity!F235+Demand!F235</f>
        <v>804</v>
      </c>
      <c r="G235" s="3">
        <f>Customer!G235+Commodity!G235+Demand!G235</f>
        <v>544</v>
      </c>
      <c r="H235" s="3">
        <f>Customer!H235+Commodity!H235+Demand!H235</f>
        <v>2</v>
      </c>
      <c r="I235" s="3">
        <f>Customer!I235+Commodity!I235+Demand!I235</f>
        <v>0</v>
      </c>
      <c r="J235" s="3">
        <f>Customer!J235+Commodity!J235+Demand!J235</f>
        <v>713</v>
      </c>
      <c r="K235" s="3">
        <f>Customer!K235+Commodity!K235+Demand!K235</f>
        <v>0</v>
      </c>
      <c r="L235" s="3">
        <f>Customer!L235+Commodity!L235+Demand!L235</f>
        <v>0</v>
      </c>
      <c r="N235" s="3"/>
      <c r="O235" s="3"/>
      <c r="P235" s="3"/>
      <c r="Q235" s="3"/>
      <c r="R235" s="3"/>
      <c r="S235" s="3"/>
    </row>
    <row r="236" spans="1:19" ht="11.25" x14ac:dyDescent="0.2">
      <c r="A236" s="325">
        <f t="shared" si="35"/>
        <v>19</v>
      </c>
      <c r="B236" s="24">
        <f>Input!A161</f>
        <v>375.3</v>
      </c>
      <c r="C236" s="3" t="str">
        <f>Input!B161</f>
        <v>STRUC &amp; IMPROV-GENERAL M&amp;R</v>
      </c>
      <c r="D236" s="3"/>
      <c r="E236" s="3">
        <f>Input!D161+Input!E161</f>
        <v>-78</v>
      </c>
      <c r="F236" s="3">
        <f>Customer!F236+Commodity!F236+Demand!F236</f>
        <v>-30</v>
      </c>
      <c r="G236" s="3">
        <f>Customer!G236+Commodity!G236+Demand!G236</f>
        <v>-20</v>
      </c>
      <c r="H236" s="3">
        <f>Customer!H236+Commodity!H236+Demand!H236</f>
        <v>0</v>
      </c>
      <c r="I236" s="3">
        <f>Customer!I236+Commodity!I236+Demand!I236</f>
        <v>0</v>
      </c>
      <c r="J236" s="3">
        <f>Customer!J236+Commodity!J236+Demand!J236</f>
        <v>-26</v>
      </c>
      <c r="K236" s="3">
        <f>Customer!K236+Commodity!K236+Demand!K236</f>
        <v>0</v>
      </c>
      <c r="L236" s="3">
        <f>Customer!L236+Commodity!L236+Demand!L236</f>
        <v>0</v>
      </c>
      <c r="N236" s="3"/>
      <c r="O236" s="3"/>
      <c r="P236" s="3"/>
      <c r="Q236" s="3"/>
      <c r="R236" s="3"/>
      <c r="S236" s="3"/>
    </row>
    <row r="237" spans="1:19" ht="11.25" x14ac:dyDescent="0.2">
      <c r="A237" s="325">
        <f t="shared" si="35"/>
        <v>20</v>
      </c>
      <c r="B237" s="24">
        <f>Input!A162</f>
        <v>375.4</v>
      </c>
      <c r="C237" s="3" t="str">
        <f>Input!B162</f>
        <v>STRUC &amp; IMPROV-REGULATING</v>
      </c>
      <c r="D237" s="3"/>
      <c r="E237" s="221">
        <f>Input!D162+Input!E162-SUM(Input!G162:M162)</f>
        <v>497862.27</v>
      </c>
      <c r="F237" s="3">
        <f>Customer!F237+Commodity!F237+Demand!F237</f>
        <v>194086</v>
      </c>
      <c r="G237" s="3">
        <f>Customer!G237+Commodity!G237+Demand!G237</f>
        <v>131430</v>
      </c>
      <c r="H237" s="3">
        <f>Customer!H237+Commodity!H237+Demand!H237</f>
        <v>284</v>
      </c>
      <c r="I237" s="3">
        <f>Customer!I237+Commodity!I237+Demand!I237</f>
        <v>0</v>
      </c>
      <c r="J237" s="3">
        <f>Customer!J237+Commodity!J237+Demand!J237</f>
        <v>172062</v>
      </c>
      <c r="K237" s="3">
        <f>Customer!K237+Commodity!K237+Demand!K237</f>
        <v>0</v>
      </c>
      <c r="L237" s="3">
        <f>Customer!L237+Commodity!L237+Demand!L237</f>
        <v>0</v>
      </c>
      <c r="N237" s="3"/>
      <c r="O237" s="3"/>
      <c r="P237" s="3"/>
      <c r="Q237" s="3"/>
      <c r="R237" s="3"/>
      <c r="S237" s="3"/>
    </row>
    <row r="238" spans="1:19" ht="11.25" x14ac:dyDescent="0.2">
      <c r="A238" s="325">
        <f t="shared" si="35"/>
        <v>21</v>
      </c>
      <c r="B238" s="24">
        <f>B237</f>
        <v>375.4</v>
      </c>
      <c r="C238" s="3" t="str">
        <f>"DIRECT "&amp;Input!B162</f>
        <v>DIRECT STRUC &amp; IMPROV-REGULATING</v>
      </c>
      <c r="D238" s="3"/>
      <c r="E238" s="3">
        <f>SUM(F238:L238)</f>
        <v>3027.73</v>
      </c>
      <c r="F238" s="3">
        <f>Customer!F238+Commodity!F238+Demand!F238</f>
        <v>0</v>
      </c>
      <c r="G238" s="3">
        <f>Customer!G238+Commodity!G238+Demand!G238</f>
        <v>0</v>
      </c>
      <c r="H238" s="3">
        <f>Customer!H238+Commodity!H238+Demand!H238</f>
        <v>0</v>
      </c>
      <c r="I238" s="3">
        <f>Customer!I238+Commodity!I238+Demand!I238</f>
        <v>3027.73</v>
      </c>
      <c r="J238" s="3">
        <f>Customer!J238+Commodity!J238+Demand!J238</f>
        <v>0</v>
      </c>
      <c r="K238" s="3">
        <f>Customer!K238+Commodity!K238+Demand!K238</f>
        <v>0</v>
      </c>
      <c r="L238" s="3">
        <f>Customer!L238+Commodity!L238+Demand!L238</f>
        <v>0</v>
      </c>
      <c r="N238" s="3"/>
      <c r="O238" s="3"/>
      <c r="P238" s="3"/>
      <c r="Q238" s="3"/>
      <c r="R238" s="3"/>
      <c r="S238" s="3"/>
    </row>
    <row r="239" spans="1:19" ht="11.25" x14ac:dyDescent="0.2">
      <c r="A239" s="325">
        <f t="shared" si="35"/>
        <v>22</v>
      </c>
      <c r="B239" s="24">
        <f>Input!A163</f>
        <v>375.6</v>
      </c>
      <c r="C239" s="3" t="str">
        <f>Input!B163</f>
        <v>STRUC &amp; IMPROV-DIST. IND. M &amp; R</v>
      </c>
      <c r="D239" s="3"/>
      <c r="E239" s="3">
        <f>Input!D163+Input!E163</f>
        <v>0</v>
      </c>
      <c r="F239" s="3">
        <f>Customer!F239+Commodity!F239+Demand!F239</f>
        <v>0</v>
      </c>
      <c r="G239" s="3">
        <f>Customer!G239+Commodity!G239+Demand!G239</f>
        <v>0</v>
      </c>
      <c r="H239" s="3">
        <f>Customer!H239+Commodity!H239+Demand!H239</f>
        <v>0</v>
      </c>
      <c r="I239" s="3">
        <f>Customer!I239+Commodity!I239+Demand!I239</f>
        <v>0</v>
      </c>
      <c r="J239" s="3">
        <f>Customer!J239+Commodity!J239+Demand!J239</f>
        <v>0</v>
      </c>
      <c r="K239" s="3">
        <f>Customer!K239+Commodity!K239+Demand!K239</f>
        <v>0</v>
      </c>
      <c r="L239" s="3">
        <f>Customer!L239+Commodity!L239+Demand!L239</f>
        <v>0</v>
      </c>
      <c r="N239" s="3"/>
      <c r="O239" s="3"/>
      <c r="P239" s="3"/>
      <c r="Q239" s="3"/>
      <c r="R239" s="3"/>
      <c r="S239" s="3"/>
    </row>
    <row r="240" spans="1:19" ht="11.25" x14ac:dyDescent="0.2">
      <c r="A240" s="325">
        <f t="shared" si="35"/>
        <v>23</v>
      </c>
      <c r="B240" s="24">
        <f>Input!A164</f>
        <v>375.7</v>
      </c>
      <c r="C240" s="3" t="str">
        <f>Input!B164</f>
        <v>STRUC &amp; IMPROV-OTHER DIST. SYSTEM</v>
      </c>
      <c r="D240" s="3"/>
      <c r="E240" s="3">
        <f>Input!D164+Input!E164</f>
        <v>3369677</v>
      </c>
      <c r="F240" s="3">
        <f ca="1">Customer!F240+Commodity!F240+Demand!F240</f>
        <v>1929249</v>
      </c>
      <c r="G240" s="3">
        <f ca="1">Customer!G240+Commodity!G240+Demand!G240</f>
        <v>734543</v>
      </c>
      <c r="H240" s="3">
        <f ca="1">Customer!H240+Commodity!H240+Demand!H240</f>
        <v>1172</v>
      </c>
      <c r="I240" s="3">
        <f ca="1">Customer!I240+Commodity!I240+Demand!I240</f>
        <v>6054</v>
      </c>
      <c r="J240" s="3">
        <f ca="1">Customer!J240+Commodity!J240+Demand!J240</f>
        <v>698659</v>
      </c>
      <c r="K240" s="3">
        <f ca="1">Customer!K240+Commodity!K240+Demand!K240</f>
        <v>0</v>
      </c>
      <c r="L240" s="3">
        <f ca="1">Customer!L240+Commodity!L240+Demand!L240</f>
        <v>0</v>
      </c>
      <c r="N240" s="3"/>
      <c r="O240" s="3"/>
      <c r="P240" s="3"/>
      <c r="Q240" s="3"/>
      <c r="R240" s="3"/>
      <c r="S240" s="3"/>
    </row>
    <row r="241" spans="1:19" ht="11.25" x14ac:dyDescent="0.2">
      <c r="A241" s="325">
        <f t="shared" si="35"/>
        <v>24</v>
      </c>
      <c r="B241" s="24">
        <f>Input!A165</f>
        <v>375.71</v>
      </c>
      <c r="C241" s="3" t="str">
        <f>Input!B165</f>
        <v>STRUCT &amp; IMPROV-OTHER DIST. SYSTEM-IMPROV</v>
      </c>
      <c r="D241" s="3"/>
      <c r="E241" s="3">
        <f>Input!D165+Input!E165</f>
        <v>199220</v>
      </c>
      <c r="F241" s="3">
        <f ca="1">Customer!F241+Commodity!F241+Demand!F241</f>
        <v>114060</v>
      </c>
      <c r="G241" s="3">
        <f ca="1">Customer!G241+Commodity!G241+Demand!G241</f>
        <v>43426</v>
      </c>
      <c r="H241" s="3">
        <f ca="1">Customer!H241+Commodity!H241+Demand!H241</f>
        <v>69</v>
      </c>
      <c r="I241" s="3">
        <f ca="1">Customer!I241+Commodity!I241+Demand!I241</f>
        <v>358</v>
      </c>
      <c r="J241" s="3">
        <f ca="1">Customer!J241+Commodity!J241+Demand!J241</f>
        <v>41306</v>
      </c>
      <c r="K241" s="3">
        <f ca="1">Customer!K241+Commodity!K241+Demand!K241</f>
        <v>0</v>
      </c>
      <c r="L241" s="3">
        <f ca="1">Customer!L241+Commodity!L241+Demand!L241</f>
        <v>0</v>
      </c>
      <c r="N241" s="3"/>
      <c r="O241" s="3"/>
      <c r="P241" s="3"/>
      <c r="Q241" s="3"/>
      <c r="R241" s="3"/>
      <c r="S241" s="3"/>
    </row>
    <row r="242" spans="1:19" ht="11.25" x14ac:dyDescent="0.2">
      <c r="A242" s="325">
        <f t="shared" si="35"/>
        <v>25</v>
      </c>
      <c r="B242" s="24">
        <f>Input!A166</f>
        <v>375.8</v>
      </c>
      <c r="C242" s="3" t="str">
        <f>Input!B166</f>
        <v>STRUC &amp; IMPROV-COMMUNICATION</v>
      </c>
      <c r="D242" s="3"/>
      <c r="E242" s="3">
        <f>Input!D166+Input!E166</f>
        <v>0</v>
      </c>
      <c r="F242" s="3">
        <f>Customer!F242+Commodity!F242+Demand!F242</f>
        <v>0</v>
      </c>
      <c r="G242" s="3">
        <f>Customer!G242+Commodity!G242+Demand!G242</f>
        <v>0</v>
      </c>
      <c r="H242" s="3">
        <f>Customer!H242+Commodity!H242+Demand!H242</f>
        <v>0</v>
      </c>
      <c r="I242" s="3">
        <f>Customer!I242+Commodity!I242+Demand!I242</f>
        <v>0</v>
      </c>
      <c r="J242" s="3">
        <f>Customer!J242+Commodity!J242+Demand!J242</f>
        <v>0</v>
      </c>
      <c r="K242" s="3">
        <f>Customer!K242+Commodity!K242+Demand!K242</f>
        <v>0</v>
      </c>
      <c r="L242" s="3">
        <f>Customer!L242+Commodity!L242+Demand!L242</f>
        <v>0</v>
      </c>
      <c r="N242" s="3"/>
      <c r="O242" s="3"/>
      <c r="P242" s="3"/>
      <c r="Q242" s="3"/>
      <c r="R242" s="3"/>
      <c r="S242" s="3"/>
    </row>
    <row r="243" spans="1:19" ht="11.25" x14ac:dyDescent="0.2">
      <c r="A243" s="325">
        <f t="shared" si="35"/>
        <v>26</v>
      </c>
      <c r="B243" s="24">
        <f>Input!A167</f>
        <v>376</v>
      </c>
      <c r="C243" s="3" t="str">
        <f>Input!B167</f>
        <v>MAINS</v>
      </c>
      <c r="D243" s="3"/>
      <c r="E243" s="3">
        <f>Input!D167+Input!E167-SUM(Input!G167:O167)</f>
        <v>58817582.950000003</v>
      </c>
      <c r="F243" s="3">
        <f>Customer!F243+Commodity!F243+Demand!F243</f>
        <v>22929446</v>
      </c>
      <c r="G243" s="3">
        <f>Customer!G243+Commodity!G243+Demand!G243</f>
        <v>15527254</v>
      </c>
      <c r="H243" s="3">
        <f>Customer!H243+Commodity!H243+Demand!H243</f>
        <v>33526</v>
      </c>
      <c r="I243" s="3">
        <f>Customer!I243+Commodity!I243+Demand!I243</f>
        <v>0</v>
      </c>
      <c r="J243" s="3">
        <f>Customer!J243+Commodity!J243+Demand!J243</f>
        <v>20327356</v>
      </c>
      <c r="K243" s="3">
        <f>Customer!K243+Commodity!K243+Demand!K243</f>
        <v>0</v>
      </c>
      <c r="L243" s="3">
        <f>Customer!L243+Commodity!L243+Demand!L243</f>
        <v>0</v>
      </c>
      <c r="N243" s="3"/>
      <c r="O243" s="3"/>
      <c r="P243" s="3"/>
      <c r="Q243" s="3"/>
      <c r="R243" s="3"/>
      <c r="S243" s="3"/>
    </row>
    <row r="244" spans="1:19" ht="11.25" x14ac:dyDescent="0.2">
      <c r="A244" s="325">
        <f t="shared" si="35"/>
        <v>27</v>
      </c>
      <c r="B244" s="24">
        <f>Input!A167</f>
        <v>376</v>
      </c>
      <c r="C244" s="3" t="str">
        <f>"DIRECT "&amp;+Input!B167</f>
        <v>DIRECT MAINS</v>
      </c>
      <c r="D244" s="3"/>
      <c r="E244" s="3">
        <f>SUM(F244:L244)</f>
        <v>8703.0499999999993</v>
      </c>
      <c r="F244" s="3">
        <f>Customer!F244+Commodity!F244+Demand!F244</f>
        <v>0</v>
      </c>
      <c r="G244" s="3">
        <f>Customer!G244+Commodity!G244+Demand!G244</f>
        <v>0</v>
      </c>
      <c r="H244" s="3">
        <f>Customer!H244+Commodity!H244+Demand!H244</f>
        <v>0</v>
      </c>
      <c r="I244" s="3">
        <f>Customer!I244+Commodity!I244+Demand!I244</f>
        <v>8703.0499999999993</v>
      </c>
      <c r="J244" s="3">
        <f>Customer!J244+Commodity!J244+Demand!J244</f>
        <v>0</v>
      </c>
      <c r="K244" s="3">
        <f>Customer!K244+Commodity!K244+Demand!K244</f>
        <v>0</v>
      </c>
      <c r="L244" s="3">
        <f>Customer!L244+Commodity!L244+Demand!L244</f>
        <v>0</v>
      </c>
      <c r="N244" s="3"/>
      <c r="O244" s="3"/>
      <c r="P244" s="3"/>
      <c r="Q244" s="3"/>
      <c r="R244" s="3"/>
      <c r="S244" s="3"/>
    </row>
    <row r="245" spans="1:19" ht="11.25" x14ac:dyDescent="0.2">
      <c r="A245" s="325">
        <f t="shared" si="35"/>
        <v>28</v>
      </c>
      <c r="B245" s="24">
        <f>Input!A168</f>
        <v>378.1</v>
      </c>
      <c r="C245" s="3" t="str">
        <f>Input!B168</f>
        <v>M &amp; R GENERAL</v>
      </c>
      <c r="D245" s="3"/>
      <c r="E245" s="3">
        <f>Input!D168+Input!E168</f>
        <v>372072</v>
      </c>
      <c r="F245" s="3">
        <f>Customer!F245+Commodity!F245+Demand!F245</f>
        <v>145048</v>
      </c>
      <c r="G245" s="3">
        <f>Customer!G245+Commodity!G245+Demand!G245</f>
        <v>98224</v>
      </c>
      <c r="H245" s="3">
        <f>Customer!H245+Commodity!H245+Demand!H245</f>
        <v>212</v>
      </c>
      <c r="I245" s="3">
        <f>Customer!I245+Commodity!I245+Demand!I245</f>
        <v>0</v>
      </c>
      <c r="J245" s="3">
        <f>Customer!J245+Commodity!J245+Demand!J245</f>
        <v>128588</v>
      </c>
      <c r="K245" s="3">
        <f>Customer!K245+Commodity!K245+Demand!K245</f>
        <v>0</v>
      </c>
      <c r="L245" s="3">
        <f>Customer!L245+Commodity!L245+Demand!L245</f>
        <v>0</v>
      </c>
      <c r="N245" s="3"/>
      <c r="O245" s="3"/>
      <c r="P245" s="3"/>
      <c r="Q245" s="3"/>
      <c r="R245" s="3"/>
      <c r="S245" s="3"/>
    </row>
    <row r="246" spans="1:19" ht="11.25" x14ac:dyDescent="0.2">
      <c r="A246" s="325">
        <f t="shared" si="35"/>
        <v>29</v>
      </c>
      <c r="B246" s="24">
        <f>Input!A169</f>
        <v>378.2</v>
      </c>
      <c r="C246" s="3" t="str">
        <f>Input!B169</f>
        <v>M &amp; R GENERAL - REGULATING</v>
      </c>
      <c r="D246" s="3"/>
      <c r="E246" s="3">
        <f>Input!D169+Input!E169</f>
        <v>3453479</v>
      </c>
      <c r="F246" s="3">
        <f>Customer!F246+Commodity!F246+Demand!F246</f>
        <v>1346304</v>
      </c>
      <c r="G246" s="3">
        <f>Customer!G246+Commodity!G246+Demand!G246</f>
        <v>911684</v>
      </c>
      <c r="H246" s="3">
        <f>Customer!H246+Commodity!H246+Demand!H246</f>
        <v>1968</v>
      </c>
      <c r="I246" s="3">
        <f>Customer!I246+Commodity!I246+Demand!I246</f>
        <v>0</v>
      </c>
      <c r="J246" s="3">
        <f>Customer!J246+Commodity!J246+Demand!J246</f>
        <v>1193522</v>
      </c>
      <c r="K246" s="3">
        <f>Customer!K246+Commodity!K246+Demand!K246</f>
        <v>0</v>
      </c>
      <c r="L246" s="3">
        <f>Customer!L246+Commodity!L246+Demand!L246</f>
        <v>0</v>
      </c>
      <c r="N246" s="3"/>
      <c r="O246" s="3"/>
      <c r="P246" s="3"/>
      <c r="Q246" s="3"/>
      <c r="R246" s="3"/>
      <c r="S246" s="3"/>
    </row>
    <row r="247" spans="1:19" ht="11.25" x14ac:dyDescent="0.2">
      <c r="A247" s="325">
        <f t="shared" si="35"/>
        <v>30</v>
      </c>
      <c r="B247" s="24">
        <f>Input!A170</f>
        <v>378.3</v>
      </c>
      <c r="C247" s="3" t="str">
        <f>Input!B170</f>
        <v>M &amp; R EQUIP - LOCAL GAS PURCHASES</v>
      </c>
      <c r="D247" s="3"/>
      <c r="E247" s="3">
        <f>Input!D170+Input!E170</f>
        <v>36634</v>
      </c>
      <c r="F247" s="3">
        <f>Customer!F247+Commodity!F247+Demand!F247</f>
        <v>14282</v>
      </c>
      <c r="G247" s="3">
        <f>Customer!G247+Commodity!G247+Demand!G247</f>
        <v>9672</v>
      </c>
      <c r="H247" s="3">
        <f>Customer!H247+Commodity!H247+Demand!H247</f>
        <v>20</v>
      </c>
      <c r="I247" s="3">
        <f>Customer!I247+Commodity!I247+Demand!I247</f>
        <v>0</v>
      </c>
      <c r="J247" s="3">
        <f>Customer!J247+Commodity!J247+Demand!J247</f>
        <v>12660</v>
      </c>
      <c r="K247" s="3">
        <f>Customer!K247+Commodity!K247+Demand!K247</f>
        <v>0</v>
      </c>
      <c r="L247" s="3">
        <f>Customer!L247+Commodity!L247+Demand!L247</f>
        <v>0</v>
      </c>
      <c r="N247" s="3"/>
      <c r="O247" s="3"/>
      <c r="P247" s="3"/>
      <c r="Q247" s="3"/>
      <c r="R247" s="3"/>
      <c r="S247" s="3"/>
    </row>
    <row r="248" spans="1:19" ht="11.25" x14ac:dyDescent="0.2">
      <c r="A248" s="325">
        <f t="shared" si="35"/>
        <v>31</v>
      </c>
      <c r="B248" s="24">
        <f>Input!A171</f>
        <v>379.1</v>
      </c>
      <c r="C248" s="3" t="str">
        <f>Input!B171</f>
        <v>STA EQUIP - CITY</v>
      </c>
      <c r="D248" s="3"/>
      <c r="E248" s="3">
        <f>Input!D171+Input!E171</f>
        <v>267731</v>
      </c>
      <c r="F248" s="3">
        <f>Customer!F248+Commodity!F248+Demand!F248</f>
        <v>104372</v>
      </c>
      <c r="G248" s="3">
        <f>Customer!G248+Commodity!G248+Demand!G248</f>
        <v>70678</v>
      </c>
      <c r="H248" s="3">
        <f>Customer!H248+Commodity!H248+Demand!H248</f>
        <v>152</v>
      </c>
      <c r="I248" s="3">
        <f>Customer!I248+Commodity!I248+Demand!I248</f>
        <v>0</v>
      </c>
      <c r="J248" s="3">
        <f>Customer!J248+Commodity!J248+Demand!J248</f>
        <v>92528</v>
      </c>
      <c r="K248" s="3">
        <f>Customer!K248+Commodity!K248+Demand!K248</f>
        <v>0</v>
      </c>
      <c r="L248" s="3">
        <f>Customer!L248+Commodity!L248+Demand!L248</f>
        <v>0</v>
      </c>
      <c r="N248" s="3"/>
      <c r="O248" s="3"/>
      <c r="P248" s="3"/>
      <c r="Q248" s="3"/>
      <c r="R248" s="3"/>
      <c r="S248" s="3"/>
    </row>
    <row r="249" spans="1:19" ht="11.25" x14ac:dyDescent="0.2">
      <c r="A249" s="325">
        <f t="shared" si="35"/>
        <v>32</v>
      </c>
      <c r="B249" s="24">
        <f>Input!A172</f>
        <v>380</v>
      </c>
      <c r="C249" s="3" t="str">
        <f>Input!B172</f>
        <v>SERVICES</v>
      </c>
      <c r="D249" s="3"/>
      <c r="E249" s="3">
        <f>Input!D172+Input!E172-SUM(Input!G172:O172)</f>
        <v>61085053</v>
      </c>
      <c r="F249" s="3">
        <f ca="1">Customer!F249+Commodity!F249+Demand!F249</f>
        <v>53894121</v>
      </c>
      <c r="G249" s="3">
        <f ca="1">Customer!G249+Commodity!G249+Demand!G249</f>
        <v>6974691</v>
      </c>
      <c r="H249" s="3">
        <f ca="1">Customer!H249+Commodity!H249+Demand!H249</f>
        <v>611</v>
      </c>
      <c r="I249" s="3">
        <f ca="1">Customer!I249+Commodity!I249+Demand!I249</f>
        <v>0</v>
      </c>
      <c r="J249" s="3">
        <f ca="1">Customer!J249+Commodity!J249+Demand!J249</f>
        <v>215630</v>
      </c>
      <c r="K249" s="3">
        <f ca="1">Customer!K249+Commodity!K249+Demand!K249</f>
        <v>0</v>
      </c>
      <c r="L249" s="3">
        <f ca="1">Customer!L249+Commodity!L249+Demand!L249</f>
        <v>0</v>
      </c>
      <c r="N249" s="3"/>
      <c r="O249" s="3"/>
      <c r="P249" s="3"/>
      <c r="Q249" s="3"/>
      <c r="R249" s="3"/>
      <c r="S249" s="3"/>
    </row>
    <row r="250" spans="1:19" ht="11.25" x14ac:dyDescent="0.2">
      <c r="A250" s="325">
        <f t="shared" si="35"/>
        <v>33</v>
      </c>
      <c r="B250" s="24">
        <f>Input!A172</f>
        <v>380</v>
      </c>
      <c r="C250" s="3" t="str">
        <f>"DIRECT "&amp;+Input!B172</f>
        <v>DIRECT SERVICES</v>
      </c>
      <c r="D250" s="3"/>
      <c r="E250" s="3">
        <f>SUM(F250:L250)</f>
        <v>0</v>
      </c>
      <c r="F250" s="3">
        <f>Customer!F250+Commodity!F250+Demand!F250</f>
        <v>0</v>
      </c>
      <c r="G250" s="3">
        <f>Customer!G250+Commodity!G250+Demand!G250</f>
        <v>0</v>
      </c>
      <c r="H250" s="3">
        <f>Customer!H250+Commodity!H250+Demand!H250</f>
        <v>0</v>
      </c>
      <c r="I250" s="3">
        <f>Customer!I250+Commodity!I250+Demand!I250</f>
        <v>0</v>
      </c>
      <c r="J250" s="3">
        <f>Customer!J250+Commodity!J250+Demand!J250</f>
        <v>0</v>
      </c>
      <c r="K250" s="3">
        <f>Customer!K250+Commodity!K250+Demand!K250</f>
        <v>0</v>
      </c>
      <c r="L250" s="3">
        <f>Customer!L250+Commodity!L250+Demand!L250</f>
        <v>0</v>
      </c>
      <c r="N250" s="3"/>
      <c r="O250" s="3"/>
      <c r="P250" s="3"/>
      <c r="Q250" s="3"/>
      <c r="R250" s="3"/>
      <c r="S250" s="3"/>
    </row>
    <row r="251" spans="1:19" ht="11.25" x14ac:dyDescent="0.2">
      <c r="A251" s="3" t="s">
        <v>810</v>
      </c>
      <c r="B251" s="3"/>
      <c r="C251" s="14"/>
      <c r="D251" s="3"/>
      <c r="E251" s="3"/>
      <c r="F251" s="325" t="str">
        <f>""&amp;+Input!$B$1</f>
        <v>COLUMBIA GAS OF KENTUCKY, INC.</v>
      </c>
      <c r="H251" s="3"/>
      <c r="I251" s="3"/>
      <c r="J251" s="3"/>
      <c r="K251" s="3"/>
      <c r="L251" s="32" t="str">
        <f>Input!$B$2</f>
        <v>ATTACHMENT CEN-2</v>
      </c>
      <c r="N251" s="3"/>
      <c r="O251" s="3"/>
      <c r="P251" s="3"/>
      <c r="Q251" s="3"/>
      <c r="R251" s="3"/>
      <c r="S251" s="3"/>
    </row>
    <row r="252" spans="1:19" ht="11.25" x14ac:dyDescent="0.2">
      <c r="A252" s="3" t="str">
        <f>Input!$B$7</f>
        <v>DEMAND-COMMODITY</v>
      </c>
      <c r="B252" s="3"/>
      <c r="C252" s="3"/>
      <c r="D252" s="3"/>
      <c r="E252" s="3"/>
      <c r="F252" s="325" t="s">
        <v>161</v>
      </c>
      <c r="H252" s="3"/>
      <c r="I252" s="3"/>
      <c r="J252" s="3"/>
      <c r="K252" s="3"/>
      <c r="L252" s="32" t="str">
        <f>"PAGE 8 OF "&amp;FIXED(Input!$B$8,0,TRUE)</f>
        <v>PAGE 8 OF 129</v>
      </c>
      <c r="N252" s="3"/>
      <c r="O252" s="3"/>
      <c r="P252" s="3"/>
      <c r="Q252" s="3"/>
      <c r="R252" s="3"/>
      <c r="S252" s="3"/>
    </row>
    <row r="253" spans="1:19" ht="11.25" x14ac:dyDescent="0.2">
      <c r="A253" s="17" t="str">
        <f>Input!$B$6</f>
        <v>FORECASTED TEST YEAR - ORIGINAL FILING</v>
      </c>
      <c r="B253" s="17"/>
      <c r="C253" s="17"/>
      <c r="D253" s="18"/>
      <c r="E253" s="18"/>
      <c r="F253" s="19" t="str">
        <f>"FOR THE TWELVE MONTHS ENDED "&amp;Input!$B$4</f>
        <v>FOR THE TWELVE MONTHS ENDED 12/31/2017</v>
      </c>
      <c r="G253" s="329"/>
      <c r="H253" s="17"/>
      <c r="I253" s="17"/>
      <c r="J253" s="17"/>
      <c r="K253" s="17"/>
      <c r="L253" s="183" t="str">
        <f>"WITNESS: "&amp;Input!$B$5</f>
        <v>WITNESS: C. NOTESTONE</v>
      </c>
      <c r="N253" s="3"/>
      <c r="O253" s="3"/>
      <c r="P253" s="3"/>
      <c r="Q253" s="3"/>
      <c r="R253" s="3"/>
      <c r="S253" s="3"/>
    </row>
    <row r="254" spans="1:19" ht="11.25" x14ac:dyDescent="0.2">
      <c r="A254" s="325" t="s">
        <v>5</v>
      </c>
      <c r="B254" s="3" t="s">
        <v>6</v>
      </c>
      <c r="C254" s="3"/>
      <c r="D254" s="325" t="s">
        <v>7</v>
      </c>
      <c r="E254" s="325" t="s">
        <v>8</v>
      </c>
      <c r="F254" s="325"/>
      <c r="G254" s="325"/>
      <c r="H254" s="325"/>
      <c r="I254" s="325"/>
      <c r="J254" s="325"/>
      <c r="K254" s="325"/>
      <c r="L254" s="325"/>
      <c r="N254" s="3"/>
      <c r="O254" s="3"/>
      <c r="P254" s="3"/>
      <c r="Q254" s="3"/>
      <c r="R254" s="3"/>
      <c r="S254" s="3"/>
    </row>
    <row r="255" spans="1:19" ht="11.25" x14ac:dyDescent="0.2">
      <c r="A255" s="341" t="s">
        <v>9</v>
      </c>
      <c r="B255" s="341" t="s">
        <v>9</v>
      </c>
      <c r="C255" s="34" t="str">
        <f>'Total Co'!C128</f>
        <v xml:space="preserve"> ACCOUNT TITLE</v>
      </c>
      <c r="D255" s="341" t="s">
        <v>10</v>
      </c>
      <c r="E255" s="341" t="s">
        <v>11</v>
      </c>
      <c r="F255" s="341" t="str">
        <f>"  "&amp;+Input!$C$12</f>
        <v xml:space="preserve">  GS-RESIDENTIAL</v>
      </c>
      <c r="G255" s="341" t="str">
        <f>Input!$C$13</f>
        <v>GS-OTHER</v>
      </c>
      <c r="H255" s="341" t="str">
        <f>Input!$C$14</f>
        <v>IUS</v>
      </c>
      <c r="I255" s="341" t="str">
        <f>Input!$C$15</f>
        <v>DS-ML</v>
      </c>
      <c r="J255" s="341" t="str">
        <f>Input!$C$16</f>
        <v>DS/IS</v>
      </c>
      <c r="K255" s="341" t="str">
        <f>Input!$C$17</f>
        <v>NOT USED</v>
      </c>
      <c r="L255" s="341" t="str">
        <f>Input!$C$18</f>
        <v>NOT USED</v>
      </c>
      <c r="N255" s="3"/>
      <c r="O255" s="3"/>
      <c r="P255" s="3"/>
      <c r="Q255" s="3"/>
      <c r="R255" s="3"/>
      <c r="S255" s="3"/>
    </row>
    <row r="256" spans="1:19" ht="11.25" x14ac:dyDescent="0.2">
      <c r="A256" s="325"/>
      <c r="B256" s="342" t="s">
        <v>13</v>
      </c>
      <c r="C256" s="342" t="s">
        <v>14</v>
      </c>
      <c r="D256" s="325" t="s">
        <v>15</v>
      </c>
      <c r="E256" s="325" t="s">
        <v>16</v>
      </c>
      <c r="F256" s="325" t="s">
        <v>17</v>
      </c>
      <c r="G256" s="325" t="s">
        <v>18</v>
      </c>
      <c r="H256" s="325" t="s">
        <v>19</v>
      </c>
      <c r="I256" s="325" t="s">
        <v>20</v>
      </c>
      <c r="J256" s="325" t="s">
        <v>21</v>
      </c>
      <c r="K256" s="325" t="s">
        <v>22</v>
      </c>
      <c r="L256" s="325" t="s">
        <v>23</v>
      </c>
      <c r="N256" s="3"/>
      <c r="O256" s="3"/>
      <c r="P256" s="3"/>
      <c r="Q256" s="3"/>
      <c r="R256" s="3"/>
      <c r="S256" s="3"/>
    </row>
    <row r="257" spans="1:19" ht="11.25" x14ac:dyDescent="0.2">
      <c r="A257" s="325"/>
      <c r="B257" s="3"/>
      <c r="C257" s="3"/>
      <c r="D257" s="3"/>
      <c r="E257" s="325" t="s">
        <v>26</v>
      </c>
      <c r="F257" s="325" t="s">
        <v>26</v>
      </c>
      <c r="G257" s="325" t="s">
        <v>26</v>
      </c>
      <c r="H257" s="325" t="s">
        <v>26</v>
      </c>
      <c r="I257" s="325" t="s">
        <v>26</v>
      </c>
      <c r="J257" s="325" t="s">
        <v>26</v>
      </c>
      <c r="K257" s="325" t="s">
        <v>26</v>
      </c>
      <c r="L257" s="325" t="s">
        <v>26</v>
      </c>
      <c r="N257" s="3"/>
      <c r="O257" s="3"/>
      <c r="P257" s="3"/>
      <c r="Q257" s="3"/>
      <c r="R257" s="3"/>
      <c r="S257" s="3"/>
    </row>
    <row r="258" spans="1:19" ht="11.25" x14ac:dyDescent="0.2">
      <c r="A258" s="325"/>
      <c r="B258" s="24"/>
      <c r="C258" s="36"/>
      <c r="D258" s="3"/>
      <c r="E258" s="3"/>
      <c r="F258" s="3"/>
      <c r="G258" s="3"/>
      <c r="H258" s="3"/>
      <c r="I258" s="3"/>
      <c r="J258" s="3"/>
      <c r="K258" s="3"/>
      <c r="L258" s="3"/>
      <c r="N258" s="3"/>
      <c r="O258" s="3"/>
      <c r="P258" s="3"/>
      <c r="Q258" s="3"/>
      <c r="R258" s="3"/>
      <c r="S258" s="3"/>
    </row>
    <row r="259" spans="1:19" ht="11.25" x14ac:dyDescent="0.2">
      <c r="A259" s="325">
        <v>1</v>
      </c>
      <c r="B259" s="24">
        <f>Input!A173</f>
        <v>381</v>
      </c>
      <c r="C259" s="3" t="str">
        <f>Input!B173</f>
        <v>METERS</v>
      </c>
      <c r="D259" s="3"/>
      <c r="E259" s="3">
        <f>Input!D173+Input!E173</f>
        <v>6025045</v>
      </c>
      <c r="F259" s="3">
        <f>Customer!F259+Commodity!F259+Demand!F259</f>
        <v>4334538</v>
      </c>
      <c r="G259" s="3">
        <f>Customer!G259+Commodity!G259+Demand!G259</f>
        <v>1663635</v>
      </c>
      <c r="H259" s="3">
        <f>Customer!H259+Commodity!H259+Demand!H259</f>
        <v>783</v>
      </c>
      <c r="I259" s="3">
        <f>Customer!I259+Commodity!I259+Demand!I259</f>
        <v>0</v>
      </c>
      <c r="J259" s="3">
        <f>Customer!J259+Commodity!J259+Demand!J259</f>
        <v>26088</v>
      </c>
      <c r="K259" s="3">
        <f>Customer!K259+Commodity!K259+Demand!K259</f>
        <v>0</v>
      </c>
      <c r="L259" s="3">
        <f>Customer!L259+Commodity!L259+Demand!L259</f>
        <v>0</v>
      </c>
      <c r="N259" s="3"/>
      <c r="O259" s="3"/>
      <c r="P259" s="3"/>
      <c r="Q259" s="3"/>
      <c r="R259" s="3"/>
      <c r="S259" s="3"/>
    </row>
    <row r="260" spans="1:19" ht="11.25" x14ac:dyDescent="0.2">
      <c r="A260" s="325">
        <f t="shared" ref="A260:A271" si="36">A259+1</f>
        <v>2</v>
      </c>
      <c r="B260" s="24">
        <f>Input!A174</f>
        <v>382</v>
      </c>
      <c r="C260" s="3" t="str">
        <f>Input!B174</f>
        <v>METER INSTALLATIONS</v>
      </c>
      <c r="D260" s="3"/>
      <c r="E260" s="3">
        <f>Input!D174+Input!E174</f>
        <v>4714156</v>
      </c>
      <c r="F260" s="3">
        <f>Customer!F260+Commodity!F260+Demand!F260</f>
        <v>3391458</v>
      </c>
      <c r="G260" s="3">
        <f>Customer!G260+Commodity!G260+Demand!G260</f>
        <v>1301673</v>
      </c>
      <c r="H260" s="3">
        <f>Customer!H260+Commodity!H260+Demand!H260</f>
        <v>613</v>
      </c>
      <c r="I260" s="3">
        <f>Customer!I260+Commodity!I260+Demand!I260</f>
        <v>0</v>
      </c>
      <c r="J260" s="3">
        <f>Customer!J260+Commodity!J260+Demand!J260</f>
        <v>20412</v>
      </c>
      <c r="K260" s="3">
        <f>Customer!K260+Commodity!K260+Demand!K260</f>
        <v>0</v>
      </c>
      <c r="L260" s="3">
        <f>Customer!L260+Commodity!L260+Demand!L260</f>
        <v>0</v>
      </c>
      <c r="N260" s="3"/>
      <c r="O260" s="3"/>
      <c r="P260" s="3"/>
      <c r="Q260" s="3"/>
      <c r="R260" s="3"/>
      <c r="S260" s="3"/>
    </row>
    <row r="261" spans="1:19" ht="11.25" x14ac:dyDescent="0.2">
      <c r="A261" s="325">
        <f t="shared" si="36"/>
        <v>3</v>
      </c>
      <c r="B261" s="24">
        <f>Input!A175</f>
        <v>383</v>
      </c>
      <c r="C261" s="3" t="str">
        <f>Input!B175</f>
        <v>HOUSE REGULATORS</v>
      </c>
      <c r="D261" s="3"/>
      <c r="E261" s="3">
        <f>Input!D175+Input!E175</f>
        <v>1568587</v>
      </c>
      <c r="F261" s="3">
        <f>Customer!F261+Commodity!F261+Demand!F261</f>
        <v>1128473</v>
      </c>
      <c r="G261" s="3">
        <f>Customer!G261+Commodity!G261+Demand!G261</f>
        <v>433118</v>
      </c>
      <c r="H261" s="3">
        <f>Customer!H261+Commodity!H261+Demand!H261</f>
        <v>204</v>
      </c>
      <c r="I261" s="3">
        <f>Customer!I261+Commodity!I261+Demand!I261</f>
        <v>0</v>
      </c>
      <c r="J261" s="3">
        <f>Customer!J261+Commodity!J261+Demand!J261</f>
        <v>6792</v>
      </c>
      <c r="K261" s="3">
        <f>Customer!K261+Commodity!K261+Demand!K261</f>
        <v>0</v>
      </c>
      <c r="L261" s="3">
        <f>Customer!L261+Commodity!L261+Demand!L261</f>
        <v>0</v>
      </c>
      <c r="N261" s="3"/>
      <c r="O261" s="3"/>
      <c r="P261" s="3"/>
      <c r="Q261" s="3"/>
      <c r="R261" s="3"/>
      <c r="S261" s="3"/>
    </row>
    <row r="262" spans="1:19" ht="11.25" x14ac:dyDescent="0.2">
      <c r="A262" s="325">
        <f t="shared" si="36"/>
        <v>4</v>
      </c>
      <c r="B262" s="24">
        <f>Input!A176</f>
        <v>384</v>
      </c>
      <c r="C262" s="3" t="str">
        <f>Input!B176</f>
        <v>HOUSE REG INSTALLATIONS</v>
      </c>
      <c r="D262" s="3"/>
      <c r="E262" s="3">
        <f>Input!D176+Input!E176</f>
        <v>1780729</v>
      </c>
      <c r="F262" s="3">
        <f>Customer!F262+Commodity!F262+Demand!F262</f>
        <v>1281092</v>
      </c>
      <c r="G262" s="3">
        <f>Customer!G262+Commodity!G262+Demand!G262</f>
        <v>491695</v>
      </c>
      <c r="H262" s="3">
        <f>Customer!H262+Commodity!H262+Demand!H262</f>
        <v>231</v>
      </c>
      <c r="I262" s="3">
        <f>Customer!I262+Commodity!I262+Demand!I262</f>
        <v>0</v>
      </c>
      <c r="J262" s="3">
        <f>Customer!J262+Commodity!J262+Demand!J262</f>
        <v>7711</v>
      </c>
      <c r="K262" s="3">
        <f>Customer!K262+Commodity!K262+Demand!K262</f>
        <v>0</v>
      </c>
      <c r="L262" s="3">
        <f>Customer!L262+Commodity!L262+Demand!L262</f>
        <v>0</v>
      </c>
      <c r="N262" s="3"/>
      <c r="O262" s="3"/>
      <c r="P262" s="3"/>
      <c r="Q262" s="3"/>
      <c r="R262" s="3"/>
      <c r="S262" s="3"/>
    </row>
    <row r="263" spans="1:19" ht="11.25" x14ac:dyDescent="0.2">
      <c r="A263" s="325">
        <f t="shared" si="36"/>
        <v>5</v>
      </c>
      <c r="B263" s="24">
        <f>Input!A177</f>
        <v>385</v>
      </c>
      <c r="C263" s="3" t="str">
        <f>Input!B177</f>
        <v>IND M&amp;R EQUIPMENT</v>
      </c>
      <c r="D263" s="3"/>
      <c r="E263" s="3">
        <f>Input!D177+Input!E177-SUM(Input!G177:O177)</f>
        <v>823117.67999999993</v>
      </c>
      <c r="F263" s="3">
        <f>Customer!F263+Commodity!F263+Demand!F263</f>
        <v>0</v>
      </c>
      <c r="G263" s="3">
        <f>Customer!G263+Commodity!G263+Demand!G263</f>
        <v>213821</v>
      </c>
      <c r="H263" s="3">
        <f>Customer!H263+Commodity!H263+Demand!H263</f>
        <v>239</v>
      </c>
      <c r="I263" s="3">
        <f>Customer!I263+Commodity!I263+Demand!I263</f>
        <v>0</v>
      </c>
      <c r="J263" s="3">
        <f>Customer!J263+Commodity!J263+Demand!J263</f>
        <v>609066</v>
      </c>
      <c r="K263" s="3">
        <f>Customer!K263+Commodity!K263+Demand!K263</f>
        <v>0</v>
      </c>
      <c r="L263" s="3">
        <f>Customer!L263+Commodity!L263+Demand!L263</f>
        <v>0</v>
      </c>
      <c r="N263" s="3"/>
      <c r="O263" s="3"/>
      <c r="P263" s="3"/>
      <c r="Q263" s="3"/>
      <c r="R263" s="3"/>
      <c r="S263" s="3"/>
    </row>
    <row r="264" spans="1:19" ht="11.25" x14ac:dyDescent="0.2">
      <c r="A264" s="325">
        <f t="shared" si="36"/>
        <v>6</v>
      </c>
      <c r="B264" s="24">
        <f>Input!A177</f>
        <v>385</v>
      </c>
      <c r="C264" s="3" t="str">
        <f>"DIRECT "&amp;+Input!$B$177</f>
        <v>DIRECT IND M&amp;R EQUIPMENT</v>
      </c>
      <c r="D264" s="3"/>
      <c r="E264" s="3">
        <f>SUM(F264:L264)</f>
        <v>133766.32</v>
      </c>
      <c r="F264" s="3">
        <f>Customer!F264+Commodity!F264+Demand!F264</f>
        <v>0</v>
      </c>
      <c r="G264" s="3">
        <f>Customer!G264+Commodity!G264+Demand!G264</f>
        <v>0</v>
      </c>
      <c r="H264" s="3">
        <f>Customer!H264+Commodity!H264+Demand!H264</f>
        <v>0</v>
      </c>
      <c r="I264" s="3">
        <f>Customer!I264+Commodity!I264+Demand!I264</f>
        <v>133766.32</v>
      </c>
      <c r="J264" s="3">
        <f>Customer!J264+Commodity!J264+Demand!J264</f>
        <v>0</v>
      </c>
      <c r="K264" s="3">
        <f>Customer!K264+Commodity!K264+Demand!K264</f>
        <v>0</v>
      </c>
      <c r="L264" s="3">
        <f>Customer!L264+Commodity!L264+Demand!L264</f>
        <v>0</v>
      </c>
      <c r="N264" s="3"/>
      <c r="O264" s="3"/>
      <c r="P264" s="3"/>
      <c r="Q264" s="3"/>
      <c r="R264" s="3"/>
      <c r="S264" s="3"/>
    </row>
    <row r="265" spans="1:19" ht="11.25" x14ac:dyDescent="0.2">
      <c r="A265" s="325">
        <f t="shared" si="36"/>
        <v>7</v>
      </c>
      <c r="B265" s="24">
        <f>Input!A178</f>
        <v>387.2</v>
      </c>
      <c r="C265" s="3" t="str">
        <f>Input!B178</f>
        <v>ODORIZATION</v>
      </c>
      <c r="D265" s="3"/>
      <c r="E265" s="3">
        <f>Input!D178+Input!E178</f>
        <v>-59912</v>
      </c>
      <c r="F265" s="3">
        <f ca="1">Customer!F265+Commodity!F265+Demand!F265</f>
        <v>-34301</v>
      </c>
      <c r="G265" s="3">
        <f ca="1">Customer!G265+Commodity!G265+Demand!G265</f>
        <v>-13060</v>
      </c>
      <c r="H265" s="3">
        <f ca="1">Customer!H265+Commodity!H265+Demand!H265</f>
        <v>-21</v>
      </c>
      <c r="I265" s="3">
        <f ca="1">Customer!I265+Commodity!I265+Demand!I265</f>
        <v>-107</v>
      </c>
      <c r="J265" s="3">
        <f ca="1">Customer!J265+Commodity!J265+Demand!J265</f>
        <v>-12422</v>
      </c>
      <c r="K265" s="3">
        <f ca="1">Customer!K265+Commodity!K265+Demand!K265</f>
        <v>0</v>
      </c>
      <c r="L265" s="3">
        <f ca="1">Customer!L265+Commodity!L265+Demand!L265</f>
        <v>0</v>
      </c>
      <c r="N265" s="3"/>
      <c r="O265" s="3"/>
      <c r="P265" s="3"/>
      <c r="Q265" s="3"/>
      <c r="R265" s="3"/>
      <c r="S265" s="3"/>
    </row>
    <row r="266" spans="1:19" ht="11.25" x14ac:dyDescent="0.2">
      <c r="A266" s="325">
        <f t="shared" si="36"/>
        <v>8</v>
      </c>
      <c r="B266" s="24">
        <f>Input!A179</f>
        <v>387.41</v>
      </c>
      <c r="C266" s="3" t="str">
        <f>Input!B179</f>
        <v>TELEPHONE</v>
      </c>
      <c r="D266" s="3"/>
      <c r="E266" s="3">
        <f>Input!D179+Input!E179</f>
        <v>399816</v>
      </c>
      <c r="F266" s="3">
        <f ca="1">Customer!F266+Commodity!F266+Demand!F266</f>
        <v>228907</v>
      </c>
      <c r="G266" s="3">
        <f ca="1">Customer!G266+Commodity!G266+Demand!G266</f>
        <v>87154</v>
      </c>
      <c r="H266" s="3">
        <f ca="1">Customer!H266+Commodity!H266+Demand!H266</f>
        <v>139</v>
      </c>
      <c r="I266" s="3">
        <f ca="1">Customer!I266+Commodity!I266+Demand!I266</f>
        <v>719</v>
      </c>
      <c r="J266" s="3">
        <f ca="1">Customer!J266+Commodity!J266+Demand!J266</f>
        <v>82897</v>
      </c>
      <c r="K266" s="3">
        <f ca="1">Customer!K266+Commodity!K266+Demand!K266</f>
        <v>0</v>
      </c>
      <c r="L266" s="3">
        <f ca="1">Customer!L266+Commodity!L266+Demand!L266</f>
        <v>0</v>
      </c>
      <c r="N266" s="3"/>
      <c r="O266" s="3"/>
      <c r="P266" s="3"/>
      <c r="Q266" s="3"/>
      <c r="R266" s="3"/>
      <c r="S266" s="3"/>
    </row>
    <row r="267" spans="1:19" ht="11.25" x14ac:dyDescent="0.2">
      <c r="A267" s="325">
        <f t="shared" si="36"/>
        <v>9</v>
      </c>
      <c r="B267" s="24">
        <f>Input!A180</f>
        <v>387.42</v>
      </c>
      <c r="C267" s="3" t="str">
        <f>Input!B180</f>
        <v>RADIO</v>
      </c>
      <c r="D267" s="3"/>
      <c r="E267" s="3">
        <f>Input!D180+Input!E180</f>
        <v>567414</v>
      </c>
      <c r="F267" s="3">
        <f ca="1">Customer!F267+Commodity!F267+Demand!F267</f>
        <v>324863</v>
      </c>
      <c r="G267" s="3">
        <f ca="1">Customer!G267+Commodity!G267+Demand!G267</f>
        <v>123688</v>
      </c>
      <c r="H267" s="3">
        <f ca="1">Customer!H267+Commodity!H267+Demand!H267</f>
        <v>197</v>
      </c>
      <c r="I267" s="3">
        <f ca="1">Customer!I267+Commodity!I267+Demand!I267</f>
        <v>1020</v>
      </c>
      <c r="J267" s="3">
        <f ca="1">Customer!J267+Commodity!J267+Demand!J267</f>
        <v>117645</v>
      </c>
      <c r="K267" s="3">
        <f ca="1">Customer!K267+Commodity!K267+Demand!K267</f>
        <v>0</v>
      </c>
      <c r="L267" s="3">
        <f ca="1">Customer!L267+Commodity!L267+Demand!L267</f>
        <v>0</v>
      </c>
      <c r="N267" s="3"/>
      <c r="O267" s="3"/>
      <c r="P267" s="3"/>
      <c r="Q267" s="3"/>
      <c r="R267" s="3"/>
      <c r="S267" s="3"/>
    </row>
    <row r="268" spans="1:19" ht="11.25" x14ac:dyDescent="0.2">
      <c r="A268" s="325">
        <f t="shared" si="36"/>
        <v>10</v>
      </c>
      <c r="B268" s="24">
        <f>Input!A181</f>
        <v>387.44</v>
      </c>
      <c r="C268" s="3" t="str">
        <f>Input!B181</f>
        <v>OTHER COMMUNICATION</v>
      </c>
      <c r="D268" s="3"/>
      <c r="E268" s="3">
        <f>Input!D181+Input!E181</f>
        <v>50650</v>
      </c>
      <c r="F268" s="3">
        <f ca="1">Customer!F268+Commodity!F268+Demand!F268</f>
        <v>29000</v>
      </c>
      <c r="G268" s="3">
        <f ca="1">Customer!G268+Commodity!G268+Demand!G268</f>
        <v>11041</v>
      </c>
      <c r="H268" s="3">
        <f ca="1">Customer!H268+Commodity!H268+Demand!H268</f>
        <v>17</v>
      </c>
      <c r="I268" s="3">
        <f ca="1">Customer!I268+Commodity!I268+Demand!I268</f>
        <v>92</v>
      </c>
      <c r="J268" s="3">
        <f ca="1">Customer!J268+Commodity!J268+Demand!J268</f>
        <v>10501</v>
      </c>
      <c r="K268" s="3">
        <f ca="1">Customer!K268+Commodity!K268+Demand!K268</f>
        <v>0</v>
      </c>
      <c r="L268" s="3">
        <f ca="1">Customer!L268+Commodity!L268+Demand!L268</f>
        <v>0</v>
      </c>
      <c r="N268" s="3"/>
      <c r="O268" s="3"/>
      <c r="P268" s="3"/>
      <c r="Q268" s="3"/>
      <c r="R268" s="3"/>
      <c r="S268" s="3"/>
    </row>
    <row r="269" spans="1:19" ht="11.25" x14ac:dyDescent="0.2">
      <c r="A269" s="325">
        <f t="shared" si="36"/>
        <v>11</v>
      </c>
      <c r="B269" s="24">
        <f>Input!A182</f>
        <v>387.45</v>
      </c>
      <c r="C269" s="3" t="str">
        <f>Input!B182</f>
        <v>TELEMETERING</v>
      </c>
      <c r="D269" s="3"/>
      <c r="E269" s="3">
        <f>Input!D182+Input!E182</f>
        <v>529513</v>
      </c>
      <c r="F269" s="3">
        <f ca="1">Customer!F269+Commodity!F269+Demand!F269</f>
        <v>303164</v>
      </c>
      <c r="G269" s="3">
        <f ca="1">Customer!G269+Commodity!G269+Demand!G269</f>
        <v>115426</v>
      </c>
      <c r="H269" s="3">
        <f ca="1">Customer!H269+Commodity!H269+Demand!H269</f>
        <v>185</v>
      </c>
      <c r="I269" s="3">
        <f ca="1">Customer!I269+Commodity!I269+Demand!I269</f>
        <v>951</v>
      </c>
      <c r="J269" s="3">
        <f ca="1">Customer!J269+Commodity!J269+Demand!J269</f>
        <v>109787</v>
      </c>
      <c r="K269" s="3">
        <f ca="1">Customer!K269+Commodity!K269+Demand!K269</f>
        <v>0</v>
      </c>
      <c r="L269" s="3">
        <f ca="1">Customer!L269+Commodity!L269+Demand!L269</f>
        <v>0</v>
      </c>
      <c r="N269" s="3"/>
      <c r="O269" s="3"/>
      <c r="P269" s="3"/>
      <c r="Q269" s="3"/>
      <c r="R269" s="3"/>
      <c r="S269" s="3"/>
    </row>
    <row r="270" spans="1:19" ht="11.25" x14ac:dyDescent="0.2">
      <c r="A270" s="325">
        <f t="shared" si="36"/>
        <v>12</v>
      </c>
      <c r="B270" s="24">
        <f>Input!A183</f>
        <v>387.46</v>
      </c>
      <c r="C270" s="3" t="str">
        <f>Input!B183</f>
        <v>CIS</v>
      </c>
      <c r="D270" s="3"/>
      <c r="E270" s="26">
        <f>Input!D183+Input!E183</f>
        <v>114357</v>
      </c>
      <c r="F270" s="26">
        <f ca="1">Customer!F270+Commodity!F270+Demand!F270</f>
        <v>65473</v>
      </c>
      <c r="G270" s="26">
        <f ca="1">Customer!G270+Commodity!G270+Demand!G270</f>
        <v>24928</v>
      </c>
      <c r="H270" s="26">
        <f ca="1">Customer!H270+Commodity!H270+Demand!H270</f>
        <v>40</v>
      </c>
      <c r="I270" s="26">
        <f ca="1">Customer!I270+Commodity!I270+Demand!I270</f>
        <v>206</v>
      </c>
      <c r="J270" s="26">
        <f ca="1">Customer!J270+Commodity!J270+Demand!J270</f>
        <v>23711</v>
      </c>
      <c r="K270" s="26">
        <f ca="1">Customer!K270+Commodity!K270+Demand!K270</f>
        <v>0</v>
      </c>
      <c r="L270" s="26">
        <f ca="1">Customer!L270+Commodity!L270+Demand!L270</f>
        <v>0</v>
      </c>
      <c r="N270" s="3"/>
      <c r="O270" s="3"/>
      <c r="P270" s="3"/>
      <c r="Q270" s="3"/>
      <c r="R270" s="3"/>
      <c r="S270" s="3"/>
    </row>
    <row r="271" spans="1:19" ht="11.25" x14ac:dyDescent="0.2">
      <c r="A271" s="325">
        <f t="shared" si="36"/>
        <v>13</v>
      </c>
      <c r="B271" s="3"/>
      <c r="C271" s="3" t="s">
        <v>84</v>
      </c>
      <c r="D271" s="3"/>
      <c r="E271" s="3">
        <f>SUM('Total Co'!E231:E250)+SUM(E259:E270)</f>
        <v>145887056</v>
      </c>
      <c r="F271" s="3">
        <f ca="1">SUM('Total Co'!F231:F250)+SUM(F259:F270)</f>
        <v>92163676</v>
      </c>
      <c r="G271" s="3">
        <f ca="1">SUM('Total Co'!G231:G250)+SUM(G259:G270)</f>
        <v>29252707</v>
      </c>
      <c r="H271" s="3">
        <f ca="1">SUM('Total Co'!H231:H250)+SUM(H259:H270)</f>
        <v>41287</v>
      </c>
      <c r="I271" s="3">
        <f ca="1">SUM('Total Co'!I231:I250)+SUM(I259:I270)</f>
        <v>154790.1</v>
      </c>
      <c r="J271" s="3">
        <f ca="1">SUM('Total Co'!J231:J250)+SUM(J259:J270)</f>
        <v>24274603</v>
      </c>
      <c r="K271" s="3">
        <f ca="1">SUM('Total Co'!K231:K250)+SUM(K259:K270)</f>
        <v>0</v>
      </c>
      <c r="L271" s="3">
        <f ca="1">SUM('Total Co'!L231:L250)+SUM(L259:L270)</f>
        <v>0</v>
      </c>
      <c r="N271" s="3"/>
      <c r="O271" s="3"/>
      <c r="P271" s="3"/>
      <c r="Q271" s="3"/>
      <c r="R271" s="3"/>
      <c r="S271" s="3"/>
    </row>
    <row r="272" spans="1:19" ht="11.25" x14ac:dyDescent="0.2">
      <c r="A272" s="325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N272" s="3"/>
      <c r="O272" s="3"/>
      <c r="P272" s="3"/>
      <c r="Q272" s="3"/>
      <c r="R272" s="3"/>
      <c r="S272" s="3"/>
    </row>
    <row r="273" spans="1:19" ht="11.25" x14ac:dyDescent="0.2">
      <c r="A273" s="325">
        <f>A271+1</f>
        <v>14</v>
      </c>
      <c r="B273" s="3"/>
      <c r="C273" s="24" t="str">
        <f>Input!A186</f>
        <v>GENERAL PLANT</v>
      </c>
      <c r="D273" s="3"/>
      <c r="E273" s="3"/>
      <c r="F273" s="3"/>
      <c r="G273" s="3"/>
      <c r="H273" s="3"/>
      <c r="I273" s="3"/>
      <c r="J273" s="3"/>
      <c r="K273" s="3"/>
      <c r="L273" s="3"/>
      <c r="N273" s="3"/>
      <c r="O273" s="3"/>
      <c r="P273" s="3"/>
      <c r="Q273" s="3"/>
      <c r="R273" s="3"/>
      <c r="S273" s="3"/>
    </row>
    <row r="274" spans="1:19" ht="11.25" x14ac:dyDescent="0.2">
      <c r="A274" s="325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N274" s="3"/>
      <c r="O274" s="3"/>
      <c r="P274" s="3"/>
      <c r="Q274" s="3"/>
      <c r="R274" s="3"/>
      <c r="S274" s="3"/>
    </row>
    <row r="275" spans="1:19" ht="11.25" x14ac:dyDescent="0.2">
      <c r="A275" s="325">
        <f>A273+1</f>
        <v>15</v>
      </c>
      <c r="B275" s="24">
        <f>Input!A187</f>
        <v>391.1</v>
      </c>
      <c r="C275" s="3" t="str">
        <f>Input!B187</f>
        <v>OFF FURN &amp; EQUIP - UNSPEC</v>
      </c>
      <c r="D275" s="3"/>
      <c r="E275" s="3">
        <f>Input!D187+Input!E187</f>
        <v>-33247</v>
      </c>
      <c r="F275" s="3">
        <f ca="1">Customer!F275+Commodity!F275+Demand!F275</f>
        <v>-19036</v>
      </c>
      <c r="G275" s="3">
        <f ca="1">Customer!G275+Commodity!G275+Demand!G275</f>
        <v>-7247</v>
      </c>
      <c r="H275" s="3">
        <f ca="1">Customer!H275+Commodity!H275+Demand!H275</f>
        <v>-13</v>
      </c>
      <c r="I275" s="3">
        <f ca="1">Customer!I275+Commodity!I275+Demand!I275</f>
        <v>-59</v>
      </c>
      <c r="J275" s="3">
        <f ca="1">Customer!J275+Commodity!J275+Demand!J275</f>
        <v>-6893</v>
      </c>
      <c r="K275" s="3">
        <f ca="1">Customer!K275+Commodity!K275+Demand!K275</f>
        <v>0</v>
      </c>
      <c r="L275" s="3">
        <f ca="1">Customer!L275+Commodity!L275+Demand!L275</f>
        <v>0</v>
      </c>
      <c r="N275" s="3"/>
      <c r="O275" s="3"/>
      <c r="P275" s="3"/>
      <c r="Q275" s="3"/>
      <c r="R275" s="3"/>
      <c r="S275" s="3"/>
    </row>
    <row r="276" spans="1:19" ht="11.25" x14ac:dyDescent="0.2">
      <c r="A276" s="325">
        <f t="shared" ref="A276:A289" si="37">A275+1</f>
        <v>16</v>
      </c>
      <c r="B276" s="24">
        <f>Input!A188</f>
        <v>391.11</v>
      </c>
      <c r="C276" s="3" t="str">
        <f>Input!B188</f>
        <v>OFF FURN &amp; EQUIP - DATA HAND</v>
      </c>
      <c r="D276" s="3"/>
      <c r="E276" s="3">
        <f>Input!D188+Input!E188</f>
        <v>-11355</v>
      </c>
      <c r="F276" s="3">
        <f ca="1">Customer!F276+Commodity!F276+Demand!F276</f>
        <v>-6502</v>
      </c>
      <c r="G276" s="3">
        <f ca="1">Customer!G276+Commodity!G276+Demand!G276</f>
        <v>-2474</v>
      </c>
      <c r="H276" s="3">
        <f ca="1">Customer!H276+Commodity!H276+Demand!H276</f>
        <v>-4</v>
      </c>
      <c r="I276" s="3">
        <f ca="1">Customer!I276+Commodity!I276+Demand!I276</f>
        <v>-21</v>
      </c>
      <c r="J276" s="3">
        <f ca="1">Customer!J276+Commodity!J276+Demand!J276</f>
        <v>-2355</v>
      </c>
      <c r="K276" s="3">
        <f ca="1">Customer!K276+Commodity!K276+Demand!K276</f>
        <v>0</v>
      </c>
      <c r="L276" s="3">
        <f ca="1">Customer!L276+Commodity!L276+Demand!L276</f>
        <v>0</v>
      </c>
      <c r="N276" s="3"/>
      <c r="O276" s="3"/>
      <c r="P276" s="3"/>
      <c r="Q276" s="3"/>
      <c r="R276" s="3"/>
      <c r="S276" s="3"/>
    </row>
    <row r="277" spans="1:19" ht="11.25" x14ac:dyDescent="0.2">
      <c r="A277" s="325">
        <f t="shared" si="37"/>
        <v>17</v>
      </c>
      <c r="B277" s="24">
        <f>Input!A189</f>
        <v>391.12</v>
      </c>
      <c r="C277" s="3" t="str">
        <f>Input!B189</f>
        <v>OFF FURN &amp; EQUIP - INFO SYSTEM</v>
      </c>
      <c r="D277" s="3"/>
      <c r="E277" s="3">
        <f>Input!D189+Input!E189</f>
        <v>750133</v>
      </c>
      <c r="F277" s="3">
        <f ca="1">Customer!F277+Commodity!F277+Demand!F277</f>
        <v>429475</v>
      </c>
      <c r="G277" s="3">
        <f ca="1">Customer!G277+Commodity!G277+Demand!G277</f>
        <v>163518</v>
      </c>
      <c r="H277" s="3">
        <f ca="1">Customer!H277+Commodity!H277+Demand!H277</f>
        <v>261</v>
      </c>
      <c r="I277" s="3">
        <f ca="1">Customer!I277+Commodity!I277+Demand!I277</f>
        <v>1347</v>
      </c>
      <c r="J277" s="3">
        <f ca="1">Customer!J277+Commodity!J277+Demand!J277</f>
        <v>155530</v>
      </c>
      <c r="K277" s="3">
        <f ca="1">Customer!K277+Commodity!K277+Demand!K277</f>
        <v>0</v>
      </c>
      <c r="L277" s="3">
        <f ca="1">Customer!L277+Commodity!L277+Demand!L277</f>
        <v>0</v>
      </c>
      <c r="N277" s="3"/>
      <c r="O277" s="3"/>
      <c r="P277" s="3"/>
      <c r="Q277" s="3"/>
      <c r="R277" s="3"/>
      <c r="S277" s="3"/>
    </row>
    <row r="278" spans="1:19" ht="11.25" x14ac:dyDescent="0.2">
      <c r="A278" s="325">
        <f t="shared" si="37"/>
        <v>18</v>
      </c>
      <c r="B278" s="24">
        <f>Input!A190</f>
        <v>392.2</v>
      </c>
      <c r="C278" s="3" t="str">
        <f>Input!B190</f>
        <v>TR EQ - TRAILER &gt; $1,000</v>
      </c>
      <c r="D278" s="3"/>
      <c r="E278" s="3">
        <f>Input!D190+Input!E190</f>
        <v>27035</v>
      </c>
      <c r="F278" s="3">
        <f ca="1">Customer!F278+Commodity!F278+Demand!F278</f>
        <v>15479</v>
      </c>
      <c r="G278" s="3">
        <f ca="1">Customer!G278+Commodity!G278+Demand!G278</f>
        <v>5894</v>
      </c>
      <c r="H278" s="3">
        <f ca="1">Customer!H278+Commodity!H278+Demand!H278</f>
        <v>8</v>
      </c>
      <c r="I278" s="3">
        <f ca="1">Customer!I278+Commodity!I278+Demand!I278</f>
        <v>49</v>
      </c>
      <c r="J278" s="3">
        <f ca="1">Customer!J278+Commodity!J278+Demand!J278</f>
        <v>5605</v>
      </c>
      <c r="K278" s="3">
        <f ca="1">Customer!K278+Commodity!K278+Demand!K278</f>
        <v>0</v>
      </c>
      <c r="L278" s="3">
        <f ca="1">Customer!L278+Commodity!L278+Demand!L278</f>
        <v>0</v>
      </c>
      <c r="N278" s="3"/>
      <c r="O278" s="3"/>
      <c r="P278" s="3"/>
      <c r="Q278" s="3"/>
      <c r="R278" s="3"/>
      <c r="S278" s="3"/>
    </row>
    <row r="279" spans="1:19" ht="11.25" x14ac:dyDescent="0.2">
      <c r="A279" s="325">
        <f t="shared" si="37"/>
        <v>19</v>
      </c>
      <c r="B279" s="24">
        <f>Input!A191</f>
        <v>392.21</v>
      </c>
      <c r="C279" s="3" t="str">
        <f>Input!B191</f>
        <v>TR EQ - TRAILER &lt; $1,000</v>
      </c>
      <c r="D279" s="3"/>
      <c r="E279" s="3">
        <f>Input!D191+Input!E191</f>
        <v>6309</v>
      </c>
      <c r="F279" s="3">
        <f ca="1">Customer!F279+Commodity!F279+Demand!F279</f>
        <v>3612</v>
      </c>
      <c r="G279" s="3">
        <f ca="1">Customer!G279+Commodity!G279+Demand!G279</f>
        <v>1375</v>
      </c>
      <c r="H279" s="3">
        <f ca="1">Customer!H279+Commodity!H279+Demand!H279</f>
        <v>2</v>
      </c>
      <c r="I279" s="3">
        <f ca="1">Customer!I279+Commodity!I279+Demand!I279</f>
        <v>10</v>
      </c>
      <c r="J279" s="3">
        <f ca="1">Customer!J279+Commodity!J279+Demand!J279</f>
        <v>1308</v>
      </c>
      <c r="K279" s="3">
        <f ca="1">Customer!K279+Commodity!K279+Demand!K279</f>
        <v>0</v>
      </c>
      <c r="L279" s="3">
        <f ca="1">Customer!L279+Commodity!L279+Demand!L279</f>
        <v>0</v>
      </c>
      <c r="N279" s="3"/>
      <c r="O279" s="3"/>
      <c r="P279" s="3"/>
      <c r="Q279" s="3"/>
      <c r="R279" s="3"/>
      <c r="S279" s="3"/>
    </row>
    <row r="280" spans="1:19" ht="11.25" x14ac:dyDescent="0.2">
      <c r="A280" s="325">
        <f t="shared" si="37"/>
        <v>20</v>
      </c>
      <c r="B280" s="24">
        <f>Input!A192</f>
        <v>394.1</v>
      </c>
      <c r="C280" s="3" t="str">
        <f>Input!B192</f>
        <v>TOOLS,SHOP, &amp; GAR EQ-GARAGE &amp; SERV</v>
      </c>
      <c r="D280" s="3"/>
      <c r="E280" s="3">
        <f>Input!D192+Input!E192</f>
        <v>15095</v>
      </c>
      <c r="F280" s="3">
        <f ca="1">Customer!F280+Commodity!F280+Demand!F280</f>
        <v>8643</v>
      </c>
      <c r="G280" s="3">
        <f ca="1">Customer!G280+Commodity!G280+Demand!G280</f>
        <v>3290</v>
      </c>
      <c r="H280" s="3">
        <f ca="1">Customer!H280+Commodity!H280+Demand!H280</f>
        <v>6</v>
      </c>
      <c r="I280" s="3">
        <f ca="1">Customer!I280+Commodity!I280+Demand!I280</f>
        <v>27</v>
      </c>
      <c r="J280" s="3">
        <f ca="1">Customer!J280+Commodity!J280+Demand!J280</f>
        <v>3129</v>
      </c>
      <c r="K280" s="3">
        <f ca="1">Customer!K280+Commodity!K280+Demand!K280</f>
        <v>0</v>
      </c>
      <c r="L280" s="3">
        <f ca="1">Customer!L280+Commodity!L280+Demand!L280</f>
        <v>0</v>
      </c>
      <c r="N280" s="3"/>
      <c r="O280" s="3"/>
      <c r="P280" s="3"/>
      <c r="Q280" s="3"/>
      <c r="R280" s="3"/>
      <c r="S280" s="3"/>
    </row>
    <row r="281" spans="1:19" ht="11.25" x14ac:dyDescent="0.2">
      <c r="A281" s="325">
        <f t="shared" si="37"/>
        <v>21</v>
      </c>
      <c r="B281" s="24">
        <f>Input!A193</f>
        <v>394.13</v>
      </c>
      <c r="C281" s="3" t="str">
        <f>Input!B193</f>
        <v>TOOLS,SHOP, &amp; GAR EQ-UND TANK CLEANUP</v>
      </c>
      <c r="D281" s="3"/>
      <c r="E281" s="3">
        <f>Input!D193+Input!E193</f>
        <v>37937</v>
      </c>
      <c r="F281" s="3">
        <f ca="1">Customer!F281+Commodity!F281+Demand!F281</f>
        <v>21720</v>
      </c>
      <c r="G281" s="3">
        <f ca="1">Customer!G281+Commodity!G281+Demand!G281</f>
        <v>8269</v>
      </c>
      <c r="H281" s="3">
        <f ca="1">Customer!H281+Commodity!H281+Demand!H281</f>
        <v>13</v>
      </c>
      <c r="I281" s="3">
        <f ca="1">Customer!I281+Commodity!I281+Demand!I281</f>
        <v>69</v>
      </c>
      <c r="J281" s="3">
        <f ca="1">Customer!J281+Commodity!J281+Demand!J281</f>
        <v>7865</v>
      </c>
      <c r="K281" s="3">
        <f ca="1">Customer!K281+Commodity!K281+Demand!K281</f>
        <v>0</v>
      </c>
      <c r="L281" s="3">
        <f ca="1">Customer!L281+Commodity!L281+Demand!L281</f>
        <v>0</v>
      </c>
      <c r="N281" s="3"/>
      <c r="O281" s="3"/>
      <c r="P281" s="3"/>
      <c r="Q281" s="3"/>
      <c r="R281" s="3"/>
      <c r="S281" s="3"/>
    </row>
    <row r="282" spans="1:19" ht="11.25" x14ac:dyDescent="0.2">
      <c r="A282" s="325">
        <f t="shared" si="37"/>
        <v>22</v>
      </c>
      <c r="B282" s="24">
        <f>Input!A194</f>
        <v>393</v>
      </c>
      <c r="C282" s="3" t="str">
        <f>Input!B194</f>
        <v>STORES EQUIPMENT</v>
      </c>
      <c r="D282" s="3"/>
      <c r="E282" s="3">
        <f>Input!D194+Input!E194</f>
        <v>0</v>
      </c>
      <c r="F282" s="3">
        <f ca="1">Customer!F282+Commodity!F282+Demand!F282</f>
        <v>0</v>
      </c>
      <c r="G282" s="3">
        <f ca="1">Customer!G282+Commodity!G282+Demand!G282</f>
        <v>0</v>
      </c>
      <c r="H282" s="3">
        <f ca="1">Customer!H282+Commodity!H282+Demand!H282</f>
        <v>0</v>
      </c>
      <c r="I282" s="3">
        <f ca="1">Customer!I282+Commodity!I282+Demand!I282</f>
        <v>0</v>
      </c>
      <c r="J282" s="3">
        <f ca="1">Customer!J282+Commodity!J282+Demand!J282</f>
        <v>0</v>
      </c>
      <c r="K282" s="3">
        <f ca="1">Customer!K282+Commodity!K282+Demand!K282</f>
        <v>0</v>
      </c>
      <c r="L282" s="3">
        <f ca="1">Customer!L282+Commodity!L282+Demand!L282</f>
        <v>0</v>
      </c>
      <c r="N282" s="3"/>
      <c r="O282" s="3"/>
      <c r="P282" s="3"/>
      <c r="Q282" s="3"/>
      <c r="R282" s="3"/>
      <c r="S282" s="3"/>
    </row>
    <row r="283" spans="1:19" ht="11.25" x14ac:dyDescent="0.2">
      <c r="A283" s="325">
        <f t="shared" si="37"/>
        <v>23</v>
      </c>
      <c r="B283" s="24">
        <f>Input!A195</f>
        <v>394.2</v>
      </c>
      <c r="C283" s="3" t="str">
        <f>Input!B195</f>
        <v>SHOP EQUIPMENT</v>
      </c>
      <c r="D283" s="3"/>
      <c r="E283" s="3">
        <f>Input!D195+Input!E195</f>
        <v>185</v>
      </c>
      <c r="F283" s="3">
        <f ca="1">Customer!F283+Commodity!F283+Demand!F283</f>
        <v>106</v>
      </c>
      <c r="G283" s="3">
        <f ca="1">Customer!G283+Commodity!G283+Demand!G283</f>
        <v>40</v>
      </c>
      <c r="H283" s="3">
        <f ca="1">Customer!H283+Commodity!H283+Demand!H283</f>
        <v>0</v>
      </c>
      <c r="I283" s="3">
        <f ca="1">Customer!I283+Commodity!I283+Demand!I283</f>
        <v>0</v>
      </c>
      <c r="J283" s="3">
        <f ca="1">Customer!J283+Commodity!J283+Demand!J283</f>
        <v>39</v>
      </c>
      <c r="K283" s="3">
        <f ca="1">Customer!K283+Commodity!K283+Demand!K283</f>
        <v>0</v>
      </c>
      <c r="L283" s="3">
        <f ca="1">Customer!L283+Commodity!L283+Demand!L283</f>
        <v>0</v>
      </c>
      <c r="N283" s="3"/>
      <c r="O283" s="3"/>
      <c r="P283" s="3"/>
      <c r="Q283" s="3"/>
      <c r="R283" s="3"/>
      <c r="S283" s="3"/>
    </row>
    <row r="284" spans="1:19" ht="11.25" x14ac:dyDescent="0.2">
      <c r="A284" s="325">
        <f t="shared" si="37"/>
        <v>24</v>
      </c>
      <c r="B284" s="24">
        <f>Input!A196</f>
        <v>394.3</v>
      </c>
      <c r="C284" s="3" t="str">
        <f>Input!B196</f>
        <v>TOOLS &amp; OTHER EQUIPMENT</v>
      </c>
      <c r="D284" s="3"/>
      <c r="E284" s="3">
        <f>Input!D196+Input!E196</f>
        <v>1333005</v>
      </c>
      <c r="F284" s="3">
        <f ca="1">Customer!F284+Commodity!F284+Demand!F284</f>
        <v>763188</v>
      </c>
      <c r="G284" s="3">
        <f ca="1">Customer!G284+Commodity!G284+Demand!G284</f>
        <v>290577</v>
      </c>
      <c r="H284" s="3">
        <f ca="1">Customer!H284+Commodity!H284+Demand!H284</f>
        <v>464</v>
      </c>
      <c r="I284" s="3">
        <f ca="1">Customer!I284+Commodity!I284+Demand!I284</f>
        <v>2395</v>
      </c>
      <c r="J284" s="3">
        <f ca="1">Customer!J284+Commodity!J284+Demand!J284</f>
        <v>276380</v>
      </c>
      <c r="K284" s="3">
        <f ca="1">Customer!K284+Commodity!K284+Demand!K284</f>
        <v>0</v>
      </c>
      <c r="L284" s="3">
        <f ca="1">Customer!L284+Commodity!L284+Demand!L284</f>
        <v>0</v>
      </c>
      <c r="N284" s="3"/>
      <c r="O284" s="3"/>
      <c r="P284" s="3"/>
      <c r="Q284" s="3"/>
      <c r="R284" s="3"/>
      <c r="S284" s="3"/>
    </row>
    <row r="285" spans="1:19" ht="11.25" x14ac:dyDescent="0.2">
      <c r="A285" s="325">
        <f t="shared" si="37"/>
        <v>25</v>
      </c>
      <c r="B285" s="24">
        <f>Input!A197</f>
        <v>395</v>
      </c>
      <c r="C285" s="3" t="str">
        <f>Input!B197</f>
        <v>LABORATORY EQUIPMENT</v>
      </c>
      <c r="D285" s="3"/>
      <c r="E285" s="3">
        <f>Input!D197+Input!E197</f>
        <v>7764</v>
      </c>
      <c r="F285" s="3">
        <f ca="1">Customer!F285+Commodity!F285+Demand!F285</f>
        <v>4445</v>
      </c>
      <c r="G285" s="3">
        <f ca="1">Customer!G285+Commodity!G285+Demand!G285</f>
        <v>1693</v>
      </c>
      <c r="H285" s="3">
        <f ca="1">Customer!H285+Commodity!H285+Demand!H285</f>
        <v>2</v>
      </c>
      <c r="I285" s="3">
        <f ca="1">Customer!I285+Commodity!I285+Demand!I285</f>
        <v>15</v>
      </c>
      <c r="J285" s="3">
        <f ca="1">Customer!J285+Commodity!J285+Demand!J285</f>
        <v>1610</v>
      </c>
      <c r="K285" s="3">
        <f ca="1">Customer!K285+Commodity!K285+Demand!K285</f>
        <v>0</v>
      </c>
      <c r="L285" s="3">
        <f ca="1">Customer!L285+Commodity!L285+Demand!L285</f>
        <v>0</v>
      </c>
      <c r="N285" s="3"/>
      <c r="O285" s="3"/>
      <c r="P285" s="3"/>
      <c r="Q285" s="3"/>
      <c r="R285" s="3"/>
      <c r="S285" s="3"/>
    </row>
    <row r="286" spans="1:19" ht="11.25" x14ac:dyDescent="0.2">
      <c r="A286" s="325">
        <f t="shared" si="37"/>
        <v>26</v>
      </c>
      <c r="B286" s="24">
        <f>Input!A198</f>
        <v>396</v>
      </c>
      <c r="C286" s="3" t="str">
        <f>Input!B198</f>
        <v>POWER OP EQUIP-GEN TOOLS</v>
      </c>
      <c r="D286" s="3"/>
      <c r="E286" s="3">
        <f>Input!D198+Input!E198</f>
        <v>202598</v>
      </c>
      <c r="F286" s="3">
        <f ca="1">Customer!F286+Commodity!F286+Demand!F286</f>
        <v>115994</v>
      </c>
      <c r="G286" s="3">
        <f ca="1">Customer!G286+Commodity!G286+Demand!G286</f>
        <v>44164</v>
      </c>
      <c r="H286" s="3">
        <f ca="1">Customer!H286+Commodity!H286+Demand!H286</f>
        <v>71</v>
      </c>
      <c r="I286" s="3">
        <f ca="1">Customer!I286+Commodity!I286+Demand!I286</f>
        <v>364</v>
      </c>
      <c r="J286" s="3">
        <f ca="1">Customer!J286+Commodity!J286+Demand!J286</f>
        <v>42006</v>
      </c>
      <c r="K286" s="3">
        <f ca="1">Customer!K286+Commodity!K286+Demand!K286</f>
        <v>0</v>
      </c>
      <c r="L286" s="3">
        <f ca="1">Customer!L286+Commodity!L286+Demand!L286</f>
        <v>0</v>
      </c>
      <c r="N286" s="3"/>
      <c r="O286" s="3"/>
      <c r="P286" s="3"/>
      <c r="Q286" s="3"/>
      <c r="R286" s="3"/>
      <c r="S286" s="3"/>
    </row>
    <row r="287" spans="1:19" ht="11.25" x14ac:dyDescent="0.2">
      <c r="A287" s="325">
        <f t="shared" si="37"/>
        <v>27</v>
      </c>
      <c r="B287" s="24"/>
      <c r="C287" s="3" t="str">
        <f>Input!B199</f>
        <v>RETIREMENT WORK IN PROGRESS</v>
      </c>
      <c r="D287" s="3"/>
      <c r="E287" s="3">
        <f>Input!D199+Input!E199</f>
        <v>0</v>
      </c>
      <c r="F287" s="3">
        <f ca="1">Customer!F287+Commodity!F287+Demand!F287</f>
        <v>0</v>
      </c>
      <c r="G287" s="3">
        <f ca="1">Customer!G287+Commodity!G287+Demand!G287</f>
        <v>0</v>
      </c>
      <c r="H287" s="3">
        <f ca="1">Customer!H287+Commodity!H287+Demand!H287</f>
        <v>0</v>
      </c>
      <c r="I287" s="3">
        <f ca="1">Customer!I287+Commodity!I287+Demand!I287</f>
        <v>0</v>
      </c>
      <c r="J287" s="3">
        <f ca="1">Customer!J287+Commodity!J287+Demand!J287</f>
        <v>0</v>
      </c>
      <c r="K287" s="3">
        <f ca="1">Customer!K287+Commodity!K287+Demand!K287</f>
        <v>0</v>
      </c>
      <c r="L287" s="3">
        <f ca="1">Customer!L287+Commodity!L287+Demand!L287</f>
        <v>0</v>
      </c>
      <c r="N287" s="3"/>
      <c r="O287" s="3"/>
      <c r="P287" s="3"/>
      <c r="Q287" s="3"/>
      <c r="R287" s="3"/>
      <c r="S287" s="3"/>
    </row>
    <row r="288" spans="1:19" ht="11.25" x14ac:dyDescent="0.2">
      <c r="A288" s="325">
        <f t="shared" si="37"/>
        <v>28</v>
      </c>
      <c r="B288" s="24">
        <f>Input!A200</f>
        <v>398</v>
      </c>
      <c r="C288" s="3" t="str">
        <f>Input!B200</f>
        <v>MISCELLANEOUS EQUIPMENT</v>
      </c>
      <c r="D288" s="3"/>
      <c r="E288" s="3">
        <f>Input!D200+Input!E200</f>
        <v>12094</v>
      </c>
      <c r="F288" s="26">
        <f ca="1">Customer!F288+Commodity!F288+Demand!F288</f>
        <v>6924</v>
      </c>
      <c r="G288" s="26">
        <f ca="1">Customer!G288+Commodity!G288+Demand!G288</f>
        <v>2636</v>
      </c>
      <c r="H288" s="26">
        <f ca="1">Customer!H288+Commodity!H288+Demand!H288</f>
        <v>4</v>
      </c>
      <c r="I288" s="26">
        <f ca="1">Customer!I288+Commodity!I288+Demand!I288</f>
        <v>22</v>
      </c>
      <c r="J288" s="26">
        <f ca="1">Customer!J288+Commodity!J288+Demand!J288</f>
        <v>2507</v>
      </c>
      <c r="K288" s="26">
        <f ca="1">Customer!K288+Commodity!K288+Demand!K288</f>
        <v>0</v>
      </c>
      <c r="L288" s="26">
        <f ca="1">Customer!L288+Commodity!L288+Demand!L288</f>
        <v>0</v>
      </c>
      <c r="N288" s="3"/>
      <c r="O288" s="3"/>
      <c r="P288" s="3"/>
      <c r="Q288" s="3"/>
      <c r="R288" s="3"/>
      <c r="S288" s="3"/>
    </row>
    <row r="289" spans="1:19" ht="11.25" x14ac:dyDescent="0.2">
      <c r="A289" s="325">
        <f t="shared" si="37"/>
        <v>29</v>
      </c>
      <c r="B289" s="24"/>
      <c r="C289" s="25" t="s">
        <v>90</v>
      </c>
      <c r="D289" s="3"/>
      <c r="E289" s="26">
        <f t="shared" ref="E289:L289" si="38">SUM(E275:E288)</f>
        <v>2347553</v>
      </c>
      <c r="F289" s="26">
        <f t="shared" ca="1" si="38"/>
        <v>1344048</v>
      </c>
      <c r="G289" s="26">
        <f t="shared" ca="1" si="38"/>
        <v>511735</v>
      </c>
      <c r="H289" s="26">
        <f t="shared" ca="1" si="38"/>
        <v>814</v>
      </c>
      <c r="I289" s="26">
        <f t="shared" ca="1" si="38"/>
        <v>4218</v>
      </c>
      <c r="J289" s="26">
        <f t="shared" ca="1" si="38"/>
        <v>486731</v>
      </c>
      <c r="K289" s="26">
        <f t="shared" ca="1" si="38"/>
        <v>0</v>
      </c>
      <c r="L289" s="26">
        <f t="shared" ca="1" si="38"/>
        <v>0</v>
      </c>
      <c r="N289" s="3"/>
      <c r="O289" s="3"/>
      <c r="P289" s="3"/>
      <c r="Q289" s="3"/>
      <c r="R289" s="3"/>
      <c r="S289" s="3"/>
    </row>
    <row r="290" spans="1:19" ht="11.25" x14ac:dyDescent="0.2">
      <c r="A290" s="325"/>
      <c r="B290" s="24"/>
      <c r="C290" s="3"/>
      <c r="D290" s="3"/>
      <c r="E290" s="3"/>
      <c r="F290" s="3"/>
      <c r="G290" s="3"/>
      <c r="H290" s="3"/>
      <c r="I290" s="3"/>
      <c r="J290" s="3"/>
      <c r="K290" s="3"/>
      <c r="L290" s="3"/>
      <c r="N290" s="3"/>
      <c r="O290" s="3"/>
      <c r="P290" s="3"/>
      <c r="Q290" s="3"/>
      <c r="R290" s="3"/>
      <c r="S290" s="3"/>
    </row>
    <row r="291" spans="1:19" ht="11.25" x14ac:dyDescent="0.2">
      <c r="A291" s="325">
        <f>A289+1</f>
        <v>30</v>
      </c>
      <c r="B291" s="3"/>
      <c r="C291" s="25" t="s">
        <v>162</v>
      </c>
      <c r="D291" s="3"/>
      <c r="E291" s="3">
        <f>'Total Co'!E220+'Total Co'!E227+E271+E289</f>
        <v>151708251</v>
      </c>
      <c r="F291" s="3">
        <f ca="1">'Total Co'!F220+'Total Co'!F227+F271+F289</f>
        <v>95496496</v>
      </c>
      <c r="G291" s="3">
        <f ca="1">'Total Co'!G220+'Total Co'!G227+G271+G289</f>
        <v>30521646</v>
      </c>
      <c r="H291" s="3">
        <f ca="1">'Total Co'!H220+'Total Co'!H227+H271+H289</f>
        <v>43311</v>
      </c>
      <c r="I291" s="3">
        <f ca="1">'Total Co'!I220+'Total Co'!I227+I271+I289</f>
        <v>165248.1</v>
      </c>
      <c r="J291" s="3">
        <f ca="1">'Total Co'!J220+'Total Co'!J227+J271+J289</f>
        <v>25481547</v>
      </c>
      <c r="K291" s="3">
        <f ca="1">'Total Co'!K220+'Total Co'!K227+K271+K289</f>
        <v>0</v>
      </c>
      <c r="L291" s="3">
        <f ca="1">'Total Co'!L220+'Total Co'!L227+L271+L289</f>
        <v>0</v>
      </c>
      <c r="N291" s="3"/>
      <c r="O291" s="3"/>
      <c r="P291" s="3"/>
      <c r="Q291" s="3"/>
      <c r="R291" s="3"/>
      <c r="S291" s="3"/>
    </row>
    <row r="292" spans="1:19" ht="11.25" x14ac:dyDescent="0.2">
      <c r="A292" s="3" t="s">
        <v>810</v>
      </c>
      <c r="B292" s="3"/>
      <c r="C292" s="14"/>
      <c r="D292" s="3"/>
      <c r="E292" s="3"/>
      <c r="F292" s="325" t="str">
        <f>" "&amp;+Input!$B$1</f>
        <v xml:space="preserve"> COLUMBIA GAS OF KENTUCKY, INC.</v>
      </c>
      <c r="H292" s="3"/>
      <c r="I292" s="3"/>
      <c r="J292" s="3"/>
      <c r="K292" s="3"/>
      <c r="L292" s="32" t="str">
        <f>Input!$B$2</f>
        <v>ATTACHMENT CEN-2</v>
      </c>
      <c r="N292" s="3"/>
      <c r="O292" s="3"/>
      <c r="P292" s="3"/>
      <c r="Q292" s="3"/>
      <c r="R292" s="3"/>
      <c r="S292" s="3"/>
    </row>
    <row r="293" spans="1:19" ht="11.25" x14ac:dyDescent="0.2">
      <c r="A293" s="3" t="str">
        <f>Input!$B$7</f>
        <v>DEMAND-COMMODITY</v>
      </c>
      <c r="B293" s="3"/>
      <c r="C293" s="3"/>
      <c r="D293" s="3"/>
      <c r="E293" s="3"/>
      <c r="F293" s="325" t="s">
        <v>165</v>
      </c>
      <c r="H293" s="3"/>
      <c r="I293" s="3"/>
      <c r="J293" s="3"/>
      <c r="K293" s="3"/>
      <c r="L293" s="32" t="str">
        <f>"PAGE 9 OF "&amp;FIXED(Input!$B$8,0,TRUE)</f>
        <v>PAGE 9 OF 129</v>
      </c>
      <c r="N293" s="3"/>
      <c r="O293" s="3"/>
      <c r="P293" s="3"/>
      <c r="Q293" s="3"/>
      <c r="R293" s="3"/>
      <c r="S293" s="3"/>
    </row>
    <row r="294" spans="1:19" ht="11.25" x14ac:dyDescent="0.2">
      <c r="A294" s="17" t="str">
        <f>Input!$B$6</f>
        <v>FORECASTED TEST YEAR - ORIGINAL FILING</v>
      </c>
      <c r="B294" s="17"/>
      <c r="C294" s="17"/>
      <c r="D294" s="18"/>
      <c r="E294" s="18"/>
      <c r="F294" s="19" t="str">
        <f>"FOR THE TWELVE MONTHS ENDED "&amp;Input!$B$4</f>
        <v>FOR THE TWELVE MONTHS ENDED 12/31/2017</v>
      </c>
      <c r="G294" s="329"/>
      <c r="H294" s="17"/>
      <c r="I294" s="17"/>
      <c r="J294" s="17"/>
      <c r="K294" s="17"/>
      <c r="L294" s="183" t="str">
        <f>"WITNESS: "&amp;Input!$B$5</f>
        <v>WITNESS: C. NOTESTONE</v>
      </c>
      <c r="N294" s="3"/>
      <c r="O294" s="3"/>
      <c r="P294" s="3"/>
      <c r="Q294" s="3"/>
      <c r="R294" s="3"/>
      <c r="S294" s="3"/>
    </row>
    <row r="295" spans="1:19" ht="11.25" x14ac:dyDescent="0.2">
      <c r="A295" s="325" t="s">
        <v>5</v>
      </c>
      <c r="B295" s="3" t="s">
        <v>6</v>
      </c>
      <c r="C295" s="3"/>
      <c r="D295" s="325" t="s">
        <v>7</v>
      </c>
      <c r="E295" s="325" t="s">
        <v>8</v>
      </c>
      <c r="F295" s="3"/>
      <c r="G295" s="3"/>
      <c r="H295" s="3"/>
      <c r="I295" s="3"/>
      <c r="J295" s="3"/>
      <c r="K295" s="3"/>
      <c r="L295" s="3"/>
      <c r="N295" s="3"/>
      <c r="O295" s="3"/>
      <c r="P295" s="3"/>
      <c r="Q295" s="3"/>
      <c r="R295" s="3"/>
      <c r="S295" s="3"/>
    </row>
    <row r="296" spans="1:19" ht="11.25" x14ac:dyDescent="0.2">
      <c r="A296" s="341" t="s">
        <v>9</v>
      </c>
      <c r="B296" s="341" t="s">
        <v>9</v>
      </c>
      <c r="C296" s="34" t="str">
        <f>'Total Co'!C128</f>
        <v xml:space="preserve"> ACCOUNT TITLE</v>
      </c>
      <c r="D296" s="26" t="s">
        <v>10</v>
      </c>
      <c r="E296" s="341" t="s">
        <v>11</v>
      </c>
      <c r="F296" s="341" t="str">
        <f>"  "&amp;+Input!$C$12</f>
        <v xml:space="preserve">  GS-RESIDENTIAL</v>
      </c>
      <c r="G296" s="341" t="str">
        <f>Input!$C$13</f>
        <v>GS-OTHER</v>
      </c>
      <c r="H296" s="341" t="str">
        <f>Input!$C$14</f>
        <v>IUS</v>
      </c>
      <c r="I296" s="341" t="str">
        <f>Input!$C$15</f>
        <v>DS-ML</v>
      </c>
      <c r="J296" s="341" t="str">
        <f>Input!$C$16</f>
        <v>DS/IS</v>
      </c>
      <c r="K296" s="341" t="str">
        <f>Input!$C$17</f>
        <v>NOT USED</v>
      </c>
      <c r="L296" s="341" t="str">
        <f>Input!$C$18</f>
        <v>NOT USED</v>
      </c>
      <c r="N296" s="3"/>
      <c r="O296" s="3"/>
      <c r="P296" s="3"/>
      <c r="Q296" s="3"/>
      <c r="R296" s="3"/>
      <c r="S296" s="3"/>
    </row>
    <row r="297" spans="1:19" ht="11.25" x14ac:dyDescent="0.2">
      <c r="A297" s="3"/>
      <c r="B297" s="342" t="s">
        <v>13</v>
      </c>
      <c r="C297" s="342" t="s">
        <v>14</v>
      </c>
      <c r="D297" s="325" t="s">
        <v>15</v>
      </c>
      <c r="E297" s="325" t="s">
        <v>16</v>
      </c>
      <c r="F297" s="325" t="s">
        <v>17</v>
      </c>
      <c r="G297" s="325" t="s">
        <v>18</v>
      </c>
      <c r="H297" s="325" t="s">
        <v>19</v>
      </c>
      <c r="I297" s="325" t="s">
        <v>20</v>
      </c>
      <c r="J297" s="325" t="s">
        <v>21</v>
      </c>
      <c r="K297" s="325" t="s">
        <v>22</v>
      </c>
      <c r="L297" s="325" t="s">
        <v>23</v>
      </c>
      <c r="N297" s="3"/>
      <c r="O297" s="3"/>
      <c r="P297" s="3"/>
      <c r="Q297" s="3"/>
      <c r="R297" s="3"/>
      <c r="S297" s="3"/>
    </row>
    <row r="298" spans="1:19" ht="11.25" x14ac:dyDescent="0.2">
      <c r="A298" s="3"/>
      <c r="B298" s="3"/>
      <c r="C298" s="3"/>
      <c r="D298" s="3"/>
      <c r="E298" s="325" t="s">
        <v>26</v>
      </c>
      <c r="F298" s="325" t="s">
        <v>26</v>
      </c>
      <c r="G298" s="325" t="s">
        <v>26</v>
      </c>
      <c r="H298" s="325" t="s">
        <v>26</v>
      </c>
      <c r="I298" s="325" t="s">
        <v>26</v>
      </c>
      <c r="J298" s="325" t="s">
        <v>26</v>
      </c>
      <c r="K298" s="325" t="s">
        <v>26</v>
      </c>
      <c r="L298" s="325" t="s">
        <v>26</v>
      </c>
      <c r="N298" s="3"/>
      <c r="O298" s="3"/>
      <c r="P298" s="3"/>
      <c r="Q298" s="3"/>
      <c r="R298" s="3"/>
      <c r="S298" s="3"/>
    </row>
    <row r="299" spans="1:19" ht="11.25" x14ac:dyDescent="0.2">
      <c r="A299" s="3"/>
      <c r="B299" s="3"/>
      <c r="C299" s="3" t="str">
        <f>Input!A209</f>
        <v>INTANGIBLE PLANT</v>
      </c>
      <c r="D299" s="3"/>
      <c r="E299" s="3"/>
      <c r="F299" s="3"/>
      <c r="G299" s="3"/>
      <c r="H299" s="3"/>
      <c r="I299" s="3"/>
      <c r="J299" s="3"/>
      <c r="K299" s="3"/>
      <c r="L299" s="3"/>
      <c r="N299" s="3"/>
      <c r="O299" s="3"/>
      <c r="P299" s="3"/>
      <c r="Q299" s="3"/>
      <c r="R299" s="3"/>
      <c r="S299" s="3"/>
    </row>
    <row r="300" spans="1:19" ht="11.2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N300" s="3"/>
      <c r="O300" s="3"/>
      <c r="P300" s="3"/>
      <c r="Q300" s="3"/>
      <c r="R300" s="3"/>
      <c r="S300" s="3"/>
    </row>
    <row r="301" spans="1:19" ht="11.25" x14ac:dyDescent="0.2">
      <c r="A301" s="3">
        <v>1</v>
      </c>
      <c r="B301" s="24">
        <f>Input!A210</f>
        <v>301</v>
      </c>
      <c r="C301" s="3" t="str">
        <f>Input!B210</f>
        <v>ORGANIZATION</v>
      </c>
      <c r="D301" s="3"/>
      <c r="E301" s="3">
        <f>Input!D210</f>
        <v>0</v>
      </c>
      <c r="F301" s="3">
        <f ca="1">Customer!F301+Commodity!F301+Demand!F301</f>
        <v>0</v>
      </c>
      <c r="G301" s="3">
        <f ca="1">Customer!G301+Commodity!G301+Demand!G301</f>
        <v>0</v>
      </c>
      <c r="H301" s="3">
        <f ca="1">Customer!H301+Commodity!H301+Demand!H301</f>
        <v>0</v>
      </c>
      <c r="I301" s="3">
        <f ca="1">Customer!I301+Commodity!I301+Demand!I301</f>
        <v>0</v>
      </c>
      <c r="J301" s="3">
        <f ca="1">Customer!J301+Commodity!J301+Demand!J301</f>
        <v>0</v>
      </c>
      <c r="K301" s="3">
        <f ca="1">Customer!K301+Commodity!K301+Demand!K301</f>
        <v>0</v>
      </c>
      <c r="L301" s="3">
        <f ca="1">Customer!L301+Commodity!L301+Demand!L301</f>
        <v>0</v>
      </c>
      <c r="N301" s="3"/>
      <c r="O301" s="3"/>
      <c r="P301" s="3"/>
      <c r="Q301" s="3"/>
      <c r="R301" s="3"/>
      <c r="S301" s="3"/>
    </row>
    <row r="302" spans="1:19" ht="11.25" x14ac:dyDescent="0.2">
      <c r="A302" s="3">
        <f>A301+1</f>
        <v>2</v>
      </c>
      <c r="B302" s="24">
        <f>Input!A211</f>
        <v>303</v>
      </c>
      <c r="C302" s="3" t="str">
        <f>Input!B211</f>
        <v>MISC. INTANGIBLE PLANT</v>
      </c>
      <c r="D302" s="3"/>
      <c r="E302" s="3">
        <f>Input!D211</f>
        <v>2478.2400000000002</v>
      </c>
      <c r="F302" s="3">
        <f ca="1">Customer!F302+Commodity!F302+Demand!F302</f>
        <v>1419</v>
      </c>
      <c r="G302" s="3">
        <f ca="1">Customer!G302+Commodity!G302+Demand!G302</f>
        <v>540</v>
      </c>
      <c r="H302" s="3">
        <f ca="1">Customer!H302+Commodity!H302+Demand!H302</f>
        <v>0</v>
      </c>
      <c r="I302" s="3">
        <f ca="1">Customer!I302+Commodity!I302+Demand!I302</f>
        <v>4</v>
      </c>
      <c r="J302" s="3">
        <f ca="1">Customer!J302+Commodity!J302+Demand!J302</f>
        <v>514</v>
      </c>
      <c r="K302" s="3">
        <f ca="1">Customer!K302+Commodity!K302+Demand!K302</f>
        <v>0</v>
      </c>
      <c r="L302" s="3">
        <f ca="1">Customer!L302+Commodity!L302+Demand!L302</f>
        <v>0</v>
      </c>
      <c r="N302" s="3"/>
      <c r="O302" s="3"/>
      <c r="P302" s="3"/>
      <c r="Q302" s="3"/>
      <c r="R302" s="3"/>
      <c r="S302" s="3"/>
    </row>
    <row r="303" spans="1:19" ht="11.25" x14ac:dyDescent="0.2">
      <c r="A303" s="3">
        <f>A302+1</f>
        <v>3</v>
      </c>
      <c r="B303" s="24">
        <f>Input!A212</f>
        <v>303.10000000000002</v>
      </c>
      <c r="C303" s="3" t="str">
        <f>Input!B212</f>
        <v>DIS SOFTWARE</v>
      </c>
      <c r="D303" s="3"/>
      <c r="E303" s="3">
        <f>Input!D212</f>
        <v>0</v>
      </c>
      <c r="F303" s="3">
        <f ca="1">Customer!F303+Commodity!F303+Demand!F303</f>
        <v>0</v>
      </c>
      <c r="G303" s="3">
        <f ca="1">Customer!G303+Commodity!G303+Demand!G303</f>
        <v>0</v>
      </c>
      <c r="H303" s="3">
        <f ca="1">Customer!H303+Commodity!H303+Demand!H303</f>
        <v>0</v>
      </c>
      <c r="I303" s="3">
        <f ca="1">Customer!I303+Commodity!I303+Demand!I303</f>
        <v>0</v>
      </c>
      <c r="J303" s="3">
        <f ca="1">Customer!J303+Commodity!J303+Demand!J303</f>
        <v>0</v>
      </c>
      <c r="K303" s="3">
        <f ca="1">Customer!K303+Commodity!K303+Demand!K303</f>
        <v>0</v>
      </c>
      <c r="L303" s="3">
        <f ca="1">Customer!L303+Commodity!L303+Demand!L303</f>
        <v>0</v>
      </c>
      <c r="N303" s="3"/>
      <c r="O303" s="3"/>
      <c r="P303" s="3"/>
      <c r="Q303" s="3"/>
      <c r="R303" s="3"/>
      <c r="S303" s="3"/>
    </row>
    <row r="304" spans="1:19" ht="11.25" x14ac:dyDescent="0.2">
      <c r="A304" s="3">
        <f>A303+1</f>
        <v>4</v>
      </c>
      <c r="B304" s="24">
        <f>Input!A213</f>
        <v>303.2</v>
      </c>
      <c r="C304" s="3" t="str">
        <f>Input!B213</f>
        <v>FARA SOFTWARE</v>
      </c>
      <c r="D304" s="3"/>
      <c r="E304" s="3">
        <f>Input!D213</f>
        <v>0</v>
      </c>
      <c r="F304" s="3">
        <f ca="1">Customer!F304+Commodity!F304+Demand!F304</f>
        <v>0</v>
      </c>
      <c r="G304" s="3">
        <f ca="1">Customer!G304+Commodity!G304+Demand!G304</f>
        <v>0</v>
      </c>
      <c r="H304" s="3">
        <f ca="1">Customer!H304+Commodity!H304+Demand!H304</f>
        <v>0</v>
      </c>
      <c r="I304" s="3">
        <f ca="1">Customer!I304+Commodity!I304+Demand!I304</f>
        <v>0</v>
      </c>
      <c r="J304" s="3">
        <f ca="1">Customer!J304+Commodity!J304+Demand!J304</f>
        <v>0</v>
      </c>
      <c r="K304" s="3">
        <f ca="1">Customer!K304+Commodity!K304+Demand!K304</f>
        <v>0</v>
      </c>
      <c r="L304" s="3">
        <f ca="1">Customer!L304+Commodity!L304+Demand!L304</f>
        <v>0</v>
      </c>
      <c r="N304" s="3"/>
      <c r="O304" s="3"/>
      <c r="P304" s="3"/>
      <c r="Q304" s="3"/>
      <c r="R304" s="3"/>
      <c r="S304" s="3"/>
    </row>
    <row r="305" spans="1:19" ht="11.25" x14ac:dyDescent="0.2">
      <c r="A305" s="3">
        <f>A304+1</f>
        <v>5</v>
      </c>
      <c r="B305" s="24">
        <f>Input!A214</f>
        <v>303.3</v>
      </c>
      <c r="C305" s="3" t="str">
        <f>Input!B214</f>
        <v>OTHER SOFTWARE</v>
      </c>
      <c r="D305" s="3"/>
      <c r="E305" s="26">
        <f>Input!D214</f>
        <v>1271617.3233508226</v>
      </c>
      <c r="F305" s="26">
        <f ca="1">Customer!F305+Commodity!F305+Demand!F305</f>
        <v>728042</v>
      </c>
      <c r="G305" s="26">
        <f ca="1">Customer!G305+Commodity!G305+Demand!G305</f>
        <v>277195</v>
      </c>
      <c r="H305" s="26">
        <f ca="1">Customer!H305+Commodity!H305+Demand!H305</f>
        <v>443</v>
      </c>
      <c r="I305" s="26">
        <f ca="1">Customer!I305+Commodity!I305+Demand!I305</f>
        <v>2285</v>
      </c>
      <c r="J305" s="26">
        <f ca="1">Customer!J305+Commodity!J305+Demand!J305</f>
        <v>263653</v>
      </c>
      <c r="K305" s="26">
        <f ca="1">Customer!K305+Commodity!K305+Demand!K305</f>
        <v>0</v>
      </c>
      <c r="L305" s="26">
        <f ca="1">Customer!L305+Commodity!L305+Demand!L305</f>
        <v>0</v>
      </c>
      <c r="N305" s="3"/>
      <c r="O305" s="3"/>
      <c r="P305" s="3"/>
      <c r="Q305" s="3"/>
      <c r="R305" s="3"/>
      <c r="S305" s="3"/>
    </row>
    <row r="306" spans="1:19" ht="11.25" x14ac:dyDescent="0.2">
      <c r="A306" s="3">
        <f>A305+1</f>
        <v>6</v>
      </c>
      <c r="B306" s="24"/>
      <c r="C306" s="3" t="s">
        <v>159</v>
      </c>
      <c r="D306" s="3"/>
      <c r="E306" s="3">
        <f t="shared" ref="E306:L306" si="39">SUM(E301:E305)</f>
        <v>1274095.5633508225</v>
      </c>
      <c r="F306" s="3">
        <f t="shared" ca="1" si="39"/>
        <v>729461</v>
      </c>
      <c r="G306" s="3">
        <f t="shared" ca="1" si="39"/>
        <v>277735</v>
      </c>
      <c r="H306" s="3">
        <f t="shared" ca="1" si="39"/>
        <v>443</v>
      </c>
      <c r="I306" s="3">
        <f t="shared" ca="1" si="39"/>
        <v>2289</v>
      </c>
      <c r="J306" s="3">
        <f t="shared" ca="1" si="39"/>
        <v>264167</v>
      </c>
      <c r="K306" s="3">
        <f t="shared" ca="1" si="39"/>
        <v>0</v>
      </c>
      <c r="L306" s="3">
        <f t="shared" ca="1" si="39"/>
        <v>0</v>
      </c>
      <c r="N306" s="3"/>
      <c r="O306" s="3"/>
      <c r="P306" s="3"/>
      <c r="Q306" s="3"/>
      <c r="R306" s="3"/>
      <c r="S306" s="3"/>
    </row>
    <row r="307" spans="1:19" ht="11.2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N307" s="3"/>
      <c r="O307" s="3"/>
      <c r="P307" s="3"/>
      <c r="Q307" s="3"/>
      <c r="R307" s="3"/>
      <c r="S307" s="3"/>
    </row>
    <row r="308" spans="1:19" ht="11.25" x14ac:dyDescent="0.2">
      <c r="A308" s="3">
        <f>A306+1</f>
        <v>7</v>
      </c>
      <c r="B308" s="3"/>
      <c r="C308" s="24" t="str">
        <f>Input!A215</f>
        <v>PRODUCTION PLANT</v>
      </c>
      <c r="D308" s="3"/>
      <c r="E308" s="3"/>
      <c r="F308" s="3"/>
      <c r="G308" s="3"/>
      <c r="H308" s="3"/>
      <c r="I308" s="3"/>
      <c r="J308" s="3"/>
      <c r="K308" s="3"/>
      <c r="L308" s="3"/>
      <c r="N308" s="3"/>
      <c r="O308" s="3"/>
      <c r="P308" s="3"/>
      <c r="Q308" s="3"/>
      <c r="R308" s="3"/>
      <c r="S308" s="3"/>
    </row>
    <row r="309" spans="1:19" ht="11.2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N309" s="3"/>
      <c r="O309" s="3"/>
      <c r="P309" s="3"/>
      <c r="Q309" s="3"/>
      <c r="R309" s="3"/>
      <c r="S309" s="3"/>
    </row>
    <row r="310" spans="1:19" ht="11.25" x14ac:dyDescent="0.2">
      <c r="A310" s="3">
        <f>A308+1</f>
        <v>8</v>
      </c>
      <c r="B310" s="24">
        <f>Input!A216</f>
        <v>304.10000000000002</v>
      </c>
      <c r="C310" s="24" t="str">
        <f>Input!B216</f>
        <v>LAND</v>
      </c>
      <c r="D310" s="23"/>
      <c r="E310" s="3">
        <f>Input!D216</f>
        <v>0</v>
      </c>
      <c r="F310" s="3">
        <f>Customer!F310+Commodity!F310+Demand!F310</f>
        <v>0</v>
      </c>
      <c r="G310" s="3">
        <f>Customer!G310+Commodity!G310+Demand!G310</f>
        <v>0</v>
      </c>
      <c r="H310" s="3">
        <f>Customer!H310+Commodity!H310+Demand!H310</f>
        <v>0</v>
      </c>
      <c r="I310" s="3">
        <f>Customer!I310+Commodity!I310+Demand!I310</f>
        <v>0</v>
      </c>
      <c r="J310" s="3">
        <f>Customer!J310+Commodity!J310+Demand!J310</f>
        <v>0</v>
      </c>
      <c r="K310" s="3">
        <f>Customer!K310+Commodity!K310+Demand!K310</f>
        <v>0</v>
      </c>
      <c r="L310" s="3">
        <f>Customer!L310+Commodity!L310+Demand!L310</f>
        <v>0</v>
      </c>
      <c r="N310" s="3"/>
      <c r="O310" s="3"/>
      <c r="P310" s="3"/>
      <c r="Q310" s="3"/>
      <c r="R310" s="3"/>
      <c r="S310" s="3"/>
    </row>
    <row r="311" spans="1:19" ht="11.25" x14ac:dyDescent="0.2">
      <c r="A311" s="3">
        <f>A310+1</f>
        <v>9</v>
      </c>
      <c r="B311" s="24">
        <f>Input!A217</f>
        <v>305</v>
      </c>
      <c r="C311" s="24" t="str">
        <f>Input!B217</f>
        <v>STRUCTURES &amp; IMPROVEMENTS</v>
      </c>
      <c r="D311" s="23"/>
      <c r="E311" s="3">
        <f>Input!D217</f>
        <v>0</v>
      </c>
      <c r="F311" s="3">
        <f>Customer!F311+Commodity!F311+Demand!F311</f>
        <v>0</v>
      </c>
      <c r="G311" s="3">
        <f>Customer!G311+Commodity!G311+Demand!G311</f>
        <v>0</v>
      </c>
      <c r="H311" s="3">
        <f>Customer!H311+Commodity!H311+Demand!H311</f>
        <v>0</v>
      </c>
      <c r="I311" s="3">
        <f>Customer!I311+Commodity!I311+Demand!I311</f>
        <v>0</v>
      </c>
      <c r="J311" s="3">
        <f>Customer!J311+Commodity!J311+Demand!J311</f>
        <v>0</v>
      </c>
      <c r="K311" s="3">
        <f>Customer!K311+Commodity!K311+Demand!K311</f>
        <v>0</v>
      </c>
      <c r="L311" s="3">
        <f>Customer!L311+Commodity!L311+Demand!L311</f>
        <v>0</v>
      </c>
      <c r="N311" s="3"/>
      <c r="O311" s="3"/>
      <c r="P311" s="3"/>
      <c r="Q311" s="3"/>
      <c r="R311" s="3"/>
      <c r="S311" s="3"/>
    </row>
    <row r="312" spans="1:19" ht="11.25" x14ac:dyDescent="0.2">
      <c r="A312" s="3">
        <f>A311+1</f>
        <v>10</v>
      </c>
      <c r="B312" s="24">
        <f>Input!A218</f>
        <v>311</v>
      </c>
      <c r="C312" s="24" t="str">
        <f>Input!B218</f>
        <v>LIQUEFIED PETROLEUM GAS EQUIP</v>
      </c>
      <c r="D312" s="23"/>
      <c r="E312" s="26">
        <f>Input!D218</f>
        <v>0</v>
      </c>
      <c r="F312" s="26">
        <f>Customer!F312+Commodity!F312+Demand!F312</f>
        <v>0</v>
      </c>
      <c r="G312" s="26">
        <f>Customer!G312+Commodity!G312+Demand!G312</f>
        <v>0</v>
      </c>
      <c r="H312" s="26">
        <f>Customer!H312+Commodity!H312+Demand!H312</f>
        <v>0</v>
      </c>
      <c r="I312" s="26">
        <f>Customer!I312+Commodity!I312+Demand!I312</f>
        <v>0</v>
      </c>
      <c r="J312" s="26">
        <f>Customer!J312+Commodity!J312+Demand!J312</f>
        <v>0</v>
      </c>
      <c r="K312" s="26">
        <f>Customer!K312+Commodity!K312+Demand!K312</f>
        <v>0</v>
      </c>
      <c r="L312" s="26">
        <f>Customer!L312+Commodity!L312+Demand!L312</f>
        <v>0</v>
      </c>
      <c r="N312" s="3"/>
      <c r="O312" s="3"/>
      <c r="P312" s="3"/>
      <c r="Q312" s="3"/>
      <c r="R312" s="3"/>
      <c r="S312" s="3"/>
    </row>
    <row r="313" spans="1:19" ht="11.25" x14ac:dyDescent="0.2">
      <c r="A313" s="3">
        <f>A312+1</f>
        <v>11</v>
      </c>
      <c r="B313" s="24"/>
      <c r="C313" s="3" t="s">
        <v>160</v>
      </c>
      <c r="D313" s="3"/>
      <c r="E313" s="3">
        <f t="shared" ref="E313:L313" si="40">SUM(E310:E312)</f>
        <v>0</v>
      </c>
      <c r="F313" s="3">
        <f t="shared" si="40"/>
        <v>0</v>
      </c>
      <c r="G313" s="3">
        <f t="shared" si="40"/>
        <v>0</v>
      </c>
      <c r="H313" s="3">
        <f t="shared" si="40"/>
        <v>0</v>
      </c>
      <c r="I313" s="3">
        <f t="shared" si="40"/>
        <v>0</v>
      </c>
      <c r="J313" s="3">
        <f t="shared" si="40"/>
        <v>0</v>
      </c>
      <c r="K313" s="3">
        <f t="shared" si="40"/>
        <v>0</v>
      </c>
      <c r="L313" s="3">
        <f t="shared" si="40"/>
        <v>0</v>
      </c>
      <c r="N313" s="3"/>
      <c r="O313" s="3"/>
      <c r="P313" s="3"/>
      <c r="Q313" s="3"/>
      <c r="R313" s="3"/>
      <c r="S313" s="3"/>
    </row>
    <row r="314" spans="1:19" ht="11.2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N314" s="3"/>
      <c r="O314" s="3"/>
      <c r="P314" s="3"/>
      <c r="Q314" s="3"/>
      <c r="R314" s="3"/>
      <c r="S314" s="3"/>
    </row>
    <row r="315" spans="1:19" ht="11.25" x14ac:dyDescent="0.2">
      <c r="A315" s="3">
        <f>A313+1</f>
        <v>12</v>
      </c>
      <c r="B315" s="3"/>
      <c r="C315" s="3" t="str">
        <f>Input!A219</f>
        <v>DISTRIBUTION PLANT</v>
      </c>
      <c r="D315" s="3"/>
      <c r="E315" s="3"/>
      <c r="F315" s="3"/>
      <c r="G315" s="3"/>
      <c r="H315" s="3"/>
      <c r="I315" s="3"/>
      <c r="J315" s="3"/>
      <c r="K315" s="3"/>
      <c r="L315" s="3"/>
      <c r="N315" s="3"/>
      <c r="O315" s="3"/>
      <c r="P315" s="3"/>
      <c r="Q315" s="3"/>
      <c r="R315" s="3"/>
      <c r="S315" s="3"/>
    </row>
    <row r="316" spans="1:19" ht="11.2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N316" s="3"/>
      <c r="O316" s="3"/>
      <c r="P316" s="3"/>
      <c r="Q316" s="3"/>
      <c r="R316" s="3"/>
      <c r="S316" s="3"/>
    </row>
    <row r="317" spans="1:19" ht="11.25" x14ac:dyDescent="0.2">
      <c r="A317" s="3">
        <f>A315+1</f>
        <v>13</v>
      </c>
      <c r="B317" s="24">
        <f>Input!A220</f>
        <v>374.1</v>
      </c>
      <c r="C317" s="3" t="str">
        <f>Input!B220</f>
        <v>LAND - CITY GATE &amp; M/L IND M&amp;R</v>
      </c>
      <c r="D317" s="3"/>
      <c r="E317" s="3">
        <f>Input!D220</f>
        <v>0</v>
      </c>
      <c r="F317" s="3">
        <f>Customer!F317+Commodity!F317+Demand!F317</f>
        <v>0</v>
      </c>
      <c r="G317" s="3">
        <f>Customer!G317+Commodity!G317+Demand!G317</f>
        <v>0</v>
      </c>
      <c r="H317" s="3">
        <f>Customer!H317+Commodity!H317+Demand!H317</f>
        <v>0</v>
      </c>
      <c r="I317" s="3">
        <f>Customer!I317+Commodity!I317+Demand!I317</f>
        <v>0</v>
      </c>
      <c r="J317" s="3">
        <f>Customer!J317+Commodity!J317+Demand!J317</f>
        <v>0</v>
      </c>
      <c r="K317" s="3">
        <f>Customer!K317+Commodity!K317+Demand!K317</f>
        <v>0</v>
      </c>
      <c r="L317" s="3">
        <f>Customer!L317+Commodity!L317+Demand!L317</f>
        <v>0</v>
      </c>
      <c r="N317" s="3"/>
      <c r="O317" s="3"/>
      <c r="P317" s="3"/>
      <c r="Q317" s="3"/>
      <c r="R317" s="3"/>
      <c r="S317" s="3"/>
    </row>
    <row r="318" spans="1:19" ht="11.25" x14ac:dyDescent="0.2">
      <c r="A318" s="3">
        <f t="shared" ref="A318:A336" si="41">A317+1</f>
        <v>14</v>
      </c>
      <c r="B318" s="24">
        <f>Input!A221</f>
        <v>374.2</v>
      </c>
      <c r="C318" s="3" t="str">
        <f>Input!B221</f>
        <v>LAND - OTHER DISTRIBUTION</v>
      </c>
      <c r="D318" s="3"/>
      <c r="E318" s="3">
        <f>Input!D221</f>
        <v>0</v>
      </c>
      <c r="F318" s="3">
        <f>Customer!F318+Commodity!F318+Demand!F318</f>
        <v>0</v>
      </c>
      <c r="G318" s="3">
        <f>Customer!G318+Commodity!G318+Demand!G318</f>
        <v>0</v>
      </c>
      <c r="H318" s="3">
        <f>Customer!H318+Commodity!H318+Demand!H318</f>
        <v>0</v>
      </c>
      <c r="I318" s="3">
        <f>Customer!I318+Commodity!I318+Demand!I318</f>
        <v>0</v>
      </c>
      <c r="J318" s="3">
        <f>Customer!J318+Commodity!J318+Demand!J318</f>
        <v>0</v>
      </c>
      <c r="K318" s="3">
        <f>Customer!K318+Commodity!K318+Demand!K318</f>
        <v>0</v>
      </c>
      <c r="L318" s="3">
        <f>Customer!L318+Commodity!L318+Demand!L318</f>
        <v>0</v>
      </c>
      <c r="N318" s="3"/>
      <c r="O318" s="3"/>
      <c r="P318" s="3"/>
      <c r="Q318" s="3"/>
      <c r="R318" s="3"/>
      <c r="S318" s="3"/>
    </row>
    <row r="319" spans="1:19" ht="11.25" x14ac:dyDescent="0.2">
      <c r="A319" s="3">
        <f t="shared" si="41"/>
        <v>15</v>
      </c>
      <c r="B319" s="24">
        <f>Input!A222</f>
        <v>374.4</v>
      </c>
      <c r="C319" s="3" t="str">
        <f>Input!B222</f>
        <v>LAND RIGHTS - OTHER DISTRIBUTION</v>
      </c>
      <c r="D319" s="3"/>
      <c r="E319" s="3">
        <f>Input!D222</f>
        <v>11508</v>
      </c>
      <c r="F319" s="3">
        <f>Customer!F319+Commodity!F319+Demand!F319</f>
        <v>4486</v>
      </c>
      <c r="G319" s="3">
        <f>Customer!G319+Commodity!G319+Demand!G319</f>
        <v>3038</v>
      </c>
      <c r="H319" s="3">
        <f>Customer!H319+Commodity!H319+Demand!H319</f>
        <v>6</v>
      </c>
      <c r="I319" s="3">
        <f>Customer!I319+Commodity!I319+Demand!I319</f>
        <v>0</v>
      </c>
      <c r="J319" s="3">
        <f>Customer!J319+Commodity!J319+Demand!J319</f>
        <v>3978</v>
      </c>
      <c r="K319" s="3">
        <f>Customer!K319+Commodity!K319+Demand!K319</f>
        <v>0</v>
      </c>
      <c r="L319" s="3">
        <f>Customer!L319+Commodity!L319+Demand!L319</f>
        <v>0</v>
      </c>
      <c r="N319" s="3"/>
      <c r="O319" s="3"/>
      <c r="P319" s="3"/>
      <c r="Q319" s="3"/>
      <c r="R319" s="3"/>
      <c r="S319" s="3"/>
    </row>
    <row r="320" spans="1:19" ht="11.25" x14ac:dyDescent="0.2">
      <c r="A320" s="3">
        <f t="shared" si="41"/>
        <v>16</v>
      </c>
      <c r="B320" s="24">
        <f>Input!A223</f>
        <v>374.5</v>
      </c>
      <c r="C320" s="3" t="str">
        <f>Input!B223</f>
        <v>RIGHTS OF WAY</v>
      </c>
      <c r="D320" s="3"/>
      <c r="E320" s="3">
        <f>Input!D223</f>
        <v>35215</v>
      </c>
      <c r="F320" s="3">
        <f>Customer!F320+Commodity!F320+Demand!F320</f>
        <v>13728</v>
      </c>
      <c r="G320" s="3">
        <f>Customer!G320+Commodity!G320+Demand!G320</f>
        <v>9296</v>
      </c>
      <c r="H320" s="3">
        <f>Customer!H320+Commodity!H320+Demand!H320</f>
        <v>20</v>
      </c>
      <c r="I320" s="3">
        <f>Customer!I320+Commodity!I320+Demand!I320</f>
        <v>0</v>
      </c>
      <c r="J320" s="3">
        <f>Customer!J320+Commodity!J320+Demand!J320</f>
        <v>12170</v>
      </c>
      <c r="K320" s="3">
        <f>Customer!K320+Commodity!K320+Demand!K320</f>
        <v>0</v>
      </c>
      <c r="L320" s="3">
        <f>Customer!L320+Commodity!L320+Demand!L320</f>
        <v>0</v>
      </c>
      <c r="N320" s="3"/>
      <c r="O320" s="3"/>
      <c r="P320" s="3"/>
      <c r="Q320" s="3"/>
      <c r="R320" s="3"/>
      <c r="S320" s="3"/>
    </row>
    <row r="321" spans="1:19" ht="11.25" x14ac:dyDescent="0.2">
      <c r="A321" s="3">
        <f t="shared" si="41"/>
        <v>17</v>
      </c>
      <c r="B321" s="24">
        <f>Input!A224</f>
        <v>375.2</v>
      </c>
      <c r="C321" s="3" t="str">
        <f>Input!B224</f>
        <v>CITY GATE - MEAS &amp; REG STRUCTURES</v>
      </c>
      <c r="D321" s="3"/>
      <c r="E321" s="3">
        <f>Input!D224</f>
        <v>72</v>
      </c>
      <c r="F321" s="3">
        <f>Customer!F321+Commodity!F321+Demand!F321</f>
        <v>28</v>
      </c>
      <c r="G321" s="3">
        <f>Customer!G321+Commodity!G321+Demand!G321</f>
        <v>20</v>
      </c>
      <c r="H321" s="3">
        <f>Customer!H321+Commodity!H321+Demand!H321</f>
        <v>0</v>
      </c>
      <c r="I321" s="3">
        <f>Customer!I321+Commodity!I321+Demand!I321</f>
        <v>0</v>
      </c>
      <c r="J321" s="3">
        <f>Customer!J321+Commodity!J321+Demand!J321</f>
        <v>24</v>
      </c>
      <c r="K321" s="3">
        <f>Customer!K321+Commodity!K321+Demand!K321</f>
        <v>0</v>
      </c>
      <c r="L321" s="3">
        <f>Customer!L321+Commodity!L321+Demand!L321</f>
        <v>0</v>
      </c>
      <c r="N321" s="3"/>
      <c r="O321" s="3"/>
      <c r="P321" s="3"/>
      <c r="Q321" s="3"/>
      <c r="R321" s="3"/>
      <c r="S321" s="3"/>
    </row>
    <row r="322" spans="1:19" ht="11.25" x14ac:dyDescent="0.2">
      <c r="A322" s="3">
        <f t="shared" si="41"/>
        <v>18</v>
      </c>
      <c r="B322" s="24">
        <f>Input!A225</f>
        <v>375.3</v>
      </c>
      <c r="C322" s="3" t="str">
        <f>Input!B225</f>
        <v>STRUC &amp; IMPROV-GENERAL M&amp;R</v>
      </c>
      <c r="D322" s="3"/>
      <c r="E322" s="3">
        <f>Input!D225</f>
        <v>0</v>
      </c>
      <c r="F322" s="3">
        <f>Customer!F322+Commodity!F322+Demand!F322</f>
        <v>0</v>
      </c>
      <c r="G322" s="3">
        <f>Customer!G322+Commodity!G322+Demand!G322</f>
        <v>0</v>
      </c>
      <c r="H322" s="3">
        <f>Customer!H322+Commodity!H322+Demand!H322</f>
        <v>0</v>
      </c>
      <c r="I322" s="3">
        <f>Customer!I322+Commodity!I322+Demand!I322</f>
        <v>0</v>
      </c>
      <c r="J322" s="3">
        <f>Customer!J322+Commodity!J322+Demand!J322</f>
        <v>0</v>
      </c>
      <c r="K322" s="3">
        <f>Customer!K322+Commodity!K322+Demand!K322</f>
        <v>0</v>
      </c>
      <c r="L322" s="3">
        <f>Customer!L322+Commodity!L322+Demand!L322</f>
        <v>0</v>
      </c>
      <c r="N322" s="3"/>
      <c r="O322" s="3"/>
      <c r="P322" s="3"/>
      <c r="Q322" s="3"/>
      <c r="R322" s="3"/>
      <c r="S322" s="3"/>
    </row>
    <row r="323" spans="1:19" ht="11.25" x14ac:dyDescent="0.2">
      <c r="A323" s="3">
        <f t="shared" si="41"/>
        <v>19</v>
      </c>
      <c r="B323" s="24">
        <f>Input!A226</f>
        <v>375.4</v>
      </c>
      <c r="C323" s="3" t="str">
        <f>Input!B226</f>
        <v>STRUC &amp; IMPROV-REGULATING</v>
      </c>
      <c r="D323" s="3"/>
      <c r="E323" s="221">
        <f>Input!D226-SUM(Input!G226:M226)</f>
        <v>69888.009999999995</v>
      </c>
      <c r="F323" s="3">
        <f>Customer!F323+Commodity!F323+Demand!F323</f>
        <v>27246</v>
      </c>
      <c r="G323" s="3">
        <f>Customer!G323+Commodity!G323+Demand!G323</f>
        <v>18450</v>
      </c>
      <c r="H323" s="3">
        <f>Customer!H323+Commodity!H323+Demand!H323</f>
        <v>40</v>
      </c>
      <c r="I323" s="3">
        <f>Customer!I323+Commodity!I323+Demand!I323</f>
        <v>0</v>
      </c>
      <c r="J323" s="3">
        <f>Customer!J323+Commodity!J323+Demand!J323</f>
        <v>24154</v>
      </c>
      <c r="K323" s="3">
        <f>Customer!K323+Commodity!K323+Demand!K323</f>
        <v>0</v>
      </c>
      <c r="L323" s="3">
        <f>Customer!L323+Commodity!L323+Demand!L323</f>
        <v>0</v>
      </c>
      <c r="N323" s="3"/>
      <c r="O323" s="3"/>
      <c r="P323" s="3"/>
      <c r="Q323" s="3"/>
      <c r="R323" s="3"/>
      <c r="S323" s="3"/>
    </row>
    <row r="324" spans="1:19" ht="11.25" x14ac:dyDescent="0.2">
      <c r="A324" s="3">
        <f t="shared" si="41"/>
        <v>20</v>
      </c>
      <c r="B324" s="24">
        <f>B323</f>
        <v>375.4</v>
      </c>
      <c r="C324" s="3" t="str">
        <f>"DIRECT "&amp;C323</f>
        <v>DIRECT STRUC &amp; IMPROV-REGULATING</v>
      </c>
      <c r="D324" s="3"/>
      <c r="E324" s="3">
        <f>SUM(F324:L324)</f>
        <v>743.99</v>
      </c>
      <c r="F324" s="3">
        <f>Customer!F324+Commodity!F324+Demand!F324</f>
        <v>0</v>
      </c>
      <c r="G324" s="3">
        <f>Customer!G324+Commodity!G324+Demand!G324</f>
        <v>0</v>
      </c>
      <c r="H324" s="3">
        <f>Customer!H324+Commodity!H324+Demand!H324</f>
        <v>0</v>
      </c>
      <c r="I324" s="3">
        <f>Customer!I324+Commodity!I324+Demand!I324</f>
        <v>743.99</v>
      </c>
      <c r="J324" s="3">
        <f>Customer!J324+Commodity!J324+Demand!J324</f>
        <v>0</v>
      </c>
      <c r="K324" s="3">
        <f>Customer!K324+Commodity!K324+Demand!K324</f>
        <v>0</v>
      </c>
      <c r="L324" s="3">
        <f>Customer!L324+Commodity!L324+Demand!L324</f>
        <v>0</v>
      </c>
      <c r="N324" s="3"/>
      <c r="O324" s="3"/>
      <c r="P324" s="3"/>
      <c r="Q324" s="3"/>
      <c r="R324" s="3"/>
      <c r="S324" s="3"/>
    </row>
    <row r="325" spans="1:19" ht="11.25" x14ac:dyDescent="0.2">
      <c r="A325" s="3">
        <f t="shared" si="41"/>
        <v>21</v>
      </c>
      <c r="B325" s="24">
        <f>Input!A227</f>
        <v>375.6</v>
      </c>
      <c r="C325" s="3" t="str">
        <f>Input!B227</f>
        <v>STRUC &amp; IMPROV-DIST. IND. M &amp; R</v>
      </c>
      <c r="D325" s="3"/>
      <c r="E325" s="3">
        <f>Input!D227</f>
        <v>0</v>
      </c>
      <c r="F325" s="3">
        <f>Customer!F325+Commodity!F325+Demand!F325</f>
        <v>0</v>
      </c>
      <c r="G325" s="3">
        <f>Customer!G325+Commodity!G325+Demand!G325</f>
        <v>0</v>
      </c>
      <c r="H325" s="3">
        <f>Customer!H325+Commodity!H325+Demand!H325</f>
        <v>0</v>
      </c>
      <c r="I325" s="3">
        <f>Customer!I325+Commodity!I325+Demand!I325</f>
        <v>0</v>
      </c>
      <c r="J325" s="3">
        <f>Customer!J325+Commodity!J325+Demand!J325</f>
        <v>0</v>
      </c>
      <c r="K325" s="3">
        <f>Customer!K325+Commodity!K325+Demand!K325</f>
        <v>0</v>
      </c>
      <c r="L325" s="3">
        <f>Customer!L325+Commodity!L325+Demand!L325</f>
        <v>0</v>
      </c>
      <c r="N325" s="3"/>
      <c r="O325" s="3"/>
      <c r="P325" s="3"/>
      <c r="Q325" s="3"/>
      <c r="R325" s="3"/>
      <c r="S325" s="3"/>
    </row>
    <row r="326" spans="1:19" ht="11.25" x14ac:dyDescent="0.2">
      <c r="A326" s="3">
        <f t="shared" si="41"/>
        <v>22</v>
      </c>
      <c r="B326" s="24">
        <f>Input!A228</f>
        <v>375.7</v>
      </c>
      <c r="C326" s="3" t="str">
        <f>Input!B228</f>
        <v>STRUC &amp; IMPROV-OTHER DIST. SYSTEM</v>
      </c>
      <c r="D326" s="3"/>
      <c r="E326" s="3">
        <f>Input!D228</f>
        <v>185730</v>
      </c>
      <c r="F326" s="3">
        <f ca="1">Customer!F326+Commodity!F326+Demand!F326</f>
        <v>106337</v>
      </c>
      <c r="G326" s="3">
        <f ca="1">Customer!G326+Commodity!G326+Demand!G326</f>
        <v>40486</v>
      </c>
      <c r="H326" s="3">
        <f ca="1">Customer!H326+Commodity!H326+Demand!H326</f>
        <v>65</v>
      </c>
      <c r="I326" s="3">
        <f ca="1">Customer!I326+Commodity!I326+Demand!I326</f>
        <v>334</v>
      </c>
      <c r="J326" s="3">
        <f ca="1">Customer!J326+Commodity!J326+Demand!J326</f>
        <v>38508</v>
      </c>
      <c r="K326" s="3">
        <f ca="1">Customer!K326+Commodity!K326+Demand!K326</f>
        <v>0</v>
      </c>
      <c r="L326" s="3">
        <f ca="1">Customer!L326+Commodity!L326+Demand!L326</f>
        <v>0</v>
      </c>
      <c r="N326" s="3"/>
      <c r="O326" s="3"/>
      <c r="P326" s="3"/>
      <c r="Q326" s="3"/>
      <c r="R326" s="3"/>
      <c r="S326" s="3"/>
    </row>
    <row r="327" spans="1:19" ht="11.25" x14ac:dyDescent="0.2">
      <c r="A327" s="3">
        <f t="shared" si="41"/>
        <v>23</v>
      </c>
      <c r="B327" s="24">
        <f>Input!A229</f>
        <v>375.71</v>
      </c>
      <c r="C327" s="3" t="str">
        <f>Input!B229</f>
        <v>STRUCT &amp; IMPROV-OTHER DIST. SYSTEM-IMPROV</v>
      </c>
      <c r="D327" s="3"/>
      <c r="E327" s="3">
        <f>Input!D229</f>
        <v>33049</v>
      </c>
      <c r="F327" s="3">
        <f ca="1">Customer!F327+Commodity!F327+Demand!F327</f>
        <v>18921</v>
      </c>
      <c r="G327" s="3">
        <f ca="1">Customer!G327+Commodity!G327+Demand!G327</f>
        <v>7204</v>
      </c>
      <c r="H327" s="3">
        <f ca="1">Customer!H327+Commodity!H327+Demand!H327</f>
        <v>11</v>
      </c>
      <c r="I327" s="3">
        <f ca="1">Customer!I327+Commodity!I327+Demand!I327</f>
        <v>59</v>
      </c>
      <c r="J327" s="3">
        <f ca="1">Customer!J327+Commodity!J327+Demand!J327</f>
        <v>6852</v>
      </c>
      <c r="K327" s="3">
        <f ca="1">Customer!K327+Commodity!K327+Demand!K327</f>
        <v>0</v>
      </c>
      <c r="L327" s="3">
        <f ca="1">Customer!L327+Commodity!L327+Demand!L327</f>
        <v>0</v>
      </c>
      <c r="N327" s="3"/>
      <c r="O327" s="3"/>
      <c r="P327" s="3"/>
      <c r="Q327" s="3"/>
      <c r="R327" s="3"/>
      <c r="S327" s="3"/>
    </row>
    <row r="328" spans="1:19" ht="11.25" x14ac:dyDescent="0.2">
      <c r="A328" s="3">
        <f t="shared" si="41"/>
        <v>24</v>
      </c>
      <c r="B328" s="24">
        <f>Input!A230</f>
        <v>375.8</v>
      </c>
      <c r="C328" s="3" t="str">
        <f>Input!B230</f>
        <v>STRUC &amp; IMPROV-COMMUNICATION</v>
      </c>
      <c r="D328" s="3"/>
      <c r="E328" s="3">
        <f>Input!D230</f>
        <v>0</v>
      </c>
      <c r="F328" s="3">
        <f>Customer!F328+Commodity!F328+Demand!F328</f>
        <v>0</v>
      </c>
      <c r="G328" s="3">
        <f>Customer!G328+Commodity!G328+Demand!G328</f>
        <v>0</v>
      </c>
      <c r="H328" s="3">
        <f>Customer!H328+Commodity!H328+Demand!H328</f>
        <v>0</v>
      </c>
      <c r="I328" s="3">
        <f>Customer!I328+Commodity!I328+Demand!I328</f>
        <v>0</v>
      </c>
      <c r="J328" s="3">
        <f>Customer!J328+Commodity!J328+Demand!J328</f>
        <v>0</v>
      </c>
      <c r="K328" s="3">
        <f>Customer!K328+Commodity!K328+Demand!K328</f>
        <v>0</v>
      </c>
      <c r="L328" s="3">
        <f>Customer!L328+Commodity!L328+Demand!L328</f>
        <v>0</v>
      </c>
      <c r="N328" s="3"/>
      <c r="O328" s="3"/>
      <c r="P328" s="3"/>
      <c r="Q328" s="3"/>
      <c r="R328" s="3"/>
      <c r="S328" s="3"/>
    </row>
    <row r="329" spans="1:19" ht="11.25" x14ac:dyDescent="0.2">
      <c r="A329" s="3">
        <f t="shared" si="41"/>
        <v>25</v>
      </c>
      <c r="B329" s="24">
        <f>Input!A231</f>
        <v>376</v>
      </c>
      <c r="C329" s="3" t="str">
        <f>Input!B231</f>
        <v>MAINS</v>
      </c>
      <c r="D329" s="3"/>
      <c r="E329" s="3">
        <f>Input!D231-SUM(Input!G231:O231)</f>
        <v>5087613.3</v>
      </c>
      <c r="F329" s="3">
        <f>Customer!F329+Commodity!F329+Demand!F329</f>
        <v>1983355</v>
      </c>
      <c r="G329" s="3">
        <f>Customer!G329+Commodity!G329+Demand!G329</f>
        <v>1343079</v>
      </c>
      <c r="H329" s="3">
        <f>Customer!H329+Commodity!H329+Demand!H329</f>
        <v>2900</v>
      </c>
      <c r="I329" s="3">
        <f>Customer!I329+Commodity!I329+Demand!I329</f>
        <v>0</v>
      </c>
      <c r="J329" s="3">
        <f>Customer!J329+Commodity!J329+Demand!J329</f>
        <v>1758279</v>
      </c>
      <c r="K329" s="3">
        <f>Customer!K329+Commodity!K329+Demand!K329</f>
        <v>0</v>
      </c>
      <c r="L329" s="3">
        <f>Customer!L329+Commodity!L329+Demand!L329</f>
        <v>0</v>
      </c>
      <c r="N329" s="3"/>
      <c r="O329" s="3"/>
      <c r="P329" s="3"/>
      <c r="Q329" s="3"/>
      <c r="R329" s="3"/>
      <c r="S329" s="3"/>
    </row>
    <row r="330" spans="1:19" ht="11.25" x14ac:dyDescent="0.2">
      <c r="A330" s="3">
        <f t="shared" si="41"/>
        <v>26</v>
      </c>
      <c r="B330" s="24">
        <f>Input!A231</f>
        <v>376</v>
      </c>
      <c r="C330" s="3" t="str">
        <f>"DIRECT "&amp;+Input!B231</f>
        <v>DIRECT MAINS</v>
      </c>
      <c r="D330" s="3"/>
      <c r="E330" s="3">
        <f>SUM(F330:L330)</f>
        <v>150.69999999999999</v>
      </c>
      <c r="F330" s="3">
        <f>Customer!F330+Commodity!F330+Demand!F330</f>
        <v>0</v>
      </c>
      <c r="G330" s="3">
        <f>Customer!G330+Commodity!G330+Demand!G330</f>
        <v>0</v>
      </c>
      <c r="H330" s="3">
        <f>Customer!H330+Commodity!H330+Demand!H330</f>
        <v>0</v>
      </c>
      <c r="I330" s="3">
        <f>Customer!I330+Commodity!I330+Demand!I330</f>
        <v>150.69999999999999</v>
      </c>
      <c r="J330" s="3">
        <f>Customer!J330+Commodity!J330+Demand!J330</f>
        <v>0</v>
      </c>
      <c r="K330" s="3">
        <f>Customer!K330+Commodity!K330+Demand!K330</f>
        <v>0</v>
      </c>
      <c r="L330" s="3">
        <f>Customer!L330+Commodity!L330+Demand!L330</f>
        <v>0</v>
      </c>
      <c r="N330" s="3"/>
      <c r="O330" s="3"/>
      <c r="P330" s="3"/>
      <c r="Q330" s="3"/>
      <c r="R330" s="3"/>
      <c r="S330" s="3"/>
    </row>
    <row r="331" spans="1:19" ht="11.25" x14ac:dyDescent="0.2">
      <c r="A331" s="3">
        <f t="shared" si="41"/>
        <v>27</v>
      </c>
      <c r="B331" s="24">
        <f>Input!A232</f>
        <v>378.1</v>
      </c>
      <c r="C331" s="3" t="str">
        <f>Input!B232</f>
        <v>M &amp; R GENERAL</v>
      </c>
      <c r="D331" s="3"/>
      <c r="E331" s="3">
        <f>Input!D232</f>
        <v>17220</v>
      </c>
      <c r="F331" s="3">
        <f>Customer!F331+Commodity!F331+Demand!F331</f>
        <v>6714</v>
      </c>
      <c r="G331" s="3">
        <f>Customer!G331+Commodity!G331+Demand!G331</f>
        <v>4546</v>
      </c>
      <c r="H331" s="3">
        <f>Customer!H331+Commodity!H331+Demand!H331</f>
        <v>10</v>
      </c>
      <c r="I331" s="3">
        <f>Customer!I331+Commodity!I331+Demand!I331</f>
        <v>0</v>
      </c>
      <c r="J331" s="3">
        <f>Customer!J331+Commodity!J331+Demand!J331</f>
        <v>5952</v>
      </c>
      <c r="K331" s="3">
        <f>Customer!K331+Commodity!K331+Demand!K331</f>
        <v>0</v>
      </c>
      <c r="L331" s="3">
        <f>Customer!L331+Commodity!L331+Demand!L331</f>
        <v>0</v>
      </c>
      <c r="N331" s="3"/>
      <c r="O331" s="3"/>
      <c r="P331" s="3"/>
      <c r="Q331" s="3"/>
      <c r="R331" s="3"/>
      <c r="S331" s="3"/>
    </row>
    <row r="332" spans="1:19" ht="11.25" x14ac:dyDescent="0.2">
      <c r="A332" s="3">
        <f t="shared" si="41"/>
        <v>28</v>
      </c>
      <c r="B332" s="24">
        <f>Input!A233</f>
        <v>378.2</v>
      </c>
      <c r="C332" s="3" t="str">
        <f>Input!B233</f>
        <v>M &amp; R GENERAL - REGULATING</v>
      </c>
      <c r="D332" s="3"/>
      <c r="E332" s="3">
        <f>Input!D233</f>
        <v>304399</v>
      </c>
      <c r="F332" s="3">
        <f>Customer!F332+Commodity!F332+Demand!F332</f>
        <v>118667</v>
      </c>
      <c r="G332" s="3">
        <f>Customer!G332+Commodity!G332+Demand!G332</f>
        <v>80358</v>
      </c>
      <c r="H332" s="3">
        <f>Customer!H332+Commodity!H332+Demand!H332</f>
        <v>174</v>
      </c>
      <c r="I332" s="3">
        <f>Customer!I332+Commodity!I332+Demand!I332</f>
        <v>0</v>
      </c>
      <c r="J332" s="3">
        <f>Customer!J332+Commodity!J332+Demand!J332</f>
        <v>105200</v>
      </c>
      <c r="K332" s="3">
        <f>Customer!K332+Commodity!K332+Demand!K332</f>
        <v>0</v>
      </c>
      <c r="L332" s="3">
        <f>Customer!L332+Commodity!L332+Demand!L332</f>
        <v>0</v>
      </c>
      <c r="N332" s="3"/>
      <c r="O332" s="3"/>
      <c r="P332" s="3"/>
      <c r="Q332" s="3"/>
      <c r="R332" s="3"/>
      <c r="S332" s="3"/>
    </row>
    <row r="333" spans="1:19" ht="11.25" x14ac:dyDescent="0.2">
      <c r="A333" s="3">
        <f t="shared" si="41"/>
        <v>29</v>
      </c>
      <c r="B333" s="24">
        <f>Input!A234</f>
        <v>378.3</v>
      </c>
      <c r="C333" s="3" t="str">
        <f>Input!B234</f>
        <v>M &amp; R EQUIP - LOCAL GAS PURCHASES</v>
      </c>
      <c r="D333" s="3"/>
      <c r="E333" s="3">
        <f>Input!D234</f>
        <v>1512</v>
      </c>
      <c r="F333" s="3">
        <f>Customer!F333+Commodity!F333+Demand!F333</f>
        <v>590</v>
      </c>
      <c r="G333" s="3">
        <f>Customer!G333+Commodity!G333+Demand!G333</f>
        <v>400</v>
      </c>
      <c r="H333" s="3">
        <f>Customer!H333+Commodity!H333+Demand!H333</f>
        <v>0</v>
      </c>
      <c r="I333" s="3">
        <f>Customer!I333+Commodity!I333+Demand!I333</f>
        <v>0</v>
      </c>
      <c r="J333" s="3">
        <f>Customer!J333+Commodity!J333+Demand!J333</f>
        <v>522</v>
      </c>
      <c r="K333" s="3">
        <f>Customer!K333+Commodity!K333+Demand!K333</f>
        <v>0</v>
      </c>
      <c r="L333" s="3">
        <f>Customer!L333+Commodity!L333+Demand!L333</f>
        <v>0</v>
      </c>
      <c r="N333" s="3"/>
      <c r="O333" s="3"/>
      <c r="P333" s="3"/>
      <c r="Q333" s="3"/>
      <c r="R333" s="3"/>
      <c r="S333" s="3"/>
    </row>
    <row r="334" spans="1:19" ht="11.25" x14ac:dyDescent="0.2">
      <c r="A334" s="3">
        <f t="shared" si="41"/>
        <v>30</v>
      </c>
      <c r="B334" s="24">
        <f>Input!A235</f>
        <v>379.1</v>
      </c>
      <c r="C334" s="3" t="str">
        <f>Input!B235</f>
        <v>STA EQUIP - CITY</v>
      </c>
      <c r="D334" s="3"/>
      <c r="E334" s="3">
        <f>Input!D235</f>
        <v>0</v>
      </c>
      <c r="F334" s="3">
        <f>Customer!F334+Commodity!F334+Demand!F334</f>
        <v>0</v>
      </c>
      <c r="G334" s="3">
        <f>Customer!G334+Commodity!G334+Demand!G334</f>
        <v>0</v>
      </c>
      <c r="H334" s="3">
        <f>Customer!H334+Commodity!H334+Demand!H334</f>
        <v>0</v>
      </c>
      <c r="I334" s="3">
        <f>Customer!I334+Commodity!I334+Demand!I334</f>
        <v>0</v>
      </c>
      <c r="J334" s="3">
        <f>Customer!J334+Commodity!J334+Demand!J334</f>
        <v>0</v>
      </c>
      <c r="K334" s="3">
        <f>Customer!K334+Commodity!K334+Demand!K334</f>
        <v>0</v>
      </c>
      <c r="L334" s="3">
        <f>Customer!L334+Commodity!L334+Demand!L334</f>
        <v>0</v>
      </c>
      <c r="N334" s="3"/>
      <c r="O334" s="3"/>
      <c r="P334" s="3"/>
      <c r="Q334" s="3"/>
      <c r="R334" s="3"/>
      <c r="S334" s="3"/>
    </row>
    <row r="335" spans="1:19" ht="11.25" x14ac:dyDescent="0.2">
      <c r="A335" s="3">
        <f t="shared" si="41"/>
        <v>31</v>
      </c>
      <c r="B335" s="24">
        <f>Input!A236</f>
        <v>380</v>
      </c>
      <c r="C335" s="3" t="str">
        <f>Input!B236</f>
        <v>SERVICES</v>
      </c>
      <c r="D335" s="3"/>
      <c r="E335" s="3">
        <f>Input!D236-SUM(Input!G236:O236)</f>
        <v>6496995</v>
      </c>
      <c r="F335" s="3">
        <f ca="1">Customer!F335+Commodity!F335+Demand!F335</f>
        <v>5732169</v>
      </c>
      <c r="G335" s="3">
        <f ca="1">Customer!G335+Commodity!G335+Demand!G335</f>
        <v>741827</v>
      </c>
      <c r="H335" s="3">
        <f ca="1">Customer!H335+Commodity!H335+Demand!H335</f>
        <v>65</v>
      </c>
      <c r="I335" s="3">
        <f ca="1">Customer!I335+Commodity!I335+Demand!I335</f>
        <v>0</v>
      </c>
      <c r="J335" s="3">
        <f ca="1">Customer!J335+Commodity!J335+Demand!J335</f>
        <v>22934</v>
      </c>
      <c r="K335" s="3">
        <f ca="1">Customer!K335+Commodity!K335+Demand!K335</f>
        <v>0</v>
      </c>
      <c r="L335" s="3">
        <f ca="1">Customer!L335+Commodity!L335+Demand!L335</f>
        <v>0</v>
      </c>
      <c r="N335" s="3"/>
      <c r="O335" s="3"/>
      <c r="P335" s="3"/>
      <c r="Q335" s="3"/>
      <c r="R335" s="3"/>
      <c r="S335" s="3"/>
    </row>
    <row r="336" spans="1:19" ht="11.25" x14ac:dyDescent="0.2">
      <c r="A336" s="3">
        <f t="shared" si="41"/>
        <v>32</v>
      </c>
      <c r="B336" s="24">
        <f>Input!A236</f>
        <v>380</v>
      </c>
      <c r="C336" s="3" t="s">
        <v>815</v>
      </c>
      <c r="D336" s="3"/>
      <c r="E336" s="3">
        <f>SUM(F336:L336)</f>
        <v>0</v>
      </c>
      <c r="F336" s="3">
        <f>Customer!F336+Commodity!F336+Demand!F336</f>
        <v>0</v>
      </c>
      <c r="G336" s="3">
        <f>Customer!G336+Commodity!G336+Demand!G336</f>
        <v>0</v>
      </c>
      <c r="H336" s="3">
        <f>Customer!H336+Commodity!H336+Demand!H336</f>
        <v>0</v>
      </c>
      <c r="I336" s="3">
        <f>Customer!I336+Commodity!I336+Demand!I336</f>
        <v>0</v>
      </c>
      <c r="J336" s="3">
        <f>Customer!J336+Commodity!J336+Demand!J336</f>
        <v>0</v>
      </c>
      <c r="K336" s="3">
        <f>Customer!K336+Commodity!K336+Demand!K336</f>
        <v>0</v>
      </c>
      <c r="L336" s="3">
        <f>Customer!L336+Commodity!L336+Demand!L336</f>
        <v>0</v>
      </c>
      <c r="N336" s="3"/>
      <c r="O336" s="3"/>
      <c r="P336" s="3"/>
      <c r="Q336" s="3"/>
      <c r="R336" s="3"/>
      <c r="S336" s="3"/>
    </row>
    <row r="337" spans="1:19" ht="11.25" x14ac:dyDescent="0.2">
      <c r="A337" s="3" t="s">
        <v>810</v>
      </c>
      <c r="B337" s="3"/>
      <c r="C337" s="14"/>
      <c r="D337" s="3"/>
      <c r="E337" s="15"/>
      <c r="F337" s="325" t="str">
        <f>""&amp;+Input!$B$1</f>
        <v>COLUMBIA GAS OF KENTUCKY, INC.</v>
      </c>
      <c r="H337" s="3"/>
      <c r="I337" s="3"/>
      <c r="J337" s="3"/>
      <c r="K337" s="3"/>
      <c r="L337" s="32" t="str">
        <f>Input!$B$2</f>
        <v>ATTACHMENT CEN-2</v>
      </c>
      <c r="N337" s="3"/>
      <c r="O337" s="3"/>
      <c r="P337" s="3"/>
      <c r="Q337" s="3"/>
      <c r="R337" s="3"/>
      <c r="S337" s="3"/>
    </row>
    <row r="338" spans="1:19" ht="11.25" x14ac:dyDescent="0.2">
      <c r="A338" s="3" t="str">
        <f>Input!$B$7</f>
        <v>DEMAND-COMMODITY</v>
      </c>
      <c r="B338" s="3"/>
      <c r="C338" s="3"/>
      <c r="D338" s="3"/>
      <c r="E338" s="3"/>
      <c r="F338" s="325" t="s">
        <v>579</v>
      </c>
      <c r="H338" s="3"/>
      <c r="I338" s="3"/>
      <c r="J338" s="3"/>
      <c r="K338" s="3"/>
      <c r="L338" s="32" t="str">
        <f>"PAGE 10 OF "&amp;FIXED(Input!$B$8,0,TRUE)</f>
        <v>PAGE 10 OF 129</v>
      </c>
      <c r="N338" s="3"/>
      <c r="O338" s="3"/>
      <c r="P338" s="3"/>
      <c r="Q338" s="3"/>
      <c r="R338" s="3"/>
      <c r="S338" s="3"/>
    </row>
    <row r="339" spans="1:19" ht="11.25" x14ac:dyDescent="0.2">
      <c r="A339" s="17" t="str">
        <f>Input!$B$6</f>
        <v>FORECASTED TEST YEAR - ORIGINAL FILING</v>
      </c>
      <c r="B339" s="17"/>
      <c r="C339" s="17"/>
      <c r="D339" s="18"/>
      <c r="E339" s="17"/>
      <c r="F339" s="19" t="str">
        <f>"FOR THE TWELVE MONTHS ENDED "&amp;Input!$B$4</f>
        <v>FOR THE TWELVE MONTHS ENDED 12/31/2017</v>
      </c>
      <c r="G339" s="329"/>
      <c r="H339" s="17"/>
      <c r="I339" s="17"/>
      <c r="J339" s="17"/>
      <c r="K339" s="17"/>
      <c r="L339" s="183" t="str">
        <f>"WITNESS: "&amp;Input!$B$5</f>
        <v>WITNESS: C. NOTESTONE</v>
      </c>
      <c r="N339" s="3"/>
      <c r="O339" s="3"/>
      <c r="P339" s="3"/>
      <c r="Q339" s="3"/>
      <c r="R339" s="3"/>
      <c r="S339" s="3"/>
    </row>
    <row r="340" spans="1:19" ht="11.25" x14ac:dyDescent="0.2">
      <c r="A340" s="325" t="s">
        <v>5</v>
      </c>
      <c r="B340" s="3" t="s">
        <v>6</v>
      </c>
      <c r="C340" s="3"/>
      <c r="D340" s="325" t="s">
        <v>7</v>
      </c>
      <c r="E340" s="325" t="s">
        <v>8</v>
      </c>
      <c r="F340" s="3"/>
      <c r="G340" s="3"/>
      <c r="H340" s="3"/>
      <c r="I340" s="3"/>
      <c r="J340" s="3"/>
      <c r="K340" s="3"/>
      <c r="L340" s="3"/>
      <c r="N340" s="3"/>
      <c r="O340" s="3"/>
      <c r="P340" s="3"/>
      <c r="Q340" s="3"/>
      <c r="R340" s="3"/>
      <c r="S340" s="3"/>
    </row>
    <row r="341" spans="1:19" ht="11.25" x14ac:dyDescent="0.2">
      <c r="A341" s="341" t="s">
        <v>9</v>
      </c>
      <c r="B341" s="341" t="s">
        <v>9</v>
      </c>
      <c r="C341" s="34" t="str">
        <f>'Total Co'!C128</f>
        <v xml:space="preserve"> ACCOUNT TITLE</v>
      </c>
      <c r="D341" s="26" t="s">
        <v>10</v>
      </c>
      <c r="E341" s="341" t="s">
        <v>11</v>
      </c>
      <c r="F341" s="341" t="str">
        <f>"  "&amp;+Input!$C$12</f>
        <v xml:space="preserve">  GS-RESIDENTIAL</v>
      </c>
      <c r="G341" s="341" t="str">
        <f>Input!$C$13</f>
        <v>GS-OTHER</v>
      </c>
      <c r="H341" s="341" t="str">
        <f>Input!$C$14</f>
        <v>IUS</v>
      </c>
      <c r="I341" s="341" t="str">
        <f>Input!$C$15</f>
        <v>DS-ML</v>
      </c>
      <c r="J341" s="341" t="str">
        <f>Input!$C$16</f>
        <v>DS/IS</v>
      </c>
      <c r="K341" s="341" t="str">
        <f>Input!$C$17</f>
        <v>NOT USED</v>
      </c>
      <c r="L341" s="341" t="str">
        <f>Input!$C$18</f>
        <v>NOT USED</v>
      </c>
      <c r="N341" s="3"/>
      <c r="O341" s="3"/>
      <c r="P341" s="3"/>
      <c r="Q341" s="3"/>
      <c r="R341" s="3"/>
      <c r="S341" s="3"/>
    </row>
    <row r="342" spans="1:19" ht="11.25" x14ac:dyDescent="0.2">
      <c r="A342" s="3"/>
      <c r="B342" s="342" t="s">
        <v>13</v>
      </c>
      <c r="C342" s="342" t="s">
        <v>14</v>
      </c>
      <c r="D342" s="325" t="s">
        <v>15</v>
      </c>
      <c r="E342" s="325" t="s">
        <v>16</v>
      </c>
      <c r="F342" s="325" t="s">
        <v>17</v>
      </c>
      <c r="G342" s="325" t="s">
        <v>18</v>
      </c>
      <c r="H342" s="325" t="s">
        <v>19</v>
      </c>
      <c r="I342" s="325" t="s">
        <v>20</v>
      </c>
      <c r="J342" s="325" t="s">
        <v>21</v>
      </c>
      <c r="K342" s="325" t="s">
        <v>22</v>
      </c>
      <c r="L342" s="325" t="s">
        <v>23</v>
      </c>
      <c r="N342" s="3"/>
      <c r="O342" s="3"/>
      <c r="P342" s="3"/>
      <c r="Q342" s="3"/>
      <c r="R342" s="3"/>
      <c r="S342" s="3"/>
    </row>
    <row r="343" spans="1:19" ht="11.25" x14ac:dyDescent="0.2">
      <c r="A343" s="3"/>
      <c r="B343" s="3"/>
      <c r="C343" s="3"/>
      <c r="D343" s="3"/>
      <c r="E343" s="325" t="s">
        <v>26</v>
      </c>
      <c r="F343" s="325" t="s">
        <v>26</v>
      </c>
      <c r="G343" s="325" t="s">
        <v>26</v>
      </c>
      <c r="H343" s="325" t="s">
        <v>26</v>
      </c>
      <c r="I343" s="325" t="s">
        <v>26</v>
      </c>
      <c r="J343" s="325" t="s">
        <v>26</v>
      </c>
      <c r="K343" s="325" t="s">
        <v>26</v>
      </c>
      <c r="L343" s="325" t="s">
        <v>26</v>
      </c>
      <c r="N343" s="3"/>
      <c r="O343" s="3"/>
      <c r="P343" s="3"/>
      <c r="Q343" s="3"/>
      <c r="R343" s="3"/>
      <c r="S343" s="3"/>
    </row>
    <row r="344" spans="1:19" ht="11.25" x14ac:dyDescent="0.2">
      <c r="A344" s="3">
        <v>1</v>
      </c>
      <c r="B344" s="24">
        <f>Input!A237</f>
        <v>381</v>
      </c>
      <c r="C344" s="3" t="str">
        <f>Input!B237</f>
        <v>METERS</v>
      </c>
      <c r="D344" s="3"/>
      <c r="E344" s="3">
        <f>Input!D237</f>
        <v>1172264</v>
      </c>
      <c r="F344" s="3">
        <f>Customer!F344+Commodity!F344+Demand!F344</f>
        <v>843350</v>
      </c>
      <c r="G344" s="3">
        <f>Customer!G344+Commodity!G344+Demand!G344</f>
        <v>323686</v>
      </c>
      <c r="H344" s="3">
        <f>Customer!H344+Commodity!H344+Demand!H344</f>
        <v>152</v>
      </c>
      <c r="I344" s="3">
        <f>Customer!I344+Commodity!I344+Demand!I344</f>
        <v>0</v>
      </c>
      <c r="J344" s="3">
        <f>Customer!J344+Commodity!J344+Demand!J344</f>
        <v>5076</v>
      </c>
      <c r="K344" s="3">
        <f>Customer!K344+Commodity!K344+Demand!K344</f>
        <v>0</v>
      </c>
      <c r="L344" s="3">
        <f>Customer!L344+Commodity!L344+Demand!L344</f>
        <v>0</v>
      </c>
      <c r="N344" s="3"/>
      <c r="O344" s="3"/>
      <c r="P344" s="3"/>
      <c r="Q344" s="3"/>
      <c r="R344" s="3"/>
      <c r="S344" s="3"/>
    </row>
    <row r="345" spans="1:19" ht="11.25" x14ac:dyDescent="0.2">
      <c r="A345" s="3">
        <f t="shared" ref="A345:A356" si="42">A344+1</f>
        <v>2</v>
      </c>
      <c r="B345" s="24">
        <f>Input!A238</f>
        <v>382</v>
      </c>
      <c r="C345" s="3" t="str">
        <f>Input!B238</f>
        <v>METER INSTALLATIONS</v>
      </c>
      <c r="D345" s="3"/>
      <c r="E345" s="3">
        <f>Input!D238</f>
        <v>230831</v>
      </c>
      <c r="F345" s="3">
        <f>Customer!F345+Commodity!F345+Demand!F345</f>
        <v>166064</v>
      </c>
      <c r="G345" s="3">
        <f>Customer!G345+Commodity!G345+Demand!G345</f>
        <v>63737</v>
      </c>
      <c r="H345" s="3">
        <f>Customer!H345+Commodity!H345+Demand!H345</f>
        <v>30</v>
      </c>
      <c r="I345" s="3">
        <f>Customer!I345+Commodity!I345+Demand!I345</f>
        <v>0</v>
      </c>
      <c r="J345" s="3">
        <f>Customer!J345+Commodity!J345+Demand!J345</f>
        <v>999</v>
      </c>
      <c r="K345" s="3">
        <f>Customer!K345+Commodity!K345+Demand!K345</f>
        <v>0</v>
      </c>
      <c r="L345" s="3">
        <f>Customer!L345+Commodity!L345+Demand!L345</f>
        <v>0</v>
      </c>
      <c r="N345" s="3"/>
      <c r="O345" s="3"/>
      <c r="P345" s="3"/>
      <c r="Q345" s="3"/>
      <c r="R345" s="3"/>
      <c r="S345" s="3"/>
    </row>
    <row r="346" spans="1:19" ht="11.25" x14ac:dyDescent="0.2">
      <c r="A346" s="3">
        <f t="shared" si="42"/>
        <v>3</v>
      </c>
      <c r="B346" s="24">
        <f>Input!A239</f>
        <v>383</v>
      </c>
      <c r="C346" s="3" t="str">
        <f>Input!B239</f>
        <v>HOUSE REGULATORS</v>
      </c>
      <c r="D346" s="3"/>
      <c r="E346" s="3">
        <f>Input!D239</f>
        <v>157520</v>
      </c>
      <c r="F346" s="3">
        <f>Customer!F346+Commodity!F346+Demand!F346</f>
        <v>113323</v>
      </c>
      <c r="G346" s="3">
        <f>Customer!G346+Commodity!G346+Demand!G346</f>
        <v>43494</v>
      </c>
      <c r="H346" s="3">
        <f>Customer!H346+Commodity!H346+Demand!H346</f>
        <v>20</v>
      </c>
      <c r="I346" s="3">
        <f>Customer!I346+Commodity!I346+Demand!I346</f>
        <v>0</v>
      </c>
      <c r="J346" s="3">
        <f>Customer!J346+Commodity!J346+Demand!J346</f>
        <v>682</v>
      </c>
      <c r="K346" s="3">
        <f>Customer!K346+Commodity!K346+Demand!K346</f>
        <v>0</v>
      </c>
      <c r="L346" s="3">
        <f>Customer!L346+Commodity!L346+Demand!L346</f>
        <v>0</v>
      </c>
      <c r="N346" s="3"/>
      <c r="O346" s="3"/>
      <c r="P346" s="3"/>
      <c r="Q346" s="3"/>
      <c r="R346" s="3"/>
      <c r="S346" s="3"/>
    </row>
    <row r="347" spans="1:19" ht="11.25" x14ac:dyDescent="0.2">
      <c r="A347" s="3">
        <f t="shared" si="42"/>
        <v>4</v>
      </c>
      <c r="B347" s="24">
        <f>Input!A240</f>
        <v>384</v>
      </c>
      <c r="C347" s="3" t="str">
        <f>Input!B240</f>
        <v>HOUSE REG INSTALLATIONS</v>
      </c>
      <c r="D347" s="3"/>
      <c r="E347" s="3">
        <f>Input!D240</f>
        <v>22800</v>
      </c>
      <c r="F347" s="3">
        <f>Customer!F347+Commodity!F347+Demand!F347</f>
        <v>16403</v>
      </c>
      <c r="G347" s="3">
        <f>Customer!G347+Commodity!G347+Demand!G347</f>
        <v>6296</v>
      </c>
      <c r="H347" s="3">
        <f>Customer!H347+Commodity!H347+Demand!H347</f>
        <v>3</v>
      </c>
      <c r="I347" s="3">
        <f>Customer!I347+Commodity!I347+Demand!I347</f>
        <v>0</v>
      </c>
      <c r="J347" s="3">
        <f>Customer!J347+Commodity!J347+Demand!J347</f>
        <v>99</v>
      </c>
      <c r="K347" s="3">
        <f>Customer!K347+Commodity!K347+Demand!K347</f>
        <v>0</v>
      </c>
      <c r="L347" s="3">
        <f>Customer!L347+Commodity!L347+Demand!L347</f>
        <v>0</v>
      </c>
      <c r="N347" s="3"/>
      <c r="O347" s="3"/>
      <c r="P347" s="3"/>
      <c r="Q347" s="3"/>
      <c r="R347" s="3"/>
      <c r="S347" s="3"/>
    </row>
    <row r="348" spans="1:19" ht="11.25" x14ac:dyDescent="0.2">
      <c r="A348" s="3">
        <f t="shared" si="42"/>
        <v>5</v>
      </c>
      <c r="B348" s="24">
        <f>Input!A241</f>
        <v>385</v>
      </c>
      <c r="C348" s="3" t="str">
        <f>Input!B241</f>
        <v>IND M&amp;R EQUIPMENT</v>
      </c>
      <c r="D348" s="3"/>
      <c r="E348" s="3">
        <f>Input!D241-SUM(Input!G241:M241)</f>
        <v>158315.82999999999</v>
      </c>
      <c r="F348" s="3">
        <f>Customer!F348+Commodity!F348+Demand!F348</f>
        <v>0</v>
      </c>
      <c r="G348" s="3">
        <f>Customer!G348+Commodity!G348+Demand!G348</f>
        <v>41126</v>
      </c>
      <c r="H348" s="3">
        <f>Customer!H348+Commodity!H348+Demand!H348</f>
        <v>46</v>
      </c>
      <c r="I348" s="3">
        <f>Customer!I348+Commodity!I348+Demand!I348</f>
        <v>0</v>
      </c>
      <c r="J348" s="3">
        <f>Customer!J348+Commodity!J348+Demand!J348</f>
        <v>117146</v>
      </c>
      <c r="K348" s="3">
        <f>Customer!K348+Commodity!K348+Demand!K348</f>
        <v>0</v>
      </c>
      <c r="L348" s="3">
        <f>Customer!L348+Commodity!L348+Demand!L348</f>
        <v>0</v>
      </c>
      <c r="N348" s="3"/>
      <c r="O348" s="3"/>
      <c r="P348" s="3"/>
      <c r="Q348" s="3"/>
      <c r="R348" s="3"/>
      <c r="S348" s="3"/>
    </row>
    <row r="349" spans="1:19" ht="11.25" x14ac:dyDescent="0.2">
      <c r="A349" s="3">
        <f t="shared" si="42"/>
        <v>6</v>
      </c>
      <c r="B349" s="24">
        <f>B348</f>
        <v>385</v>
      </c>
      <c r="C349" s="3" t="str">
        <f>"DIRECT "&amp;+Input!$B$177</f>
        <v>DIRECT IND M&amp;R EQUIPMENT</v>
      </c>
      <c r="D349" s="3"/>
      <c r="E349" s="3">
        <f>SUM(F349:L349)</f>
        <v>13065.17</v>
      </c>
      <c r="F349" s="3">
        <f>Customer!F349+Commodity!F349+Demand!F349</f>
        <v>0</v>
      </c>
      <c r="G349" s="3">
        <f>Customer!G349+Commodity!G349+Demand!G349</f>
        <v>0</v>
      </c>
      <c r="H349" s="3">
        <f>Customer!H349+Commodity!H349+Demand!H349</f>
        <v>0</v>
      </c>
      <c r="I349" s="3">
        <f>Customer!I349+Commodity!I349+Demand!I349</f>
        <v>13065.17</v>
      </c>
      <c r="J349" s="3">
        <f>Customer!J349+Commodity!J349+Demand!J349</f>
        <v>0</v>
      </c>
      <c r="K349" s="3">
        <f>Customer!K349+Commodity!K349+Demand!K349</f>
        <v>0</v>
      </c>
      <c r="L349" s="3">
        <f>Customer!L349+Commodity!L349+Demand!L349</f>
        <v>0</v>
      </c>
      <c r="N349" s="3"/>
      <c r="O349" s="3"/>
      <c r="P349" s="3"/>
      <c r="Q349" s="3"/>
      <c r="R349" s="3"/>
      <c r="S349" s="3"/>
    </row>
    <row r="350" spans="1:19" ht="11.25" x14ac:dyDescent="0.2">
      <c r="A350" s="3">
        <f t="shared" si="42"/>
        <v>7</v>
      </c>
      <c r="B350" s="24">
        <f>Input!A242</f>
        <v>387.2</v>
      </c>
      <c r="C350" s="3" t="str">
        <f>Input!B242</f>
        <v>ODORIZATION</v>
      </c>
      <c r="D350" s="3"/>
      <c r="E350" s="3">
        <f>Input!D242</f>
        <v>0</v>
      </c>
      <c r="F350" s="3">
        <f ca="1">Customer!F350+Commodity!F350+Demand!F350</f>
        <v>0</v>
      </c>
      <c r="G350" s="3">
        <f ca="1">Customer!G350+Commodity!G350+Demand!G350</f>
        <v>0</v>
      </c>
      <c r="H350" s="3">
        <f ca="1">Customer!H350+Commodity!H350+Demand!H350</f>
        <v>0</v>
      </c>
      <c r="I350" s="3">
        <f ca="1">Customer!I350+Commodity!I350+Demand!I350</f>
        <v>0</v>
      </c>
      <c r="J350" s="3">
        <f ca="1">Customer!J350+Commodity!J350+Demand!J350</f>
        <v>0</v>
      </c>
      <c r="K350" s="3">
        <f ca="1">Customer!K350+Commodity!K350+Demand!K350</f>
        <v>0</v>
      </c>
      <c r="L350" s="3">
        <f ca="1">Customer!L350+Commodity!L350+Demand!L350</f>
        <v>0</v>
      </c>
      <c r="N350" s="3"/>
      <c r="O350" s="3"/>
      <c r="P350" s="3"/>
      <c r="Q350" s="3"/>
      <c r="R350" s="3"/>
      <c r="S350" s="3"/>
    </row>
    <row r="351" spans="1:19" ht="11.25" x14ac:dyDescent="0.2">
      <c r="A351" s="3">
        <f t="shared" si="42"/>
        <v>8</v>
      </c>
      <c r="B351" s="24">
        <f>Input!A243</f>
        <v>387.41</v>
      </c>
      <c r="C351" s="3" t="str">
        <f>Input!B243</f>
        <v>TELEPHONE</v>
      </c>
      <c r="D351" s="3"/>
      <c r="E351" s="3">
        <f>Input!D243</f>
        <v>27516</v>
      </c>
      <c r="F351" s="3">
        <f ca="1">Customer!F351+Commodity!F351+Demand!F351</f>
        <v>15754</v>
      </c>
      <c r="G351" s="3">
        <f ca="1">Customer!G351+Commodity!G351+Demand!G351</f>
        <v>5998</v>
      </c>
      <c r="H351" s="3">
        <f ca="1">Customer!H351+Commodity!H351+Demand!H351</f>
        <v>10</v>
      </c>
      <c r="I351" s="3">
        <f ca="1">Customer!I351+Commodity!I351+Demand!I351</f>
        <v>50</v>
      </c>
      <c r="J351" s="3">
        <f ca="1">Customer!J351+Commodity!J351+Demand!J351</f>
        <v>5705</v>
      </c>
      <c r="K351" s="3">
        <f ca="1">Customer!K351+Commodity!K351+Demand!K351</f>
        <v>0</v>
      </c>
      <c r="L351" s="3">
        <f ca="1">Customer!L351+Commodity!L351+Demand!L351</f>
        <v>0</v>
      </c>
      <c r="N351" s="3"/>
      <c r="O351" s="3"/>
      <c r="P351" s="3"/>
      <c r="Q351" s="3"/>
      <c r="R351" s="3"/>
      <c r="S351" s="3"/>
    </row>
    <row r="352" spans="1:19" ht="11.25" x14ac:dyDescent="0.2">
      <c r="A352" s="3">
        <f t="shared" si="42"/>
        <v>9</v>
      </c>
      <c r="B352" s="24">
        <f>Input!A244</f>
        <v>387.42</v>
      </c>
      <c r="C352" s="3" t="str">
        <f>Input!B244</f>
        <v>RADIO</v>
      </c>
      <c r="D352" s="3"/>
      <c r="E352" s="3">
        <f>Input!D244</f>
        <v>29736</v>
      </c>
      <c r="F352" s="3">
        <f ca="1">Customer!F352+Commodity!F352+Demand!F352</f>
        <v>17026</v>
      </c>
      <c r="G352" s="3">
        <f ca="1">Customer!G352+Commodity!G352+Demand!G352</f>
        <v>6482</v>
      </c>
      <c r="H352" s="3">
        <f ca="1">Customer!H352+Commodity!H352+Demand!H352</f>
        <v>10</v>
      </c>
      <c r="I352" s="3">
        <f ca="1">Customer!I352+Commodity!I352+Demand!I352</f>
        <v>53</v>
      </c>
      <c r="J352" s="3">
        <f ca="1">Customer!J352+Commodity!J352+Demand!J352</f>
        <v>6165</v>
      </c>
      <c r="K352" s="3">
        <f ca="1">Customer!K352+Commodity!K352+Demand!K352</f>
        <v>0</v>
      </c>
      <c r="L352" s="3">
        <f ca="1">Customer!L352+Commodity!L352+Demand!L352</f>
        <v>0</v>
      </c>
      <c r="N352" s="3"/>
      <c r="O352" s="3"/>
      <c r="P352" s="3"/>
      <c r="Q352" s="3"/>
      <c r="R352" s="3"/>
      <c r="S352" s="3"/>
    </row>
    <row r="353" spans="1:19" ht="11.25" x14ac:dyDescent="0.2">
      <c r="A353" s="3">
        <f t="shared" si="42"/>
        <v>10</v>
      </c>
      <c r="B353" s="24">
        <f>Input!A245</f>
        <v>387.44</v>
      </c>
      <c r="C353" s="3" t="str">
        <f>Input!B245</f>
        <v>OTHER COMMUNICATION</v>
      </c>
      <c r="D353" s="3"/>
      <c r="E353" s="3">
        <f>Input!D245</f>
        <v>4992</v>
      </c>
      <c r="F353" s="3">
        <f ca="1">Customer!F353+Commodity!F353+Demand!F353</f>
        <v>2859</v>
      </c>
      <c r="G353" s="3">
        <f ca="1">Customer!G353+Commodity!G353+Demand!G353</f>
        <v>1088</v>
      </c>
      <c r="H353" s="3">
        <f ca="1">Customer!H353+Commodity!H353+Demand!H353</f>
        <v>2</v>
      </c>
      <c r="I353" s="3">
        <f ca="1">Customer!I353+Commodity!I353+Demand!I353</f>
        <v>8</v>
      </c>
      <c r="J353" s="3">
        <f ca="1">Customer!J353+Commodity!J353+Demand!J353</f>
        <v>1035</v>
      </c>
      <c r="K353" s="3">
        <f ca="1">Customer!K353+Commodity!K353+Demand!K353</f>
        <v>0</v>
      </c>
      <c r="L353" s="3">
        <f ca="1">Customer!L353+Commodity!L353+Demand!L353</f>
        <v>0</v>
      </c>
      <c r="N353" s="3"/>
      <c r="O353" s="3"/>
      <c r="P353" s="3"/>
      <c r="Q353" s="3"/>
      <c r="R353" s="3"/>
      <c r="S353" s="3"/>
    </row>
    <row r="354" spans="1:19" ht="11.25" x14ac:dyDescent="0.2">
      <c r="A354" s="3">
        <f t="shared" si="42"/>
        <v>11</v>
      </c>
      <c r="B354" s="24">
        <f>Input!A246</f>
        <v>387.45</v>
      </c>
      <c r="C354" s="3" t="str">
        <f>Input!B246</f>
        <v>TELEMETERING</v>
      </c>
      <c r="D354" s="3"/>
      <c r="E354" s="3">
        <f>Input!D246</f>
        <v>140832</v>
      </c>
      <c r="F354" s="3">
        <f ca="1">Customer!F354+Commodity!F354+Demand!F354</f>
        <v>80630</v>
      </c>
      <c r="G354" s="3">
        <f ca="1">Customer!G354+Commodity!G354+Demand!G354</f>
        <v>30700</v>
      </c>
      <c r="H354" s="3">
        <f ca="1">Customer!H354+Commodity!H354+Demand!H354</f>
        <v>48</v>
      </c>
      <c r="I354" s="3">
        <f ca="1">Customer!I354+Commodity!I354+Demand!I354</f>
        <v>253</v>
      </c>
      <c r="J354" s="3">
        <f ca="1">Customer!J354+Commodity!J354+Demand!J354</f>
        <v>29200</v>
      </c>
      <c r="K354" s="3">
        <f ca="1">Customer!K354+Commodity!K354+Demand!K354</f>
        <v>0</v>
      </c>
      <c r="L354" s="3">
        <f ca="1">Customer!L354+Commodity!L354+Demand!L354</f>
        <v>0</v>
      </c>
      <c r="N354" s="3"/>
      <c r="O354" s="3"/>
      <c r="P354" s="3"/>
      <c r="Q354" s="3"/>
      <c r="R354" s="3"/>
      <c r="S354" s="3"/>
    </row>
    <row r="355" spans="1:19" ht="11.25" x14ac:dyDescent="0.2">
      <c r="A355" s="3">
        <f t="shared" si="42"/>
        <v>12</v>
      </c>
      <c r="B355" s="24">
        <f>Input!A247</f>
        <v>387.46</v>
      </c>
      <c r="C355" s="3" t="str">
        <f>Input!B247</f>
        <v>CIS</v>
      </c>
      <c r="D355" s="3"/>
      <c r="E355" s="26">
        <f>Input!D247</f>
        <v>4248</v>
      </c>
      <c r="F355" s="26">
        <f ca="1">Customer!F355+Commodity!F355+Demand!F355</f>
        <v>2432</v>
      </c>
      <c r="G355" s="26">
        <f ca="1">Customer!G355+Commodity!G355+Demand!G355</f>
        <v>926</v>
      </c>
      <c r="H355" s="26">
        <f ca="1">Customer!H355+Commodity!H355+Demand!H355</f>
        <v>2</v>
      </c>
      <c r="I355" s="26">
        <f ca="1">Customer!I355+Commodity!I355+Demand!I355</f>
        <v>7</v>
      </c>
      <c r="J355" s="26">
        <f ca="1">Customer!J355+Commodity!J355+Demand!J355</f>
        <v>881</v>
      </c>
      <c r="K355" s="26">
        <f ca="1">Customer!K355+Commodity!K355+Demand!K355</f>
        <v>0</v>
      </c>
      <c r="L355" s="26">
        <f ca="1">Customer!L355+Commodity!L355+Demand!L355</f>
        <v>0</v>
      </c>
      <c r="N355" s="3"/>
      <c r="O355" s="3"/>
      <c r="P355" s="3"/>
      <c r="Q355" s="3"/>
      <c r="R355" s="3"/>
      <c r="S355" s="3"/>
    </row>
    <row r="356" spans="1:19" ht="11.25" x14ac:dyDescent="0.2">
      <c r="A356" s="3">
        <f t="shared" si="42"/>
        <v>13</v>
      </c>
      <c r="B356" s="3"/>
      <c r="C356" s="3" t="s">
        <v>84</v>
      </c>
      <c r="D356" s="3"/>
      <c r="E356" s="3">
        <f>SUM('Total Co'!E317:E336)+SUM(E344:E355)</f>
        <v>14206216</v>
      </c>
      <c r="F356" s="3">
        <f ca="1">SUM('Total Co'!F317:F336)+SUM(F344:F355)</f>
        <v>9270082</v>
      </c>
      <c r="G356" s="3">
        <f ca="1">SUM('Total Co'!G317:G336)+SUM(G344:G355)</f>
        <v>2772237</v>
      </c>
      <c r="H356" s="3">
        <f ca="1">SUM('Total Co'!H317:H336)+SUM(H344:H355)</f>
        <v>3614</v>
      </c>
      <c r="I356" s="3">
        <f ca="1">SUM('Total Co'!I317:I336)+SUM(I344:I355)</f>
        <v>14723.86</v>
      </c>
      <c r="J356" s="3">
        <f ca="1">SUM('Total Co'!J317:J336)+SUM(J344:J355)</f>
        <v>2145561</v>
      </c>
      <c r="K356" s="3">
        <f ca="1">SUM('Total Co'!K317:K336)+SUM(K344:K355)</f>
        <v>0</v>
      </c>
      <c r="L356" s="3">
        <f ca="1">SUM('Total Co'!L317:L336)+SUM(L344:L355)</f>
        <v>0</v>
      </c>
      <c r="N356" s="3"/>
      <c r="O356" s="3"/>
      <c r="P356" s="3"/>
      <c r="Q356" s="3"/>
      <c r="R356" s="3"/>
      <c r="S356" s="3"/>
    </row>
    <row r="357" spans="1:19" ht="11.2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N357" s="3"/>
      <c r="O357" s="3"/>
      <c r="P357" s="3"/>
      <c r="Q357" s="3"/>
      <c r="R357" s="3"/>
      <c r="S357" s="3"/>
    </row>
    <row r="358" spans="1:19" ht="11.25" x14ac:dyDescent="0.2">
      <c r="A358" s="3">
        <f>A356+1</f>
        <v>14</v>
      </c>
      <c r="B358" s="3"/>
      <c r="C358" s="24" t="str">
        <f>Input!A248</f>
        <v>GENERAL PLANT</v>
      </c>
      <c r="D358" s="3"/>
      <c r="E358" s="3"/>
      <c r="F358" s="3"/>
      <c r="G358" s="3"/>
      <c r="H358" s="3"/>
      <c r="I358" s="3"/>
      <c r="J358" s="3"/>
      <c r="K358" s="3"/>
      <c r="L358" s="3"/>
      <c r="N358" s="3"/>
      <c r="O358" s="3"/>
      <c r="P358" s="3"/>
      <c r="Q358" s="3"/>
      <c r="R358" s="3"/>
      <c r="S358" s="3"/>
    </row>
    <row r="359" spans="1:19" ht="11.2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N359" s="3"/>
      <c r="O359" s="3"/>
      <c r="P359" s="3"/>
      <c r="Q359" s="3"/>
      <c r="R359" s="3"/>
      <c r="S359" s="3"/>
    </row>
    <row r="360" spans="1:19" ht="11.25" x14ac:dyDescent="0.2">
      <c r="A360" s="3">
        <f>A358+1</f>
        <v>15</v>
      </c>
      <c r="B360" s="24">
        <f>Input!A249</f>
        <v>391.1</v>
      </c>
      <c r="C360" s="3" t="str">
        <f>Input!B249</f>
        <v>OFF FURN &amp; EQUIP - UNSPEC</v>
      </c>
      <c r="D360" s="3"/>
      <c r="E360" s="3">
        <f>Input!D249</f>
        <v>36561</v>
      </c>
      <c r="F360" s="3">
        <f ca="1">Customer!F360+Commodity!F360+Demand!F360</f>
        <v>20932</v>
      </c>
      <c r="G360" s="3">
        <f ca="1">Customer!G360+Commodity!G360+Demand!G360</f>
        <v>7970</v>
      </c>
      <c r="H360" s="3">
        <f ca="1">Customer!H360+Commodity!H360+Demand!H360</f>
        <v>13</v>
      </c>
      <c r="I360" s="3">
        <f ca="1">Customer!I360+Commodity!I360+Demand!I360</f>
        <v>67</v>
      </c>
      <c r="J360" s="3">
        <f ca="1">Customer!J360+Commodity!J360+Demand!J360</f>
        <v>7580</v>
      </c>
      <c r="K360" s="3">
        <f ca="1">Customer!K360+Commodity!K360+Demand!K360</f>
        <v>0</v>
      </c>
      <c r="L360" s="3">
        <f ca="1">Customer!L360+Commodity!L360+Demand!L360</f>
        <v>0</v>
      </c>
      <c r="N360" s="3"/>
      <c r="O360" s="3"/>
      <c r="P360" s="3"/>
      <c r="Q360" s="3"/>
      <c r="R360" s="3"/>
      <c r="S360" s="3"/>
    </row>
    <row r="361" spans="1:19" ht="11.25" x14ac:dyDescent="0.2">
      <c r="A361" s="3">
        <f t="shared" ref="A361:A373" si="43">A360+1</f>
        <v>16</v>
      </c>
      <c r="B361" s="24">
        <f>Input!A250</f>
        <v>391.11</v>
      </c>
      <c r="C361" s="3" t="str">
        <f>Input!B250</f>
        <v>OFF FURN &amp; EQUIP - DATA HAND</v>
      </c>
      <c r="D361" s="3"/>
      <c r="E361" s="3">
        <f>Input!D250</f>
        <v>1260</v>
      </c>
      <c r="F361" s="3">
        <f ca="1">Customer!F361+Commodity!F361+Demand!F361</f>
        <v>722</v>
      </c>
      <c r="G361" s="3">
        <f ca="1">Customer!G361+Commodity!G361+Demand!G361</f>
        <v>275</v>
      </c>
      <c r="H361" s="3">
        <f ca="1">Customer!H361+Commodity!H361+Demand!H361</f>
        <v>0</v>
      </c>
      <c r="I361" s="3">
        <f ca="1">Customer!I361+Commodity!I361+Demand!I361</f>
        <v>2</v>
      </c>
      <c r="J361" s="3">
        <f ca="1">Customer!J361+Commodity!J361+Demand!J361</f>
        <v>261</v>
      </c>
      <c r="K361" s="3">
        <f ca="1">Customer!K361+Commodity!K361+Demand!K361</f>
        <v>0</v>
      </c>
      <c r="L361" s="3">
        <f ca="1">Customer!L361+Commodity!L361+Demand!L361</f>
        <v>0</v>
      </c>
      <c r="N361" s="3"/>
      <c r="O361" s="3"/>
      <c r="P361" s="3"/>
      <c r="Q361" s="3"/>
      <c r="R361" s="3"/>
      <c r="S361" s="3"/>
    </row>
    <row r="362" spans="1:19" ht="11.25" x14ac:dyDescent="0.2">
      <c r="A362" s="3">
        <f t="shared" si="43"/>
        <v>17</v>
      </c>
      <c r="B362" s="24">
        <f>Input!A251</f>
        <v>391.12</v>
      </c>
      <c r="C362" s="3" t="str">
        <f>Input!B251</f>
        <v>OFF FURN &amp; EQUIP - INFO SYSTEM</v>
      </c>
      <c r="D362" s="3"/>
      <c r="E362" s="3">
        <f>Input!D251</f>
        <v>253397</v>
      </c>
      <c r="F362" s="3">
        <f ca="1">Customer!F362+Commodity!F362+Demand!F362</f>
        <v>145079</v>
      </c>
      <c r="G362" s="3">
        <f ca="1">Customer!G362+Commodity!G362+Demand!G362</f>
        <v>55237</v>
      </c>
      <c r="H362" s="3">
        <f ca="1">Customer!H362+Commodity!H362+Demand!H362</f>
        <v>88</v>
      </c>
      <c r="I362" s="3">
        <f ca="1">Customer!I362+Commodity!I362+Demand!I362</f>
        <v>456</v>
      </c>
      <c r="J362" s="3">
        <f ca="1">Customer!J362+Commodity!J362+Demand!J362</f>
        <v>52539</v>
      </c>
      <c r="K362" s="3">
        <f ca="1">Customer!K362+Commodity!K362+Demand!K362</f>
        <v>0</v>
      </c>
      <c r="L362" s="3">
        <f ca="1">Customer!L362+Commodity!L362+Demand!L362</f>
        <v>0</v>
      </c>
      <c r="N362" s="3"/>
      <c r="O362" s="3"/>
      <c r="P362" s="3"/>
      <c r="Q362" s="3"/>
      <c r="R362" s="3"/>
      <c r="S362" s="3"/>
    </row>
    <row r="363" spans="1:19" ht="11.25" x14ac:dyDescent="0.2">
      <c r="A363" s="3">
        <f t="shared" si="43"/>
        <v>18</v>
      </c>
      <c r="B363" s="24">
        <f>Input!A252</f>
        <v>392.2</v>
      </c>
      <c r="C363" s="3" t="str">
        <f>Input!B252</f>
        <v>TR EQ - TRAILER &gt; $1,000</v>
      </c>
      <c r="D363" s="3"/>
      <c r="E363" s="3">
        <f>Input!D252</f>
        <v>8760</v>
      </c>
      <c r="F363" s="3">
        <f ca="1">Customer!F363+Commodity!F363+Demand!F363</f>
        <v>5016</v>
      </c>
      <c r="G363" s="3">
        <f ca="1">Customer!G363+Commodity!G363+Demand!G363</f>
        <v>1909</v>
      </c>
      <c r="H363" s="3">
        <f ca="1">Customer!H363+Commodity!H363+Demand!H363</f>
        <v>2</v>
      </c>
      <c r="I363" s="3">
        <f ca="1">Customer!I363+Commodity!I363+Demand!I363</f>
        <v>17</v>
      </c>
      <c r="J363" s="3">
        <f ca="1">Customer!J363+Commodity!J363+Demand!J363</f>
        <v>1816</v>
      </c>
      <c r="K363" s="3">
        <f ca="1">Customer!K363+Commodity!K363+Demand!K363</f>
        <v>0</v>
      </c>
      <c r="L363" s="3">
        <f ca="1">Customer!L363+Commodity!L363+Demand!L363</f>
        <v>0</v>
      </c>
      <c r="N363" s="3"/>
      <c r="O363" s="3"/>
      <c r="P363" s="3"/>
      <c r="Q363" s="3"/>
      <c r="R363" s="3"/>
      <c r="S363" s="3"/>
    </row>
    <row r="364" spans="1:19" ht="11.25" x14ac:dyDescent="0.2">
      <c r="A364" s="3">
        <f t="shared" si="43"/>
        <v>19</v>
      </c>
      <c r="B364" s="24">
        <f>Input!A253</f>
        <v>392.21</v>
      </c>
      <c r="C364" s="3" t="str">
        <f>Input!B253</f>
        <v>TR EQ - TRAILER &lt; $1,000</v>
      </c>
      <c r="D364" s="3"/>
      <c r="E364" s="3">
        <f>Input!D253</f>
        <v>2244</v>
      </c>
      <c r="F364" s="3">
        <f ca="1">Customer!F364+Commodity!F364+Demand!F364</f>
        <v>1285</v>
      </c>
      <c r="G364" s="3">
        <f ca="1">Customer!G364+Commodity!G364+Demand!G364</f>
        <v>489</v>
      </c>
      <c r="H364" s="3">
        <f ca="1">Customer!H364+Commodity!H364+Demand!H364</f>
        <v>0</v>
      </c>
      <c r="I364" s="3">
        <f ca="1">Customer!I364+Commodity!I364+Demand!I364</f>
        <v>4</v>
      </c>
      <c r="J364" s="3">
        <f ca="1">Customer!J364+Commodity!J364+Demand!J364</f>
        <v>465</v>
      </c>
      <c r="K364" s="3">
        <f ca="1">Customer!K364+Commodity!K364+Demand!K364</f>
        <v>0</v>
      </c>
      <c r="L364" s="3">
        <f ca="1">Customer!L364+Commodity!L364+Demand!L364</f>
        <v>0</v>
      </c>
      <c r="N364" s="3"/>
      <c r="O364" s="3"/>
      <c r="P364" s="3"/>
      <c r="Q364" s="3"/>
      <c r="R364" s="3"/>
      <c r="S364" s="3"/>
    </row>
    <row r="365" spans="1:19" ht="11.25" x14ac:dyDescent="0.2">
      <c r="A365" s="3">
        <f t="shared" si="43"/>
        <v>20</v>
      </c>
      <c r="B365" s="24">
        <f>Input!A254</f>
        <v>394.1</v>
      </c>
      <c r="C365" s="3" t="str">
        <f>Input!B254</f>
        <v>TOOLS,SHOP, &amp; GAR EQ-GARAGE &amp; SERV</v>
      </c>
      <c r="D365" s="3"/>
      <c r="E365" s="3">
        <f>Input!D254</f>
        <v>972</v>
      </c>
      <c r="F365" s="3">
        <f ca="1">Customer!F365+Commodity!F365+Demand!F365</f>
        <v>556</v>
      </c>
      <c r="G365" s="3">
        <f ca="1">Customer!G365+Commodity!G365+Demand!G365</f>
        <v>212</v>
      </c>
      <c r="H365" s="3">
        <f ca="1">Customer!H365+Commodity!H365+Demand!H365</f>
        <v>0</v>
      </c>
      <c r="I365" s="3">
        <f ca="1">Customer!I365+Commodity!I365+Demand!I365</f>
        <v>2</v>
      </c>
      <c r="J365" s="3">
        <f ca="1">Customer!J365+Commodity!J365+Demand!J365</f>
        <v>201</v>
      </c>
      <c r="K365" s="3">
        <f ca="1">Customer!K365+Commodity!K365+Demand!K365</f>
        <v>0</v>
      </c>
      <c r="L365" s="3">
        <f ca="1">Customer!L365+Commodity!L365+Demand!L365</f>
        <v>0</v>
      </c>
      <c r="N365" s="3"/>
      <c r="O365" s="3"/>
      <c r="P365" s="3"/>
      <c r="Q365" s="3"/>
      <c r="R365" s="3"/>
      <c r="S365" s="3"/>
    </row>
    <row r="366" spans="1:19" ht="11.25" x14ac:dyDescent="0.2">
      <c r="A366" s="3">
        <f t="shared" si="43"/>
        <v>21</v>
      </c>
      <c r="B366" s="24">
        <f>Input!A255</f>
        <v>394.13</v>
      </c>
      <c r="C366" s="3" t="str">
        <f>Input!B255</f>
        <v>TOOLS,SHOP, &amp; GAR EQ-UND TANK CLEANUP</v>
      </c>
      <c r="D366" s="3"/>
      <c r="E366" s="3">
        <f>Input!D255</f>
        <v>0</v>
      </c>
      <c r="F366" s="3">
        <f ca="1">Customer!F366+Commodity!F366+Demand!F366</f>
        <v>0</v>
      </c>
      <c r="G366" s="3">
        <f ca="1">Customer!G366+Commodity!G366+Demand!G366</f>
        <v>0</v>
      </c>
      <c r="H366" s="3">
        <f ca="1">Customer!H366+Commodity!H366+Demand!H366</f>
        <v>0</v>
      </c>
      <c r="I366" s="3">
        <f ca="1">Customer!I366+Commodity!I366+Demand!I366</f>
        <v>0</v>
      </c>
      <c r="J366" s="3">
        <f ca="1">Customer!J366+Commodity!J366+Demand!J366</f>
        <v>0</v>
      </c>
      <c r="K366" s="3">
        <f ca="1">Customer!K366+Commodity!K366+Demand!K366</f>
        <v>0</v>
      </c>
      <c r="L366" s="3">
        <f ca="1">Customer!L366+Commodity!L366+Demand!L366</f>
        <v>0</v>
      </c>
      <c r="N366" s="3"/>
      <c r="O366" s="3"/>
      <c r="P366" s="3"/>
      <c r="Q366" s="3"/>
      <c r="R366" s="3"/>
      <c r="S366" s="3"/>
    </row>
    <row r="367" spans="1:19" ht="11.25" x14ac:dyDescent="0.2">
      <c r="A367" s="3">
        <f t="shared" si="43"/>
        <v>22</v>
      </c>
      <c r="B367" s="24">
        <f>Input!A256</f>
        <v>393</v>
      </c>
      <c r="C367" s="3" t="str">
        <f>Input!B256</f>
        <v>STORES EQUIPMENT</v>
      </c>
      <c r="D367" s="3"/>
      <c r="E367" s="3">
        <f>Input!D256</f>
        <v>0</v>
      </c>
      <c r="F367" s="3">
        <f ca="1">Customer!F367+Commodity!F367+Demand!F367</f>
        <v>0</v>
      </c>
      <c r="G367" s="3">
        <f ca="1">Customer!G367+Commodity!G367+Demand!G367</f>
        <v>0</v>
      </c>
      <c r="H367" s="3">
        <f ca="1">Customer!H367+Commodity!H367+Demand!H367</f>
        <v>0</v>
      </c>
      <c r="I367" s="3">
        <f ca="1">Customer!I367+Commodity!I367+Demand!I367</f>
        <v>0</v>
      </c>
      <c r="J367" s="3">
        <f ca="1">Customer!J367+Commodity!J367+Demand!J367</f>
        <v>0</v>
      </c>
      <c r="K367" s="3">
        <f ca="1">Customer!K367+Commodity!K367+Demand!K367</f>
        <v>0</v>
      </c>
      <c r="L367" s="3">
        <f ca="1">Customer!L367+Commodity!L367+Demand!L367</f>
        <v>0</v>
      </c>
      <c r="N367" s="3"/>
      <c r="O367" s="3"/>
      <c r="P367" s="3"/>
      <c r="Q367" s="3"/>
      <c r="R367" s="3"/>
      <c r="S367" s="3"/>
    </row>
    <row r="368" spans="1:19" ht="11.25" x14ac:dyDescent="0.2">
      <c r="A368" s="3">
        <f t="shared" si="43"/>
        <v>23</v>
      </c>
      <c r="B368" s="24">
        <f>Input!A257</f>
        <v>394.2</v>
      </c>
      <c r="C368" s="3" t="str">
        <f>Input!B257</f>
        <v>SHOP EQUIPMENT</v>
      </c>
      <c r="D368" s="3"/>
      <c r="E368" s="3">
        <f>Input!D257</f>
        <v>0</v>
      </c>
      <c r="F368" s="3">
        <f ca="1">Customer!F368+Commodity!F368+Demand!F368</f>
        <v>0</v>
      </c>
      <c r="G368" s="3">
        <f ca="1">Customer!G368+Commodity!G368+Demand!G368</f>
        <v>0</v>
      </c>
      <c r="H368" s="3">
        <f ca="1">Customer!H368+Commodity!H368+Demand!H368</f>
        <v>0</v>
      </c>
      <c r="I368" s="3">
        <f ca="1">Customer!I368+Commodity!I368+Demand!I368</f>
        <v>0</v>
      </c>
      <c r="J368" s="3">
        <f ca="1">Customer!J368+Commodity!J368+Demand!J368</f>
        <v>0</v>
      </c>
      <c r="K368" s="3">
        <f ca="1">Customer!K368+Commodity!K368+Demand!K368</f>
        <v>0</v>
      </c>
      <c r="L368" s="3">
        <f ca="1">Customer!L368+Commodity!L368+Demand!L368</f>
        <v>0</v>
      </c>
      <c r="N368" s="3"/>
      <c r="O368" s="3"/>
      <c r="P368" s="3"/>
      <c r="Q368" s="3"/>
      <c r="R368" s="3"/>
      <c r="S368" s="3"/>
    </row>
    <row r="369" spans="1:19" ht="11.25" x14ac:dyDescent="0.2">
      <c r="A369" s="3">
        <f t="shared" si="43"/>
        <v>24</v>
      </c>
      <c r="B369" s="24">
        <f>Input!A258</f>
        <v>394.3</v>
      </c>
      <c r="C369" s="3" t="str">
        <f>Input!B258</f>
        <v>TOOLS &amp; OTHER EQUIPMENT</v>
      </c>
      <c r="D369" s="3"/>
      <c r="E369" s="3">
        <f>Input!D258</f>
        <v>129657</v>
      </c>
      <c r="F369" s="3">
        <f ca="1">Customer!F369+Commodity!F369+Demand!F369</f>
        <v>74233</v>
      </c>
      <c r="G369" s="3">
        <f ca="1">Customer!G369+Commodity!G369+Demand!G369</f>
        <v>28263</v>
      </c>
      <c r="H369" s="3">
        <f ca="1">Customer!H369+Commodity!H369+Demand!H369</f>
        <v>44</v>
      </c>
      <c r="I369" s="3">
        <f ca="1">Customer!I369+Commodity!I369+Demand!I369</f>
        <v>233</v>
      </c>
      <c r="J369" s="3">
        <f ca="1">Customer!J369+Commodity!J369+Demand!J369</f>
        <v>26883</v>
      </c>
      <c r="K369" s="3">
        <f ca="1">Customer!K369+Commodity!K369+Demand!K369</f>
        <v>0</v>
      </c>
      <c r="L369" s="3">
        <f ca="1">Customer!L369+Commodity!L369+Demand!L369</f>
        <v>0</v>
      </c>
      <c r="N369" s="3"/>
      <c r="O369" s="3"/>
      <c r="P369" s="3"/>
      <c r="Q369" s="3"/>
      <c r="R369" s="3"/>
      <c r="S369" s="3"/>
    </row>
    <row r="370" spans="1:19" ht="11.25" x14ac:dyDescent="0.2">
      <c r="A370" s="3">
        <f t="shared" si="43"/>
        <v>25</v>
      </c>
      <c r="B370" s="24">
        <f>Input!A259</f>
        <v>395</v>
      </c>
      <c r="C370" s="3" t="str">
        <f>Input!B259</f>
        <v>LABORATORY EQUIPMENT</v>
      </c>
      <c r="D370" s="3"/>
      <c r="E370" s="3">
        <f>Input!D259</f>
        <v>468</v>
      </c>
      <c r="F370" s="3">
        <f ca="1">Customer!F370+Commodity!F370+Demand!F370</f>
        <v>268</v>
      </c>
      <c r="G370" s="3">
        <f ca="1">Customer!G370+Commodity!G370+Demand!G370</f>
        <v>102</v>
      </c>
      <c r="H370" s="3">
        <f ca="1">Customer!H370+Commodity!H370+Demand!H370</f>
        <v>0</v>
      </c>
      <c r="I370" s="3">
        <f ca="1">Customer!I370+Commodity!I370+Demand!I370</f>
        <v>1</v>
      </c>
      <c r="J370" s="3">
        <f ca="1">Customer!J370+Commodity!J370+Demand!J370</f>
        <v>97</v>
      </c>
      <c r="K370" s="3">
        <f ca="1">Customer!K370+Commodity!K370+Demand!K370</f>
        <v>0</v>
      </c>
      <c r="L370" s="3">
        <f ca="1">Customer!L370+Commodity!L370+Demand!L370</f>
        <v>0</v>
      </c>
      <c r="N370" s="3"/>
      <c r="O370" s="3"/>
      <c r="P370" s="3"/>
      <c r="Q370" s="3"/>
      <c r="R370" s="3"/>
      <c r="S370" s="3"/>
    </row>
    <row r="371" spans="1:19" ht="11.25" x14ac:dyDescent="0.2">
      <c r="A371" s="3">
        <f t="shared" si="43"/>
        <v>26</v>
      </c>
      <c r="B371" s="24">
        <f>Input!A260</f>
        <v>396</v>
      </c>
      <c r="C371" s="3" t="str">
        <f>Input!B260</f>
        <v>POWER OP EQUIP-GEN TOOLS</v>
      </c>
      <c r="D371" s="3"/>
      <c r="E371" s="3">
        <f>Input!D260</f>
        <v>6552</v>
      </c>
      <c r="F371" s="3">
        <f ca="1">Customer!F371+Commodity!F371+Demand!F371</f>
        <v>3750</v>
      </c>
      <c r="G371" s="3">
        <f ca="1">Customer!G371+Commodity!G371+Demand!G371</f>
        <v>1429</v>
      </c>
      <c r="H371" s="3">
        <f ca="1">Customer!H371+Commodity!H371+Demand!H371</f>
        <v>2</v>
      </c>
      <c r="I371" s="3">
        <f ca="1">Customer!I371+Commodity!I371+Demand!I371</f>
        <v>11</v>
      </c>
      <c r="J371" s="3">
        <f ca="1">Customer!J371+Commodity!J371+Demand!J371</f>
        <v>1358</v>
      </c>
      <c r="K371" s="3">
        <f ca="1">Customer!K371+Commodity!K371+Demand!K371</f>
        <v>0</v>
      </c>
      <c r="L371" s="3">
        <f ca="1">Customer!L371+Commodity!L371+Demand!L371</f>
        <v>0</v>
      </c>
      <c r="N371" s="3"/>
      <c r="O371" s="3"/>
      <c r="P371" s="3"/>
      <c r="Q371" s="3"/>
      <c r="R371" s="3"/>
      <c r="S371" s="3"/>
    </row>
    <row r="372" spans="1:19" ht="11.25" x14ac:dyDescent="0.2">
      <c r="A372" s="3">
        <f t="shared" si="43"/>
        <v>27</v>
      </c>
      <c r="B372" s="24">
        <f>Input!A262</f>
        <v>398</v>
      </c>
      <c r="C372" s="3" t="str">
        <f>Input!B262</f>
        <v>MISCELLANEOUS EQUIPMENT</v>
      </c>
      <c r="D372" s="3"/>
      <c r="E372" s="26">
        <f>Input!D262</f>
        <v>19604</v>
      </c>
      <c r="F372" s="26">
        <f ca="1">Customer!F372+Commodity!F372+Demand!F372</f>
        <v>11225</v>
      </c>
      <c r="G372" s="26">
        <f ca="1">Customer!G372+Commodity!G372+Demand!G372</f>
        <v>4273</v>
      </c>
      <c r="H372" s="26">
        <f ca="1">Customer!H372+Commodity!H372+Demand!H372</f>
        <v>6</v>
      </c>
      <c r="I372" s="26">
        <f ca="1">Customer!I372+Commodity!I372+Demand!I372</f>
        <v>34</v>
      </c>
      <c r="J372" s="26">
        <f ca="1">Customer!J372+Commodity!J372+Demand!J372</f>
        <v>4064</v>
      </c>
      <c r="K372" s="26">
        <f ca="1">Customer!K372+Commodity!K372+Demand!K372</f>
        <v>0</v>
      </c>
      <c r="L372" s="26">
        <f ca="1">Customer!L372+Commodity!L372+Demand!L372</f>
        <v>0</v>
      </c>
      <c r="N372" s="3"/>
      <c r="O372" s="3"/>
      <c r="P372" s="3"/>
      <c r="Q372" s="3"/>
      <c r="R372" s="3"/>
      <c r="S372" s="3"/>
    </row>
    <row r="373" spans="1:19" ht="11.25" x14ac:dyDescent="0.2">
      <c r="A373" s="3">
        <f t="shared" si="43"/>
        <v>28</v>
      </c>
      <c r="B373" s="3"/>
      <c r="C373" s="3" t="s">
        <v>90</v>
      </c>
      <c r="D373" s="3"/>
      <c r="E373" s="3">
        <f t="shared" ref="E373:L373" si="44">SUM(E360:E372)</f>
        <v>459475</v>
      </c>
      <c r="F373" s="3">
        <f t="shared" ca="1" si="44"/>
        <v>263066</v>
      </c>
      <c r="G373" s="3">
        <f t="shared" ca="1" si="44"/>
        <v>100159</v>
      </c>
      <c r="H373" s="3">
        <f t="shared" ca="1" si="44"/>
        <v>155</v>
      </c>
      <c r="I373" s="3">
        <f t="shared" ca="1" si="44"/>
        <v>827</v>
      </c>
      <c r="J373" s="3">
        <f t="shared" ca="1" si="44"/>
        <v>95264</v>
      </c>
      <c r="K373" s="3">
        <f t="shared" ca="1" si="44"/>
        <v>0</v>
      </c>
      <c r="L373" s="3">
        <f t="shared" ca="1" si="44"/>
        <v>0</v>
      </c>
      <c r="N373" s="3"/>
      <c r="O373" s="3"/>
      <c r="P373" s="3"/>
      <c r="Q373" s="3"/>
      <c r="R373" s="3"/>
      <c r="S373" s="3"/>
    </row>
    <row r="374" spans="1:19" ht="11.2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N374" s="3"/>
      <c r="O374" s="3"/>
      <c r="P374" s="3"/>
      <c r="Q374" s="3"/>
      <c r="R374" s="3"/>
      <c r="S374" s="3"/>
    </row>
    <row r="375" spans="1:19" ht="11.25" x14ac:dyDescent="0.2">
      <c r="A375" s="3">
        <f>A373+1</f>
        <v>29</v>
      </c>
      <c r="B375" s="3"/>
      <c r="C375" s="25" t="s">
        <v>166</v>
      </c>
      <c r="D375" s="3"/>
      <c r="E375" s="3">
        <f>'Total Co'!E306+'Total Co'!E313+E356+E373</f>
        <v>15939786.563350823</v>
      </c>
      <c r="F375" s="3">
        <f ca="1">'Total Co'!F306+'Total Co'!F313+F356+F373</f>
        <v>10262609</v>
      </c>
      <c r="G375" s="3">
        <f ca="1">'Total Co'!G306+'Total Co'!G313+G356+G373</f>
        <v>3150131</v>
      </c>
      <c r="H375" s="3">
        <f ca="1">'Total Co'!H306+'Total Co'!H313+H356+H373</f>
        <v>4212</v>
      </c>
      <c r="I375" s="3">
        <f ca="1">'Total Co'!I306+'Total Co'!I313+I356+I373</f>
        <v>17839.86</v>
      </c>
      <c r="J375" s="3">
        <f ca="1">'Total Co'!J306+'Total Co'!J313+J356+J373</f>
        <v>2504992</v>
      </c>
      <c r="K375" s="3">
        <f ca="1">'Total Co'!K306+'Total Co'!K313+K356+K373</f>
        <v>0</v>
      </c>
      <c r="L375" s="3">
        <f ca="1">'Total Co'!L306+'Total Co'!L313+L356+L373</f>
        <v>0</v>
      </c>
      <c r="N375" s="3"/>
      <c r="O375" s="3"/>
      <c r="P375" s="3"/>
      <c r="Q375" s="3"/>
      <c r="R375" s="3"/>
      <c r="S375" s="3"/>
    </row>
    <row r="376" spans="1:19" ht="11.25" x14ac:dyDescent="0.2">
      <c r="A376" s="3" t="s">
        <v>810</v>
      </c>
      <c r="B376" s="3"/>
      <c r="C376" s="3"/>
      <c r="D376" s="3"/>
      <c r="E376" s="3"/>
      <c r="F376" s="325" t="str">
        <f>""&amp;+Input!$B$1</f>
        <v>COLUMBIA GAS OF KENTUCKY, INC.</v>
      </c>
      <c r="H376" s="3"/>
      <c r="I376" s="3"/>
      <c r="J376" s="3"/>
      <c r="K376" s="3"/>
      <c r="L376" s="32" t="str">
        <f>Input!$B$2</f>
        <v>ATTACHMENT CEN-2</v>
      </c>
      <c r="N376" s="3"/>
      <c r="O376" s="3"/>
      <c r="P376" s="3"/>
      <c r="Q376" s="3"/>
      <c r="R376" s="3"/>
      <c r="S376" s="3"/>
    </row>
    <row r="377" spans="1:19" ht="11.25" x14ac:dyDescent="0.2">
      <c r="A377" s="3" t="str">
        <f>Input!$B$7</f>
        <v>DEMAND-COMMODITY</v>
      </c>
      <c r="B377" s="3"/>
      <c r="C377" s="3"/>
      <c r="D377" s="3"/>
      <c r="E377" s="3"/>
      <c r="F377" s="325" t="s">
        <v>57</v>
      </c>
      <c r="H377" s="3"/>
      <c r="I377" s="3"/>
      <c r="J377" s="3"/>
      <c r="K377" s="3"/>
      <c r="L377" s="32" t="str">
        <f>"PAGE 11 OF "&amp;FIXED(Input!$B$8,0,TRUE)</f>
        <v>PAGE 11 OF 129</v>
      </c>
      <c r="N377" s="3"/>
      <c r="O377" s="3"/>
      <c r="P377" s="3"/>
      <c r="Q377" s="3"/>
      <c r="R377" s="3"/>
      <c r="S377" s="3"/>
    </row>
    <row r="378" spans="1:19" ht="11.25" x14ac:dyDescent="0.2">
      <c r="A378" s="17" t="str">
        <f>Input!$B$6</f>
        <v>FORECASTED TEST YEAR - ORIGINAL FILING</v>
      </c>
      <c r="B378" s="17"/>
      <c r="C378" s="17"/>
      <c r="D378" s="18"/>
      <c r="E378" s="18"/>
      <c r="F378" s="19" t="str">
        <f>"FOR THE TWELVE MONTHS ENDED "&amp;Input!$B$4</f>
        <v>FOR THE TWELVE MONTHS ENDED 12/31/2017</v>
      </c>
      <c r="G378" s="329"/>
      <c r="H378" s="17"/>
      <c r="I378" s="17"/>
      <c r="J378" s="17"/>
      <c r="K378" s="17"/>
      <c r="L378" s="183" t="str">
        <f>"WITNESS: "&amp;Input!$B$5</f>
        <v>WITNESS: C. NOTESTONE</v>
      </c>
      <c r="N378" s="3"/>
      <c r="O378" s="3"/>
      <c r="P378" s="3"/>
      <c r="Q378" s="3"/>
      <c r="R378" s="3"/>
      <c r="S378" s="3"/>
    </row>
    <row r="379" spans="1:19" ht="11.25" x14ac:dyDescent="0.2">
      <c r="A379" s="325" t="s">
        <v>5</v>
      </c>
      <c r="B379" s="3" t="s">
        <v>6</v>
      </c>
      <c r="C379" s="3"/>
      <c r="D379" s="325" t="s">
        <v>7</v>
      </c>
      <c r="E379" s="325" t="s">
        <v>8</v>
      </c>
      <c r="F379" s="3"/>
      <c r="G379" s="3"/>
      <c r="H379" s="3"/>
      <c r="I379" s="3"/>
      <c r="J379" s="3"/>
      <c r="K379" s="3"/>
      <c r="L379" s="3"/>
      <c r="N379" s="3"/>
      <c r="O379" s="3"/>
      <c r="P379" s="3"/>
      <c r="Q379" s="3"/>
      <c r="R379" s="3"/>
      <c r="S379" s="3"/>
    </row>
    <row r="380" spans="1:19" ht="11.25" x14ac:dyDescent="0.2">
      <c r="A380" s="341" t="s">
        <v>9</v>
      </c>
      <c r="B380" s="341" t="s">
        <v>9</v>
      </c>
      <c r="C380" s="34" t="str">
        <f>'Total Co'!C128</f>
        <v xml:space="preserve"> ACCOUNT TITLE</v>
      </c>
      <c r="D380" s="26" t="s">
        <v>10</v>
      </c>
      <c r="E380" s="341" t="s">
        <v>11</v>
      </c>
      <c r="F380" s="341" t="str">
        <f>"  "&amp;+Input!$C$12</f>
        <v xml:space="preserve">  GS-RESIDENTIAL</v>
      </c>
      <c r="G380" s="341" t="str">
        <f>Input!$C$13</f>
        <v>GS-OTHER</v>
      </c>
      <c r="H380" s="341" t="str">
        <f>Input!$C$14</f>
        <v>IUS</v>
      </c>
      <c r="I380" s="341" t="str">
        <f>Input!$C$15</f>
        <v>DS-ML</v>
      </c>
      <c r="J380" s="341" t="str">
        <f>Input!$C$16</f>
        <v>DS/IS</v>
      </c>
      <c r="K380" s="341" t="str">
        <f>Input!$C$17</f>
        <v>NOT USED</v>
      </c>
      <c r="L380" s="341" t="str">
        <f>Input!$C$18</f>
        <v>NOT USED</v>
      </c>
      <c r="N380" s="3"/>
      <c r="O380" s="3"/>
      <c r="P380" s="3"/>
      <c r="Q380" s="3"/>
      <c r="R380" s="3"/>
      <c r="S380" s="3"/>
    </row>
    <row r="381" spans="1:19" ht="11.25" x14ac:dyDescent="0.2">
      <c r="A381" s="3"/>
      <c r="B381" s="342" t="s">
        <v>13</v>
      </c>
      <c r="C381" s="342" t="s">
        <v>14</v>
      </c>
      <c r="D381" s="325" t="s">
        <v>15</v>
      </c>
      <c r="E381" s="325" t="s">
        <v>16</v>
      </c>
      <c r="F381" s="325" t="s">
        <v>17</v>
      </c>
      <c r="G381" s="325" t="s">
        <v>18</v>
      </c>
      <c r="H381" s="325" t="s">
        <v>19</v>
      </c>
      <c r="I381" s="325" t="s">
        <v>20</v>
      </c>
      <c r="J381" s="325" t="s">
        <v>21</v>
      </c>
      <c r="K381" s="325" t="s">
        <v>22</v>
      </c>
      <c r="L381" s="325" t="s">
        <v>23</v>
      </c>
      <c r="N381" s="3"/>
      <c r="O381" s="3"/>
      <c r="P381" s="3"/>
      <c r="Q381" s="3"/>
      <c r="R381" s="3"/>
      <c r="S381" s="3"/>
    </row>
    <row r="382" spans="1:19" ht="11.25" x14ac:dyDescent="0.2">
      <c r="A382" s="3"/>
      <c r="B382" s="3"/>
      <c r="C382" s="3"/>
      <c r="D382" s="3"/>
      <c r="E382" s="325" t="s">
        <v>26</v>
      </c>
      <c r="F382" s="325" t="s">
        <v>26</v>
      </c>
      <c r="G382" s="325" t="s">
        <v>26</v>
      </c>
      <c r="H382" s="325" t="s">
        <v>26</v>
      </c>
      <c r="I382" s="325" t="s">
        <v>26</v>
      </c>
      <c r="J382" s="325" t="s">
        <v>26</v>
      </c>
      <c r="K382" s="325" t="s">
        <v>26</v>
      </c>
      <c r="L382" s="325" t="s">
        <v>26</v>
      </c>
      <c r="N382" s="3"/>
      <c r="O382" s="3"/>
      <c r="P382" s="3"/>
      <c r="Q382" s="3"/>
      <c r="R382" s="3"/>
      <c r="S382" s="3"/>
    </row>
    <row r="383" spans="1:19" ht="11.25" x14ac:dyDescent="0.2">
      <c r="A383" s="3">
        <v>1</v>
      </c>
      <c r="B383" s="3" t="s">
        <v>27</v>
      </c>
      <c r="C383" s="3"/>
      <c r="D383" s="3"/>
      <c r="E383" s="3"/>
      <c r="F383" s="3"/>
      <c r="G383" s="3"/>
      <c r="H383" s="3"/>
      <c r="I383" s="3"/>
      <c r="J383" s="3"/>
      <c r="K383" s="3"/>
      <c r="L383" s="3"/>
      <c r="N383" s="3"/>
      <c r="O383" s="3"/>
      <c r="P383" s="3"/>
      <c r="Q383" s="3"/>
      <c r="R383" s="3"/>
      <c r="S383" s="3"/>
    </row>
    <row r="384" spans="1:19" ht="11.2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N384" s="3"/>
      <c r="O384" s="3"/>
      <c r="P384" s="3"/>
      <c r="Q384" s="3"/>
      <c r="R384" s="3"/>
      <c r="S384" s="3"/>
    </row>
    <row r="385" spans="1:21" ht="11.25" x14ac:dyDescent="0.2">
      <c r="A385" s="3">
        <f>A383+1</f>
        <v>2</v>
      </c>
      <c r="B385" s="24" t="str">
        <f>Input!A273</f>
        <v>480.00</v>
      </c>
      <c r="C385" s="24" t="s">
        <v>169</v>
      </c>
      <c r="D385" s="3"/>
      <c r="E385" s="3">
        <f>SUM(F385:L385)</f>
        <v>49696061.100000001</v>
      </c>
      <c r="F385" s="3">
        <f>Input!E273</f>
        <v>49696061.100000001</v>
      </c>
      <c r="G385" s="3">
        <f>Input!F273</f>
        <v>0</v>
      </c>
      <c r="H385" s="3">
        <f>Input!G273</f>
        <v>0</v>
      </c>
      <c r="I385" s="3">
        <f>Input!H273</f>
        <v>0</v>
      </c>
      <c r="J385" s="3">
        <f>Input!I273</f>
        <v>0</v>
      </c>
      <c r="K385" s="3">
        <f>Input!J273</f>
        <v>0</v>
      </c>
      <c r="L385" s="3">
        <f>Input!K273</f>
        <v>0</v>
      </c>
      <c r="N385" s="3"/>
      <c r="O385" s="3"/>
      <c r="P385" s="3"/>
      <c r="Q385" s="3"/>
      <c r="R385" s="3"/>
      <c r="S385" s="3"/>
      <c r="U385" s="257"/>
    </row>
    <row r="386" spans="1:21" ht="11.25" x14ac:dyDescent="0.2">
      <c r="A386" s="3">
        <f>A385+1</f>
        <v>3</v>
      </c>
      <c r="B386" s="24" t="str">
        <f>Input!A274</f>
        <v>481.10</v>
      </c>
      <c r="C386" s="24" t="s">
        <v>171</v>
      </c>
      <c r="D386" s="3"/>
      <c r="E386" s="3">
        <f>SUM(F386:L386)</f>
        <v>18520317.479999997</v>
      </c>
      <c r="F386" s="3">
        <f>Input!E274</f>
        <v>0</v>
      </c>
      <c r="G386" s="3">
        <f>Input!F274</f>
        <v>18520317.479999997</v>
      </c>
      <c r="H386" s="3">
        <f>Input!G274</f>
        <v>0</v>
      </c>
      <c r="I386" s="3">
        <f>Input!H274</f>
        <v>0</v>
      </c>
      <c r="J386" s="3">
        <f>Input!I274</f>
        <v>0</v>
      </c>
      <c r="K386" s="3">
        <f>Input!J274</f>
        <v>0</v>
      </c>
      <c r="L386" s="3">
        <f>Input!K274</f>
        <v>0</v>
      </c>
      <c r="N386" s="3"/>
      <c r="O386" s="3"/>
      <c r="P386" s="3"/>
      <c r="Q386" s="3"/>
      <c r="R386" s="3"/>
      <c r="S386" s="3"/>
      <c r="U386" s="257"/>
    </row>
    <row r="387" spans="1:21" ht="11.25" x14ac:dyDescent="0.2">
      <c r="A387" s="3">
        <f>A386+1</f>
        <v>4</v>
      </c>
      <c r="B387" s="24" t="str">
        <f>Input!A275</f>
        <v>481.20</v>
      </c>
      <c r="C387" s="24" t="s">
        <v>173</v>
      </c>
      <c r="D387" s="3"/>
      <c r="E387" s="26">
        <f>SUM(F387:L387)</f>
        <v>1458725.93</v>
      </c>
      <c r="F387" s="26">
        <f>Input!E275+Input!E276</f>
        <v>0</v>
      </c>
      <c r="G387" s="26">
        <f>Input!F275+Input!F276</f>
        <v>1410901.5999999999</v>
      </c>
      <c r="H387" s="26">
        <f>Input!G275+Input!G276</f>
        <v>47824.330000000009</v>
      </c>
      <c r="I387" s="26">
        <f>Input!H275+Input!H276</f>
        <v>0</v>
      </c>
      <c r="J387" s="26">
        <f>Input!I275+Input!I276</f>
        <v>0</v>
      </c>
      <c r="K387" s="26">
        <f>Input!J275+Input!J276</f>
        <v>0</v>
      </c>
      <c r="L387" s="26">
        <f>Input!K275+Input!K276</f>
        <v>0</v>
      </c>
      <c r="N387" s="3"/>
      <c r="O387" s="3"/>
      <c r="P387" s="3"/>
      <c r="Q387" s="3"/>
      <c r="R387" s="3"/>
      <c r="S387" s="3"/>
      <c r="U387" s="257"/>
    </row>
    <row r="388" spans="1:21" ht="11.25" x14ac:dyDescent="0.2">
      <c r="A388" s="3">
        <f>A387+1</f>
        <v>5</v>
      </c>
      <c r="B388" s="3"/>
      <c r="C388" s="24" t="s">
        <v>239</v>
      </c>
      <c r="D388" s="3"/>
      <c r="E388" s="3">
        <f t="shared" ref="E388:L388" si="45">SUM(E385:E387)</f>
        <v>69675104.510000005</v>
      </c>
      <c r="F388" s="3">
        <f t="shared" si="45"/>
        <v>49696061.100000001</v>
      </c>
      <c r="G388" s="3">
        <f t="shared" si="45"/>
        <v>19931219.079999998</v>
      </c>
      <c r="H388" s="3">
        <f t="shared" si="45"/>
        <v>47824.330000000009</v>
      </c>
      <c r="I388" s="3">
        <f t="shared" si="45"/>
        <v>0</v>
      </c>
      <c r="J388" s="3">
        <f t="shared" si="45"/>
        <v>0</v>
      </c>
      <c r="K388" s="3">
        <f t="shared" si="45"/>
        <v>0</v>
      </c>
      <c r="L388" s="3">
        <f t="shared" si="45"/>
        <v>0</v>
      </c>
      <c r="N388" s="3"/>
      <c r="O388" s="3"/>
      <c r="P388" s="3"/>
      <c r="Q388" s="3"/>
      <c r="R388" s="3"/>
      <c r="S388" s="3"/>
      <c r="U388" s="257"/>
    </row>
    <row r="389" spans="1:21" ht="11.2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N389" s="3"/>
      <c r="O389" s="3"/>
      <c r="P389" s="3"/>
      <c r="Q389" s="3"/>
      <c r="R389" s="3"/>
      <c r="S389" s="3"/>
      <c r="U389" s="257"/>
    </row>
    <row r="390" spans="1:21" ht="11.25" x14ac:dyDescent="0.2">
      <c r="A390" s="3">
        <f>A388+1</f>
        <v>6</v>
      </c>
      <c r="B390" s="24" t="str">
        <f>Input!A277</f>
        <v>487.00</v>
      </c>
      <c r="C390" s="24" t="str">
        <f>Input!B277</f>
        <v>FORFEITED DISCOUNTS</v>
      </c>
      <c r="D390" s="3"/>
      <c r="E390" s="1">
        <f>Input!D277</f>
        <v>476000</v>
      </c>
      <c r="F390" s="1">
        <f>Input!E277</f>
        <v>305532</v>
      </c>
      <c r="G390" s="1">
        <f>Input!F277</f>
        <v>137766</v>
      </c>
      <c r="H390" s="1">
        <f>Input!G277</f>
        <v>249</v>
      </c>
      <c r="I390" s="1">
        <f>Input!H277</f>
        <v>2494</v>
      </c>
      <c r="J390" s="1">
        <f>Input!I277</f>
        <v>29959</v>
      </c>
      <c r="K390" s="3">
        <f>Input!J277</f>
        <v>0</v>
      </c>
      <c r="L390" s="3">
        <f>Input!K277</f>
        <v>0</v>
      </c>
      <c r="N390" s="3"/>
      <c r="O390" s="3"/>
      <c r="P390" s="3"/>
      <c r="Q390" s="3"/>
      <c r="R390" s="3"/>
      <c r="S390" s="3"/>
      <c r="U390" s="257"/>
    </row>
    <row r="391" spans="1:21" ht="11.25" x14ac:dyDescent="0.2">
      <c r="A391" s="3">
        <f>A390+1</f>
        <v>7</v>
      </c>
      <c r="B391" s="24" t="str">
        <f>Input!A278</f>
        <v>488.00</v>
      </c>
      <c r="C391" s="24" t="str">
        <f>Input!B278</f>
        <v>MISC. SERVICE REVENUE</v>
      </c>
      <c r="D391" s="3"/>
      <c r="E391" s="3">
        <f>Input!D278</f>
        <v>137000</v>
      </c>
      <c r="F391" s="3">
        <f>Input!E278</f>
        <v>122833</v>
      </c>
      <c r="G391" s="3">
        <f>Input!F278</f>
        <v>14082</v>
      </c>
      <c r="H391" s="3">
        <f>Input!G278</f>
        <v>1</v>
      </c>
      <c r="I391" s="3">
        <f>Input!H278</f>
        <v>5</v>
      </c>
      <c r="J391" s="3">
        <f>Input!I278</f>
        <v>79</v>
      </c>
      <c r="K391" s="3">
        <f>Input!J278</f>
        <v>0</v>
      </c>
      <c r="L391" s="3">
        <f>Input!K278</f>
        <v>0</v>
      </c>
      <c r="N391" s="3"/>
      <c r="O391" s="3"/>
      <c r="P391" s="3"/>
      <c r="Q391" s="3"/>
      <c r="R391" s="3"/>
      <c r="S391" s="3"/>
      <c r="U391" s="257"/>
    </row>
    <row r="392" spans="1:21" ht="11.25" x14ac:dyDescent="0.2">
      <c r="A392" s="3">
        <f>A391+1</f>
        <v>8</v>
      </c>
      <c r="B392" s="24" t="str">
        <f>Input!A279</f>
        <v>489.00</v>
      </c>
      <c r="C392" s="24" t="s">
        <v>177</v>
      </c>
      <c r="D392" s="3"/>
      <c r="E392" s="3">
        <f>SUM(F392:L392)</f>
        <v>21807062.239999998</v>
      </c>
      <c r="F392" s="221">
        <f>SUM(Input!E279:'Input'!E282)</f>
        <v>9029105.3399999999</v>
      </c>
      <c r="G392" s="221">
        <f>SUM(Input!F279:'Input'!F282)</f>
        <v>6541879.9299999997</v>
      </c>
      <c r="H392" s="221">
        <f>SUM(Input!G279:'Input'!G282)</f>
        <v>0</v>
      </c>
      <c r="I392" s="221">
        <f>SUM(Input!H279:'Input'!H282)</f>
        <v>479212.93999999994</v>
      </c>
      <c r="J392" s="221">
        <f>SUM(Input!I279:'Input'!I282)</f>
        <v>5756864.0300000003</v>
      </c>
      <c r="K392" s="221">
        <f>SUM(Input!J279:'Input'!J282)</f>
        <v>0</v>
      </c>
      <c r="L392" s="221">
        <f>SUM(Input!K279:'Input'!K282)</f>
        <v>0</v>
      </c>
      <c r="N392" s="3"/>
      <c r="O392" s="3"/>
      <c r="P392" s="3"/>
      <c r="Q392" s="3"/>
      <c r="R392" s="3"/>
      <c r="S392" s="3"/>
      <c r="U392" s="257"/>
    </row>
    <row r="393" spans="1:21" ht="11.25" x14ac:dyDescent="0.2">
      <c r="A393" s="3">
        <f>A392+1</f>
        <v>9</v>
      </c>
      <c r="B393" s="24">
        <f>Input!A283</f>
        <v>495</v>
      </c>
      <c r="C393" s="24" t="str">
        <f>Input!B283</f>
        <v>OTHER</v>
      </c>
      <c r="D393" s="3"/>
      <c r="E393" s="26">
        <f>Input!D283</f>
        <v>587000</v>
      </c>
      <c r="F393" s="26">
        <f>Input!E283</f>
        <v>526293</v>
      </c>
      <c r="G393" s="26">
        <f>Input!F283</f>
        <v>60338</v>
      </c>
      <c r="H393" s="26">
        <f>Input!G283</f>
        <v>6</v>
      </c>
      <c r="I393" s="26">
        <f>Input!H283</f>
        <v>23</v>
      </c>
      <c r="J393" s="26">
        <f>Input!I283</f>
        <v>340</v>
      </c>
      <c r="K393" s="26">
        <f>Input!J283</f>
        <v>0</v>
      </c>
      <c r="L393" s="26">
        <f>Input!K283</f>
        <v>0</v>
      </c>
      <c r="N393" s="3"/>
      <c r="O393" s="3"/>
      <c r="P393" s="3"/>
      <c r="Q393" s="3"/>
      <c r="R393" s="3"/>
      <c r="S393" s="3"/>
      <c r="U393" s="257"/>
    </row>
    <row r="394" spans="1:21" ht="11.25" x14ac:dyDescent="0.2">
      <c r="A394" s="3">
        <f>A393+1</f>
        <v>10</v>
      </c>
      <c r="B394" s="3"/>
      <c r="C394" s="3" t="s">
        <v>253</v>
      </c>
      <c r="D394" s="3"/>
      <c r="E394" s="26">
        <f t="shared" ref="E394:L394" si="46">SUM(E390:E393)</f>
        <v>23007062.239999998</v>
      </c>
      <c r="F394" s="26">
        <f t="shared" si="46"/>
        <v>9983763.3399999999</v>
      </c>
      <c r="G394" s="26">
        <f t="shared" si="46"/>
        <v>6754065.9299999997</v>
      </c>
      <c r="H394" s="26">
        <f t="shared" si="46"/>
        <v>256</v>
      </c>
      <c r="I394" s="26">
        <f t="shared" si="46"/>
        <v>481734.93999999994</v>
      </c>
      <c r="J394" s="26">
        <f t="shared" si="46"/>
        <v>5787242.0300000003</v>
      </c>
      <c r="K394" s="26">
        <f t="shared" si="46"/>
        <v>0</v>
      </c>
      <c r="L394" s="26">
        <f t="shared" si="46"/>
        <v>0</v>
      </c>
      <c r="N394" s="3"/>
      <c r="O394" s="3"/>
      <c r="P394" s="3"/>
      <c r="Q394" s="3"/>
      <c r="R394" s="3"/>
      <c r="S394" s="3"/>
      <c r="U394" s="257"/>
    </row>
    <row r="395" spans="1:21" ht="11.2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N395" s="3"/>
      <c r="O395" s="3"/>
      <c r="P395" s="3"/>
      <c r="Q395" s="3"/>
      <c r="R395" s="3"/>
      <c r="S395" s="3"/>
      <c r="U395" s="257"/>
    </row>
    <row r="396" spans="1:21" ht="11.25" x14ac:dyDescent="0.2">
      <c r="A396" s="3">
        <f>A394+1</f>
        <v>11</v>
      </c>
      <c r="B396" s="3"/>
      <c r="C396" s="3" t="s">
        <v>256</v>
      </c>
      <c r="D396" s="3"/>
      <c r="E396" s="3">
        <f t="shared" ref="E396:L396" si="47">E388+E394</f>
        <v>92682166.75</v>
      </c>
      <c r="F396" s="3">
        <f t="shared" si="47"/>
        <v>59679824.439999998</v>
      </c>
      <c r="G396" s="3">
        <f t="shared" si="47"/>
        <v>26685285.009999998</v>
      </c>
      <c r="H396" s="3">
        <f t="shared" si="47"/>
        <v>48080.330000000009</v>
      </c>
      <c r="I396" s="3">
        <f t="shared" si="47"/>
        <v>481734.93999999994</v>
      </c>
      <c r="J396" s="3">
        <f t="shared" si="47"/>
        <v>5787242.0300000003</v>
      </c>
      <c r="K396" s="3">
        <f t="shared" si="47"/>
        <v>0</v>
      </c>
      <c r="L396" s="3">
        <f t="shared" si="47"/>
        <v>0</v>
      </c>
      <c r="N396" s="3"/>
      <c r="O396" s="3"/>
      <c r="P396" s="3"/>
      <c r="Q396" s="3"/>
      <c r="R396" s="3"/>
      <c r="S396" s="3"/>
      <c r="U396" s="257"/>
    </row>
    <row r="397" spans="1:21" ht="11.25" x14ac:dyDescent="0.2">
      <c r="A397" s="3" t="s">
        <v>810</v>
      </c>
      <c r="B397" s="3"/>
      <c r="C397" s="3"/>
      <c r="D397" s="3"/>
      <c r="E397" s="3"/>
      <c r="F397" s="325" t="str">
        <f>" "&amp;+Input!$B$1</f>
        <v xml:space="preserve"> COLUMBIA GAS OF KENTUCKY, INC.</v>
      </c>
      <c r="H397" s="3"/>
      <c r="I397" s="3"/>
      <c r="J397" s="3"/>
      <c r="K397" s="3"/>
      <c r="L397" s="32" t="str">
        <f>Input!$B$2</f>
        <v>ATTACHMENT CEN-2</v>
      </c>
      <c r="N397" s="3"/>
      <c r="O397" s="3"/>
      <c r="P397" s="3"/>
      <c r="Q397" s="3"/>
      <c r="R397" s="3"/>
      <c r="S397" s="3"/>
    </row>
    <row r="398" spans="1:21" ht="11.25" x14ac:dyDescent="0.2">
      <c r="A398" s="3" t="str">
        <f>Input!$B$7</f>
        <v>DEMAND-COMMODITY</v>
      </c>
      <c r="B398" s="3"/>
      <c r="C398" s="3"/>
      <c r="D398" s="3"/>
      <c r="E398" s="3"/>
      <c r="F398" s="325" t="s">
        <v>60</v>
      </c>
      <c r="H398" s="3"/>
      <c r="I398" s="3"/>
      <c r="J398" s="3"/>
      <c r="K398" s="3"/>
      <c r="L398" s="32" t="str">
        <f>"PAGE 12 OF "&amp;FIXED(Input!$B$8,0,TRUE)</f>
        <v>PAGE 12 OF 129</v>
      </c>
      <c r="N398" s="3"/>
      <c r="O398" s="3"/>
      <c r="P398" s="3"/>
      <c r="Q398" s="3"/>
      <c r="R398" s="3"/>
      <c r="S398" s="3"/>
    </row>
    <row r="399" spans="1:21" ht="11.25" x14ac:dyDescent="0.2">
      <c r="A399" s="17" t="str">
        <f>Input!$B$6</f>
        <v>FORECASTED TEST YEAR - ORIGINAL FILING</v>
      </c>
      <c r="B399" s="17"/>
      <c r="C399" s="17"/>
      <c r="D399" s="18"/>
      <c r="E399" s="18"/>
      <c r="F399" s="19" t="str">
        <f>"FOR THE TWELVE MONTHS ENDED "&amp;Input!$B$4</f>
        <v>FOR THE TWELVE MONTHS ENDED 12/31/2017</v>
      </c>
      <c r="G399" s="329"/>
      <c r="H399" s="17"/>
      <c r="I399" s="17"/>
      <c r="J399" s="17"/>
      <c r="K399" s="17"/>
      <c r="L399" s="183" t="str">
        <f>"WITNESS: "&amp;Input!$B$5</f>
        <v>WITNESS: C. NOTESTONE</v>
      </c>
      <c r="N399" s="3"/>
      <c r="O399" s="3"/>
      <c r="P399" s="3"/>
      <c r="Q399" s="3"/>
      <c r="R399" s="3"/>
      <c r="S399" s="3"/>
    </row>
    <row r="400" spans="1:21" ht="11.25" x14ac:dyDescent="0.2">
      <c r="A400" s="325" t="s">
        <v>5</v>
      </c>
      <c r="B400" s="3" t="s">
        <v>6</v>
      </c>
      <c r="C400" s="3"/>
      <c r="D400" s="325" t="s">
        <v>7</v>
      </c>
      <c r="E400" s="325" t="s">
        <v>8</v>
      </c>
      <c r="F400" s="3"/>
      <c r="G400" s="3"/>
      <c r="H400" s="3"/>
      <c r="I400" s="3"/>
      <c r="J400" s="3"/>
      <c r="K400" s="3"/>
      <c r="L400" s="3"/>
      <c r="N400" s="3"/>
      <c r="O400" s="3"/>
      <c r="P400" s="3"/>
      <c r="Q400" s="3"/>
      <c r="R400" s="3"/>
      <c r="S400" s="3"/>
    </row>
    <row r="401" spans="1:19" ht="11.25" x14ac:dyDescent="0.2">
      <c r="A401" s="341" t="s">
        <v>9</v>
      </c>
      <c r="B401" s="341" t="s">
        <v>9</v>
      </c>
      <c r="C401" s="34" t="str">
        <f>'Total Co'!C128</f>
        <v xml:space="preserve"> ACCOUNT TITLE</v>
      </c>
      <c r="D401" s="26" t="s">
        <v>10</v>
      </c>
      <c r="E401" s="341" t="s">
        <v>11</v>
      </c>
      <c r="F401" s="341" t="str">
        <f>"  "&amp;+Input!$C$12</f>
        <v xml:space="preserve">  GS-RESIDENTIAL</v>
      </c>
      <c r="G401" s="341" t="str">
        <f>Input!$C$13</f>
        <v>GS-OTHER</v>
      </c>
      <c r="H401" s="341" t="str">
        <f>Input!$C$14</f>
        <v>IUS</v>
      </c>
      <c r="I401" s="341" t="str">
        <f>Input!$C$15</f>
        <v>DS-ML</v>
      </c>
      <c r="J401" s="341" t="str">
        <f>Input!$C$16</f>
        <v>DS/IS</v>
      </c>
      <c r="K401" s="341" t="str">
        <f>Input!$C$17</f>
        <v>NOT USED</v>
      </c>
      <c r="L401" s="341" t="str">
        <f>Input!$C$18</f>
        <v>NOT USED</v>
      </c>
      <c r="N401" s="3"/>
      <c r="O401" s="3"/>
      <c r="P401" s="3"/>
      <c r="Q401" s="3"/>
      <c r="R401" s="3"/>
      <c r="S401" s="3"/>
    </row>
    <row r="402" spans="1:19" ht="11.25" x14ac:dyDescent="0.2">
      <c r="A402" s="3"/>
      <c r="B402" s="342" t="s">
        <v>13</v>
      </c>
      <c r="C402" s="342" t="s">
        <v>14</v>
      </c>
      <c r="D402" s="325" t="s">
        <v>15</v>
      </c>
      <c r="E402" s="325" t="s">
        <v>16</v>
      </c>
      <c r="F402" s="325" t="s">
        <v>17</v>
      </c>
      <c r="G402" s="325" t="s">
        <v>18</v>
      </c>
      <c r="H402" s="325" t="s">
        <v>19</v>
      </c>
      <c r="I402" s="325" t="s">
        <v>20</v>
      </c>
      <c r="J402" s="325" t="s">
        <v>21</v>
      </c>
      <c r="K402" s="325" t="s">
        <v>22</v>
      </c>
      <c r="L402" s="325" t="s">
        <v>23</v>
      </c>
      <c r="N402" s="3"/>
      <c r="O402" s="3"/>
      <c r="P402" s="3"/>
      <c r="Q402" s="3"/>
      <c r="R402" s="3"/>
      <c r="S402" s="3"/>
    </row>
    <row r="403" spans="1:19" ht="11.25" x14ac:dyDescent="0.2">
      <c r="A403" s="3"/>
      <c r="B403" s="3"/>
      <c r="C403" s="3"/>
      <c r="D403" s="3"/>
      <c r="E403" s="325" t="s">
        <v>26</v>
      </c>
      <c r="F403" s="325" t="s">
        <v>26</v>
      </c>
      <c r="G403" s="325" t="s">
        <v>26</v>
      </c>
      <c r="H403" s="325" t="s">
        <v>26</v>
      </c>
      <c r="I403" s="325" t="s">
        <v>26</v>
      </c>
      <c r="J403" s="325" t="s">
        <v>26</v>
      </c>
      <c r="K403" s="325" t="s">
        <v>26</v>
      </c>
      <c r="L403" s="325" t="s">
        <v>26</v>
      </c>
      <c r="N403" s="3"/>
      <c r="O403" s="3"/>
      <c r="P403" s="3"/>
      <c r="Q403" s="3"/>
      <c r="R403" s="3"/>
      <c r="S403" s="3"/>
    </row>
    <row r="404" spans="1:19" ht="11.25" x14ac:dyDescent="0.2">
      <c r="A404" s="3">
        <v>1</v>
      </c>
      <c r="B404" s="3" t="s">
        <v>263</v>
      </c>
      <c r="C404" s="3"/>
      <c r="D404" s="3"/>
      <c r="E404" s="3"/>
      <c r="F404" s="3"/>
      <c r="G404" s="3"/>
      <c r="H404" s="3"/>
      <c r="I404" s="3"/>
      <c r="J404" s="3"/>
      <c r="K404" s="3"/>
      <c r="L404" s="3"/>
      <c r="N404" s="3"/>
      <c r="O404" s="3"/>
      <c r="P404" s="3"/>
      <c r="Q404" s="3"/>
      <c r="R404" s="3"/>
      <c r="S404" s="3"/>
    </row>
    <row r="405" spans="1:19" ht="11.2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N405" s="3"/>
      <c r="O405" s="3"/>
      <c r="P405" s="3"/>
      <c r="Q405" s="3"/>
      <c r="R405" s="3"/>
      <c r="S405" s="3"/>
    </row>
    <row r="406" spans="1:19" ht="11.25" x14ac:dyDescent="0.2">
      <c r="A406" s="3">
        <f>A404+1</f>
        <v>2</v>
      </c>
      <c r="B406" s="3"/>
      <c r="C406" s="3" t="s">
        <v>266</v>
      </c>
      <c r="D406" s="3"/>
      <c r="E406" s="3"/>
      <c r="F406" s="3"/>
      <c r="G406" s="3"/>
      <c r="H406" s="3"/>
      <c r="I406" s="3"/>
      <c r="J406" s="3"/>
      <c r="K406" s="3"/>
      <c r="L406" s="3"/>
      <c r="N406" s="3"/>
      <c r="O406" s="3"/>
      <c r="P406" s="3"/>
      <c r="Q406" s="3"/>
      <c r="R406" s="3"/>
      <c r="S406" s="3"/>
    </row>
    <row r="407" spans="1:19" ht="11.2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N407" s="3"/>
      <c r="O407" s="3"/>
      <c r="P407" s="3"/>
      <c r="Q407" s="3"/>
      <c r="R407" s="3"/>
      <c r="S407" s="3"/>
    </row>
    <row r="408" spans="1:19" ht="11.25" x14ac:dyDescent="0.2">
      <c r="A408" s="3">
        <f>A406+1</f>
        <v>3</v>
      </c>
      <c r="B408" s="24" t="str">
        <f>Input!A317</f>
        <v>717</v>
      </c>
      <c r="C408" s="24" t="str">
        <f>Input!B317</f>
        <v>LIQUE PETRO GAS EXP - LABOR</v>
      </c>
      <c r="D408" s="3"/>
      <c r="E408" s="3">
        <f>Input!D317</f>
        <v>0</v>
      </c>
      <c r="F408" s="3">
        <f>Customer!F408+Commodity!F408+Demand!F408</f>
        <v>0</v>
      </c>
      <c r="G408" s="3">
        <f>Customer!G408+Commodity!G408+Demand!G408</f>
        <v>0</v>
      </c>
      <c r="H408" s="3">
        <f>Customer!H408+Commodity!H408+Demand!H408</f>
        <v>0</v>
      </c>
      <c r="I408" s="3">
        <f>Customer!I408+Commodity!I408+Demand!I408</f>
        <v>0</v>
      </c>
      <c r="J408" s="3">
        <f>Customer!J408+Commodity!J408+Demand!J408</f>
        <v>0</v>
      </c>
      <c r="K408" s="3">
        <f>Customer!K408+Commodity!K408+Demand!K408</f>
        <v>0</v>
      </c>
      <c r="L408" s="3">
        <f>Customer!L408+Commodity!L408+Demand!L408</f>
        <v>0</v>
      </c>
      <c r="N408" s="3"/>
      <c r="O408" s="3"/>
      <c r="P408" s="3"/>
      <c r="Q408" s="3"/>
      <c r="R408" s="3"/>
      <c r="S408" s="3"/>
    </row>
    <row r="409" spans="1:19" ht="11.25" x14ac:dyDescent="0.2">
      <c r="A409" s="3">
        <f>A408+1</f>
        <v>4</v>
      </c>
      <c r="B409" s="24" t="str">
        <f>Input!A318</f>
        <v>717</v>
      </c>
      <c r="C409" s="24" t="str">
        <f>Input!B318</f>
        <v>LIQUE PETRO GAS EXP - M&amp;E</v>
      </c>
      <c r="D409" s="3"/>
      <c r="E409" s="3">
        <f>Input!D318</f>
        <v>2139</v>
      </c>
      <c r="F409" s="3">
        <f>Customer!F409+Commodity!F409+Demand!F409</f>
        <v>1304</v>
      </c>
      <c r="G409" s="3">
        <f>Customer!G409+Commodity!G409+Demand!G409</f>
        <v>797</v>
      </c>
      <c r="H409" s="3">
        <f>Customer!H409+Commodity!H409+Demand!H409</f>
        <v>2</v>
      </c>
      <c r="I409" s="3">
        <f>Customer!I409+Commodity!I409+Demand!I409</f>
        <v>0</v>
      </c>
      <c r="J409" s="3">
        <f>Customer!J409+Commodity!J409+Demand!J409</f>
        <v>37</v>
      </c>
      <c r="K409" s="3">
        <f>Customer!K409+Commodity!K409+Demand!K409</f>
        <v>0</v>
      </c>
      <c r="L409" s="3">
        <f>Customer!L409+Commodity!L409+Demand!L409</f>
        <v>0</v>
      </c>
      <c r="N409" s="3"/>
      <c r="O409" s="3"/>
      <c r="P409" s="3"/>
      <c r="Q409" s="3"/>
      <c r="R409" s="3"/>
      <c r="S409" s="3"/>
    </row>
    <row r="410" spans="1:19" ht="11.25" x14ac:dyDescent="0.2">
      <c r="A410" s="3">
        <f>A409+1</f>
        <v>5</v>
      </c>
      <c r="B410" s="24" t="str">
        <f>Input!A319</f>
        <v>723</v>
      </c>
      <c r="C410" s="24" t="str">
        <f>Input!B319</f>
        <v>LIQUIFIED PETROLEUM GAS PROCESS</v>
      </c>
      <c r="D410" s="3"/>
      <c r="E410" s="3">
        <f>Input!D319</f>
        <v>0</v>
      </c>
      <c r="F410" s="3">
        <f>Customer!F410+Commodity!F410+Demand!F410</f>
        <v>0</v>
      </c>
      <c r="G410" s="3">
        <f>Customer!G410+Commodity!G410+Demand!G410</f>
        <v>0</v>
      </c>
      <c r="H410" s="3">
        <f>Customer!H410+Commodity!H410+Demand!H410</f>
        <v>0</v>
      </c>
      <c r="I410" s="3">
        <f>Customer!I410+Commodity!I410+Demand!I410</f>
        <v>0</v>
      </c>
      <c r="J410" s="3">
        <f>Customer!J410+Commodity!J410+Demand!J410</f>
        <v>0</v>
      </c>
      <c r="K410" s="3">
        <f>Customer!K410+Commodity!K410+Demand!K410</f>
        <v>0</v>
      </c>
      <c r="L410" s="3">
        <f>Customer!L410+Commodity!L410+Demand!L410</f>
        <v>0</v>
      </c>
      <c r="N410" s="3"/>
      <c r="O410" s="3"/>
      <c r="P410" s="3"/>
      <c r="Q410" s="3"/>
      <c r="R410" s="3"/>
      <c r="S410" s="3"/>
    </row>
    <row r="411" spans="1:19" ht="11.25" x14ac:dyDescent="0.2">
      <c r="A411" s="3">
        <f>A410+1</f>
        <v>6</v>
      </c>
      <c r="B411" s="24" t="str">
        <f>Input!A320</f>
        <v>728</v>
      </c>
      <c r="C411" s="24" t="str">
        <f>Input!B320</f>
        <v xml:space="preserve">LIQUIFIED PETROLEUM GAS </v>
      </c>
      <c r="D411" s="3"/>
      <c r="E411" s="26">
        <f>Input!D320</f>
        <v>0</v>
      </c>
      <c r="F411" s="26">
        <f>Customer!F411+Commodity!F411+Demand!F411</f>
        <v>0</v>
      </c>
      <c r="G411" s="26">
        <f>Customer!G411+Commodity!G411+Demand!G411</f>
        <v>0</v>
      </c>
      <c r="H411" s="26">
        <f>Customer!H411+Commodity!H411+Demand!H411</f>
        <v>0</v>
      </c>
      <c r="I411" s="26">
        <f>Customer!I411+Commodity!I411+Demand!I411</f>
        <v>0</v>
      </c>
      <c r="J411" s="26">
        <f>Customer!J411+Commodity!J411+Demand!J411</f>
        <v>0</v>
      </c>
      <c r="K411" s="26">
        <f>Customer!K411+Commodity!K411+Demand!K411</f>
        <v>0</v>
      </c>
      <c r="L411" s="26">
        <f>Customer!L411+Commodity!L411+Demand!L411</f>
        <v>0</v>
      </c>
      <c r="N411" s="3"/>
      <c r="O411" s="3"/>
      <c r="P411" s="3"/>
      <c r="Q411" s="3"/>
      <c r="R411" s="3"/>
      <c r="S411" s="3"/>
    </row>
    <row r="412" spans="1:19" ht="11.25" x14ac:dyDescent="0.2">
      <c r="A412" s="3">
        <f>A411+1</f>
        <v>7</v>
      </c>
      <c r="B412" s="3"/>
      <c r="C412" s="3" t="s">
        <v>271</v>
      </c>
      <c r="D412" s="3"/>
      <c r="E412" s="3">
        <f t="shared" ref="E412:L412" si="48">SUM(E408:E411)</f>
        <v>2139</v>
      </c>
      <c r="F412" s="3">
        <f t="shared" si="48"/>
        <v>1304</v>
      </c>
      <c r="G412" s="3">
        <f t="shared" si="48"/>
        <v>797</v>
      </c>
      <c r="H412" s="3">
        <f t="shared" si="48"/>
        <v>2</v>
      </c>
      <c r="I412" s="3">
        <f t="shared" si="48"/>
        <v>0</v>
      </c>
      <c r="J412" s="3">
        <f t="shared" si="48"/>
        <v>37</v>
      </c>
      <c r="K412" s="3">
        <f t="shared" si="48"/>
        <v>0</v>
      </c>
      <c r="L412" s="3">
        <f t="shared" si="48"/>
        <v>0</v>
      </c>
      <c r="N412" s="3"/>
      <c r="O412" s="3"/>
      <c r="P412" s="3"/>
      <c r="Q412" s="3"/>
      <c r="R412" s="3"/>
      <c r="S412" s="3"/>
    </row>
    <row r="413" spans="1:19" ht="11.2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N413" s="3"/>
      <c r="O413" s="3"/>
      <c r="P413" s="3"/>
      <c r="Q413" s="3"/>
      <c r="R413" s="3"/>
      <c r="S413" s="3"/>
    </row>
    <row r="414" spans="1:19" ht="11.25" x14ac:dyDescent="0.2">
      <c r="A414" s="3">
        <f>A412+1</f>
        <v>8</v>
      </c>
      <c r="B414" s="3"/>
      <c r="C414" s="3" t="s">
        <v>272</v>
      </c>
      <c r="D414" s="3"/>
      <c r="E414" s="3"/>
      <c r="F414" s="3"/>
      <c r="G414" s="3"/>
      <c r="H414" s="3"/>
      <c r="I414" s="3"/>
      <c r="J414" s="3"/>
      <c r="K414" s="3"/>
      <c r="L414" s="3"/>
      <c r="N414" s="3"/>
      <c r="O414" s="3"/>
      <c r="P414" s="3"/>
      <c r="Q414" s="3"/>
      <c r="R414" s="3"/>
      <c r="S414" s="3"/>
    </row>
    <row r="415" spans="1:19" ht="11.2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N415" s="3"/>
      <c r="O415" s="3"/>
      <c r="P415" s="3"/>
      <c r="Q415" s="3"/>
      <c r="R415" s="3"/>
      <c r="S415" s="3"/>
    </row>
    <row r="416" spans="1:19" ht="11.25" x14ac:dyDescent="0.2">
      <c r="A416" s="3">
        <f>A414+1</f>
        <v>9</v>
      </c>
      <c r="B416" s="24" t="str">
        <f>Input!A321</f>
        <v>741</v>
      </c>
      <c r="C416" s="24" t="str">
        <f>Input!B321</f>
        <v>STRUCTURES &amp; IMPROV - LABOR</v>
      </c>
      <c r="D416" s="3"/>
      <c r="E416" s="3">
        <f>Input!D321</f>
        <v>0</v>
      </c>
      <c r="F416" s="3">
        <f>Customer!F416+Commodity!F416+Demand!F416</f>
        <v>0</v>
      </c>
      <c r="G416" s="3">
        <f>Customer!G416+Commodity!G416+Demand!G416</f>
        <v>0</v>
      </c>
      <c r="H416" s="3">
        <f>Customer!H416+Commodity!H416+Demand!H416</f>
        <v>0</v>
      </c>
      <c r="I416" s="3">
        <f>Customer!I416+Commodity!I416+Demand!I416</f>
        <v>0</v>
      </c>
      <c r="J416" s="3">
        <f>Customer!J416+Commodity!J416+Demand!J416</f>
        <v>0</v>
      </c>
      <c r="K416" s="3">
        <f>Customer!K416+Commodity!K416+Demand!K416</f>
        <v>0</v>
      </c>
      <c r="L416" s="3">
        <f>Customer!L416+Commodity!L416+Demand!L416</f>
        <v>0</v>
      </c>
      <c r="N416" s="3"/>
      <c r="O416" s="3"/>
      <c r="P416" s="3"/>
      <c r="Q416" s="3"/>
      <c r="R416" s="3"/>
      <c r="S416" s="3"/>
    </row>
    <row r="417" spans="1:19" ht="11.25" x14ac:dyDescent="0.2">
      <c r="A417" s="3">
        <f>A416+1</f>
        <v>10</v>
      </c>
      <c r="B417" s="24" t="str">
        <f>Input!A322</f>
        <v>741</v>
      </c>
      <c r="C417" s="24" t="str">
        <f>Input!B322</f>
        <v>STRUCTURES &amp; IMPROV - M&amp;E</v>
      </c>
      <c r="D417" s="3"/>
      <c r="E417" s="3">
        <f>Input!D322</f>
        <v>0</v>
      </c>
      <c r="F417" s="3">
        <f>Customer!F417+Commodity!F417+Demand!F417</f>
        <v>0</v>
      </c>
      <c r="G417" s="3">
        <f>Customer!G417+Commodity!G417+Demand!G417</f>
        <v>0</v>
      </c>
      <c r="H417" s="3">
        <f>Customer!H417+Commodity!H417+Demand!H417</f>
        <v>0</v>
      </c>
      <c r="I417" s="3">
        <f>Customer!I417+Commodity!I417+Demand!I417</f>
        <v>0</v>
      </c>
      <c r="J417" s="3">
        <f>Customer!J417+Commodity!J417+Demand!J417</f>
        <v>0</v>
      </c>
      <c r="K417" s="3">
        <f>Customer!K417+Commodity!K417+Demand!K417</f>
        <v>0</v>
      </c>
      <c r="L417" s="3">
        <f>Customer!L417+Commodity!L417+Demand!L417</f>
        <v>0</v>
      </c>
      <c r="N417" s="3"/>
      <c r="O417" s="3"/>
      <c r="P417" s="3"/>
      <c r="Q417" s="3"/>
      <c r="R417" s="3"/>
      <c r="S417" s="3"/>
    </row>
    <row r="418" spans="1:19" ht="11.25" x14ac:dyDescent="0.2">
      <c r="A418" s="3">
        <f>A417+1</f>
        <v>11</v>
      </c>
      <c r="B418" s="24" t="str">
        <f>Input!A323</f>
        <v>742</v>
      </c>
      <c r="C418" s="24" t="str">
        <f>Input!B323</f>
        <v>PRODUCTION EQUIPMENT - LABOR</v>
      </c>
      <c r="D418" s="3"/>
      <c r="E418" s="3">
        <f>Input!D323</f>
        <v>0</v>
      </c>
      <c r="F418" s="3">
        <f>Customer!F418+Commodity!F418+Demand!F418</f>
        <v>0</v>
      </c>
      <c r="G418" s="3">
        <f>Customer!G418+Commodity!G418+Demand!G418</f>
        <v>0</v>
      </c>
      <c r="H418" s="3">
        <f>Customer!H418+Commodity!H418+Demand!H418</f>
        <v>0</v>
      </c>
      <c r="I418" s="3">
        <f>Customer!I418+Commodity!I418+Demand!I418</f>
        <v>0</v>
      </c>
      <c r="J418" s="3">
        <f>Customer!J418+Commodity!J418+Demand!J418</f>
        <v>0</v>
      </c>
      <c r="K418" s="3">
        <f>Customer!K418+Commodity!K418+Demand!K418</f>
        <v>0</v>
      </c>
      <c r="L418" s="3">
        <f>Customer!L418+Commodity!L418+Demand!L418</f>
        <v>0</v>
      </c>
      <c r="N418" s="3"/>
      <c r="O418" s="3"/>
      <c r="P418" s="3"/>
      <c r="Q418" s="3"/>
      <c r="R418" s="3"/>
      <c r="S418" s="3"/>
    </row>
    <row r="419" spans="1:19" ht="11.25" x14ac:dyDescent="0.2">
      <c r="A419" s="3">
        <f>A418+1</f>
        <v>12</v>
      </c>
      <c r="B419" s="24" t="str">
        <f>Input!A324</f>
        <v>742</v>
      </c>
      <c r="C419" s="24" t="str">
        <f>Input!B324</f>
        <v>PRODUCTION EQUIPMENT - M&amp;E</v>
      </c>
      <c r="D419" s="3"/>
      <c r="E419" s="26">
        <f>Input!D324</f>
        <v>0</v>
      </c>
      <c r="F419" s="26">
        <f>Customer!F419+Commodity!F419+Demand!F419</f>
        <v>0</v>
      </c>
      <c r="G419" s="26">
        <f>Customer!G419+Commodity!G419+Demand!G419</f>
        <v>0</v>
      </c>
      <c r="H419" s="26">
        <f>Customer!H419+Commodity!H419+Demand!H419</f>
        <v>0</v>
      </c>
      <c r="I419" s="26">
        <f>Customer!I419+Commodity!I419+Demand!I419</f>
        <v>0</v>
      </c>
      <c r="J419" s="26">
        <f>Customer!J419+Commodity!J419+Demand!J419</f>
        <v>0</v>
      </c>
      <c r="K419" s="26">
        <f>Customer!K419+Commodity!K419+Demand!K419</f>
        <v>0</v>
      </c>
      <c r="L419" s="26">
        <f>Customer!L419+Commodity!L419+Demand!L419</f>
        <v>0</v>
      </c>
      <c r="N419" s="3"/>
      <c r="O419" s="3"/>
      <c r="P419" s="3"/>
      <c r="Q419" s="3"/>
      <c r="R419" s="3"/>
      <c r="S419" s="3"/>
    </row>
    <row r="420" spans="1:19" ht="11.25" x14ac:dyDescent="0.2">
      <c r="A420" s="3">
        <f>A419+1</f>
        <v>13</v>
      </c>
      <c r="B420" s="3"/>
      <c r="C420" s="3" t="s">
        <v>273</v>
      </c>
      <c r="D420" s="3"/>
      <c r="E420" s="26">
        <f t="shared" ref="E420:L420" si="49">SUM(E416:E419)</f>
        <v>0</v>
      </c>
      <c r="F420" s="26">
        <f t="shared" si="49"/>
        <v>0</v>
      </c>
      <c r="G420" s="26">
        <f t="shared" si="49"/>
        <v>0</v>
      </c>
      <c r="H420" s="26">
        <f t="shared" si="49"/>
        <v>0</v>
      </c>
      <c r="I420" s="26">
        <f t="shared" si="49"/>
        <v>0</v>
      </c>
      <c r="J420" s="26">
        <f t="shared" si="49"/>
        <v>0</v>
      </c>
      <c r="K420" s="26">
        <f t="shared" si="49"/>
        <v>0</v>
      </c>
      <c r="L420" s="26">
        <f t="shared" si="49"/>
        <v>0</v>
      </c>
      <c r="N420" s="3"/>
      <c r="O420" s="3"/>
      <c r="P420" s="3"/>
      <c r="Q420" s="3"/>
      <c r="R420" s="3"/>
      <c r="S420" s="3"/>
    </row>
    <row r="421" spans="1:19" ht="11.2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N421" s="3"/>
      <c r="O421" s="3"/>
      <c r="P421" s="3"/>
      <c r="Q421" s="3"/>
      <c r="R421" s="3"/>
      <c r="S421" s="3"/>
    </row>
    <row r="422" spans="1:19" ht="11.25" x14ac:dyDescent="0.2">
      <c r="A422" s="3">
        <f>A420+1</f>
        <v>14</v>
      </c>
      <c r="B422" s="3"/>
      <c r="C422" s="3" t="s">
        <v>274</v>
      </c>
      <c r="D422" s="3"/>
      <c r="E422" s="3">
        <f t="shared" ref="E422:L422" si="50">E412+E420</f>
        <v>2139</v>
      </c>
      <c r="F422" s="3">
        <f t="shared" si="50"/>
        <v>1304</v>
      </c>
      <c r="G422" s="3">
        <f t="shared" si="50"/>
        <v>797</v>
      </c>
      <c r="H422" s="3">
        <f t="shared" si="50"/>
        <v>2</v>
      </c>
      <c r="I422" s="3">
        <f t="shared" si="50"/>
        <v>0</v>
      </c>
      <c r="J422" s="3">
        <f t="shared" si="50"/>
        <v>37</v>
      </c>
      <c r="K422" s="3">
        <f t="shared" si="50"/>
        <v>0</v>
      </c>
      <c r="L422" s="3">
        <f t="shared" si="50"/>
        <v>0</v>
      </c>
      <c r="N422" s="3"/>
      <c r="O422" s="3"/>
      <c r="P422" s="3"/>
      <c r="Q422" s="3"/>
      <c r="R422" s="3"/>
      <c r="S422" s="3"/>
    </row>
    <row r="423" spans="1:19" ht="11.2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N423" s="3"/>
      <c r="O423" s="3"/>
      <c r="P423" s="3"/>
      <c r="Q423" s="3"/>
      <c r="R423" s="3"/>
      <c r="S423" s="3"/>
    </row>
    <row r="424" spans="1:19" ht="11.25" x14ac:dyDescent="0.2">
      <c r="A424" s="3">
        <f>A422+1</f>
        <v>15</v>
      </c>
      <c r="B424" s="3"/>
      <c r="C424" s="3" t="s">
        <v>275</v>
      </c>
      <c r="D424" s="3"/>
      <c r="E424" s="3"/>
      <c r="F424" s="3"/>
      <c r="G424" s="3"/>
      <c r="H424" s="3"/>
      <c r="I424" s="3"/>
      <c r="J424" s="3"/>
      <c r="K424" s="3"/>
      <c r="L424" s="3"/>
      <c r="N424" s="3"/>
      <c r="O424" s="3"/>
      <c r="P424" s="3"/>
      <c r="Q424" s="3"/>
      <c r="R424" s="3"/>
      <c r="S424" s="3"/>
    </row>
    <row r="425" spans="1:19" ht="11.2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N425" s="3"/>
      <c r="O425" s="3"/>
      <c r="P425" s="3"/>
      <c r="Q425" s="3"/>
      <c r="R425" s="3"/>
      <c r="S425" s="3"/>
    </row>
    <row r="426" spans="1:19" ht="11.25" x14ac:dyDescent="0.2">
      <c r="A426" s="3">
        <f>A424+1</f>
        <v>16</v>
      </c>
      <c r="B426" s="24" t="s">
        <v>276</v>
      </c>
      <c r="C426" s="3"/>
      <c r="D426" s="3"/>
      <c r="E426" s="3"/>
      <c r="F426" s="3"/>
      <c r="G426" s="3"/>
      <c r="H426" s="3"/>
      <c r="I426" s="3"/>
      <c r="J426" s="3"/>
      <c r="K426" s="3"/>
      <c r="L426" s="3"/>
      <c r="N426" s="3"/>
      <c r="O426" s="3"/>
      <c r="P426" s="3"/>
      <c r="Q426" s="3"/>
      <c r="R426" s="3"/>
      <c r="S426" s="3"/>
    </row>
    <row r="427" spans="1:19" ht="11.25" x14ac:dyDescent="0.2">
      <c r="A427" s="3">
        <f>A426+1</f>
        <v>17</v>
      </c>
      <c r="B427" s="3" t="s">
        <v>277</v>
      </c>
      <c r="C427" s="3" t="str">
        <f>Input!B325</f>
        <v>COST OF GAS @ CITY GATE</v>
      </c>
      <c r="D427" s="3"/>
      <c r="E427" s="3">
        <f>SUM(F427:L427)</f>
        <v>21475950.109999996</v>
      </c>
      <c r="F427" s="3">
        <f>Customer!F427+Commodity!F427+Demand!F427</f>
        <v>13807094.589999998</v>
      </c>
      <c r="G427" s="3">
        <f>Customer!G427+Commodity!G427+Demand!G427</f>
        <v>7643846.9600000009</v>
      </c>
      <c r="H427" s="3">
        <f>Customer!H427+Commodity!H427+Demand!H427</f>
        <v>25008.560000000001</v>
      </c>
      <c r="I427" s="3">
        <f>Customer!I427+Commodity!I427+Demand!I427</f>
        <v>0</v>
      </c>
      <c r="J427" s="3">
        <f>Customer!J427+Commodity!J427+Demand!J427</f>
        <v>0</v>
      </c>
      <c r="K427" s="3">
        <f>Customer!K427+Commodity!K427+Demand!K427</f>
        <v>0</v>
      </c>
      <c r="L427" s="3">
        <f>Customer!L427+Commodity!L427+Demand!L427</f>
        <v>0</v>
      </c>
      <c r="N427" s="3"/>
      <c r="O427" s="3"/>
      <c r="P427" s="3"/>
      <c r="Q427" s="3"/>
      <c r="R427" s="3"/>
      <c r="S427" s="3"/>
    </row>
    <row r="428" spans="1:19" ht="11.25" x14ac:dyDescent="0.2">
      <c r="A428" s="3">
        <f>A427+1</f>
        <v>18</v>
      </c>
      <c r="B428" s="24" t="str">
        <f>Input!A326</f>
        <v>807</v>
      </c>
      <c r="C428" s="3" t="str">
        <f>Input!B326</f>
        <v>OTHER PURCHASED GAS - LABOR</v>
      </c>
      <c r="D428" s="3"/>
      <c r="E428" s="3">
        <f>Input!D326</f>
        <v>0</v>
      </c>
      <c r="F428" s="3">
        <f>Customer!F428+Commodity!F428+Demand!F428</f>
        <v>0</v>
      </c>
      <c r="G428" s="3">
        <f>Customer!G428+Commodity!G428+Demand!G428</f>
        <v>0</v>
      </c>
      <c r="H428" s="3">
        <f>Customer!H428+Commodity!H428+Demand!H428</f>
        <v>0</v>
      </c>
      <c r="I428" s="3">
        <f>Customer!I428+Commodity!I428+Demand!I428</f>
        <v>0</v>
      </c>
      <c r="J428" s="3">
        <f>Customer!J428+Commodity!J428+Demand!J428</f>
        <v>0</v>
      </c>
      <c r="K428" s="3">
        <f>Customer!K428+Commodity!K428+Demand!K428</f>
        <v>0</v>
      </c>
      <c r="L428" s="3">
        <f>Customer!L428+Commodity!L428+Demand!L428</f>
        <v>0</v>
      </c>
      <c r="N428" s="3"/>
      <c r="O428" s="3"/>
      <c r="P428" s="3"/>
      <c r="Q428" s="3"/>
      <c r="R428" s="3"/>
      <c r="S428" s="3"/>
    </row>
    <row r="429" spans="1:19" ht="11.25" x14ac:dyDescent="0.2">
      <c r="A429" s="3">
        <f>A428+1</f>
        <v>19</v>
      </c>
      <c r="B429" s="24" t="str">
        <f>Input!A327</f>
        <v>807</v>
      </c>
      <c r="C429" s="3" t="str">
        <f>Input!B327</f>
        <v xml:space="preserve">OTHER PURCHASED GAS - M &amp; E </v>
      </c>
      <c r="D429" s="3"/>
      <c r="E429" s="3">
        <f>Input!D327</f>
        <v>341557</v>
      </c>
      <c r="F429" s="3">
        <f>Customer!F429+Commodity!F429+Demand!F429</f>
        <v>219590</v>
      </c>
      <c r="G429" s="3">
        <f>Customer!G429+Commodity!G429+Demand!G429</f>
        <v>121570</v>
      </c>
      <c r="H429" s="3">
        <f>Customer!H429+Commodity!H429+Demand!H429</f>
        <v>396</v>
      </c>
      <c r="I429" s="3">
        <f>Customer!I429+Commodity!I429+Demand!I429</f>
        <v>0</v>
      </c>
      <c r="J429" s="3">
        <f>Customer!J429+Commodity!J429+Demand!J429</f>
        <v>0</v>
      </c>
      <c r="K429" s="3">
        <f>Customer!K429+Commodity!K429+Demand!K429</f>
        <v>0</v>
      </c>
      <c r="L429" s="3">
        <f>Customer!L429+Commodity!L429+Demand!L429</f>
        <v>0</v>
      </c>
      <c r="N429" s="3"/>
      <c r="O429" s="3"/>
      <c r="P429" s="3"/>
      <c r="Q429" s="3"/>
      <c r="R429" s="3"/>
      <c r="S429" s="3"/>
    </row>
    <row r="430" spans="1:19" ht="11.25" x14ac:dyDescent="0.2">
      <c r="A430" s="3">
        <f>A429+1</f>
        <v>20</v>
      </c>
      <c r="B430" s="3" t="str">
        <f>Input!A328</f>
        <v>812</v>
      </c>
      <c r="C430" s="3" t="str">
        <f>Input!B328</f>
        <v>GAS USED IN OPERATIONS</v>
      </c>
      <c r="D430" s="3"/>
      <c r="E430" s="26">
        <f>Input!D328</f>
        <v>0</v>
      </c>
      <c r="F430" s="26">
        <f>Customer!F430+Commodity!F430+Demand!F430</f>
        <v>0</v>
      </c>
      <c r="G430" s="26">
        <f>Customer!G430+Commodity!G430+Demand!G430</f>
        <v>0</v>
      </c>
      <c r="H430" s="26">
        <f>Customer!H430+Commodity!H430+Demand!H430</f>
        <v>0</v>
      </c>
      <c r="I430" s="26">
        <f>Customer!I430+Commodity!I430+Demand!I430</f>
        <v>0</v>
      </c>
      <c r="J430" s="26">
        <f>Customer!J430+Commodity!J430+Demand!J430</f>
        <v>0</v>
      </c>
      <c r="K430" s="26">
        <f>Customer!K430+Commodity!K430+Demand!K430</f>
        <v>0</v>
      </c>
      <c r="L430" s="26">
        <f>Customer!L430+Commodity!L430+Demand!L430</f>
        <v>0</v>
      </c>
      <c r="N430" s="3"/>
      <c r="O430" s="3"/>
      <c r="P430" s="3"/>
      <c r="Q430" s="3"/>
      <c r="R430" s="3"/>
      <c r="S430" s="3"/>
    </row>
    <row r="431" spans="1:19" ht="11.25" x14ac:dyDescent="0.2">
      <c r="A431" s="3">
        <f>A430+1</f>
        <v>21</v>
      </c>
      <c r="B431" s="3"/>
      <c r="C431" s="3" t="s">
        <v>278</v>
      </c>
      <c r="D431" s="3"/>
      <c r="E431" s="26">
        <f t="shared" ref="E431:L431" si="51">SUM(E427:E430)</f>
        <v>21817507.109999996</v>
      </c>
      <c r="F431" s="26">
        <f t="shared" si="51"/>
        <v>14026684.589999998</v>
      </c>
      <c r="G431" s="26">
        <f t="shared" si="51"/>
        <v>7765416.9600000009</v>
      </c>
      <c r="H431" s="26">
        <f t="shared" si="51"/>
        <v>25404.560000000001</v>
      </c>
      <c r="I431" s="26">
        <f t="shared" si="51"/>
        <v>0</v>
      </c>
      <c r="J431" s="26">
        <f t="shared" si="51"/>
        <v>0</v>
      </c>
      <c r="K431" s="26">
        <f t="shared" si="51"/>
        <v>0</v>
      </c>
      <c r="L431" s="26">
        <f t="shared" si="51"/>
        <v>0</v>
      </c>
      <c r="N431" s="3"/>
      <c r="O431" s="3"/>
      <c r="P431" s="3"/>
      <c r="Q431" s="3"/>
      <c r="R431" s="3"/>
      <c r="S431" s="3"/>
    </row>
    <row r="432" spans="1:19" ht="11.2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N432" s="3"/>
      <c r="O432" s="3"/>
      <c r="P432" s="3"/>
      <c r="Q432" s="3"/>
      <c r="R432" s="3"/>
      <c r="S432" s="3"/>
    </row>
    <row r="433" spans="1:19" ht="11.25" x14ac:dyDescent="0.2">
      <c r="A433" s="3">
        <f>A431+1</f>
        <v>22</v>
      </c>
      <c r="B433" s="3"/>
      <c r="C433" s="3" t="s">
        <v>279</v>
      </c>
      <c r="D433" s="3"/>
      <c r="E433" s="3">
        <f t="shared" ref="E433:L433" si="52">E422+E431</f>
        <v>21819646.109999996</v>
      </c>
      <c r="F433" s="3">
        <f t="shared" si="52"/>
        <v>14027988.589999998</v>
      </c>
      <c r="G433" s="3">
        <f t="shared" si="52"/>
        <v>7766213.9600000009</v>
      </c>
      <c r="H433" s="3">
        <f t="shared" si="52"/>
        <v>25406.560000000001</v>
      </c>
      <c r="I433" s="3">
        <f t="shared" si="52"/>
        <v>0</v>
      </c>
      <c r="J433" s="3">
        <f t="shared" si="52"/>
        <v>37</v>
      </c>
      <c r="K433" s="3">
        <f t="shared" si="52"/>
        <v>0</v>
      </c>
      <c r="L433" s="3">
        <f t="shared" si="52"/>
        <v>0</v>
      </c>
      <c r="N433" s="3"/>
      <c r="O433" s="3"/>
      <c r="P433" s="3"/>
      <c r="Q433" s="3"/>
      <c r="R433" s="3"/>
      <c r="S433" s="3"/>
    </row>
    <row r="434" spans="1:19" ht="11.25" x14ac:dyDescent="0.2">
      <c r="A434" s="3" t="s">
        <v>810</v>
      </c>
      <c r="B434" s="3"/>
      <c r="C434" s="3"/>
      <c r="D434" s="3"/>
      <c r="E434" s="3"/>
      <c r="F434" s="325" t="str">
        <f>""&amp;+Input!$B$1</f>
        <v>COLUMBIA GAS OF KENTUCKY, INC.</v>
      </c>
      <c r="H434" s="3"/>
      <c r="I434" s="3"/>
      <c r="J434" s="3"/>
      <c r="K434" s="3"/>
      <c r="L434" s="32" t="str">
        <f>Input!$B$2</f>
        <v>ATTACHMENT CEN-2</v>
      </c>
      <c r="N434" s="3"/>
      <c r="O434" s="3"/>
      <c r="P434" s="3"/>
      <c r="Q434" s="3"/>
      <c r="R434" s="3"/>
      <c r="S434" s="3"/>
    </row>
    <row r="435" spans="1:19" ht="11.25" x14ac:dyDescent="0.2">
      <c r="A435" s="3" t="str">
        <f>Input!$B$7</f>
        <v>DEMAND-COMMODITY</v>
      </c>
      <c r="B435" s="3"/>
      <c r="C435" s="3"/>
      <c r="D435" s="3"/>
      <c r="E435" s="3"/>
      <c r="F435" s="325" t="s">
        <v>568</v>
      </c>
      <c r="H435" s="3"/>
      <c r="I435" s="3"/>
      <c r="J435" s="3"/>
      <c r="K435" s="3"/>
      <c r="L435" s="32" t="str">
        <f>"PAGE 13 OF "&amp;FIXED(Input!$B$8,0,TRUE)</f>
        <v>PAGE 13 OF 129</v>
      </c>
      <c r="N435" s="3"/>
      <c r="O435" s="3"/>
      <c r="P435" s="3"/>
      <c r="Q435" s="3"/>
      <c r="R435" s="3"/>
      <c r="S435" s="3"/>
    </row>
    <row r="436" spans="1:19" ht="11.25" x14ac:dyDescent="0.2">
      <c r="A436" s="17" t="str">
        <f>Input!$B$6</f>
        <v>FORECASTED TEST YEAR - ORIGINAL FILING</v>
      </c>
      <c r="B436" s="17"/>
      <c r="C436" s="17"/>
      <c r="D436" s="18"/>
      <c r="E436" s="18"/>
      <c r="F436" s="19" t="str">
        <f>"FOR THE TWELVE MONTHS ENDED "&amp;Input!$B$4</f>
        <v>FOR THE TWELVE MONTHS ENDED 12/31/2017</v>
      </c>
      <c r="G436" s="329"/>
      <c r="H436" s="17"/>
      <c r="I436" s="17"/>
      <c r="J436" s="17"/>
      <c r="K436" s="17"/>
      <c r="L436" s="183" t="str">
        <f>"WITNESS: "&amp;Input!$B$5</f>
        <v>WITNESS: C. NOTESTONE</v>
      </c>
      <c r="N436" s="3"/>
      <c r="O436" s="3"/>
      <c r="P436" s="3"/>
      <c r="Q436" s="3"/>
      <c r="R436" s="3"/>
      <c r="S436" s="3"/>
    </row>
    <row r="437" spans="1:19" ht="11.25" x14ac:dyDescent="0.2">
      <c r="A437" s="325" t="s">
        <v>5</v>
      </c>
      <c r="B437" s="3" t="s">
        <v>6</v>
      </c>
      <c r="C437" s="3"/>
      <c r="D437" s="325" t="s">
        <v>7</v>
      </c>
      <c r="E437" s="325" t="s">
        <v>8</v>
      </c>
      <c r="F437" s="3"/>
      <c r="G437" s="3"/>
      <c r="H437" s="3"/>
      <c r="I437" s="3"/>
      <c r="J437" s="3"/>
      <c r="K437" s="3"/>
      <c r="L437" s="3"/>
      <c r="N437" s="3"/>
      <c r="O437" s="3"/>
      <c r="P437" s="3"/>
      <c r="Q437" s="3"/>
      <c r="R437" s="3"/>
      <c r="S437" s="3"/>
    </row>
    <row r="438" spans="1:19" ht="11.25" x14ac:dyDescent="0.2">
      <c r="A438" s="341" t="s">
        <v>9</v>
      </c>
      <c r="B438" s="341" t="s">
        <v>9</v>
      </c>
      <c r="C438" s="34" t="str">
        <f>'Total Co'!C128</f>
        <v xml:space="preserve"> ACCOUNT TITLE</v>
      </c>
      <c r="D438" s="26" t="s">
        <v>10</v>
      </c>
      <c r="E438" s="341" t="s">
        <v>11</v>
      </c>
      <c r="F438" s="341" t="str">
        <f>"  "&amp;+Input!$C$12</f>
        <v xml:space="preserve">  GS-RESIDENTIAL</v>
      </c>
      <c r="G438" s="341" t="str">
        <f>Input!$C$13</f>
        <v>GS-OTHER</v>
      </c>
      <c r="H438" s="341" t="str">
        <f>Input!$C$14</f>
        <v>IUS</v>
      </c>
      <c r="I438" s="341" t="str">
        <f>Input!$C$15</f>
        <v>DS-ML</v>
      </c>
      <c r="J438" s="341" t="str">
        <f>Input!$C$16</f>
        <v>DS/IS</v>
      </c>
      <c r="K438" s="341" t="str">
        <f>Input!$C$17</f>
        <v>NOT USED</v>
      </c>
      <c r="L438" s="341" t="str">
        <f>Input!$C$18</f>
        <v>NOT USED</v>
      </c>
      <c r="N438" s="3"/>
      <c r="O438" s="3"/>
      <c r="P438" s="3"/>
      <c r="Q438" s="3"/>
      <c r="R438" s="3"/>
      <c r="S438" s="3"/>
    </row>
    <row r="439" spans="1:19" ht="11.25" x14ac:dyDescent="0.2">
      <c r="A439" s="3"/>
      <c r="B439" s="342" t="s">
        <v>13</v>
      </c>
      <c r="C439" s="342" t="s">
        <v>14</v>
      </c>
      <c r="D439" s="325" t="s">
        <v>15</v>
      </c>
      <c r="E439" s="325" t="s">
        <v>16</v>
      </c>
      <c r="F439" s="325" t="s">
        <v>17</v>
      </c>
      <c r="G439" s="325" t="s">
        <v>18</v>
      </c>
      <c r="H439" s="325" t="s">
        <v>19</v>
      </c>
      <c r="I439" s="3"/>
      <c r="J439" s="325" t="s">
        <v>21</v>
      </c>
      <c r="K439" s="325" t="s">
        <v>22</v>
      </c>
      <c r="L439" s="325" t="s">
        <v>23</v>
      </c>
      <c r="N439" s="3"/>
      <c r="O439" s="3"/>
      <c r="P439" s="3"/>
      <c r="Q439" s="3"/>
      <c r="R439" s="3"/>
      <c r="S439" s="3"/>
    </row>
    <row r="440" spans="1:19" ht="11.25" x14ac:dyDescent="0.2">
      <c r="A440" s="3"/>
      <c r="B440" s="3"/>
      <c r="C440" s="3"/>
      <c r="D440" s="3"/>
      <c r="E440" s="325" t="s">
        <v>26</v>
      </c>
      <c r="F440" s="325" t="s">
        <v>26</v>
      </c>
      <c r="G440" s="325" t="s">
        <v>26</v>
      </c>
      <c r="H440" s="325" t="s">
        <v>26</v>
      </c>
      <c r="I440" s="325" t="s">
        <v>26</v>
      </c>
      <c r="J440" s="325" t="s">
        <v>26</v>
      </c>
      <c r="K440" s="325" t="s">
        <v>26</v>
      </c>
      <c r="L440" s="325" t="s">
        <v>26</v>
      </c>
      <c r="N440" s="3"/>
      <c r="O440" s="3"/>
      <c r="P440" s="3"/>
      <c r="Q440" s="3"/>
      <c r="R440" s="3"/>
      <c r="S440" s="3"/>
    </row>
    <row r="441" spans="1:19" ht="11.25" x14ac:dyDescent="0.2">
      <c r="A441" s="3">
        <v>1</v>
      </c>
      <c r="B441" s="3"/>
      <c r="C441" s="3" t="str">
        <f>Input!A338</f>
        <v>DISTRIBUTION EXPENSES</v>
      </c>
      <c r="D441" s="3"/>
      <c r="E441" s="3"/>
      <c r="F441" s="3"/>
      <c r="G441" s="3"/>
      <c r="H441" s="3"/>
      <c r="I441" s="3"/>
      <c r="J441" s="3"/>
      <c r="K441" s="3"/>
      <c r="L441" s="3"/>
      <c r="N441" s="3"/>
      <c r="O441" s="3"/>
      <c r="P441" s="3"/>
      <c r="Q441" s="3"/>
      <c r="R441" s="3"/>
      <c r="S441" s="3"/>
    </row>
    <row r="442" spans="1:19" ht="11.2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N442" s="3"/>
      <c r="O442" s="3"/>
      <c r="P442" s="3"/>
      <c r="Q442" s="3"/>
      <c r="R442" s="3"/>
      <c r="S442" s="3"/>
    </row>
    <row r="443" spans="1:19" ht="11.25" x14ac:dyDescent="0.2">
      <c r="A443" s="3">
        <f>A441+1</f>
        <v>2</v>
      </c>
      <c r="B443" s="3" t="str">
        <f>Input!A341</f>
        <v>870</v>
      </c>
      <c r="C443" s="3" t="str">
        <f>Input!B341</f>
        <v>SUPERVISION &amp; ENGINEERING</v>
      </c>
      <c r="D443" s="3"/>
      <c r="E443" s="1">
        <f>Input!D341</f>
        <v>97461</v>
      </c>
      <c r="F443" s="3">
        <f ca="1">Customer!F443+Commodity!F443+Demand!F443</f>
        <v>59643</v>
      </c>
      <c r="G443" s="3">
        <f ca="1">Customer!G443+Commodity!G443+Demand!G443</f>
        <v>23973</v>
      </c>
      <c r="H443" s="3">
        <f ca="1">Customer!H443+Commodity!H443+Demand!H443</f>
        <v>27</v>
      </c>
      <c r="I443" s="3">
        <f ca="1">Customer!I443+Commodity!I443+Demand!I443</f>
        <v>189</v>
      </c>
      <c r="J443" s="3">
        <f ca="1">Customer!J443+Commodity!J443+Demand!J443</f>
        <v>13629</v>
      </c>
      <c r="K443" s="3">
        <f ca="1">Customer!K443+Commodity!K443+Demand!K443</f>
        <v>0</v>
      </c>
      <c r="L443" s="3">
        <f ca="1">Customer!L443+Commodity!L443+Demand!L443</f>
        <v>0</v>
      </c>
      <c r="N443" s="3"/>
      <c r="O443" s="3"/>
      <c r="P443" s="3"/>
      <c r="Q443" s="3"/>
      <c r="R443" s="3"/>
      <c r="S443" s="3"/>
    </row>
    <row r="444" spans="1:19" ht="11.25" x14ac:dyDescent="0.2">
      <c r="A444" s="1">
        <f t="shared" ref="A444:A452" si="53">A443+1</f>
        <v>3</v>
      </c>
      <c r="B444" s="1" t="str">
        <f>Input!A342</f>
        <v>871</v>
      </c>
      <c r="C444" s="1" t="str">
        <f>Input!B342</f>
        <v>DISTRIBUTION LOAD DISPATCH</v>
      </c>
      <c r="D444" s="1"/>
      <c r="E444" s="1">
        <f>Input!D342</f>
        <v>66644</v>
      </c>
      <c r="F444" s="3">
        <f>Customer!F444+Commodity!F444+Demand!F444</f>
        <v>22273</v>
      </c>
      <c r="G444" s="3">
        <f>Customer!G444+Commodity!G444+Demand!G444</f>
        <v>16093</v>
      </c>
      <c r="H444" s="3">
        <f>Customer!H444+Commodity!H444+Demand!H444</f>
        <v>32</v>
      </c>
      <c r="I444" s="3">
        <f>Customer!I444+Commodity!I444+Demand!I444</f>
        <v>0</v>
      </c>
      <c r="J444" s="3">
        <f>Customer!J444+Commodity!J444+Demand!J444</f>
        <v>28246</v>
      </c>
      <c r="K444" s="3">
        <f>Customer!K444+Commodity!K444+Demand!K444</f>
        <v>0</v>
      </c>
      <c r="L444" s="3">
        <f>Customer!L444+Commodity!L444+Demand!L444</f>
        <v>0</v>
      </c>
      <c r="N444" s="3"/>
      <c r="O444" s="3"/>
      <c r="P444" s="3"/>
      <c r="Q444" s="3"/>
      <c r="R444" s="3"/>
      <c r="S444" s="3"/>
    </row>
    <row r="445" spans="1:19" ht="11.25" x14ac:dyDescent="0.2">
      <c r="A445" s="1">
        <f t="shared" si="53"/>
        <v>4</v>
      </c>
      <c r="B445" s="1" t="str">
        <f>Input!A343</f>
        <v>874</v>
      </c>
      <c r="C445" s="1" t="str">
        <f>Input!B343</f>
        <v>MAINS &amp; SERVICES</v>
      </c>
      <c r="D445" s="1"/>
      <c r="E445" s="1">
        <f>Input!D343</f>
        <v>1726536</v>
      </c>
      <c r="F445" s="3">
        <f ca="1">Customer!F445+Commodity!F445+Demand!F445</f>
        <v>983776</v>
      </c>
      <c r="G445" s="3">
        <f ca="1">Customer!G445+Commodity!G445+Demand!G445</f>
        <v>361249</v>
      </c>
      <c r="H445" s="3">
        <f ca="1">Customer!H445+Commodity!H445+Demand!H445</f>
        <v>630</v>
      </c>
      <c r="I445" s="3">
        <f ca="1">Customer!I445+Commodity!I445+Demand!I445</f>
        <v>54</v>
      </c>
      <c r="J445" s="3">
        <f ca="1">Customer!J445+Commodity!J445+Demand!J445</f>
        <v>380825</v>
      </c>
      <c r="K445" s="3">
        <f ca="1">Customer!K445+Commodity!K445+Demand!K445</f>
        <v>0</v>
      </c>
      <c r="L445" s="3">
        <f ca="1">Customer!L445+Commodity!L445+Demand!L445</f>
        <v>0</v>
      </c>
      <c r="N445" s="3"/>
      <c r="O445" s="3"/>
      <c r="P445" s="3"/>
      <c r="Q445" s="3"/>
      <c r="R445" s="3"/>
      <c r="S445" s="3"/>
    </row>
    <row r="446" spans="1:19" ht="11.25" x14ac:dyDescent="0.2">
      <c r="A446" s="1">
        <f t="shared" si="53"/>
        <v>5</v>
      </c>
      <c r="B446" s="1" t="str">
        <f>Input!A344</f>
        <v>875</v>
      </c>
      <c r="C446" s="1" t="str">
        <f>Input!B344</f>
        <v>M &amp; R - GENERAL</v>
      </c>
      <c r="D446" s="1"/>
      <c r="E446" s="1">
        <f>Input!D344</f>
        <v>82347</v>
      </c>
      <c r="F446" s="3">
        <f>Customer!F446+Commodity!F446+Demand!F446</f>
        <v>32100</v>
      </c>
      <c r="G446" s="3">
        <f>Customer!G446+Commodity!G446+Demand!G446</f>
        <v>21738</v>
      </c>
      <c r="H446" s="3">
        <f>Customer!H446+Commodity!H446+Demand!H446</f>
        <v>46</v>
      </c>
      <c r="I446" s="3">
        <f>Customer!I446+Commodity!I446+Demand!I446</f>
        <v>4</v>
      </c>
      <c r="J446" s="3">
        <f>Customer!J446+Commodity!J446+Demand!J446</f>
        <v>28458</v>
      </c>
      <c r="K446" s="3">
        <f>Customer!K446+Commodity!K446+Demand!K446</f>
        <v>0</v>
      </c>
      <c r="L446" s="3">
        <f>Customer!L446+Commodity!L446+Demand!L446</f>
        <v>0</v>
      </c>
      <c r="N446" s="3"/>
      <c r="O446" s="3"/>
      <c r="P446" s="3"/>
      <c r="Q446" s="3"/>
      <c r="R446" s="3"/>
      <c r="S446" s="3"/>
    </row>
    <row r="447" spans="1:19" ht="11.25" x14ac:dyDescent="0.2">
      <c r="A447" s="1">
        <f t="shared" si="53"/>
        <v>6</v>
      </c>
      <c r="B447" s="1" t="str">
        <f>Input!A345</f>
        <v>876</v>
      </c>
      <c r="C447" s="1" t="str">
        <f>Input!B345</f>
        <v>M &amp; R - INDUSTRIAL</v>
      </c>
      <c r="D447" s="1"/>
      <c r="E447" s="1">
        <f>Input!D345</f>
        <v>38736</v>
      </c>
      <c r="F447" s="3">
        <f>Customer!F447+Commodity!F447+Demand!F447</f>
        <v>0</v>
      </c>
      <c r="G447" s="3">
        <f>Customer!G447+Commodity!G447+Demand!G447</f>
        <v>8042</v>
      </c>
      <c r="H447" s="3">
        <f>Customer!H447+Commodity!H447+Demand!H447</f>
        <v>9</v>
      </c>
      <c r="I447" s="3">
        <f>Customer!I447+Commodity!I447+Demand!I447</f>
        <v>7779</v>
      </c>
      <c r="J447" s="3">
        <f>Customer!J447+Commodity!J447+Demand!J447</f>
        <v>22907</v>
      </c>
      <c r="K447" s="3">
        <f>Customer!K447+Commodity!K447+Demand!K447</f>
        <v>0</v>
      </c>
      <c r="L447" s="3">
        <f>Customer!L447+Commodity!L447+Demand!L447</f>
        <v>0</v>
      </c>
      <c r="N447" s="3"/>
      <c r="O447" s="3"/>
      <c r="P447" s="3"/>
      <c r="Q447" s="3"/>
      <c r="R447" s="3"/>
      <c r="S447" s="3"/>
    </row>
    <row r="448" spans="1:19" ht="11.25" x14ac:dyDescent="0.2">
      <c r="A448" s="1">
        <f t="shared" si="53"/>
        <v>7</v>
      </c>
      <c r="B448" s="1" t="str">
        <f>Input!A346</f>
        <v>878</v>
      </c>
      <c r="C448" s="1" t="str">
        <f>Input!B346</f>
        <v>METERS &amp; HOUSE REGULATORS</v>
      </c>
      <c r="D448" s="1"/>
      <c r="E448" s="1">
        <f>Input!D346</f>
        <v>1279637</v>
      </c>
      <c r="F448" s="3">
        <f>Customer!F448+Commodity!F448+Demand!F448</f>
        <v>920596</v>
      </c>
      <c r="G448" s="3">
        <f>Customer!G448+Commodity!G448+Demand!G448</f>
        <v>353333</v>
      </c>
      <c r="H448" s="3">
        <f>Customer!H448+Commodity!H448+Demand!H448</f>
        <v>166</v>
      </c>
      <c r="I448" s="3">
        <f>Customer!I448+Commodity!I448+Demand!I448</f>
        <v>0</v>
      </c>
      <c r="J448" s="3">
        <f>Customer!J448+Commodity!J448+Demand!J448</f>
        <v>5541</v>
      </c>
      <c r="K448" s="3">
        <f>Customer!K448+Commodity!K448+Demand!K448</f>
        <v>0</v>
      </c>
      <c r="L448" s="3">
        <f>Customer!L448+Commodity!L448+Demand!L448</f>
        <v>0</v>
      </c>
      <c r="N448" s="3"/>
      <c r="O448" s="3"/>
      <c r="P448" s="3"/>
      <c r="Q448" s="3"/>
      <c r="R448" s="3"/>
      <c r="S448" s="3"/>
    </row>
    <row r="449" spans="1:19" ht="11.25" x14ac:dyDescent="0.2">
      <c r="A449" s="1">
        <f t="shared" si="53"/>
        <v>8</v>
      </c>
      <c r="B449" s="1" t="str">
        <f>Input!A347</f>
        <v>879</v>
      </c>
      <c r="C449" s="1" t="str">
        <f>Input!B347</f>
        <v xml:space="preserve">CUSTOMER INSTALLATION </v>
      </c>
      <c r="D449" s="1"/>
      <c r="E449" s="1">
        <f>Input!D347</f>
        <v>1500691</v>
      </c>
      <c r="F449" s="3">
        <f>Customer!F449+Commodity!F449+Demand!F449</f>
        <v>1079627</v>
      </c>
      <c r="G449" s="3">
        <f>Customer!G449+Commodity!G449+Demand!G449</f>
        <v>414371</v>
      </c>
      <c r="H449" s="3">
        <f>Customer!H449+Commodity!H449+Demand!H449</f>
        <v>195</v>
      </c>
      <c r="I449" s="3">
        <f>Customer!I449+Commodity!I449+Demand!I449</f>
        <v>0</v>
      </c>
      <c r="J449" s="3">
        <f>Customer!J449+Commodity!J449+Demand!J449</f>
        <v>6498</v>
      </c>
      <c r="K449" s="3">
        <f>Customer!K449+Commodity!K449+Demand!K449</f>
        <v>0</v>
      </c>
      <c r="L449" s="3">
        <f>Customer!L449+Commodity!L449+Demand!L449</f>
        <v>0</v>
      </c>
      <c r="N449" s="3"/>
      <c r="O449" s="3"/>
      <c r="P449" s="3"/>
      <c r="Q449" s="3"/>
      <c r="R449" s="3"/>
      <c r="S449" s="3"/>
    </row>
    <row r="450" spans="1:19" ht="11.25" x14ac:dyDescent="0.2">
      <c r="A450" s="1">
        <f t="shared" si="53"/>
        <v>9</v>
      </c>
      <c r="B450" s="1" t="str">
        <f>Input!A348</f>
        <v>880</v>
      </c>
      <c r="C450" s="1" t="str">
        <f>Input!B348</f>
        <v>OTHER</v>
      </c>
      <c r="D450" s="1"/>
      <c r="E450" s="1">
        <f>Input!D348</f>
        <v>547972</v>
      </c>
      <c r="F450" s="3">
        <f ca="1">Customer!F450+Commodity!F450+Demand!F450</f>
        <v>335343</v>
      </c>
      <c r="G450" s="3">
        <f ca="1">Customer!G450+Commodity!G450+Demand!G450</f>
        <v>134787</v>
      </c>
      <c r="H450" s="3">
        <f ca="1">Customer!H450+Commodity!H450+Demand!H450</f>
        <v>151</v>
      </c>
      <c r="I450" s="3">
        <f ca="1">Customer!I450+Commodity!I450+Demand!I450</f>
        <v>1059</v>
      </c>
      <c r="J450" s="3">
        <f ca="1">Customer!J450+Commodity!J450+Demand!J450</f>
        <v>76631</v>
      </c>
      <c r="K450" s="3">
        <f ca="1">Customer!K450+Commodity!K450+Demand!K450</f>
        <v>0</v>
      </c>
      <c r="L450" s="3">
        <f ca="1">Customer!L450+Commodity!L450+Demand!L450</f>
        <v>0</v>
      </c>
      <c r="N450" s="3"/>
      <c r="O450" s="3"/>
      <c r="P450" s="3"/>
      <c r="Q450" s="3"/>
      <c r="R450" s="3"/>
      <c r="S450" s="3"/>
    </row>
    <row r="451" spans="1:19" ht="11.25" x14ac:dyDescent="0.2">
      <c r="A451" s="1">
        <f t="shared" si="53"/>
        <v>10</v>
      </c>
      <c r="B451" s="1" t="str">
        <f>Input!A349</f>
        <v>881</v>
      </c>
      <c r="C451" s="1" t="str">
        <f>Input!B349</f>
        <v>RENTS</v>
      </c>
      <c r="D451" s="1"/>
      <c r="E451" s="116">
        <f>Input!D349</f>
        <v>0</v>
      </c>
      <c r="F451" s="26">
        <f ca="1">Customer!F451+Commodity!F451+Demand!F451</f>
        <v>0</v>
      </c>
      <c r="G451" s="26">
        <f ca="1">Customer!G451+Commodity!G451+Demand!G451</f>
        <v>0</v>
      </c>
      <c r="H451" s="26">
        <f ca="1">Customer!H451+Commodity!H451+Demand!H451</f>
        <v>0</v>
      </c>
      <c r="I451" s="26">
        <f ca="1">Customer!I451+Commodity!I451+Demand!I451</f>
        <v>0</v>
      </c>
      <c r="J451" s="26">
        <f ca="1">Customer!J451+Commodity!J451+Demand!J451</f>
        <v>0</v>
      </c>
      <c r="K451" s="26">
        <f ca="1">Customer!K451+Commodity!K451+Demand!K451</f>
        <v>0</v>
      </c>
      <c r="L451" s="26">
        <f ca="1">Customer!L451+Commodity!L451+Demand!L451</f>
        <v>0</v>
      </c>
      <c r="N451" s="3"/>
      <c r="O451" s="3"/>
      <c r="P451" s="3"/>
      <c r="Q451" s="3"/>
      <c r="R451" s="3"/>
      <c r="S451" s="3"/>
    </row>
    <row r="452" spans="1:19" ht="11.25" x14ac:dyDescent="0.2">
      <c r="A452" s="1">
        <f t="shared" si="53"/>
        <v>11</v>
      </c>
      <c r="B452" s="1"/>
      <c r="C452" s="1" t="s">
        <v>271</v>
      </c>
      <c r="D452" s="1"/>
      <c r="E452" s="1">
        <f t="shared" ref="E452:L452" si="54">SUM(E443:E451)</f>
        <v>5340024</v>
      </c>
      <c r="F452" s="3">
        <f t="shared" ca="1" si="54"/>
        <v>3433358</v>
      </c>
      <c r="G452" s="3">
        <f t="shared" ca="1" si="54"/>
        <v>1333586</v>
      </c>
      <c r="H452" s="3">
        <f t="shared" ca="1" si="54"/>
        <v>1256</v>
      </c>
      <c r="I452" s="3">
        <f t="shared" ca="1" si="54"/>
        <v>9085</v>
      </c>
      <c r="J452" s="3">
        <f t="shared" ca="1" si="54"/>
        <v>562735</v>
      </c>
      <c r="K452" s="3">
        <f t="shared" ca="1" si="54"/>
        <v>0</v>
      </c>
      <c r="L452" s="3">
        <f t="shared" ca="1" si="54"/>
        <v>0</v>
      </c>
      <c r="N452" s="3"/>
      <c r="O452" s="3"/>
      <c r="P452" s="3"/>
      <c r="Q452" s="3"/>
      <c r="R452" s="3"/>
      <c r="S452" s="3"/>
    </row>
    <row r="453" spans="1:19" ht="11.25" x14ac:dyDescent="0.2">
      <c r="A453" s="1"/>
      <c r="B453" s="1"/>
      <c r="C453" s="1"/>
      <c r="D453" s="1"/>
      <c r="E453" s="1"/>
      <c r="F453" s="3"/>
      <c r="G453" s="3"/>
      <c r="H453" s="3"/>
      <c r="I453" s="3"/>
      <c r="J453" s="3"/>
      <c r="K453" s="3"/>
      <c r="L453" s="3"/>
      <c r="N453" s="3"/>
      <c r="O453" s="3"/>
      <c r="P453" s="3"/>
      <c r="Q453" s="3"/>
      <c r="R453" s="3"/>
      <c r="S453" s="3"/>
    </row>
    <row r="454" spans="1:19" ht="11.25" x14ac:dyDescent="0.2">
      <c r="A454" s="1">
        <f>A452+1</f>
        <v>12</v>
      </c>
      <c r="B454" s="1"/>
      <c r="C454" s="1" t="str">
        <f>Input!A350</f>
        <v>MAINTENANCE</v>
      </c>
      <c r="D454" s="1"/>
      <c r="E454" s="1"/>
      <c r="F454" s="3"/>
      <c r="G454" s="3"/>
      <c r="H454" s="3"/>
      <c r="I454" s="3"/>
      <c r="J454" s="3"/>
      <c r="K454" s="3"/>
      <c r="L454" s="3"/>
      <c r="N454" s="3"/>
      <c r="O454" s="3"/>
      <c r="P454" s="3"/>
      <c r="Q454" s="3"/>
      <c r="R454" s="3"/>
      <c r="S454" s="3"/>
    </row>
    <row r="455" spans="1:19" ht="11.25" x14ac:dyDescent="0.2">
      <c r="A455" s="1"/>
      <c r="B455" s="1"/>
      <c r="C455" s="1"/>
      <c r="D455" s="1"/>
      <c r="E455" s="1"/>
      <c r="F455" s="3"/>
      <c r="G455" s="3"/>
      <c r="H455" s="3"/>
      <c r="I455" s="3"/>
      <c r="J455" s="3"/>
      <c r="K455" s="3"/>
      <c r="L455" s="3"/>
      <c r="N455" s="3"/>
      <c r="O455" s="3"/>
      <c r="P455" s="3"/>
      <c r="Q455" s="3"/>
      <c r="R455" s="3"/>
      <c r="S455" s="3"/>
    </row>
    <row r="456" spans="1:19" ht="11.25" x14ac:dyDescent="0.2">
      <c r="A456" s="1">
        <f>A454+1</f>
        <v>13</v>
      </c>
      <c r="B456" s="1" t="str">
        <f>Input!A351</f>
        <v>885</v>
      </c>
      <c r="C456" s="1" t="str">
        <f>Input!B351</f>
        <v>SUPERVISION &amp; ENGINEERING</v>
      </c>
      <c r="D456" s="1"/>
      <c r="E456" s="1">
        <f>Input!D351</f>
        <v>8649</v>
      </c>
      <c r="F456" s="3">
        <f ca="1">Customer!F456+Commodity!F456+Demand!F456</f>
        <v>5293</v>
      </c>
      <c r="G456" s="3">
        <f ca="1">Customer!G456+Commodity!G456+Demand!G456</f>
        <v>2127</v>
      </c>
      <c r="H456" s="3">
        <f ca="1">Customer!H456+Commodity!H456+Demand!H456</f>
        <v>3</v>
      </c>
      <c r="I456" s="3">
        <f ca="1">Customer!I456+Commodity!I456+Demand!I456</f>
        <v>17</v>
      </c>
      <c r="J456" s="3">
        <f ca="1">Customer!J456+Commodity!J456+Demand!J456</f>
        <v>1209</v>
      </c>
      <c r="K456" s="3">
        <f ca="1">Customer!K456+Commodity!K456+Demand!K456</f>
        <v>0</v>
      </c>
      <c r="L456" s="3">
        <f ca="1">Customer!L456+Commodity!L456+Demand!L456</f>
        <v>0</v>
      </c>
      <c r="N456" s="3"/>
      <c r="O456" s="3"/>
      <c r="P456" s="3"/>
      <c r="Q456" s="3"/>
      <c r="R456" s="3"/>
      <c r="S456" s="3"/>
    </row>
    <row r="457" spans="1:19" ht="11.25" x14ac:dyDescent="0.2">
      <c r="A457" s="1">
        <f t="shared" ref="A457:A464" si="55">A456+1</f>
        <v>14</v>
      </c>
      <c r="B457" s="1" t="str">
        <f>Input!A352</f>
        <v>886</v>
      </c>
      <c r="C457" s="1" t="str">
        <f>Input!B352</f>
        <v>STRUCTURES &amp; IMPROVEMENTS</v>
      </c>
      <c r="D457" s="1"/>
      <c r="E457" s="1">
        <f>Input!D352</f>
        <v>2509</v>
      </c>
      <c r="F457" s="3">
        <f>Customer!F457+Commodity!F457+Demand!F457</f>
        <v>978</v>
      </c>
      <c r="G457" s="3">
        <f>Customer!G457+Commodity!G457+Demand!G457</f>
        <v>662</v>
      </c>
      <c r="H457" s="3">
        <f>Customer!H457+Commodity!H457+Demand!H457</f>
        <v>2</v>
      </c>
      <c r="I457" s="3">
        <f>Customer!I457+Commodity!I457+Demand!I457</f>
        <v>0</v>
      </c>
      <c r="J457" s="3">
        <f>Customer!J457+Commodity!J457+Demand!J457</f>
        <v>867</v>
      </c>
      <c r="K457" s="3">
        <f>Customer!K457+Commodity!K457+Demand!K457</f>
        <v>0</v>
      </c>
      <c r="L457" s="3">
        <f>Customer!L457+Commodity!L457+Demand!L457</f>
        <v>0</v>
      </c>
      <c r="N457" s="3"/>
      <c r="O457" s="3"/>
      <c r="P457" s="3"/>
      <c r="Q457" s="3"/>
      <c r="R457" s="3"/>
      <c r="S457" s="3"/>
    </row>
    <row r="458" spans="1:19" ht="11.25" x14ac:dyDescent="0.2">
      <c r="A458" s="1">
        <f t="shared" si="55"/>
        <v>15</v>
      </c>
      <c r="B458" s="1" t="str">
        <f>Input!A353</f>
        <v>887</v>
      </c>
      <c r="C458" s="1" t="str">
        <f>Input!B353</f>
        <v>MAINS</v>
      </c>
      <c r="D458" s="1"/>
      <c r="E458" s="1">
        <f>Input!D353</f>
        <v>926354</v>
      </c>
      <c r="F458" s="3">
        <f>Customer!F458+Commodity!F458+Demand!F458</f>
        <v>361112</v>
      </c>
      <c r="G458" s="3">
        <f>Customer!G458+Commodity!G458+Demand!G458</f>
        <v>244538</v>
      </c>
      <c r="H458" s="3">
        <f>Customer!H458+Commodity!H458+Demand!H458</f>
        <v>528</v>
      </c>
      <c r="I458" s="3">
        <f>Customer!I458+Commodity!I458+Demand!I458</f>
        <v>46</v>
      </c>
      <c r="J458" s="3">
        <f>Customer!J458+Commodity!J458+Demand!J458</f>
        <v>320130</v>
      </c>
      <c r="K458" s="3">
        <f>Customer!K458+Commodity!K458+Demand!K458</f>
        <v>0</v>
      </c>
      <c r="L458" s="3">
        <f>Customer!L458+Commodity!L458+Demand!L458</f>
        <v>0</v>
      </c>
      <c r="N458" s="3"/>
      <c r="O458" s="3"/>
      <c r="P458" s="3"/>
      <c r="Q458" s="3"/>
      <c r="R458" s="3"/>
      <c r="S458" s="3"/>
    </row>
    <row r="459" spans="1:19" ht="11.25" x14ac:dyDescent="0.2">
      <c r="A459" s="1">
        <f t="shared" si="55"/>
        <v>16</v>
      </c>
      <c r="B459" s="1" t="str">
        <f>Input!A354</f>
        <v>889</v>
      </c>
      <c r="C459" s="1" t="str">
        <f>Input!B354</f>
        <v>M &amp; R - GENERAL</v>
      </c>
      <c r="D459" s="1"/>
      <c r="E459" s="1">
        <f>Input!D354</f>
        <v>138594</v>
      </c>
      <c r="F459" s="3">
        <f>Customer!F459+Commodity!F459+Demand!F459</f>
        <v>54026</v>
      </c>
      <c r="G459" s="3">
        <f>Customer!G459+Commodity!G459+Demand!G459</f>
        <v>36586</v>
      </c>
      <c r="H459" s="3">
        <f>Customer!H459+Commodity!H459+Demand!H459</f>
        <v>78</v>
      </c>
      <c r="I459" s="3">
        <f>Customer!I459+Commodity!I459+Demand!I459</f>
        <v>6</v>
      </c>
      <c r="J459" s="3">
        <f>Customer!J459+Commodity!J459+Demand!J459</f>
        <v>47896</v>
      </c>
      <c r="K459" s="3">
        <f>Customer!K459+Commodity!K459+Demand!K459</f>
        <v>0</v>
      </c>
      <c r="L459" s="3">
        <f>Customer!L459+Commodity!L459+Demand!L459</f>
        <v>0</v>
      </c>
      <c r="N459" s="3"/>
      <c r="O459" s="3"/>
      <c r="P459" s="3"/>
      <c r="Q459" s="3"/>
      <c r="R459" s="3"/>
      <c r="S459" s="3"/>
    </row>
    <row r="460" spans="1:19" ht="11.25" x14ac:dyDescent="0.2">
      <c r="A460" s="1">
        <f t="shared" si="55"/>
        <v>17</v>
      </c>
      <c r="B460" s="1" t="str">
        <f>Input!A355</f>
        <v>890</v>
      </c>
      <c r="C460" s="1" t="str">
        <f>Input!B355</f>
        <v>M &amp; R - INDUSTRIAL</v>
      </c>
      <c r="D460" s="1"/>
      <c r="E460" s="1">
        <f>Input!D355</f>
        <v>19419</v>
      </c>
      <c r="F460" s="3">
        <f>Customer!F460+Commodity!F460+Demand!F460</f>
        <v>0</v>
      </c>
      <c r="G460" s="3">
        <f>Customer!G460+Commodity!G460+Demand!G460</f>
        <v>4032</v>
      </c>
      <c r="H460" s="3">
        <f>Customer!H460+Commodity!H460+Demand!H460</f>
        <v>4</v>
      </c>
      <c r="I460" s="3">
        <f>Customer!I460+Commodity!I460+Demand!I460</f>
        <v>3900</v>
      </c>
      <c r="J460" s="3">
        <f>Customer!J460+Commodity!J460+Demand!J460</f>
        <v>11483</v>
      </c>
      <c r="K460" s="3">
        <f>Customer!K460+Commodity!K460+Demand!K460</f>
        <v>0</v>
      </c>
      <c r="L460" s="3">
        <f>Customer!L460+Commodity!L460+Demand!L460</f>
        <v>0</v>
      </c>
      <c r="N460" s="3"/>
      <c r="O460" s="3"/>
      <c r="P460" s="3"/>
      <c r="Q460" s="3"/>
      <c r="R460" s="3"/>
      <c r="S460" s="3"/>
    </row>
    <row r="461" spans="1:19" ht="11.25" x14ac:dyDescent="0.2">
      <c r="A461" s="1">
        <f t="shared" si="55"/>
        <v>18</v>
      </c>
      <c r="B461" s="1" t="str">
        <f>Input!A356</f>
        <v>892</v>
      </c>
      <c r="C461" s="1" t="str">
        <f>Input!B356</f>
        <v>SERVICES</v>
      </c>
      <c r="D461" s="1"/>
      <c r="E461" s="1">
        <f>Input!D356</f>
        <v>298657</v>
      </c>
      <c r="F461" s="3">
        <f ca="1">Customer!F461+Commodity!F461+Demand!F461</f>
        <v>263499</v>
      </c>
      <c r="G461" s="3">
        <f ca="1">Customer!G461+Commodity!G461+Demand!G461</f>
        <v>34101</v>
      </c>
      <c r="H461" s="3">
        <f ca="1">Customer!H461+Commodity!H461+Demand!H461</f>
        <v>3</v>
      </c>
      <c r="I461" s="3">
        <f ca="1">Customer!I461+Commodity!I461+Demand!I461</f>
        <v>0</v>
      </c>
      <c r="J461" s="3">
        <f ca="1">Customer!J461+Commodity!J461+Demand!J461</f>
        <v>1054</v>
      </c>
      <c r="K461" s="3">
        <f ca="1">Customer!K461+Commodity!K461+Demand!K461</f>
        <v>0</v>
      </c>
      <c r="L461" s="3">
        <f ca="1">Customer!L461+Commodity!L461+Demand!L461</f>
        <v>0</v>
      </c>
      <c r="N461" s="3"/>
      <c r="O461" s="3"/>
      <c r="P461" s="3"/>
      <c r="Q461" s="3"/>
      <c r="R461" s="3"/>
      <c r="S461" s="3"/>
    </row>
    <row r="462" spans="1:19" ht="11.25" x14ac:dyDescent="0.2">
      <c r="A462" s="1">
        <f t="shared" si="55"/>
        <v>19</v>
      </c>
      <c r="B462" s="1" t="str">
        <f>Input!A357</f>
        <v>893</v>
      </c>
      <c r="C462" s="1" t="str">
        <f>Input!B357</f>
        <v>METERS &amp; HOUSE REGULATORS</v>
      </c>
      <c r="D462" s="1"/>
      <c r="E462" s="1">
        <f>Input!D357</f>
        <v>26851</v>
      </c>
      <c r="F462" s="3">
        <f>Customer!F462+Commodity!F462+Demand!F462</f>
        <v>19317</v>
      </c>
      <c r="G462" s="3">
        <f>Customer!G462+Commodity!G462+Demand!G462</f>
        <v>7414</v>
      </c>
      <c r="H462" s="3">
        <f>Customer!H462+Commodity!H462+Demand!H462</f>
        <v>3</v>
      </c>
      <c r="I462" s="3">
        <f>Customer!I462+Commodity!I462+Demand!I462</f>
        <v>0</v>
      </c>
      <c r="J462" s="3">
        <f>Customer!J462+Commodity!J462+Demand!J462</f>
        <v>116</v>
      </c>
      <c r="K462" s="3">
        <f>Customer!K462+Commodity!K462+Demand!K462</f>
        <v>0</v>
      </c>
      <c r="L462" s="3">
        <f>Customer!L462+Commodity!L462+Demand!L462</f>
        <v>0</v>
      </c>
      <c r="N462" s="3"/>
      <c r="O462" s="3"/>
      <c r="P462" s="3"/>
      <c r="Q462" s="3"/>
      <c r="R462" s="3"/>
      <c r="S462" s="3"/>
    </row>
    <row r="463" spans="1:19" ht="11.25" x14ac:dyDescent="0.2">
      <c r="A463" s="1">
        <f t="shared" si="55"/>
        <v>20</v>
      </c>
      <c r="B463" s="1" t="str">
        <f>Input!A358</f>
        <v>894</v>
      </c>
      <c r="C463" s="1" t="str">
        <f>Input!B358</f>
        <v>OTHER EQUIPMENT</v>
      </c>
      <c r="D463" s="1"/>
      <c r="E463" s="116">
        <f>Input!D358</f>
        <v>124180</v>
      </c>
      <c r="F463" s="26">
        <f ca="1">Customer!F463+Commodity!F463+Demand!F463</f>
        <v>75995</v>
      </c>
      <c r="G463" s="26">
        <f ca="1">Customer!G463+Commodity!G463+Demand!G463</f>
        <v>30545</v>
      </c>
      <c r="H463" s="26">
        <f ca="1">Customer!H463+Commodity!H463+Demand!H463</f>
        <v>35</v>
      </c>
      <c r="I463" s="26">
        <f ca="1">Customer!I463+Commodity!I463+Demand!I463</f>
        <v>240</v>
      </c>
      <c r="J463" s="26">
        <f ca="1">Customer!J463+Commodity!J463+Demand!J463</f>
        <v>17366</v>
      </c>
      <c r="K463" s="26">
        <f ca="1">Customer!K463+Commodity!K463+Demand!K463</f>
        <v>0</v>
      </c>
      <c r="L463" s="26">
        <f ca="1">Customer!L463+Commodity!L463+Demand!L463</f>
        <v>0</v>
      </c>
      <c r="N463" s="3"/>
      <c r="O463" s="3"/>
      <c r="P463" s="3"/>
      <c r="Q463" s="3"/>
      <c r="R463" s="3"/>
      <c r="S463" s="3"/>
    </row>
    <row r="464" spans="1:19" ht="11.25" x14ac:dyDescent="0.2">
      <c r="A464" s="1">
        <f t="shared" si="55"/>
        <v>21</v>
      </c>
      <c r="B464" s="1"/>
      <c r="C464" s="1" t="s">
        <v>280</v>
      </c>
      <c r="D464" s="1"/>
      <c r="E464" s="1">
        <f t="shared" ref="E464:L464" si="56">SUM(E456:E463)</f>
        <v>1545213</v>
      </c>
      <c r="F464" s="3">
        <f t="shared" ca="1" si="56"/>
        <v>780220</v>
      </c>
      <c r="G464" s="3">
        <f t="shared" ca="1" si="56"/>
        <v>360005</v>
      </c>
      <c r="H464" s="3">
        <f t="shared" ca="1" si="56"/>
        <v>656</v>
      </c>
      <c r="I464" s="3">
        <f t="shared" ca="1" si="56"/>
        <v>4209</v>
      </c>
      <c r="J464" s="3">
        <f t="shared" ca="1" si="56"/>
        <v>400121</v>
      </c>
      <c r="K464" s="3">
        <f t="shared" ca="1" si="56"/>
        <v>0</v>
      </c>
      <c r="L464" s="3">
        <f t="shared" ca="1" si="56"/>
        <v>0</v>
      </c>
      <c r="N464" s="3"/>
      <c r="O464" s="3"/>
      <c r="P464" s="3"/>
      <c r="Q464" s="3"/>
      <c r="R464" s="3"/>
      <c r="S464" s="3"/>
    </row>
    <row r="465" spans="1:19" ht="11.25" x14ac:dyDescent="0.2">
      <c r="A465" s="3" t="s">
        <v>810</v>
      </c>
      <c r="B465" s="3"/>
      <c r="C465" s="3"/>
      <c r="D465" s="3"/>
      <c r="E465" s="1"/>
      <c r="F465" s="325" t="str">
        <f>""&amp;+Input!$B$1</f>
        <v>COLUMBIA GAS OF KENTUCKY, INC.</v>
      </c>
      <c r="H465" s="3"/>
      <c r="I465" s="3"/>
      <c r="J465" s="3"/>
      <c r="K465" s="3"/>
      <c r="L465" s="32" t="str">
        <f>Input!$B$2</f>
        <v>ATTACHMENT CEN-2</v>
      </c>
      <c r="N465" s="3"/>
      <c r="O465" s="3"/>
      <c r="P465" s="3"/>
      <c r="Q465" s="3"/>
      <c r="R465" s="3"/>
      <c r="S465" s="3"/>
    </row>
    <row r="466" spans="1:19" ht="11.25" x14ac:dyDescent="0.2">
      <c r="A466" s="3" t="str">
        <f>Input!$B$7</f>
        <v>DEMAND-COMMODITY</v>
      </c>
      <c r="B466" s="3"/>
      <c r="C466" s="3"/>
      <c r="D466" s="3"/>
      <c r="E466" s="1"/>
      <c r="F466" s="325" t="s">
        <v>568</v>
      </c>
      <c r="H466" s="3"/>
      <c r="I466" s="3"/>
      <c r="J466" s="3"/>
      <c r="K466" s="3"/>
      <c r="L466" s="32" t="str">
        <f>"PAGE 14 OF "&amp;FIXED(Input!$B$8,0,TRUE)</f>
        <v>PAGE 14 OF 129</v>
      </c>
      <c r="N466" s="3"/>
      <c r="O466" s="3"/>
      <c r="P466" s="3"/>
      <c r="Q466" s="3"/>
      <c r="R466" s="3"/>
      <c r="S466" s="3"/>
    </row>
    <row r="467" spans="1:19" ht="11.25" x14ac:dyDescent="0.2">
      <c r="A467" s="17" t="str">
        <f>Input!$B$6</f>
        <v>FORECASTED TEST YEAR - ORIGINAL FILING</v>
      </c>
      <c r="B467" s="17"/>
      <c r="C467" s="17"/>
      <c r="D467" s="18"/>
      <c r="E467" s="117"/>
      <c r="F467" s="19" t="str">
        <f>"FOR THE TWELVE MONTHS ENDED "&amp;Input!$B$4</f>
        <v>FOR THE TWELVE MONTHS ENDED 12/31/2017</v>
      </c>
      <c r="G467" s="329"/>
      <c r="H467" s="17"/>
      <c r="I467" s="17"/>
      <c r="J467" s="17"/>
      <c r="K467" s="17"/>
      <c r="L467" s="183" t="str">
        <f>"WITNESS: "&amp;Input!$B$5</f>
        <v>WITNESS: C. NOTESTONE</v>
      </c>
      <c r="N467" s="3"/>
      <c r="O467" s="3"/>
      <c r="P467" s="3"/>
      <c r="Q467" s="3"/>
      <c r="R467" s="3"/>
      <c r="S467" s="3"/>
    </row>
    <row r="468" spans="1:19" ht="11.25" x14ac:dyDescent="0.2">
      <c r="A468" s="325" t="s">
        <v>5</v>
      </c>
      <c r="B468" s="3" t="s">
        <v>6</v>
      </c>
      <c r="C468" s="3"/>
      <c r="D468" s="325" t="s">
        <v>7</v>
      </c>
      <c r="E468" s="118" t="s">
        <v>8</v>
      </c>
      <c r="F468" s="3"/>
      <c r="G468" s="3"/>
      <c r="H468" s="3"/>
      <c r="I468" s="3"/>
      <c r="J468" s="3"/>
      <c r="K468" s="3"/>
      <c r="L468" s="3"/>
      <c r="N468" s="3"/>
      <c r="O468" s="3"/>
      <c r="P468" s="3"/>
      <c r="Q468" s="3"/>
      <c r="R468" s="3"/>
      <c r="S468" s="3"/>
    </row>
    <row r="469" spans="1:19" ht="11.25" x14ac:dyDescent="0.2">
      <c r="A469" s="341" t="s">
        <v>9</v>
      </c>
      <c r="B469" s="341" t="s">
        <v>9</v>
      </c>
      <c r="C469" s="34" t="str">
        <f>'Total Co'!C128</f>
        <v xml:space="preserve"> ACCOUNT TITLE</v>
      </c>
      <c r="D469" s="26" t="s">
        <v>10</v>
      </c>
      <c r="E469" s="119" t="s">
        <v>11</v>
      </c>
      <c r="F469" s="341" t="str">
        <f>"  "&amp;+Input!$C$12</f>
        <v xml:space="preserve">  GS-RESIDENTIAL</v>
      </c>
      <c r="G469" s="341" t="str">
        <f>Input!$C$13</f>
        <v>GS-OTHER</v>
      </c>
      <c r="H469" s="341" t="str">
        <f>Input!$C$14</f>
        <v>IUS</v>
      </c>
      <c r="I469" s="341" t="str">
        <f>Input!$C$15</f>
        <v>DS-ML</v>
      </c>
      <c r="J469" s="341" t="str">
        <f>Input!$C$16</f>
        <v>DS/IS</v>
      </c>
      <c r="K469" s="341" t="str">
        <f>Input!$C$17</f>
        <v>NOT USED</v>
      </c>
      <c r="L469" s="341" t="str">
        <f>Input!$C$18</f>
        <v>NOT USED</v>
      </c>
      <c r="N469" s="3"/>
      <c r="O469" s="3"/>
      <c r="P469" s="3"/>
      <c r="Q469" s="3"/>
      <c r="R469" s="3"/>
      <c r="S469" s="3"/>
    </row>
    <row r="470" spans="1:19" ht="11.25" x14ac:dyDescent="0.2">
      <c r="A470" s="3"/>
      <c r="B470" s="342" t="s">
        <v>13</v>
      </c>
      <c r="C470" s="342" t="s">
        <v>14</v>
      </c>
      <c r="D470" s="325" t="s">
        <v>15</v>
      </c>
      <c r="E470" s="118" t="s">
        <v>16</v>
      </c>
      <c r="F470" s="325" t="s">
        <v>17</v>
      </c>
      <c r="G470" s="325" t="s">
        <v>18</v>
      </c>
      <c r="H470" s="325" t="s">
        <v>19</v>
      </c>
      <c r="I470" s="325" t="s">
        <v>20</v>
      </c>
      <c r="J470" s="325" t="s">
        <v>21</v>
      </c>
      <c r="K470" s="325" t="s">
        <v>22</v>
      </c>
      <c r="L470" s="325" t="s">
        <v>23</v>
      </c>
      <c r="N470" s="3"/>
      <c r="O470" s="3"/>
      <c r="P470" s="3"/>
      <c r="Q470" s="3"/>
      <c r="R470" s="3"/>
      <c r="S470" s="3"/>
    </row>
    <row r="471" spans="1:19" ht="11.25" x14ac:dyDescent="0.2">
      <c r="A471" s="3"/>
      <c r="B471" s="3"/>
      <c r="C471" s="3"/>
      <c r="D471" s="3"/>
      <c r="E471" s="118" t="s">
        <v>26</v>
      </c>
      <c r="F471" s="325" t="s">
        <v>26</v>
      </c>
      <c r="G471" s="325" t="s">
        <v>26</v>
      </c>
      <c r="H471" s="325" t="s">
        <v>26</v>
      </c>
      <c r="I471" s="325" t="s">
        <v>26</v>
      </c>
      <c r="J471" s="325" t="s">
        <v>26</v>
      </c>
      <c r="K471" s="325" t="s">
        <v>26</v>
      </c>
      <c r="L471" s="325" t="s">
        <v>26</v>
      </c>
      <c r="N471" s="3"/>
      <c r="O471" s="3"/>
      <c r="P471" s="3"/>
      <c r="Q471" s="3"/>
      <c r="R471" s="3"/>
      <c r="S471" s="3"/>
    </row>
    <row r="472" spans="1:19" ht="11.25" x14ac:dyDescent="0.2">
      <c r="A472" s="3">
        <v>1</v>
      </c>
      <c r="B472" s="3"/>
      <c r="C472" s="3" t="str">
        <f>Input!A359</f>
        <v>CUSTOMER ACCOUNTS</v>
      </c>
      <c r="D472" s="3"/>
      <c r="E472" s="1"/>
      <c r="F472" s="3"/>
      <c r="G472" s="3"/>
      <c r="H472" s="3"/>
      <c r="I472" s="3"/>
      <c r="J472" s="3"/>
      <c r="K472" s="3"/>
      <c r="L472" s="3"/>
      <c r="N472" s="3"/>
      <c r="O472" s="3"/>
      <c r="P472" s="3"/>
      <c r="Q472" s="3"/>
      <c r="R472" s="3"/>
      <c r="S472" s="3"/>
    </row>
    <row r="473" spans="1:19" ht="11.25" x14ac:dyDescent="0.2">
      <c r="A473" s="3"/>
      <c r="B473" s="3"/>
      <c r="C473" s="3"/>
      <c r="D473" s="3"/>
      <c r="E473" s="1"/>
      <c r="F473" s="3"/>
      <c r="G473" s="3"/>
      <c r="H473" s="3"/>
      <c r="I473" s="3"/>
      <c r="J473" s="3"/>
      <c r="K473" s="3"/>
      <c r="L473" s="3"/>
      <c r="N473" s="3"/>
      <c r="O473" s="3"/>
      <c r="P473" s="3"/>
      <c r="Q473" s="3"/>
      <c r="R473" s="3"/>
      <c r="S473" s="3"/>
    </row>
    <row r="474" spans="1:19" ht="11.25" x14ac:dyDescent="0.2">
      <c r="A474" s="3">
        <f>A472+1</f>
        <v>2</v>
      </c>
      <c r="B474" s="3" t="str">
        <f>Input!A360</f>
        <v>901</v>
      </c>
      <c r="C474" s="3" t="str">
        <f>Input!B360</f>
        <v>SUPERVISION</v>
      </c>
      <c r="D474" s="3"/>
      <c r="E474" s="1">
        <f>Input!D360</f>
        <v>0</v>
      </c>
      <c r="F474" s="3">
        <f>Customer!F474+Commodity!F474+Demand!F474</f>
        <v>0</v>
      </c>
      <c r="G474" s="3">
        <f>Customer!G474+Commodity!G474+Demand!G474</f>
        <v>0</v>
      </c>
      <c r="H474" s="3">
        <f>Customer!H474+Commodity!H474+Demand!H474</f>
        <v>0</v>
      </c>
      <c r="I474" s="3">
        <f>Customer!I474+Commodity!I474+Demand!I474</f>
        <v>0</v>
      </c>
      <c r="J474" s="3">
        <f>Customer!J474+Commodity!J474+Demand!J474</f>
        <v>0</v>
      </c>
      <c r="K474" s="3">
        <f>Customer!K474+Commodity!K474+Demand!K474</f>
        <v>0</v>
      </c>
      <c r="L474" s="3">
        <f>Customer!L474+Commodity!L474+Demand!L474</f>
        <v>0</v>
      </c>
      <c r="N474" s="3"/>
      <c r="O474" s="3"/>
      <c r="P474" s="3"/>
      <c r="Q474" s="3"/>
      <c r="R474" s="3"/>
      <c r="S474" s="3"/>
    </row>
    <row r="475" spans="1:19" ht="11.25" x14ac:dyDescent="0.2">
      <c r="A475" s="3">
        <f t="shared" ref="A475:A483" si="57">A474+1</f>
        <v>3</v>
      </c>
      <c r="B475" s="3" t="str">
        <f>Input!A361</f>
        <v>902</v>
      </c>
      <c r="C475" s="3" t="str">
        <f>Input!B361</f>
        <v>METER READING</v>
      </c>
      <c r="D475" s="3"/>
      <c r="E475" s="1">
        <f>Input!D361</f>
        <v>165331</v>
      </c>
      <c r="F475" s="3">
        <f>Customer!F475+Commodity!F475+Demand!F475</f>
        <v>148232</v>
      </c>
      <c r="G475" s="3">
        <f>Customer!G475+Commodity!G475+Demand!G475</f>
        <v>16994</v>
      </c>
      <c r="H475" s="3">
        <f>Customer!H475+Commodity!H475+Demand!H475</f>
        <v>2</v>
      </c>
      <c r="I475" s="3">
        <f>Customer!I475+Commodity!I475+Demand!I475</f>
        <v>7</v>
      </c>
      <c r="J475" s="3">
        <f>Customer!J475+Commodity!J475+Demand!J475</f>
        <v>96</v>
      </c>
      <c r="K475" s="3">
        <f>Customer!K475+Commodity!K475+Demand!K475</f>
        <v>0</v>
      </c>
      <c r="L475" s="3">
        <f>Customer!L475+Commodity!L475+Demand!L475</f>
        <v>0</v>
      </c>
      <c r="N475" s="3"/>
      <c r="O475" s="3"/>
      <c r="P475" s="3"/>
      <c r="Q475" s="3"/>
      <c r="R475" s="3"/>
      <c r="S475" s="3"/>
    </row>
    <row r="476" spans="1:19" ht="11.25" x14ac:dyDescent="0.2">
      <c r="A476" s="3">
        <f t="shared" si="57"/>
        <v>4</v>
      </c>
      <c r="B476" s="3" t="str">
        <f>Input!A362</f>
        <v>903</v>
      </c>
      <c r="C476" s="3" t="str">
        <f>Input!B362</f>
        <v>CUSTOMER RECORDS &amp; COLLECTIONS</v>
      </c>
      <c r="D476" s="3"/>
      <c r="E476" s="1">
        <f>Input!D362</f>
        <v>692556</v>
      </c>
      <c r="F476" s="3">
        <f>Customer!F476+Commodity!F476+Demand!F476</f>
        <v>620932</v>
      </c>
      <c r="G476" s="3">
        <f>Customer!G476+Commodity!G476+Demand!G476</f>
        <v>71188</v>
      </c>
      <c r="H476" s="3">
        <f>Customer!H476+Commodity!H476+Demand!H476</f>
        <v>7</v>
      </c>
      <c r="I476" s="3">
        <f>Customer!I476+Commodity!I476+Demand!I476</f>
        <v>28</v>
      </c>
      <c r="J476" s="3">
        <f>Customer!J476+Commodity!J476+Demand!J476</f>
        <v>402</v>
      </c>
      <c r="K476" s="3">
        <f>Customer!K476+Commodity!K476+Demand!K476</f>
        <v>0</v>
      </c>
      <c r="L476" s="3">
        <f>Customer!L476+Commodity!L476+Demand!L476</f>
        <v>0</v>
      </c>
      <c r="N476" s="3"/>
      <c r="O476" s="3"/>
      <c r="P476" s="3"/>
      <c r="Q476" s="3"/>
      <c r="R476" s="3"/>
      <c r="S476" s="3"/>
    </row>
    <row r="477" spans="1:19" ht="11.25" x14ac:dyDescent="0.2">
      <c r="A477" s="3">
        <f t="shared" si="57"/>
        <v>5</v>
      </c>
      <c r="B477" s="3" t="str">
        <f>Input!A364</f>
        <v>904</v>
      </c>
      <c r="C477" s="3" t="str">
        <f>Input!B364</f>
        <v>UNCOLLECTIBLE ACCOUNTS</v>
      </c>
      <c r="D477" s="3"/>
      <c r="E477" s="1">
        <f>Input!D364</f>
        <v>0</v>
      </c>
      <c r="F477" s="3">
        <f>Customer!F477+Commodity!F477+Demand!F477</f>
        <v>0</v>
      </c>
      <c r="G477" s="3">
        <f>Customer!G477+Commodity!G477+Demand!G477</f>
        <v>0</v>
      </c>
      <c r="H477" s="3">
        <f>Customer!H477+Commodity!H477+Demand!H477</f>
        <v>0</v>
      </c>
      <c r="I477" s="3">
        <f>Customer!I477+Commodity!I477+Demand!I477</f>
        <v>0</v>
      </c>
      <c r="J477" s="3">
        <f>Customer!J477+Commodity!J477+Demand!J477</f>
        <v>0</v>
      </c>
      <c r="K477" s="3">
        <f>Customer!K477+Commodity!K477+Demand!K477</f>
        <v>0</v>
      </c>
      <c r="L477" s="3">
        <f>Customer!L477+Commodity!L477+Demand!L477</f>
        <v>0</v>
      </c>
      <c r="N477" s="3"/>
      <c r="O477" s="3"/>
      <c r="P477" s="3"/>
      <c r="Q477" s="3"/>
      <c r="R477" s="3"/>
      <c r="S477" s="3"/>
    </row>
    <row r="478" spans="1:19" ht="11.25" x14ac:dyDescent="0.2">
      <c r="A478" s="3">
        <f t="shared" si="57"/>
        <v>6</v>
      </c>
      <c r="B478" s="3" t="str">
        <f>Input!A365</f>
        <v>905</v>
      </c>
      <c r="C478" s="3" t="str">
        <f>Input!B365</f>
        <v>MISC.</v>
      </c>
      <c r="D478" s="3"/>
      <c r="E478" s="1">
        <f>Input!D365</f>
        <v>0</v>
      </c>
      <c r="F478" s="3">
        <f>Customer!F478+Commodity!F478+Demand!F478</f>
        <v>0</v>
      </c>
      <c r="G478" s="3">
        <f>Customer!G478+Commodity!G478+Demand!G478</f>
        <v>0</v>
      </c>
      <c r="H478" s="3">
        <f>Customer!H478+Commodity!H478+Demand!H478</f>
        <v>0</v>
      </c>
      <c r="I478" s="3">
        <f>Customer!I478+Commodity!I478+Demand!I478</f>
        <v>0</v>
      </c>
      <c r="J478" s="3">
        <f>Customer!J478+Commodity!J478+Demand!J478</f>
        <v>0</v>
      </c>
      <c r="K478" s="3">
        <f>Customer!K478+Commodity!K478+Demand!K478</f>
        <v>0</v>
      </c>
      <c r="L478" s="3">
        <f>Customer!L478+Commodity!L478+Demand!L478</f>
        <v>0</v>
      </c>
      <c r="N478" s="3"/>
      <c r="O478" s="3"/>
      <c r="P478" s="3"/>
      <c r="Q478" s="3"/>
      <c r="R478" s="3"/>
      <c r="S478" s="3"/>
    </row>
    <row r="479" spans="1:19" ht="11.25" x14ac:dyDescent="0.2">
      <c r="A479" s="3">
        <f t="shared" si="57"/>
        <v>7</v>
      </c>
      <c r="B479" s="3" t="str">
        <f>Input!A366</f>
        <v>920</v>
      </c>
      <c r="C479" s="3" t="str">
        <f>Input!B366</f>
        <v>SALARIES</v>
      </c>
      <c r="D479" s="3"/>
      <c r="E479" s="1">
        <f>Input!D366</f>
        <v>0</v>
      </c>
      <c r="F479" s="3">
        <f>Customer!F479+Commodity!F479+Demand!F479</f>
        <v>0</v>
      </c>
      <c r="G479" s="3">
        <f>Customer!G479+Commodity!G479+Demand!G479</f>
        <v>0</v>
      </c>
      <c r="H479" s="3">
        <f>Customer!H479+Commodity!H479+Demand!H479</f>
        <v>0</v>
      </c>
      <c r="I479" s="3">
        <f>Customer!I479+Commodity!I479+Demand!I479</f>
        <v>0</v>
      </c>
      <c r="J479" s="3">
        <f>Customer!J479+Commodity!J479+Demand!J479</f>
        <v>0</v>
      </c>
      <c r="K479" s="3">
        <f>Customer!K479+Commodity!K479+Demand!K479</f>
        <v>0</v>
      </c>
      <c r="L479" s="3">
        <f>Customer!L479+Commodity!L479+Demand!L479</f>
        <v>0</v>
      </c>
      <c r="N479" s="3"/>
      <c r="O479" s="3"/>
      <c r="P479" s="3"/>
      <c r="Q479" s="3"/>
      <c r="R479" s="3"/>
      <c r="S479" s="3"/>
    </row>
    <row r="480" spans="1:19" ht="11.25" x14ac:dyDescent="0.2">
      <c r="A480" s="3">
        <f t="shared" si="57"/>
        <v>8</v>
      </c>
      <c r="B480" s="3" t="str">
        <f>Input!A367</f>
        <v>921</v>
      </c>
      <c r="C480" s="3" t="str">
        <f>Input!B367</f>
        <v>OFFICE SUPPLIES AND EXPENSE</v>
      </c>
      <c r="D480" s="3"/>
      <c r="E480" s="1">
        <f>Input!D367</f>
        <v>0</v>
      </c>
      <c r="F480" s="3">
        <f>Customer!F480+Commodity!F480+Demand!F480</f>
        <v>0</v>
      </c>
      <c r="G480" s="3">
        <f>Customer!G480+Commodity!G480+Demand!G480</f>
        <v>0</v>
      </c>
      <c r="H480" s="3">
        <f>Customer!H480+Commodity!H480+Demand!H480</f>
        <v>0</v>
      </c>
      <c r="I480" s="3">
        <f>Customer!I480+Commodity!I480+Demand!I480</f>
        <v>0</v>
      </c>
      <c r="J480" s="3">
        <f>Customer!J480+Commodity!J480+Demand!J480</f>
        <v>0</v>
      </c>
      <c r="K480" s="3">
        <f>Customer!K480+Commodity!K480+Demand!K480</f>
        <v>0</v>
      </c>
      <c r="L480" s="3">
        <f>Customer!L480+Commodity!L480+Demand!L480</f>
        <v>0</v>
      </c>
      <c r="N480" s="3"/>
      <c r="O480" s="3"/>
      <c r="P480" s="3"/>
      <c r="Q480" s="3"/>
      <c r="R480" s="3"/>
      <c r="S480" s="3"/>
    </row>
    <row r="481" spans="1:19" ht="11.25" x14ac:dyDescent="0.2">
      <c r="A481" s="3">
        <f t="shared" si="57"/>
        <v>9</v>
      </c>
      <c r="B481" s="3" t="str">
        <f>Input!A368</f>
        <v>931</v>
      </c>
      <c r="C481" s="3" t="str">
        <f>Input!B368</f>
        <v>RENTS</v>
      </c>
      <c r="D481" s="3"/>
      <c r="E481" s="1">
        <f>Input!D368</f>
        <v>0</v>
      </c>
      <c r="F481" s="3">
        <f>Customer!F481+Commodity!F481+Demand!F481</f>
        <v>0</v>
      </c>
      <c r="G481" s="3">
        <f>Customer!G481+Commodity!G481+Demand!G481</f>
        <v>0</v>
      </c>
      <c r="H481" s="3">
        <f>Customer!H481+Commodity!H481+Demand!H481</f>
        <v>0</v>
      </c>
      <c r="I481" s="3">
        <f>Customer!I481+Commodity!I481+Demand!I481</f>
        <v>0</v>
      </c>
      <c r="J481" s="3">
        <f>Customer!J481+Commodity!J481+Demand!J481</f>
        <v>0</v>
      </c>
      <c r="K481" s="3">
        <f>Customer!K481+Commodity!K481+Demand!K481</f>
        <v>0</v>
      </c>
      <c r="L481" s="3">
        <f>Customer!L481+Commodity!L481+Demand!L481</f>
        <v>0</v>
      </c>
      <c r="N481" s="3"/>
      <c r="O481" s="3"/>
      <c r="P481" s="3"/>
      <c r="Q481" s="3"/>
      <c r="R481" s="3"/>
      <c r="S481" s="3"/>
    </row>
    <row r="482" spans="1:19" ht="11.25" x14ac:dyDescent="0.2">
      <c r="A482" s="3">
        <f t="shared" si="57"/>
        <v>10</v>
      </c>
      <c r="B482" s="3" t="str">
        <f>Input!A369</f>
        <v>935</v>
      </c>
      <c r="C482" s="3" t="str">
        <f>Input!B369</f>
        <v>GENERAL PLANT MAINTENANCE</v>
      </c>
      <c r="D482" s="3"/>
      <c r="E482" s="116">
        <f>Input!D369</f>
        <v>0</v>
      </c>
      <c r="F482" s="26">
        <f>Customer!F482+Commodity!F482+Demand!F482</f>
        <v>0</v>
      </c>
      <c r="G482" s="26">
        <f>Customer!G482+Commodity!G482+Demand!G482</f>
        <v>0</v>
      </c>
      <c r="H482" s="26">
        <f>Customer!H482+Commodity!H482+Demand!H482</f>
        <v>0</v>
      </c>
      <c r="I482" s="26">
        <f>Customer!I482+Commodity!I482+Demand!I482</f>
        <v>0</v>
      </c>
      <c r="J482" s="26">
        <f>Customer!J482+Commodity!J482+Demand!J482</f>
        <v>0</v>
      </c>
      <c r="K482" s="26">
        <f>Customer!K482+Commodity!K482+Demand!K482</f>
        <v>0</v>
      </c>
      <c r="L482" s="26">
        <f>Customer!L482+Commodity!L482+Demand!L482</f>
        <v>0</v>
      </c>
      <c r="N482" s="3"/>
      <c r="O482" s="3"/>
      <c r="P482" s="3"/>
      <c r="Q482" s="3"/>
      <c r="R482" s="3"/>
      <c r="S482" s="3"/>
    </row>
    <row r="483" spans="1:19" ht="11.25" x14ac:dyDescent="0.2">
      <c r="A483" s="3">
        <f t="shared" si="57"/>
        <v>11</v>
      </c>
      <c r="B483" s="3"/>
      <c r="C483" s="3" t="s">
        <v>301</v>
      </c>
      <c r="D483" s="3"/>
      <c r="E483" s="1">
        <f t="shared" ref="E483:L483" si="58">SUM(E474:E482)</f>
        <v>857887</v>
      </c>
      <c r="F483" s="3">
        <f t="shared" si="58"/>
        <v>769164</v>
      </c>
      <c r="G483" s="3">
        <f t="shared" si="58"/>
        <v>88182</v>
      </c>
      <c r="H483" s="3">
        <f t="shared" si="58"/>
        <v>9</v>
      </c>
      <c r="I483" s="3">
        <f t="shared" si="58"/>
        <v>35</v>
      </c>
      <c r="J483" s="3">
        <f t="shared" si="58"/>
        <v>498</v>
      </c>
      <c r="K483" s="3">
        <f t="shared" si="58"/>
        <v>0</v>
      </c>
      <c r="L483" s="3">
        <f t="shared" si="58"/>
        <v>0</v>
      </c>
      <c r="N483" s="3"/>
      <c r="O483" s="3"/>
      <c r="P483" s="3"/>
      <c r="Q483" s="3"/>
      <c r="R483" s="3"/>
      <c r="S483" s="3"/>
    </row>
    <row r="484" spans="1:19" ht="11.25" x14ac:dyDescent="0.2">
      <c r="A484" s="3"/>
      <c r="B484" s="3"/>
      <c r="C484" s="3"/>
      <c r="D484" s="3"/>
      <c r="E484" s="1"/>
      <c r="F484" s="3"/>
      <c r="G484" s="3"/>
      <c r="H484" s="3"/>
      <c r="I484" s="3"/>
      <c r="J484" s="3"/>
      <c r="K484" s="3"/>
      <c r="L484" s="3"/>
      <c r="N484" s="3"/>
      <c r="O484" s="3"/>
      <c r="P484" s="3"/>
      <c r="Q484" s="3"/>
      <c r="R484" s="3"/>
      <c r="S484" s="3"/>
    </row>
    <row r="485" spans="1:19" ht="11.25" x14ac:dyDescent="0.2">
      <c r="A485" s="3">
        <f>A483+1</f>
        <v>12</v>
      </c>
      <c r="B485" s="3"/>
      <c r="C485" s="3" t="str">
        <f>Input!A370</f>
        <v>CUSTOMER SERVICE &amp; INFORMATIONAL</v>
      </c>
      <c r="D485" s="3"/>
      <c r="E485" s="1"/>
      <c r="F485" s="3"/>
      <c r="G485" s="3"/>
      <c r="H485" s="3"/>
      <c r="I485" s="3"/>
      <c r="J485" s="3"/>
      <c r="K485" s="3"/>
      <c r="L485" s="3"/>
      <c r="N485" s="3"/>
      <c r="O485" s="3"/>
      <c r="P485" s="3"/>
      <c r="Q485" s="3"/>
      <c r="R485" s="3"/>
      <c r="S485" s="3"/>
    </row>
    <row r="486" spans="1:19" ht="11.25" x14ac:dyDescent="0.2">
      <c r="A486" s="3"/>
      <c r="B486" s="3"/>
      <c r="C486" s="3"/>
      <c r="D486" s="3"/>
      <c r="E486" s="1"/>
      <c r="F486" s="3"/>
      <c r="G486" s="3"/>
      <c r="H486" s="3"/>
      <c r="I486" s="3"/>
      <c r="J486" s="3"/>
      <c r="K486" s="3"/>
      <c r="L486" s="3"/>
      <c r="N486" s="3"/>
      <c r="O486" s="3"/>
      <c r="P486" s="3"/>
      <c r="Q486" s="3"/>
      <c r="R486" s="3"/>
      <c r="S486" s="3"/>
    </row>
    <row r="487" spans="1:19" ht="11.25" x14ac:dyDescent="0.2">
      <c r="A487" s="3">
        <f>A485+1</f>
        <v>13</v>
      </c>
      <c r="B487" s="3" t="str">
        <f>Input!A371</f>
        <v>907</v>
      </c>
      <c r="C487" s="3" t="str">
        <f>Input!B371</f>
        <v>SUPERVISION</v>
      </c>
      <c r="D487" s="3"/>
      <c r="E487" s="1">
        <f>Input!D371</f>
        <v>0</v>
      </c>
      <c r="F487" s="3">
        <f>Customer!F487+Commodity!F487+Demand!F487</f>
        <v>0</v>
      </c>
      <c r="G487" s="3">
        <f>Customer!G487+Commodity!G487+Demand!G487</f>
        <v>0</v>
      </c>
      <c r="H487" s="3">
        <f>Customer!H487+Commodity!H487+Demand!H487</f>
        <v>0</v>
      </c>
      <c r="I487" s="3">
        <f>Customer!I487+Commodity!I487+Demand!I487</f>
        <v>0</v>
      </c>
      <c r="J487" s="3">
        <f>Customer!J487+Commodity!J487+Demand!J487</f>
        <v>0</v>
      </c>
      <c r="K487" s="3">
        <f>Customer!K487+Commodity!K487+Demand!K487</f>
        <v>0</v>
      </c>
      <c r="L487" s="3">
        <f>Customer!L487+Commodity!L487+Demand!L487</f>
        <v>0</v>
      </c>
      <c r="N487" s="3"/>
      <c r="O487" s="3"/>
      <c r="P487" s="3"/>
      <c r="Q487" s="3"/>
      <c r="R487" s="3"/>
      <c r="S487" s="3"/>
    </row>
    <row r="488" spans="1:19" ht="11.25" x14ac:dyDescent="0.2">
      <c r="A488" s="3">
        <f t="shared" ref="A488:A495" si="59">A487+1</f>
        <v>14</v>
      </c>
      <c r="B488" s="3" t="str">
        <f>Input!A373</f>
        <v>908</v>
      </c>
      <c r="C488" s="3" t="str">
        <f>Input!B373</f>
        <v>CUSTOMER ASSISTANCE</v>
      </c>
      <c r="D488" s="3"/>
      <c r="E488" s="1">
        <f>Input!D373</f>
        <v>12982</v>
      </c>
      <c r="F488" s="3">
        <f>Customer!F488+Commodity!F488+Demand!F488</f>
        <v>11639</v>
      </c>
      <c r="G488" s="3">
        <f>Customer!G488+Commodity!G488+Demand!G488</f>
        <v>1334</v>
      </c>
      <c r="H488" s="3">
        <f>Customer!H488+Commodity!H488+Demand!H488</f>
        <v>0</v>
      </c>
      <c r="I488" s="3">
        <f>Customer!I488+Commodity!I488+Demand!I488</f>
        <v>1</v>
      </c>
      <c r="J488" s="3">
        <f>Customer!J488+Commodity!J488+Demand!J488</f>
        <v>8</v>
      </c>
      <c r="K488" s="3">
        <f>Customer!K488+Commodity!K488+Demand!K488</f>
        <v>0</v>
      </c>
      <c r="L488" s="3">
        <f>Customer!L488+Commodity!L488+Demand!L488</f>
        <v>0</v>
      </c>
      <c r="N488" s="3"/>
      <c r="O488" s="3"/>
      <c r="P488" s="3"/>
      <c r="Q488" s="3"/>
      <c r="R488" s="3"/>
      <c r="S488" s="3"/>
    </row>
    <row r="489" spans="1:19" ht="11.25" x14ac:dyDescent="0.2">
      <c r="A489" s="3">
        <f t="shared" si="59"/>
        <v>15</v>
      </c>
      <c r="B489" s="3" t="str">
        <f>Input!A375</f>
        <v>909</v>
      </c>
      <c r="C489" s="3" t="str">
        <f>Input!B375</f>
        <v>INFO. &amp; INSTRUCTIONAL</v>
      </c>
      <c r="D489" s="3"/>
      <c r="E489" s="1">
        <f>Input!D375</f>
        <v>0</v>
      </c>
      <c r="F489" s="3">
        <f>Customer!F489+Commodity!F489+Demand!F489</f>
        <v>0</v>
      </c>
      <c r="G489" s="3">
        <f>Customer!G489+Commodity!G489+Demand!G489</f>
        <v>0</v>
      </c>
      <c r="H489" s="3">
        <f>Customer!H489+Commodity!H489+Demand!H489</f>
        <v>0</v>
      </c>
      <c r="I489" s="3">
        <f>Customer!I489+Commodity!I489+Demand!I489</f>
        <v>0</v>
      </c>
      <c r="J489" s="3">
        <f>Customer!J489+Commodity!J489+Demand!J489</f>
        <v>0</v>
      </c>
      <c r="K489" s="3">
        <f>Customer!K489+Commodity!K489+Demand!K489</f>
        <v>0</v>
      </c>
      <c r="L489" s="3">
        <f>Customer!L489+Commodity!L489+Demand!L489</f>
        <v>0</v>
      </c>
      <c r="N489" s="3"/>
      <c r="O489" s="3"/>
      <c r="P489" s="3"/>
      <c r="Q489" s="3"/>
      <c r="R489" s="3"/>
      <c r="S489" s="3"/>
    </row>
    <row r="490" spans="1:19" ht="11.25" x14ac:dyDescent="0.2">
      <c r="A490" s="3">
        <f t="shared" si="59"/>
        <v>16</v>
      </c>
      <c r="B490" s="3" t="str">
        <f>Input!A376</f>
        <v>910</v>
      </c>
      <c r="C490" s="3" t="str">
        <f>Input!B376</f>
        <v>MISCELLANEOUS</v>
      </c>
      <c r="D490" s="3"/>
      <c r="E490" s="1">
        <f>Input!D376</f>
        <v>0</v>
      </c>
      <c r="F490" s="3">
        <f>Customer!F490+Commodity!F490+Demand!F490</f>
        <v>0</v>
      </c>
      <c r="G490" s="3">
        <f>Customer!G490+Commodity!G490+Demand!G490</f>
        <v>0</v>
      </c>
      <c r="H490" s="3">
        <f>Customer!H490+Commodity!H490+Demand!H490</f>
        <v>0</v>
      </c>
      <c r="I490" s="3">
        <f>Customer!I490+Commodity!I490+Demand!I490</f>
        <v>0</v>
      </c>
      <c r="J490" s="3">
        <f>Customer!J490+Commodity!J490+Demand!J490</f>
        <v>0</v>
      </c>
      <c r="K490" s="3">
        <f>Customer!K490+Commodity!K490+Demand!K490</f>
        <v>0</v>
      </c>
      <c r="L490" s="3">
        <f>Customer!L490+Commodity!L490+Demand!L490</f>
        <v>0</v>
      </c>
      <c r="N490" s="3"/>
      <c r="O490" s="3"/>
      <c r="P490" s="3"/>
      <c r="Q490" s="3"/>
      <c r="R490" s="3"/>
      <c r="S490" s="3"/>
    </row>
    <row r="491" spans="1:19" ht="11.25" x14ac:dyDescent="0.2">
      <c r="A491" s="3">
        <f t="shared" si="59"/>
        <v>17</v>
      </c>
      <c r="B491" s="3" t="str">
        <f>Input!A377</f>
        <v>920</v>
      </c>
      <c r="C491" s="3" t="str">
        <f>Input!B377</f>
        <v>SALARIES</v>
      </c>
      <c r="D491" s="3"/>
      <c r="E491" s="1">
        <f>Input!D377</f>
        <v>0</v>
      </c>
      <c r="F491" s="3">
        <f>Customer!F491+Commodity!F491+Demand!F491</f>
        <v>0</v>
      </c>
      <c r="G491" s="3">
        <f>Customer!G491+Commodity!G491+Demand!G491</f>
        <v>0</v>
      </c>
      <c r="H491" s="3">
        <f>Customer!H491+Commodity!H491+Demand!H491</f>
        <v>0</v>
      </c>
      <c r="I491" s="3">
        <f>Customer!I491+Commodity!I491+Demand!I491</f>
        <v>0</v>
      </c>
      <c r="J491" s="3">
        <f>Customer!J491+Commodity!J491+Demand!J491</f>
        <v>0</v>
      </c>
      <c r="K491" s="3">
        <f>Customer!K491+Commodity!K491+Demand!K491</f>
        <v>0</v>
      </c>
      <c r="L491" s="3">
        <f>Customer!L491+Commodity!L491+Demand!L491</f>
        <v>0</v>
      </c>
      <c r="N491" s="3"/>
      <c r="O491" s="3"/>
      <c r="P491" s="3"/>
      <c r="Q491" s="3"/>
      <c r="R491" s="3"/>
      <c r="S491" s="3"/>
    </row>
    <row r="492" spans="1:19" ht="11.25" x14ac:dyDescent="0.2">
      <c r="A492" s="3">
        <f t="shared" si="59"/>
        <v>18</v>
      </c>
      <c r="B492" s="3" t="str">
        <f>Input!A378</f>
        <v>921</v>
      </c>
      <c r="C492" s="3" t="str">
        <f>Input!B378</f>
        <v>OFFICE SUPPLIES AND EXPENSE</v>
      </c>
      <c r="D492" s="3"/>
      <c r="E492" s="1">
        <f>Input!D378</f>
        <v>0</v>
      </c>
      <c r="F492" s="3">
        <f>Customer!F492+Commodity!F492+Demand!F492</f>
        <v>0</v>
      </c>
      <c r="G492" s="3">
        <f>Customer!G492+Commodity!G492+Demand!G492</f>
        <v>0</v>
      </c>
      <c r="H492" s="3">
        <f>Customer!H492+Commodity!H492+Demand!H492</f>
        <v>0</v>
      </c>
      <c r="I492" s="3">
        <f>Customer!I492+Commodity!I492+Demand!I492</f>
        <v>0</v>
      </c>
      <c r="J492" s="3">
        <f>Customer!J492+Commodity!J492+Demand!J492</f>
        <v>0</v>
      </c>
      <c r="K492" s="3">
        <f>Customer!K492+Commodity!K492+Demand!K492</f>
        <v>0</v>
      </c>
      <c r="L492" s="3">
        <f>Customer!L492+Commodity!L492+Demand!L492</f>
        <v>0</v>
      </c>
      <c r="N492" s="3"/>
      <c r="O492" s="3"/>
      <c r="P492" s="3"/>
      <c r="Q492" s="3"/>
      <c r="R492" s="3"/>
      <c r="S492" s="3"/>
    </row>
    <row r="493" spans="1:19" ht="11.25" x14ac:dyDescent="0.2">
      <c r="A493" s="3">
        <f t="shared" si="59"/>
        <v>19</v>
      </c>
      <c r="B493" s="3" t="str">
        <f>Input!A379</f>
        <v>931</v>
      </c>
      <c r="C493" s="3" t="str">
        <f>Input!B379</f>
        <v>RENTS</v>
      </c>
      <c r="D493" s="3"/>
      <c r="E493" s="1">
        <f>Input!D379</f>
        <v>0</v>
      </c>
      <c r="F493" s="3">
        <f>Customer!F493+Commodity!F493+Demand!F493</f>
        <v>0</v>
      </c>
      <c r="G493" s="3">
        <f>Customer!G493+Commodity!G493+Demand!G493</f>
        <v>0</v>
      </c>
      <c r="H493" s="3">
        <f>Customer!H493+Commodity!H493+Demand!H493</f>
        <v>0</v>
      </c>
      <c r="I493" s="3">
        <f>Customer!I493+Commodity!I493+Demand!I493</f>
        <v>0</v>
      </c>
      <c r="J493" s="3">
        <f>Customer!J493+Commodity!J493+Demand!J493</f>
        <v>0</v>
      </c>
      <c r="K493" s="3">
        <f>Customer!K493+Commodity!K493+Demand!K493</f>
        <v>0</v>
      </c>
      <c r="L493" s="3">
        <f>Customer!L493+Commodity!L493+Demand!L493</f>
        <v>0</v>
      </c>
      <c r="N493" s="3"/>
      <c r="O493" s="3"/>
      <c r="P493" s="3"/>
      <c r="Q493" s="3"/>
      <c r="R493" s="3"/>
      <c r="S493" s="3"/>
    </row>
    <row r="494" spans="1:19" ht="11.25" x14ac:dyDescent="0.2">
      <c r="A494" s="3">
        <f t="shared" si="59"/>
        <v>20</v>
      </c>
      <c r="B494" s="3" t="str">
        <f>Input!A380</f>
        <v>935</v>
      </c>
      <c r="C494" s="3" t="str">
        <f>Input!B380</f>
        <v>GENERAL PLANT MAINTENANCE</v>
      </c>
      <c r="D494" s="3"/>
      <c r="E494" s="116">
        <f>Input!D380</f>
        <v>0</v>
      </c>
      <c r="F494" s="26">
        <f>Customer!F494+Commodity!F494+Demand!F494</f>
        <v>0</v>
      </c>
      <c r="G494" s="26">
        <f>Customer!G494+Commodity!G494+Demand!G494</f>
        <v>0</v>
      </c>
      <c r="H494" s="26">
        <f>Customer!H494+Commodity!H494+Demand!H494</f>
        <v>0</v>
      </c>
      <c r="I494" s="26">
        <f>Customer!I494+Commodity!I494+Demand!I494</f>
        <v>0</v>
      </c>
      <c r="J494" s="26">
        <f>Customer!J494+Commodity!J494+Demand!J494</f>
        <v>0</v>
      </c>
      <c r="K494" s="26">
        <f>Customer!K494+Commodity!K494+Demand!K494</f>
        <v>0</v>
      </c>
      <c r="L494" s="26">
        <f>Customer!L494+Commodity!L494+Demand!L494</f>
        <v>0</v>
      </c>
      <c r="N494" s="3"/>
      <c r="O494" s="3"/>
      <c r="P494" s="3"/>
      <c r="Q494" s="3"/>
      <c r="R494" s="3"/>
      <c r="S494" s="3"/>
    </row>
    <row r="495" spans="1:19" ht="11.25" x14ac:dyDescent="0.2">
      <c r="A495" s="3">
        <f t="shared" si="59"/>
        <v>21</v>
      </c>
      <c r="B495" s="3"/>
      <c r="C495" s="3" t="s">
        <v>309</v>
      </c>
      <c r="D495" s="3"/>
      <c r="E495" s="1">
        <f t="shared" ref="E495:L495" si="60">SUM(E487:E494)</f>
        <v>12982</v>
      </c>
      <c r="F495" s="3">
        <f t="shared" si="60"/>
        <v>11639</v>
      </c>
      <c r="G495" s="3">
        <f t="shared" si="60"/>
        <v>1334</v>
      </c>
      <c r="H495" s="3">
        <f t="shared" si="60"/>
        <v>0</v>
      </c>
      <c r="I495" s="3">
        <f t="shared" si="60"/>
        <v>1</v>
      </c>
      <c r="J495" s="3">
        <f t="shared" si="60"/>
        <v>8</v>
      </c>
      <c r="K495" s="3">
        <f t="shared" si="60"/>
        <v>0</v>
      </c>
      <c r="L495" s="3">
        <f t="shared" si="60"/>
        <v>0</v>
      </c>
      <c r="N495" s="3"/>
      <c r="O495" s="3"/>
      <c r="P495" s="3"/>
      <c r="Q495" s="3"/>
      <c r="R495" s="3"/>
      <c r="S495" s="3"/>
    </row>
    <row r="496" spans="1:19" ht="11.25" x14ac:dyDescent="0.2">
      <c r="A496" s="3" t="s">
        <v>810</v>
      </c>
      <c r="B496" s="3"/>
      <c r="C496" s="3"/>
      <c r="D496" s="3"/>
      <c r="E496" s="1"/>
      <c r="F496" s="325" t="str">
        <f>""&amp;+Input!$B$1</f>
        <v>COLUMBIA GAS OF KENTUCKY, INC.</v>
      </c>
      <c r="H496" s="3"/>
      <c r="I496" s="3"/>
      <c r="J496" s="3"/>
      <c r="K496" s="3"/>
      <c r="L496" s="32" t="str">
        <f>Input!$B$2</f>
        <v>ATTACHMENT CEN-2</v>
      </c>
      <c r="N496" s="3"/>
      <c r="O496" s="3"/>
      <c r="P496" s="3"/>
      <c r="Q496" s="3"/>
      <c r="R496" s="3"/>
      <c r="S496" s="3"/>
    </row>
    <row r="497" spans="1:19" ht="11.25" x14ac:dyDescent="0.2">
      <c r="A497" s="3" t="str">
        <f>Input!$B$7</f>
        <v>DEMAND-COMMODITY</v>
      </c>
      <c r="B497" s="3"/>
      <c r="C497" s="3"/>
      <c r="D497" s="3"/>
      <c r="E497" s="1"/>
      <c r="F497" s="325" t="s">
        <v>310</v>
      </c>
      <c r="H497" s="3"/>
      <c r="I497" s="3"/>
      <c r="J497" s="3"/>
      <c r="K497" s="3"/>
      <c r="L497" s="32" t="str">
        <f>"PAGE 15 OF "&amp;FIXED(Input!$B$8,0,TRUE)</f>
        <v>PAGE 15 OF 129</v>
      </c>
      <c r="N497" s="3"/>
      <c r="O497" s="3"/>
      <c r="P497" s="3"/>
      <c r="Q497" s="3"/>
      <c r="R497" s="3"/>
      <c r="S497" s="3"/>
    </row>
    <row r="498" spans="1:19" ht="11.25" x14ac:dyDescent="0.2">
      <c r="A498" s="17" t="str">
        <f>Input!$B$6</f>
        <v>FORECASTED TEST YEAR - ORIGINAL FILING</v>
      </c>
      <c r="B498" s="17"/>
      <c r="C498" s="17"/>
      <c r="D498" s="18"/>
      <c r="E498" s="117"/>
      <c r="F498" s="19" t="str">
        <f>"FORTHETWELVEMONTHSENDED"&amp;Input!$B$4</f>
        <v>FORTHETWELVEMONTHSENDED12/31/2017</v>
      </c>
      <c r="G498" s="329"/>
      <c r="H498" s="17"/>
      <c r="I498" s="17"/>
      <c r="J498" s="17"/>
      <c r="K498" s="17"/>
      <c r="L498" s="183" t="str">
        <f>"WITNESS: "&amp;Input!$B$5</f>
        <v>WITNESS: C. NOTESTONE</v>
      </c>
      <c r="N498" s="3"/>
      <c r="O498" s="3"/>
      <c r="P498" s="3"/>
      <c r="Q498" s="3"/>
      <c r="R498" s="3"/>
      <c r="S498" s="3"/>
    </row>
    <row r="499" spans="1:19" ht="11.25" x14ac:dyDescent="0.2">
      <c r="A499" s="325" t="s">
        <v>5</v>
      </c>
      <c r="B499" s="3" t="s">
        <v>6</v>
      </c>
      <c r="C499" s="3"/>
      <c r="D499" s="325" t="s">
        <v>7</v>
      </c>
      <c r="E499" s="118" t="s">
        <v>8</v>
      </c>
      <c r="F499" s="3"/>
      <c r="G499" s="3"/>
      <c r="H499" s="3"/>
      <c r="I499" s="3"/>
      <c r="J499" s="3"/>
      <c r="K499" s="3"/>
      <c r="L499" s="3"/>
      <c r="N499" s="3"/>
      <c r="O499" s="3"/>
      <c r="P499" s="3"/>
      <c r="Q499" s="3"/>
      <c r="R499" s="3"/>
      <c r="S499" s="3"/>
    </row>
    <row r="500" spans="1:19" ht="11.25" x14ac:dyDescent="0.2">
      <c r="A500" s="341" t="s">
        <v>9</v>
      </c>
      <c r="B500" s="341" t="s">
        <v>9</v>
      </c>
      <c r="C500" s="34" t="str">
        <f>'Total Co'!C128</f>
        <v xml:space="preserve"> ACCOUNT TITLE</v>
      </c>
      <c r="D500" s="26" t="s">
        <v>10</v>
      </c>
      <c r="E500" s="119" t="s">
        <v>11</v>
      </c>
      <c r="F500" s="341" t="str">
        <f>"  "&amp;+Input!$C$12</f>
        <v xml:space="preserve">  GS-RESIDENTIAL</v>
      </c>
      <c r="G500" s="341" t="str">
        <f>Input!$C$13</f>
        <v>GS-OTHER</v>
      </c>
      <c r="H500" s="341" t="str">
        <f>Input!$C$14</f>
        <v>IUS</v>
      </c>
      <c r="I500" s="341" t="str">
        <f>Input!$C$15</f>
        <v>DS-ML</v>
      </c>
      <c r="J500" s="341" t="str">
        <f>Input!$C$16</f>
        <v>DS/IS</v>
      </c>
      <c r="K500" s="341" t="str">
        <f>Input!$C$17</f>
        <v>NOT USED</v>
      </c>
      <c r="L500" s="341" t="str">
        <f>Input!$C$18</f>
        <v>NOT USED</v>
      </c>
      <c r="N500" s="3"/>
      <c r="O500" s="3"/>
      <c r="P500" s="3"/>
      <c r="Q500" s="3"/>
      <c r="R500" s="3"/>
      <c r="S500" s="3"/>
    </row>
    <row r="501" spans="1:19" ht="11.25" x14ac:dyDescent="0.2">
      <c r="A501" s="3"/>
      <c r="B501" s="342" t="s">
        <v>13</v>
      </c>
      <c r="C501" s="342" t="s">
        <v>14</v>
      </c>
      <c r="D501" s="325" t="s">
        <v>15</v>
      </c>
      <c r="E501" s="118" t="s">
        <v>16</v>
      </c>
      <c r="F501" s="325" t="s">
        <v>17</v>
      </c>
      <c r="G501" s="325" t="s">
        <v>18</v>
      </c>
      <c r="H501" s="325" t="s">
        <v>19</v>
      </c>
      <c r="I501" s="325" t="s">
        <v>20</v>
      </c>
      <c r="J501" s="325" t="s">
        <v>21</v>
      </c>
      <c r="K501" s="325" t="s">
        <v>22</v>
      </c>
      <c r="L501" s="325" t="s">
        <v>23</v>
      </c>
      <c r="N501" s="3"/>
      <c r="O501" s="3"/>
      <c r="P501" s="3"/>
      <c r="Q501" s="3"/>
      <c r="R501" s="3"/>
      <c r="S501" s="3"/>
    </row>
    <row r="502" spans="1:19" ht="11.25" x14ac:dyDescent="0.2">
      <c r="A502" s="3"/>
      <c r="B502" s="3"/>
      <c r="C502" s="3"/>
      <c r="D502" s="3"/>
      <c r="E502" s="118" t="s">
        <v>26</v>
      </c>
      <c r="F502" s="325" t="s">
        <v>26</v>
      </c>
      <c r="G502" s="325" t="s">
        <v>26</v>
      </c>
      <c r="H502" s="325" t="s">
        <v>26</v>
      </c>
      <c r="I502" s="325" t="s">
        <v>26</v>
      </c>
      <c r="J502" s="325" t="s">
        <v>26</v>
      </c>
      <c r="K502" s="325" t="s">
        <v>26</v>
      </c>
      <c r="L502" s="325" t="s">
        <v>26</v>
      </c>
      <c r="N502" s="3"/>
      <c r="O502" s="3"/>
      <c r="P502" s="3"/>
      <c r="Q502" s="3"/>
      <c r="R502" s="3"/>
      <c r="S502" s="3"/>
    </row>
    <row r="503" spans="1:19" ht="11.25" x14ac:dyDescent="0.2">
      <c r="A503" s="3">
        <v>1</v>
      </c>
      <c r="B503" s="25"/>
      <c r="C503" s="3" t="str">
        <f>Input!A381</f>
        <v>SALES</v>
      </c>
      <c r="D503" s="3"/>
      <c r="E503" s="1"/>
      <c r="F503" s="3"/>
      <c r="G503" s="3"/>
      <c r="H503" s="3"/>
      <c r="I503" s="3"/>
      <c r="J503" s="3"/>
      <c r="K503" s="3"/>
      <c r="L503" s="3"/>
      <c r="N503" s="3"/>
      <c r="O503" s="3"/>
      <c r="P503" s="3"/>
      <c r="Q503" s="3"/>
      <c r="R503" s="3"/>
      <c r="S503" s="3"/>
    </row>
    <row r="504" spans="1:19" ht="11.25" x14ac:dyDescent="0.2">
      <c r="A504" s="3"/>
      <c r="B504" s="3"/>
      <c r="C504" s="3"/>
      <c r="D504" s="3"/>
      <c r="E504" s="1"/>
      <c r="F504" s="3"/>
      <c r="G504" s="3"/>
      <c r="H504" s="3"/>
      <c r="I504" s="3"/>
      <c r="J504" s="3"/>
      <c r="K504" s="3"/>
      <c r="L504" s="3"/>
      <c r="N504" s="3"/>
      <c r="O504" s="3"/>
      <c r="P504" s="3"/>
      <c r="Q504" s="3"/>
      <c r="R504" s="3"/>
      <c r="S504" s="3"/>
    </row>
    <row r="505" spans="1:19" ht="11.25" x14ac:dyDescent="0.2">
      <c r="A505" s="3">
        <f>A503+1</f>
        <v>2</v>
      </c>
      <c r="B505" s="3" t="str">
        <f>Input!A382</f>
        <v>911</v>
      </c>
      <c r="C505" s="3" t="str">
        <f>Input!B382</f>
        <v>SUPERVISION</v>
      </c>
      <c r="D505" s="3"/>
      <c r="E505" s="1">
        <f>Input!D382</f>
        <v>0</v>
      </c>
      <c r="F505" s="3">
        <f>Customer!F505+Commodity!F505+Demand!F505</f>
        <v>0</v>
      </c>
      <c r="G505" s="3">
        <f>Customer!G505+Commodity!G505+Demand!G505</f>
        <v>0</v>
      </c>
      <c r="H505" s="3">
        <f>Customer!H505+Commodity!H505+Demand!H505</f>
        <v>0</v>
      </c>
      <c r="I505" s="3">
        <f>Customer!I505+Commodity!I505+Demand!I505</f>
        <v>0</v>
      </c>
      <c r="J505" s="3">
        <f>Customer!J505+Commodity!J505+Demand!J505</f>
        <v>0</v>
      </c>
      <c r="K505" s="3">
        <f>Customer!K505+Commodity!K505+Demand!K505</f>
        <v>0</v>
      </c>
      <c r="L505" s="3">
        <f>Customer!L505+Commodity!L505+Demand!L505</f>
        <v>0</v>
      </c>
      <c r="N505" s="3"/>
      <c r="O505" s="3"/>
      <c r="P505" s="3"/>
      <c r="Q505" s="3"/>
      <c r="R505" s="3"/>
      <c r="S505" s="3"/>
    </row>
    <row r="506" spans="1:19" ht="11.25" x14ac:dyDescent="0.2">
      <c r="A506" s="3">
        <f>A505+1</f>
        <v>3</v>
      </c>
      <c r="B506" s="3" t="str">
        <f>Input!A383</f>
        <v>912</v>
      </c>
      <c r="C506" s="3" t="str">
        <f>Input!B383</f>
        <v>DEMONSTRATION &amp; SELLING</v>
      </c>
      <c r="D506" s="3"/>
      <c r="E506" s="1">
        <f>Input!D383</f>
        <v>0</v>
      </c>
      <c r="F506" s="3">
        <f>Customer!F506+Commodity!F506+Demand!F506</f>
        <v>0</v>
      </c>
      <c r="G506" s="3">
        <f>Customer!G506+Commodity!G506+Demand!G506</f>
        <v>0</v>
      </c>
      <c r="H506" s="3">
        <f>Customer!H506+Commodity!H506+Demand!H506</f>
        <v>0</v>
      </c>
      <c r="I506" s="3">
        <f>Customer!I506+Commodity!I506+Demand!I506</f>
        <v>0</v>
      </c>
      <c r="J506" s="3">
        <f>Customer!J506+Commodity!J506+Demand!J506</f>
        <v>0</v>
      </c>
      <c r="K506" s="3">
        <f>Customer!K506+Commodity!K506+Demand!K506</f>
        <v>0</v>
      </c>
      <c r="L506" s="3">
        <f>Customer!L506+Commodity!L506+Demand!L506</f>
        <v>0</v>
      </c>
      <c r="N506" s="3"/>
      <c r="O506" s="3"/>
      <c r="P506" s="3"/>
      <c r="Q506" s="3"/>
      <c r="R506" s="3"/>
      <c r="S506" s="3"/>
    </row>
    <row r="507" spans="1:19" ht="11.25" x14ac:dyDescent="0.2">
      <c r="A507" s="3">
        <f>A506+1</f>
        <v>4</v>
      </c>
      <c r="B507" s="3" t="str">
        <f>Input!A384</f>
        <v>913</v>
      </c>
      <c r="C507" s="3" t="str">
        <f>Input!B384</f>
        <v>ADVERTISING</v>
      </c>
      <c r="D507" s="3"/>
      <c r="E507" s="1">
        <f>Input!D384</f>
        <v>0</v>
      </c>
      <c r="F507" s="3">
        <f>Customer!F507+Commodity!F507+Demand!F507</f>
        <v>0</v>
      </c>
      <c r="G507" s="3">
        <f>Customer!G507+Commodity!G507+Demand!G507</f>
        <v>0</v>
      </c>
      <c r="H507" s="3">
        <f>Customer!H507+Commodity!H507+Demand!H507</f>
        <v>0</v>
      </c>
      <c r="I507" s="3">
        <f>Customer!I507+Commodity!I507+Demand!I507</f>
        <v>0</v>
      </c>
      <c r="J507" s="3">
        <f>Customer!J507+Commodity!J507+Demand!J507</f>
        <v>0</v>
      </c>
      <c r="K507" s="3">
        <f>Customer!K507+Commodity!K507+Demand!K507</f>
        <v>0</v>
      </c>
      <c r="L507" s="3">
        <f>Customer!L507+Commodity!L507+Demand!L507</f>
        <v>0</v>
      </c>
      <c r="N507" s="3"/>
      <c r="O507" s="3"/>
      <c r="P507" s="3"/>
      <c r="Q507" s="3"/>
      <c r="R507" s="3"/>
      <c r="S507" s="3"/>
    </row>
    <row r="508" spans="1:19" ht="11.25" x14ac:dyDescent="0.2">
      <c r="A508" s="3">
        <f>A507+1</f>
        <v>5</v>
      </c>
      <c r="B508" s="3" t="str">
        <f>Input!A385</f>
        <v>916</v>
      </c>
      <c r="C508" s="3" t="str">
        <f>Input!B385</f>
        <v>MISC.</v>
      </c>
      <c r="D508" s="3"/>
      <c r="E508" s="116">
        <f>Input!D385</f>
        <v>0</v>
      </c>
      <c r="F508" s="26">
        <f>Customer!F508+Commodity!F508+Demand!F508</f>
        <v>0</v>
      </c>
      <c r="G508" s="26">
        <f>Customer!G508+Commodity!G508+Demand!G508</f>
        <v>0</v>
      </c>
      <c r="H508" s="26">
        <f>Customer!H508+Commodity!H508+Demand!H508</f>
        <v>0</v>
      </c>
      <c r="I508" s="26">
        <f>Customer!I508+Commodity!I508+Demand!I508</f>
        <v>0</v>
      </c>
      <c r="J508" s="26">
        <f>Customer!J508+Commodity!J508+Demand!J508</f>
        <v>0</v>
      </c>
      <c r="K508" s="26">
        <f>Customer!K508+Commodity!K508+Demand!K508</f>
        <v>0</v>
      </c>
      <c r="L508" s="26">
        <f>Customer!L508+Commodity!L508+Demand!L508</f>
        <v>0</v>
      </c>
      <c r="N508" s="3"/>
      <c r="O508" s="3"/>
      <c r="P508" s="3"/>
      <c r="Q508" s="3"/>
      <c r="R508" s="3"/>
      <c r="S508" s="3"/>
    </row>
    <row r="509" spans="1:19" ht="11.25" x14ac:dyDescent="0.2">
      <c r="A509" s="3">
        <f>A508+1</f>
        <v>6</v>
      </c>
      <c r="B509" s="3"/>
      <c r="C509" s="3" t="s">
        <v>312</v>
      </c>
      <c r="D509" s="3"/>
      <c r="E509" s="116">
        <f t="shared" ref="E509:L509" si="61">SUM(E505:E508)</f>
        <v>0</v>
      </c>
      <c r="F509" s="26">
        <f t="shared" si="61"/>
        <v>0</v>
      </c>
      <c r="G509" s="26">
        <f t="shared" si="61"/>
        <v>0</v>
      </c>
      <c r="H509" s="26">
        <f t="shared" si="61"/>
        <v>0</v>
      </c>
      <c r="I509" s="26">
        <f t="shared" si="61"/>
        <v>0</v>
      </c>
      <c r="J509" s="26">
        <f t="shared" si="61"/>
        <v>0</v>
      </c>
      <c r="K509" s="26">
        <f t="shared" si="61"/>
        <v>0</v>
      </c>
      <c r="L509" s="26">
        <f t="shared" si="61"/>
        <v>0</v>
      </c>
      <c r="N509" s="3"/>
      <c r="O509" s="3"/>
      <c r="P509" s="3"/>
      <c r="Q509" s="3"/>
      <c r="R509" s="3"/>
      <c r="S509" s="3"/>
    </row>
    <row r="510" spans="1:19" ht="11.2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N510" s="3"/>
      <c r="O510" s="3"/>
      <c r="P510" s="3"/>
      <c r="Q510" s="3"/>
      <c r="R510" s="3"/>
      <c r="S510" s="3"/>
    </row>
    <row r="511" spans="1:19" ht="11.25" x14ac:dyDescent="0.2">
      <c r="A511" s="3">
        <f>A509+1</f>
        <v>7</v>
      </c>
      <c r="B511" s="3"/>
      <c r="C511" s="3" t="s">
        <v>314</v>
      </c>
      <c r="D511" s="3"/>
      <c r="E511" s="3">
        <f>'Total Co'!E452+'Total Co'!E464+'Total Co'!E483+'Total Co'!E495+E509</f>
        <v>7756106</v>
      </c>
      <c r="F511" s="3">
        <f ca="1">'Total Co'!F452+'Total Co'!F464+'Total Co'!F483+'Total Co'!F495+F509</f>
        <v>4994381</v>
      </c>
      <c r="G511" s="3">
        <f ca="1">'Total Co'!G452+'Total Co'!G464+'Total Co'!G483+'Total Co'!G495+G509</f>
        <v>1783107</v>
      </c>
      <c r="H511" s="3">
        <f ca="1">'Total Co'!H452+'Total Co'!H464+'Total Co'!H483+'Total Co'!H495+H509</f>
        <v>1921</v>
      </c>
      <c r="I511" s="3">
        <f ca="1">'Total Co'!I452+'Total Co'!I464+'Total Co'!I483+'Total Co'!I495+I509</f>
        <v>13330</v>
      </c>
      <c r="J511" s="3">
        <f ca="1">'Total Co'!J452+'Total Co'!J464+'Total Co'!J483+'Total Co'!J495+J509</f>
        <v>963362</v>
      </c>
      <c r="K511" s="3">
        <f ca="1">'Total Co'!K452+'Total Co'!K464+'Total Co'!K483+'Total Co'!K495+K509</f>
        <v>0</v>
      </c>
      <c r="L511" s="3">
        <f ca="1">'Total Co'!L452+'Total Co'!L464+'Total Co'!L483+'Total Co'!L495+L509</f>
        <v>0</v>
      </c>
      <c r="N511" s="3"/>
      <c r="O511" s="3"/>
      <c r="P511" s="3"/>
      <c r="Q511" s="3"/>
      <c r="R511" s="3"/>
      <c r="S511" s="3"/>
    </row>
    <row r="512" spans="1:19" ht="11.2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N512" s="3"/>
      <c r="O512" s="3"/>
      <c r="P512" s="3"/>
      <c r="Q512" s="3"/>
      <c r="R512" s="3"/>
      <c r="S512" s="3"/>
    </row>
    <row r="513" spans="1:19" ht="11.25" x14ac:dyDescent="0.2">
      <c r="A513" s="3">
        <f>A511+1</f>
        <v>8</v>
      </c>
      <c r="B513" s="3"/>
      <c r="C513" s="3" t="str">
        <f>Input!A452</f>
        <v>ADMINISTRATIVE &amp; GENERAL</v>
      </c>
      <c r="D513" s="3"/>
      <c r="E513" s="3"/>
      <c r="F513" s="3"/>
      <c r="G513" s="3"/>
      <c r="H513" s="3"/>
      <c r="I513" s="3"/>
      <c r="J513" s="3"/>
      <c r="K513" s="3"/>
      <c r="L513" s="3"/>
      <c r="N513" s="3"/>
      <c r="O513" s="3"/>
      <c r="P513" s="3"/>
      <c r="Q513" s="3"/>
      <c r="R513" s="3"/>
      <c r="S513" s="3"/>
    </row>
    <row r="514" spans="1:19" ht="11.2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N514" s="3"/>
      <c r="O514" s="3"/>
      <c r="P514" s="3"/>
      <c r="Q514" s="3"/>
      <c r="R514" s="3"/>
      <c r="S514" s="3"/>
    </row>
    <row r="515" spans="1:19" ht="11.25" x14ac:dyDescent="0.2">
      <c r="A515" s="3">
        <f>A513+1</f>
        <v>9</v>
      </c>
      <c r="B515" s="3" t="str">
        <f>Input!A453</f>
        <v>920</v>
      </c>
      <c r="C515" s="3" t="str">
        <f>Input!B453</f>
        <v>SALARIES</v>
      </c>
      <c r="D515" s="3"/>
      <c r="E515" s="3">
        <f>Input!D453</f>
        <v>1597984</v>
      </c>
      <c r="F515" s="3">
        <f ca="1">Customer!F515+Commodity!F515+Demand!F515</f>
        <v>1028989</v>
      </c>
      <c r="G515" s="3">
        <f ca="1">Customer!G515+Commodity!G515+Demand!G515</f>
        <v>367369</v>
      </c>
      <c r="H515" s="3">
        <f ca="1">Customer!H515+Commodity!H515+Demand!H515</f>
        <v>399</v>
      </c>
      <c r="I515" s="3">
        <f ca="1">Customer!I515+Commodity!I515+Demand!I515</f>
        <v>2743</v>
      </c>
      <c r="J515" s="3">
        <f ca="1">Customer!J515+Commodity!J515+Demand!J515</f>
        <v>198485</v>
      </c>
      <c r="K515" s="3">
        <f ca="1">Customer!K515+Commodity!K515+Demand!K515</f>
        <v>0</v>
      </c>
      <c r="L515" s="3">
        <f ca="1">Customer!L515+Commodity!L515+Demand!L515</f>
        <v>0</v>
      </c>
      <c r="N515" s="3"/>
      <c r="O515" s="3"/>
      <c r="P515" s="3"/>
      <c r="Q515" s="3"/>
      <c r="R515" s="3"/>
      <c r="S515" s="3"/>
    </row>
    <row r="516" spans="1:19" ht="11.25" x14ac:dyDescent="0.2">
      <c r="A516" s="3">
        <f t="shared" ref="A516:A527" si="62">A515+1</f>
        <v>10</v>
      </c>
      <c r="B516" s="3" t="str">
        <f>Input!A454</f>
        <v>921</v>
      </c>
      <c r="C516" s="3" t="str">
        <f>Input!B454</f>
        <v>OFFICE SUPPLIES &amp; EXPENSES</v>
      </c>
      <c r="D516" s="3"/>
      <c r="E516" s="3">
        <f>Input!D454</f>
        <v>0</v>
      </c>
      <c r="F516" s="3">
        <f ca="1">Customer!F516+Commodity!F516+Demand!F516</f>
        <v>0</v>
      </c>
      <c r="G516" s="3">
        <f ca="1">Customer!G516+Commodity!G516+Demand!G516</f>
        <v>0</v>
      </c>
      <c r="H516" s="3">
        <f ca="1">Customer!H516+Commodity!H516+Demand!H516</f>
        <v>0</v>
      </c>
      <c r="I516" s="3">
        <f ca="1">Customer!I516+Commodity!I516+Demand!I516</f>
        <v>0</v>
      </c>
      <c r="J516" s="3">
        <f ca="1">Customer!J516+Commodity!J516+Demand!J516</f>
        <v>0</v>
      </c>
      <c r="K516" s="3">
        <f ca="1">Customer!K516+Commodity!K516+Demand!K516</f>
        <v>0</v>
      </c>
      <c r="L516" s="3">
        <f ca="1">Customer!L516+Commodity!L516+Demand!L516</f>
        <v>0</v>
      </c>
      <c r="N516" s="3"/>
      <c r="O516" s="3"/>
      <c r="P516" s="3"/>
      <c r="Q516" s="3"/>
      <c r="R516" s="3"/>
      <c r="S516" s="3"/>
    </row>
    <row r="517" spans="1:19" ht="11.25" x14ac:dyDescent="0.2">
      <c r="A517" s="3">
        <f t="shared" si="62"/>
        <v>11</v>
      </c>
      <c r="B517" s="3" t="str">
        <f>Input!A455</f>
        <v>922</v>
      </c>
      <c r="C517" s="3" t="str">
        <f>Input!B455</f>
        <v>ADMIN. EXPENSES TRANSFERED</v>
      </c>
      <c r="D517" s="3"/>
      <c r="E517" s="3">
        <f>Input!D455</f>
        <v>0</v>
      </c>
      <c r="F517" s="3">
        <f ca="1">Customer!F517+Commodity!F517+Demand!F517</f>
        <v>0</v>
      </c>
      <c r="G517" s="3">
        <f ca="1">Customer!G517+Commodity!G517+Demand!G517</f>
        <v>0</v>
      </c>
      <c r="H517" s="3">
        <f ca="1">Customer!H517+Commodity!H517+Demand!H517</f>
        <v>0</v>
      </c>
      <c r="I517" s="3">
        <f ca="1">Customer!I517+Commodity!I517+Demand!I517</f>
        <v>0</v>
      </c>
      <c r="J517" s="3">
        <f ca="1">Customer!J517+Commodity!J517+Demand!J517</f>
        <v>0</v>
      </c>
      <c r="K517" s="3">
        <f ca="1">Customer!K517+Commodity!K517+Demand!K517</f>
        <v>0</v>
      </c>
      <c r="L517" s="3">
        <f ca="1">Customer!L517+Commodity!L517+Demand!L517</f>
        <v>0</v>
      </c>
      <c r="N517" s="3"/>
      <c r="O517" s="3"/>
      <c r="P517" s="3"/>
      <c r="Q517" s="3"/>
      <c r="R517" s="3"/>
      <c r="S517" s="3"/>
    </row>
    <row r="518" spans="1:19" ht="11.25" x14ac:dyDescent="0.2">
      <c r="A518" s="3">
        <f t="shared" si="62"/>
        <v>12</v>
      </c>
      <c r="B518" s="3" t="str">
        <f>Input!A456</f>
        <v>923</v>
      </c>
      <c r="C518" s="3" t="str">
        <f>Input!B456</f>
        <v xml:space="preserve">OUTSIDE SERVICES </v>
      </c>
      <c r="D518" s="3"/>
      <c r="E518" s="3">
        <f>Input!D456</f>
        <v>4636.4399999998277</v>
      </c>
      <c r="F518" s="3">
        <f ca="1">Customer!F518+Commodity!F518+Demand!F518</f>
        <v>2985</v>
      </c>
      <c r="G518" s="3">
        <f ca="1">Customer!G518+Commodity!G518+Demand!G518</f>
        <v>1067</v>
      </c>
      <c r="H518" s="3">
        <f ca="1">Customer!H518+Commodity!H518+Demand!H518</f>
        <v>0</v>
      </c>
      <c r="I518" s="3">
        <f ca="1">Customer!I518+Commodity!I518+Demand!I518</f>
        <v>8</v>
      </c>
      <c r="J518" s="3">
        <f ca="1">Customer!J518+Commodity!J518+Demand!J518</f>
        <v>576</v>
      </c>
      <c r="K518" s="3">
        <f ca="1">Customer!K518+Commodity!K518+Demand!K518</f>
        <v>0</v>
      </c>
      <c r="L518" s="3">
        <f ca="1">Customer!L518+Commodity!L518+Demand!L518</f>
        <v>0</v>
      </c>
      <c r="N518" s="3"/>
      <c r="O518" s="3"/>
      <c r="P518" s="3"/>
      <c r="Q518" s="3"/>
      <c r="R518" s="3"/>
      <c r="S518" s="3"/>
    </row>
    <row r="519" spans="1:19" ht="11.25" x14ac:dyDescent="0.2">
      <c r="A519" s="3">
        <f t="shared" si="62"/>
        <v>13</v>
      </c>
      <c r="B519" s="3" t="str">
        <f>Input!A457</f>
        <v>924</v>
      </c>
      <c r="C519" s="3" t="str">
        <f>Input!B457</f>
        <v>PROPERTY INSURANCE</v>
      </c>
      <c r="D519" s="3"/>
      <c r="E519" s="3">
        <f>Input!D457</f>
        <v>0</v>
      </c>
      <c r="F519" s="3">
        <f ca="1">Customer!F519+Commodity!F519+Demand!F519</f>
        <v>0</v>
      </c>
      <c r="G519" s="3">
        <f ca="1">Customer!G519+Commodity!G519+Demand!G519</f>
        <v>0</v>
      </c>
      <c r="H519" s="3">
        <f ca="1">Customer!H519+Commodity!H519+Demand!H519</f>
        <v>0</v>
      </c>
      <c r="I519" s="3">
        <f ca="1">Customer!I519+Commodity!I519+Demand!I519</f>
        <v>0</v>
      </c>
      <c r="J519" s="3">
        <f ca="1">Customer!J519+Commodity!J519+Demand!J519</f>
        <v>0</v>
      </c>
      <c r="K519" s="3">
        <f ca="1">Customer!K519+Commodity!K519+Demand!K519</f>
        <v>0</v>
      </c>
      <c r="L519" s="3">
        <f ca="1">Customer!L519+Commodity!L519+Demand!L519</f>
        <v>0</v>
      </c>
      <c r="N519" s="3"/>
      <c r="O519" s="3"/>
      <c r="P519" s="3"/>
      <c r="Q519" s="3"/>
      <c r="R519" s="3"/>
      <c r="S519" s="3"/>
    </row>
    <row r="520" spans="1:19" ht="11.25" x14ac:dyDescent="0.2">
      <c r="A520" s="3">
        <f t="shared" si="62"/>
        <v>14</v>
      </c>
      <c r="B520" s="3" t="str">
        <f>Input!A458</f>
        <v>925</v>
      </c>
      <c r="C520" s="3" t="str">
        <f>Input!B458</f>
        <v>INJURIES AND DAMAGES</v>
      </c>
      <c r="D520" s="3"/>
      <c r="E520" s="3">
        <f>Input!D458</f>
        <v>0</v>
      </c>
      <c r="F520" s="3">
        <f ca="1">Customer!F520+Commodity!F520+Demand!F520</f>
        <v>0</v>
      </c>
      <c r="G520" s="3">
        <f ca="1">Customer!G520+Commodity!G520+Demand!G520</f>
        <v>0</v>
      </c>
      <c r="H520" s="3">
        <f ca="1">Customer!H520+Commodity!H520+Demand!H520</f>
        <v>0</v>
      </c>
      <c r="I520" s="3">
        <f ca="1">Customer!I520+Commodity!I520+Demand!I520</f>
        <v>0</v>
      </c>
      <c r="J520" s="3">
        <f ca="1">Customer!J520+Commodity!J520+Demand!J520</f>
        <v>0</v>
      </c>
      <c r="K520" s="3">
        <f ca="1">Customer!K520+Commodity!K520+Demand!K520</f>
        <v>0</v>
      </c>
      <c r="L520" s="3">
        <f ca="1">Customer!L520+Commodity!L520+Demand!L520</f>
        <v>0</v>
      </c>
      <c r="N520" s="3"/>
      <c r="O520" s="3"/>
      <c r="P520" s="3"/>
      <c r="Q520" s="3"/>
      <c r="R520" s="3"/>
      <c r="S520" s="3"/>
    </row>
    <row r="521" spans="1:19" ht="11.25" x14ac:dyDescent="0.2">
      <c r="A521" s="3">
        <f t="shared" si="62"/>
        <v>15</v>
      </c>
      <c r="B521" s="3" t="str">
        <f>Input!A459</f>
        <v>926</v>
      </c>
      <c r="C521" s="3" t="str">
        <f>Input!B459</f>
        <v>EMPLOYEE PENSIONS &amp; BENEFITS</v>
      </c>
      <c r="D521" s="3"/>
      <c r="E521" s="3">
        <f>Input!D459</f>
        <v>0</v>
      </c>
      <c r="F521" s="3">
        <f ca="1">Customer!F521+Commodity!F521+Demand!F521</f>
        <v>0</v>
      </c>
      <c r="G521" s="3">
        <f ca="1">Customer!G521+Commodity!G521+Demand!G521</f>
        <v>0</v>
      </c>
      <c r="H521" s="3">
        <f ca="1">Customer!H521+Commodity!H521+Demand!H521</f>
        <v>0</v>
      </c>
      <c r="I521" s="3">
        <f ca="1">Customer!I521+Commodity!I521+Demand!I521</f>
        <v>0</v>
      </c>
      <c r="J521" s="3">
        <f ca="1">Customer!J521+Commodity!J521+Demand!J521</f>
        <v>0</v>
      </c>
      <c r="K521" s="3">
        <f ca="1">Customer!K521+Commodity!K521+Demand!K521</f>
        <v>0</v>
      </c>
      <c r="L521" s="3">
        <f ca="1">Customer!L521+Commodity!L521+Demand!L521</f>
        <v>0</v>
      </c>
      <c r="N521" s="3"/>
      <c r="O521" s="3"/>
      <c r="P521" s="3"/>
      <c r="Q521" s="3"/>
      <c r="R521" s="3"/>
      <c r="S521" s="3"/>
    </row>
    <row r="522" spans="1:19" ht="11.25" x14ac:dyDescent="0.2">
      <c r="A522" s="3">
        <f t="shared" si="62"/>
        <v>16</v>
      </c>
      <c r="B522" s="3" t="str">
        <f>Input!A460</f>
        <v>928</v>
      </c>
      <c r="C522" s="3" t="str">
        <f>Input!B460</f>
        <v>REG COMMISSION EXP - GENERAL</v>
      </c>
      <c r="D522" s="3"/>
      <c r="E522" s="3">
        <f>Input!D460</f>
        <v>0</v>
      </c>
      <c r="F522" s="3">
        <f ca="1">Customer!F522+Commodity!F522+Demand!F522</f>
        <v>0</v>
      </c>
      <c r="G522" s="3">
        <f ca="1">Customer!G522+Commodity!G522+Demand!G522</f>
        <v>0</v>
      </c>
      <c r="H522" s="3">
        <f ca="1">Customer!H522+Commodity!H522+Demand!H522</f>
        <v>0</v>
      </c>
      <c r="I522" s="3">
        <f ca="1">Customer!I522+Commodity!I522+Demand!I522</f>
        <v>0</v>
      </c>
      <c r="J522" s="3">
        <f ca="1">Customer!J522+Commodity!J522+Demand!J522</f>
        <v>0</v>
      </c>
      <c r="K522" s="3">
        <f ca="1">Customer!K522+Commodity!K522+Demand!K522</f>
        <v>0</v>
      </c>
      <c r="L522" s="3">
        <f ca="1">Customer!L522+Commodity!L522+Demand!L522</f>
        <v>0</v>
      </c>
      <c r="N522" s="3"/>
      <c r="O522" s="3"/>
      <c r="P522" s="3"/>
      <c r="Q522" s="3"/>
      <c r="R522" s="3"/>
      <c r="S522" s="3"/>
    </row>
    <row r="523" spans="1:19" ht="11.25" x14ac:dyDescent="0.2">
      <c r="A523" s="3">
        <f t="shared" si="62"/>
        <v>17</v>
      </c>
      <c r="B523" s="3" t="str">
        <f>Input!A461</f>
        <v>930.10</v>
      </c>
      <c r="C523" s="3" t="str">
        <f>Input!B461</f>
        <v>MISC. - INSTITUT &amp; GOODWILL ADV</v>
      </c>
      <c r="D523" s="3"/>
      <c r="E523" s="3">
        <f>Input!D461</f>
        <v>0</v>
      </c>
      <c r="F523" s="3">
        <f ca="1">Customer!F523+Commodity!F523+Demand!F523</f>
        <v>0</v>
      </c>
      <c r="G523" s="3">
        <f ca="1">Customer!G523+Commodity!G523+Demand!G523</f>
        <v>0</v>
      </c>
      <c r="H523" s="3">
        <f ca="1">Customer!H523+Commodity!H523+Demand!H523</f>
        <v>0</v>
      </c>
      <c r="I523" s="3">
        <f ca="1">Customer!I523+Commodity!I523+Demand!I523</f>
        <v>0</v>
      </c>
      <c r="J523" s="3">
        <f ca="1">Customer!J523+Commodity!J523+Demand!J523</f>
        <v>0</v>
      </c>
      <c r="K523" s="3">
        <f ca="1">Customer!K523+Commodity!K523+Demand!K523</f>
        <v>0</v>
      </c>
      <c r="L523" s="3">
        <f ca="1">Customer!L523+Commodity!L523+Demand!L523</f>
        <v>0</v>
      </c>
      <c r="N523" s="3"/>
      <c r="O523" s="3"/>
      <c r="P523" s="3"/>
      <c r="Q523" s="3"/>
      <c r="R523" s="3"/>
      <c r="S523" s="3"/>
    </row>
    <row r="524" spans="1:19" ht="11.25" x14ac:dyDescent="0.2">
      <c r="A524" s="3">
        <f t="shared" si="62"/>
        <v>18</v>
      </c>
      <c r="B524" s="3" t="str">
        <f>Input!A462</f>
        <v>930.20</v>
      </c>
      <c r="C524" s="3" t="str">
        <f>Input!B462</f>
        <v>MISC. - GENERAL</v>
      </c>
      <c r="D524" s="3"/>
      <c r="E524" s="3">
        <f>Input!D462</f>
        <v>0</v>
      </c>
      <c r="F524" s="3">
        <f ca="1">Customer!F524+Commodity!F524+Demand!F524</f>
        <v>0</v>
      </c>
      <c r="G524" s="3">
        <f ca="1">Customer!G524+Commodity!G524+Demand!G524</f>
        <v>0</v>
      </c>
      <c r="H524" s="3">
        <f ca="1">Customer!H524+Commodity!H524+Demand!H524</f>
        <v>0</v>
      </c>
      <c r="I524" s="3">
        <f ca="1">Customer!I524+Commodity!I524+Demand!I524</f>
        <v>0</v>
      </c>
      <c r="J524" s="3">
        <f ca="1">Customer!J524+Commodity!J524+Demand!J524</f>
        <v>0</v>
      </c>
      <c r="K524" s="3">
        <f ca="1">Customer!K524+Commodity!K524+Demand!K524</f>
        <v>0</v>
      </c>
      <c r="L524" s="3">
        <f ca="1">Customer!L524+Commodity!L524+Demand!L524</f>
        <v>0</v>
      </c>
      <c r="N524" s="3"/>
      <c r="O524" s="3"/>
      <c r="P524" s="3"/>
      <c r="Q524" s="3"/>
      <c r="R524" s="3"/>
      <c r="S524" s="3"/>
    </row>
    <row r="525" spans="1:19" ht="11.25" x14ac:dyDescent="0.2">
      <c r="A525" s="3">
        <f t="shared" si="62"/>
        <v>19</v>
      </c>
      <c r="B525" s="3" t="str">
        <f>Input!A463</f>
        <v>931</v>
      </c>
      <c r="C525" s="3" t="str">
        <f>Input!B463</f>
        <v>RENTS</v>
      </c>
      <c r="D525" s="3"/>
      <c r="E525" s="3">
        <f>Input!D463</f>
        <v>0</v>
      </c>
      <c r="F525" s="3">
        <f ca="1">Customer!F525+Commodity!F525+Demand!F525</f>
        <v>0</v>
      </c>
      <c r="G525" s="3">
        <f ca="1">Customer!G525+Commodity!G525+Demand!G525</f>
        <v>0</v>
      </c>
      <c r="H525" s="3">
        <f ca="1">Customer!H525+Commodity!H525+Demand!H525</f>
        <v>0</v>
      </c>
      <c r="I525" s="3">
        <f ca="1">Customer!I525+Commodity!I525+Demand!I525</f>
        <v>0</v>
      </c>
      <c r="J525" s="3">
        <f ca="1">Customer!J525+Commodity!J525+Demand!J525</f>
        <v>0</v>
      </c>
      <c r="K525" s="3">
        <f ca="1">Customer!K525+Commodity!K525+Demand!K525</f>
        <v>0</v>
      </c>
      <c r="L525" s="3">
        <f ca="1">Customer!L525+Commodity!L525+Demand!L525</f>
        <v>0</v>
      </c>
      <c r="N525" s="3"/>
      <c r="O525" s="3"/>
      <c r="P525" s="3"/>
      <c r="Q525" s="3"/>
      <c r="R525" s="3"/>
      <c r="S525" s="3"/>
    </row>
    <row r="526" spans="1:19" ht="11.25" x14ac:dyDescent="0.2">
      <c r="A526" s="3">
        <f t="shared" si="62"/>
        <v>20</v>
      </c>
      <c r="B526" s="3" t="str">
        <f>Input!A464</f>
        <v>935.13</v>
      </c>
      <c r="C526" s="3" t="str">
        <f>Input!B464</f>
        <v>MAINT. STRUCTURES &amp; IMPROV.</v>
      </c>
      <c r="D526" s="3"/>
      <c r="E526" s="3">
        <f>Input!D464</f>
        <v>0</v>
      </c>
      <c r="F526" s="3">
        <f ca="1">Customer!F526+Commodity!F526+Demand!F526</f>
        <v>0</v>
      </c>
      <c r="G526" s="3">
        <f ca="1">Customer!G526+Commodity!G526+Demand!G526</f>
        <v>0</v>
      </c>
      <c r="H526" s="3">
        <f ca="1">Customer!H526+Commodity!H526+Demand!H526</f>
        <v>0</v>
      </c>
      <c r="I526" s="3">
        <f ca="1">Customer!I526+Commodity!I526+Demand!I526</f>
        <v>0</v>
      </c>
      <c r="J526" s="3">
        <f ca="1">Customer!J526+Commodity!J526+Demand!J526</f>
        <v>0</v>
      </c>
      <c r="K526" s="3">
        <f ca="1">Customer!K526+Commodity!K526+Demand!K526</f>
        <v>0</v>
      </c>
      <c r="L526" s="3">
        <f ca="1">Customer!L526+Commodity!L526+Demand!L526</f>
        <v>0</v>
      </c>
      <c r="N526" s="3"/>
      <c r="O526" s="3"/>
      <c r="P526" s="3"/>
      <c r="Q526" s="3"/>
      <c r="R526" s="3"/>
      <c r="S526" s="3"/>
    </row>
    <row r="527" spans="1:19" ht="11.25" x14ac:dyDescent="0.2">
      <c r="A527" s="3">
        <f t="shared" si="62"/>
        <v>21</v>
      </c>
      <c r="B527" s="3" t="str">
        <f>Input!A465</f>
        <v>935.23</v>
      </c>
      <c r="C527" s="3" t="str">
        <f>Input!B465</f>
        <v xml:space="preserve">MAINT. - GEN'L OFFICE </v>
      </c>
      <c r="D527" s="3"/>
      <c r="E527" s="3"/>
      <c r="F527" s="3"/>
      <c r="G527" s="3"/>
      <c r="H527" s="3"/>
      <c r="I527" s="3"/>
      <c r="J527" s="3"/>
      <c r="K527" s="3"/>
      <c r="L527" s="3"/>
      <c r="N527" s="3"/>
      <c r="O527" s="3"/>
      <c r="P527" s="3"/>
      <c r="Q527" s="3"/>
      <c r="R527" s="3"/>
      <c r="S527" s="3"/>
    </row>
    <row r="528" spans="1:19" ht="11.25" x14ac:dyDescent="0.2">
      <c r="A528" s="3"/>
      <c r="B528" s="3"/>
      <c r="C528" s="3" t="str">
        <f>Input!B466</f>
        <v>FURNITURE &amp; EQUIPMENT</v>
      </c>
      <c r="D528" s="3"/>
      <c r="E528" s="3">
        <f>Input!D466</f>
        <v>0</v>
      </c>
      <c r="F528" s="3">
        <f ca="1">Customer!F528+Commodity!F528+Demand!F528</f>
        <v>0</v>
      </c>
      <c r="G528" s="3">
        <f ca="1">Customer!G528+Commodity!G528+Demand!G528</f>
        <v>0</v>
      </c>
      <c r="H528" s="3">
        <f ca="1">Customer!H528+Commodity!H528+Demand!H528</f>
        <v>0</v>
      </c>
      <c r="I528" s="3">
        <f ca="1">Customer!I528+Commodity!I528+Demand!I528</f>
        <v>0</v>
      </c>
      <c r="J528" s="3">
        <f ca="1">Customer!J528+Commodity!J528+Demand!J528</f>
        <v>0</v>
      </c>
      <c r="K528" s="3">
        <f ca="1">Customer!K528+Commodity!K528+Demand!K528</f>
        <v>0</v>
      </c>
      <c r="L528" s="3">
        <f ca="1">Customer!L528+Commodity!L528+Demand!L528</f>
        <v>0</v>
      </c>
      <c r="N528" s="3"/>
      <c r="O528" s="3"/>
      <c r="P528" s="3"/>
      <c r="Q528" s="3"/>
      <c r="R528" s="3"/>
      <c r="S528" s="3"/>
    </row>
    <row r="529" spans="1:19" ht="11.25" x14ac:dyDescent="0.2">
      <c r="A529" s="3">
        <f>A527+1</f>
        <v>22</v>
      </c>
      <c r="B529" s="3">
        <f>Input!A467</f>
        <v>932</v>
      </c>
      <c r="C529" s="3" t="str">
        <f>Input!B467</f>
        <v>MAINT.-MISCELLANEOUS</v>
      </c>
      <c r="D529" s="3"/>
      <c r="E529" s="26">
        <f>Input!D467</f>
        <v>0</v>
      </c>
      <c r="F529" s="26">
        <f ca="1">Customer!F529+Commodity!F529+Demand!F529</f>
        <v>0</v>
      </c>
      <c r="G529" s="26">
        <f ca="1">Customer!G529+Commodity!G529+Demand!G529</f>
        <v>0</v>
      </c>
      <c r="H529" s="26">
        <f ca="1">Customer!H529+Commodity!H529+Demand!H529</f>
        <v>0</v>
      </c>
      <c r="I529" s="26">
        <f ca="1">Customer!I529+Commodity!I529+Demand!I529</f>
        <v>0</v>
      </c>
      <c r="J529" s="26">
        <f ca="1">Customer!J529+Commodity!J529+Demand!J529</f>
        <v>0</v>
      </c>
      <c r="K529" s="26">
        <f ca="1">Customer!K529+Commodity!K529+Demand!K529</f>
        <v>0</v>
      </c>
      <c r="L529" s="26">
        <f ca="1">Customer!L529+Commodity!L529+Demand!L529</f>
        <v>0</v>
      </c>
      <c r="N529" s="3"/>
      <c r="O529" s="3"/>
      <c r="P529" s="3"/>
      <c r="Q529" s="3"/>
      <c r="R529" s="3"/>
      <c r="S529" s="3"/>
    </row>
    <row r="530" spans="1:19" ht="11.25" x14ac:dyDescent="0.2">
      <c r="A530" s="3">
        <f>A529+1</f>
        <v>23</v>
      </c>
      <c r="B530" s="3"/>
      <c r="C530" s="3" t="s">
        <v>317</v>
      </c>
      <c r="D530" s="3"/>
      <c r="E530" s="26">
        <f t="shared" ref="E530:L530" si="63">SUM(E515:E529)</f>
        <v>1602620.44</v>
      </c>
      <c r="F530" s="26">
        <f t="shared" ca="1" si="63"/>
        <v>1031974</v>
      </c>
      <c r="G530" s="26">
        <f t="shared" ca="1" si="63"/>
        <v>368436</v>
      </c>
      <c r="H530" s="26">
        <f t="shared" ca="1" si="63"/>
        <v>399</v>
      </c>
      <c r="I530" s="26">
        <f t="shared" ca="1" si="63"/>
        <v>2751</v>
      </c>
      <c r="J530" s="26">
        <f t="shared" ca="1" si="63"/>
        <v>199061</v>
      </c>
      <c r="K530" s="26">
        <f t="shared" ca="1" si="63"/>
        <v>0</v>
      </c>
      <c r="L530" s="26">
        <f t="shared" ca="1" si="63"/>
        <v>0</v>
      </c>
      <c r="N530" s="3"/>
      <c r="O530" s="3"/>
      <c r="P530" s="3"/>
      <c r="Q530" s="3"/>
      <c r="R530" s="3"/>
      <c r="S530" s="3"/>
    </row>
    <row r="531" spans="1:19" ht="11.2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N531" s="3"/>
      <c r="O531" s="3"/>
      <c r="P531" s="3"/>
      <c r="Q531" s="3"/>
      <c r="R531" s="3"/>
      <c r="S531" s="3"/>
    </row>
    <row r="532" spans="1:19" ht="11.25" x14ac:dyDescent="0.2">
      <c r="A532" s="3">
        <f>A530+1</f>
        <v>24</v>
      </c>
      <c r="B532" s="3"/>
      <c r="C532" s="3" t="s">
        <v>318</v>
      </c>
      <c r="D532" s="3"/>
      <c r="E532" s="3">
        <f>'Total Co'!E408+'Total Co'!E416+'Total Co'!E418+'Total Co'!E428+E511+E530</f>
        <v>9358726.4399999995</v>
      </c>
      <c r="F532" s="3">
        <f ca="1">'Total Co'!F408+'Total Co'!F416+'Total Co'!F418+'Total Co'!F428+F511+F530</f>
        <v>6026355</v>
      </c>
      <c r="G532" s="3">
        <f ca="1">'Total Co'!G408+'Total Co'!G416+'Total Co'!G418+'Total Co'!G428+G511+G530</f>
        <v>2151543</v>
      </c>
      <c r="H532" s="3">
        <f ca="1">'Total Co'!H408+'Total Co'!H416+'Total Co'!H418+'Total Co'!H428+H511+H530</f>
        <v>2320</v>
      </c>
      <c r="I532" s="3">
        <f ca="1">'Total Co'!I408+'Total Co'!I416+'Total Co'!I418+'Total Co'!I428+I511+I530</f>
        <v>16081</v>
      </c>
      <c r="J532" s="3">
        <f ca="1">'Total Co'!J408+'Total Co'!J416+'Total Co'!J418+'Total Co'!J428+J511+J530</f>
        <v>1162423</v>
      </c>
      <c r="K532" s="3">
        <f ca="1">'Total Co'!K408+'Total Co'!K416+'Total Co'!K418+'Total Co'!K428+K511+K530</f>
        <v>0</v>
      </c>
      <c r="L532" s="3">
        <f ca="1">'Total Co'!L408+'Total Co'!L416+'Total Co'!L418+'Total Co'!L428+L511+L530</f>
        <v>0</v>
      </c>
      <c r="N532" s="3"/>
      <c r="O532" s="3"/>
      <c r="P532" s="3"/>
      <c r="Q532" s="3"/>
      <c r="R532" s="3"/>
      <c r="S532" s="3"/>
    </row>
    <row r="533" spans="1:19" ht="11.25" x14ac:dyDescent="0.2">
      <c r="A533" s="3" t="s">
        <v>810</v>
      </c>
      <c r="B533" s="3"/>
      <c r="C533" s="3"/>
      <c r="D533" s="3"/>
      <c r="E533" s="3"/>
      <c r="F533" s="325" t="str">
        <f>""&amp;+Input!$B$1</f>
        <v>COLUMBIA GAS OF KENTUCKY, INC.</v>
      </c>
      <c r="H533" s="3"/>
      <c r="I533" s="3"/>
      <c r="J533" s="3"/>
      <c r="K533" s="3"/>
      <c r="L533" s="32" t="str">
        <f>Input!$B$2</f>
        <v>ATTACHMENT CEN-2</v>
      </c>
      <c r="N533" s="3"/>
      <c r="O533" s="3"/>
      <c r="P533" s="3"/>
      <c r="Q533" s="3"/>
      <c r="R533" s="3"/>
      <c r="S533" s="3"/>
    </row>
    <row r="534" spans="1:19" ht="11.25" x14ac:dyDescent="0.2">
      <c r="A534" s="3" t="str">
        <f>Input!$B$7</f>
        <v>DEMAND-COMMODITY</v>
      </c>
      <c r="B534" s="3"/>
      <c r="C534" s="3"/>
      <c r="D534" s="3"/>
      <c r="E534" s="3"/>
      <c r="F534" s="325" t="s">
        <v>569</v>
      </c>
      <c r="H534" s="3"/>
      <c r="I534" s="3"/>
      <c r="J534" s="3"/>
      <c r="K534" s="3"/>
      <c r="L534" s="32" t="str">
        <f>"PAGE 16 OF "&amp;FIXED(Input!$B$8,0,TRUE)</f>
        <v>PAGE 16 OF 129</v>
      </c>
      <c r="N534" s="3"/>
      <c r="O534" s="3"/>
      <c r="P534" s="3"/>
      <c r="Q534" s="3"/>
      <c r="R534" s="3"/>
      <c r="S534" s="3"/>
    </row>
    <row r="535" spans="1:19" ht="11.25" x14ac:dyDescent="0.2">
      <c r="A535" s="17" t="str">
        <f>Input!$B$6</f>
        <v>FORECASTED TEST YEAR - ORIGINAL FILING</v>
      </c>
      <c r="B535" s="17"/>
      <c r="C535" s="17"/>
      <c r="D535" s="18"/>
      <c r="E535" s="17"/>
      <c r="F535" s="19" t="str">
        <f>"FOR THE TWELVE MONTHS ENDED "&amp;Input!$B$4</f>
        <v>FOR THE TWELVE MONTHS ENDED 12/31/2017</v>
      </c>
      <c r="G535" s="329"/>
      <c r="H535" s="17"/>
      <c r="I535" s="17"/>
      <c r="J535" s="17"/>
      <c r="K535" s="17"/>
      <c r="L535" s="183" t="str">
        <f>"WITNESS: "&amp;Input!$B$5</f>
        <v>WITNESS: C. NOTESTONE</v>
      </c>
      <c r="N535" s="3"/>
      <c r="O535" s="3"/>
      <c r="P535" s="3"/>
      <c r="Q535" s="3"/>
      <c r="R535" s="3"/>
      <c r="S535" s="3"/>
    </row>
    <row r="536" spans="1:19" ht="11.25" x14ac:dyDescent="0.2">
      <c r="A536" s="325" t="s">
        <v>5</v>
      </c>
      <c r="B536" s="3" t="s">
        <v>6</v>
      </c>
      <c r="C536" s="3"/>
      <c r="D536" s="325" t="s">
        <v>7</v>
      </c>
      <c r="E536" s="325" t="s">
        <v>8</v>
      </c>
      <c r="F536" s="3"/>
      <c r="G536" s="3"/>
      <c r="H536" s="3"/>
      <c r="I536" s="3"/>
      <c r="J536" s="3"/>
      <c r="K536" s="3"/>
      <c r="L536" s="3"/>
      <c r="N536" s="3"/>
      <c r="O536" s="3"/>
      <c r="P536" s="3"/>
      <c r="Q536" s="3"/>
      <c r="R536" s="3"/>
      <c r="S536" s="3"/>
    </row>
    <row r="537" spans="1:19" ht="11.25" x14ac:dyDescent="0.2">
      <c r="A537" s="341" t="s">
        <v>9</v>
      </c>
      <c r="B537" s="341" t="s">
        <v>9</v>
      </c>
      <c r="C537" s="34" t="str">
        <f>'Total Co'!C128</f>
        <v xml:space="preserve"> ACCOUNT TITLE</v>
      </c>
      <c r="D537" s="26" t="s">
        <v>10</v>
      </c>
      <c r="E537" s="341" t="s">
        <v>11</v>
      </c>
      <c r="F537" s="341" t="str">
        <f>"  "&amp;+Input!$C$12</f>
        <v xml:space="preserve">  GS-RESIDENTIAL</v>
      </c>
      <c r="G537" s="341" t="str">
        <f>Input!$C$13</f>
        <v>GS-OTHER</v>
      </c>
      <c r="H537" s="341" t="str">
        <f>Input!$C$14</f>
        <v>IUS</v>
      </c>
      <c r="I537" s="341" t="str">
        <f>Input!$C$15</f>
        <v>DS-ML</v>
      </c>
      <c r="J537" s="341" t="str">
        <f>Input!$C$16</f>
        <v>DS/IS</v>
      </c>
      <c r="K537" s="341" t="str">
        <f>Input!$C$17</f>
        <v>NOT USED</v>
      </c>
      <c r="L537" s="341" t="str">
        <f>Input!$C$18</f>
        <v>NOT USED</v>
      </c>
      <c r="N537" s="3"/>
      <c r="O537" s="3"/>
      <c r="P537" s="3"/>
      <c r="Q537" s="3"/>
      <c r="R537" s="3"/>
      <c r="S537" s="3"/>
    </row>
    <row r="538" spans="1:19" ht="11.25" x14ac:dyDescent="0.2">
      <c r="A538" s="3"/>
      <c r="B538" s="342" t="s">
        <v>13</v>
      </c>
      <c r="C538" s="342" t="s">
        <v>14</v>
      </c>
      <c r="D538" s="325" t="s">
        <v>15</v>
      </c>
      <c r="E538" s="325" t="s">
        <v>16</v>
      </c>
      <c r="F538" s="325" t="s">
        <v>17</v>
      </c>
      <c r="G538" s="325" t="s">
        <v>18</v>
      </c>
      <c r="H538" s="325" t="s">
        <v>19</v>
      </c>
      <c r="I538" s="325" t="s">
        <v>20</v>
      </c>
      <c r="J538" s="325" t="s">
        <v>21</v>
      </c>
      <c r="K538" s="325" t="s">
        <v>22</v>
      </c>
      <c r="L538" s="325" t="s">
        <v>23</v>
      </c>
      <c r="N538" s="3"/>
      <c r="O538" s="3"/>
      <c r="P538" s="3"/>
      <c r="Q538" s="3"/>
      <c r="R538" s="3"/>
      <c r="S538" s="3"/>
    </row>
    <row r="539" spans="1:19" ht="11.25" x14ac:dyDescent="0.2">
      <c r="A539" s="3"/>
      <c r="B539" s="3"/>
      <c r="C539" s="3"/>
      <c r="D539" s="3"/>
      <c r="E539" s="325" t="s">
        <v>26</v>
      </c>
      <c r="F539" s="325" t="s">
        <v>26</v>
      </c>
      <c r="G539" s="325" t="s">
        <v>26</v>
      </c>
      <c r="H539" s="325" t="s">
        <v>26</v>
      </c>
      <c r="I539" s="325" t="s">
        <v>26</v>
      </c>
      <c r="J539" s="325" t="s">
        <v>26</v>
      </c>
      <c r="K539" s="325" t="s">
        <v>26</v>
      </c>
      <c r="L539" s="325" t="s">
        <v>26</v>
      </c>
      <c r="N539" s="3"/>
      <c r="O539" s="3"/>
      <c r="P539" s="3"/>
      <c r="Q539" s="3"/>
      <c r="R539" s="3"/>
      <c r="S539" s="3"/>
    </row>
    <row r="540" spans="1:19" ht="11.25" x14ac:dyDescent="0.2">
      <c r="A540" s="3">
        <v>1</v>
      </c>
      <c r="B540" s="3"/>
      <c r="C540" s="3" t="str">
        <f>Input!A393</f>
        <v>DISTRIBUTION EXPENSES</v>
      </c>
      <c r="D540" s="3"/>
      <c r="E540" s="3"/>
      <c r="F540" s="3"/>
      <c r="G540" s="3"/>
      <c r="H540" s="3"/>
      <c r="I540" s="3"/>
      <c r="J540" s="3"/>
      <c r="K540" s="3"/>
      <c r="L540" s="3"/>
      <c r="N540" s="3"/>
      <c r="O540" s="3"/>
      <c r="P540" s="3"/>
      <c r="Q540" s="3"/>
      <c r="R540" s="3"/>
      <c r="S540" s="3"/>
    </row>
    <row r="541" spans="1:19" ht="11.2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N541" s="3"/>
      <c r="O541" s="3"/>
      <c r="P541" s="3"/>
      <c r="Q541" s="3"/>
      <c r="R541" s="3"/>
      <c r="S541" s="3"/>
    </row>
    <row r="542" spans="1:19" ht="11.25" x14ac:dyDescent="0.2">
      <c r="A542" s="3">
        <f>A540+1</f>
        <v>2</v>
      </c>
      <c r="B542" s="3" t="str">
        <f>Input!A396</f>
        <v>870</v>
      </c>
      <c r="C542" s="3" t="str">
        <f>Input!B396</f>
        <v>SUPERVISION &amp; ENGINEERING</v>
      </c>
      <c r="D542" s="3"/>
      <c r="E542" s="1">
        <f>Input!D396-'Total Co'!E443</f>
        <v>783470</v>
      </c>
      <c r="F542" s="3">
        <f ca="1">Customer!F542+Commodity!F542+Demand!F542</f>
        <v>428192</v>
      </c>
      <c r="G542" s="3">
        <f ca="1">Customer!G542+Commodity!G542+Demand!G542</f>
        <v>180130</v>
      </c>
      <c r="H542" s="3">
        <f ca="1">Customer!H542+Commodity!H542+Demand!H542</f>
        <v>295</v>
      </c>
      <c r="I542" s="3">
        <f ca="1">Customer!I542+Commodity!I542+Demand!I542</f>
        <v>1401</v>
      </c>
      <c r="J542" s="3">
        <f ca="1">Customer!J542+Commodity!J542+Demand!J542</f>
        <v>173451</v>
      </c>
      <c r="K542" s="3">
        <f ca="1">Customer!K542+Commodity!K542+Demand!K542</f>
        <v>0</v>
      </c>
      <c r="L542" s="3">
        <f ca="1">Customer!L542+Commodity!L542+Demand!L542</f>
        <v>0</v>
      </c>
      <c r="N542" s="3"/>
      <c r="O542" s="3"/>
      <c r="P542" s="3"/>
      <c r="Q542" s="3"/>
      <c r="R542" s="3"/>
      <c r="S542" s="3"/>
    </row>
    <row r="543" spans="1:19" ht="11.25" x14ac:dyDescent="0.2">
      <c r="A543" s="3">
        <f t="shared" ref="A543:A551" si="64">A542+1</f>
        <v>3</v>
      </c>
      <c r="B543" s="3" t="str">
        <f>Input!A397</f>
        <v>871</v>
      </c>
      <c r="C543" s="3" t="str">
        <f>Input!B397</f>
        <v>DISTRIBUTION LOAD DISPATCH</v>
      </c>
      <c r="D543" s="3"/>
      <c r="E543" s="1">
        <f>Input!D397-'Total Co'!E444</f>
        <v>17885</v>
      </c>
      <c r="F543" s="3">
        <f>Customer!F543+Commodity!F543+Demand!F543</f>
        <v>5977</v>
      </c>
      <c r="G543" s="3">
        <f>Customer!G543+Commodity!G543+Demand!G543</f>
        <v>4319</v>
      </c>
      <c r="H543" s="3">
        <f>Customer!H543+Commodity!H543+Demand!H543</f>
        <v>9</v>
      </c>
      <c r="I543" s="3">
        <f>Customer!I543+Commodity!I543+Demand!I543</f>
        <v>0</v>
      </c>
      <c r="J543" s="3">
        <f>Customer!J543+Commodity!J543+Demand!J543</f>
        <v>7580</v>
      </c>
      <c r="K543" s="3">
        <f>Customer!K543+Commodity!K543+Demand!K543</f>
        <v>0</v>
      </c>
      <c r="L543" s="3">
        <f>Customer!L543+Commodity!L543+Demand!L543</f>
        <v>0</v>
      </c>
      <c r="N543" s="3"/>
      <c r="O543" s="3"/>
      <c r="P543" s="3"/>
      <c r="Q543" s="3"/>
      <c r="R543" s="3"/>
      <c r="S543" s="3"/>
    </row>
    <row r="544" spans="1:19" ht="11.25" x14ac:dyDescent="0.2">
      <c r="A544" s="3">
        <f t="shared" si="64"/>
        <v>4</v>
      </c>
      <c r="B544" s="3" t="str">
        <f>Input!A398</f>
        <v>874</v>
      </c>
      <c r="C544" s="3" t="str">
        <f>Input!B398</f>
        <v>MAINS &amp; SERVICES</v>
      </c>
      <c r="D544" s="3"/>
      <c r="E544" s="1">
        <f>Input!D398-'Total Co'!E445</f>
        <v>4797660</v>
      </c>
      <c r="F544" s="3">
        <f ca="1">Customer!F544+Commodity!F544+Demand!F544</f>
        <v>2733696</v>
      </c>
      <c r="G544" s="3">
        <f ca="1">Customer!G544+Commodity!G544+Demand!G544</f>
        <v>1003829</v>
      </c>
      <c r="H544" s="3">
        <f ca="1">Customer!H544+Commodity!H544+Demand!H544</f>
        <v>1754</v>
      </c>
      <c r="I544" s="3">
        <f ca="1">Customer!I544+Commodity!I544+Demand!I544</f>
        <v>152</v>
      </c>
      <c r="J544" s="3">
        <f ca="1">Customer!J544+Commodity!J544+Demand!J544</f>
        <v>1058229</v>
      </c>
      <c r="K544" s="3">
        <f ca="1">Customer!K544+Commodity!K544+Demand!K544</f>
        <v>0</v>
      </c>
      <c r="L544" s="3">
        <f ca="1">Customer!L544+Commodity!L544+Demand!L544</f>
        <v>0</v>
      </c>
      <c r="N544" s="3"/>
      <c r="O544" s="3"/>
      <c r="P544" s="3"/>
      <c r="Q544" s="3"/>
      <c r="R544" s="3"/>
      <c r="S544" s="3"/>
    </row>
    <row r="545" spans="1:19" ht="11.25" x14ac:dyDescent="0.2">
      <c r="A545" s="3">
        <f t="shared" si="64"/>
        <v>5</v>
      </c>
      <c r="B545" s="3" t="str">
        <f>Input!A399</f>
        <v>875</v>
      </c>
      <c r="C545" s="3" t="str">
        <f>Input!B399</f>
        <v>M &amp; R - GENERAL</v>
      </c>
      <c r="D545" s="3"/>
      <c r="E545" s="1">
        <f>Input!D399-'Total Co'!E446</f>
        <v>118379.09999999998</v>
      </c>
      <c r="F545" s="3">
        <f>Customer!F545+Commodity!F545+Demand!F545</f>
        <v>46146</v>
      </c>
      <c r="G545" s="3">
        <f>Customer!G545+Commodity!G545+Demand!G545</f>
        <v>31250</v>
      </c>
      <c r="H545" s="3">
        <f>Customer!H545+Commodity!H545+Demand!H545</f>
        <v>68</v>
      </c>
      <c r="I545" s="3">
        <f>Customer!I545+Commodity!I545+Demand!I545</f>
        <v>6</v>
      </c>
      <c r="J545" s="3">
        <f>Customer!J545+Commodity!J545+Demand!J545</f>
        <v>40910</v>
      </c>
      <c r="K545" s="3">
        <f>Customer!K545+Commodity!K545+Demand!K545</f>
        <v>0</v>
      </c>
      <c r="L545" s="3">
        <f>Customer!L545+Commodity!L545+Demand!L545</f>
        <v>0</v>
      </c>
      <c r="N545" s="3"/>
      <c r="O545" s="3"/>
      <c r="P545" s="3"/>
      <c r="Q545" s="3"/>
      <c r="R545" s="3"/>
      <c r="S545" s="3"/>
    </row>
    <row r="546" spans="1:19" ht="11.25" x14ac:dyDescent="0.2">
      <c r="A546" s="3">
        <f t="shared" si="64"/>
        <v>6</v>
      </c>
      <c r="B546" s="3" t="str">
        <f>Input!A400</f>
        <v>876</v>
      </c>
      <c r="C546" s="3" t="str">
        <f>Input!B400</f>
        <v>M &amp; R - INDUSTRIAL</v>
      </c>
      <c r="D546" s="3"/>
      <c r="E546" s="1">
        <f>Input!D400-'Total Co'!E447</f>
        <v>29602</v>
      </c>
      <c r="F546" s="3">
        <f>Customer!F546+Commodity!F546+Demand!F546</f>
        <v>0</v>
      </c>
      <c r="G546" s="3">
        <f>Customer!G546+Commodity!G546+Demand!G546</f>
        <v>6146</v>
      </c>
      <c r="H546" s="3">
        <f>Customer!H546+Commodity!H546+Demand!H546</f>
        <v>7</v>
      </c>
      <c r="I546" s="3">
        <f>Customer!I546+Commodity!I546+Demand!I546</f>
        <v>5944</v>
      </c>
      <c r="J546" s="3">
        <f>Customer!J546+Commodity!J546+Demand!J546</f>
        <v>17505</v>
      </c>
      <c r="K546" s="3">
        <f>Customer!K546+Commodity!K546+Demand!K546</f>
        <v>0</v>
      </c>
      <c r="L546" s="3">
        <f>Customer!L546+Commodity!L546+Demand!L546</f>
        <v>0</v>
      </c>
      <c r="N546" s="3"/>
      <c r="O546" s="3"/>
      <c r="P546" s="3"/>
      <c r="Q546" s="3"/>
      <c r="R546" s="3"/>
      <c r="S546" s="3"/>
    </row>
    <row r="547" spans="1:19" ht="11.25" x14ac:dyDescent="0.2">
      <c r="A547" s="3">
        <f t="shared" si="64"/>
        <v>7</v>
      </c>
      <c r="B547" s="3" t="str">
        <f>Input!A401</f>
        <v>878</v>
      </c>
      <c r="C547" s="3" t="str">
        <f>Input!B401</f>
        <v>METERS &amp; HOUSE REGULATORS</v>
      </c>
      <c r="D547" s="3"/>
      <c r="E547" s="1">
        <f>Input!D401-'Total Co'!E448</f>
        <v>485057.0299999998</v>
      </c>
      <c r="F547" s="3">
        <f>Customer!F547+Commodity!F547+Demand!F547</f>
        <v>348960</v>
      </c>
      <c r="G547" s="3">
        <f>Customer!G547+Commodity!G547+Demand!G547</f>
        <v>133934</v>
      </c>
      <c r="H547" s="3">
        <f>Customer!H547+Commodity!H547+Demand!H547</f>
        <v>63</v>
      </c>
      <c r="I547" s="3">
        <f>Customer!I547+Commodity!I547+Demand!I547</f>
        <v>0</v>
      </c>
      <c r="J547" s="3">
        <f>Customer!J547+Commodity!J547+Demand!J547</f>
        <v>2100</v>
      </c>
      <c r="K547" s="3">
        <f>Customer!K547+Commodity!K547+Demand!K547</f>
        <v>0</v>
      </c>
      <c r="L547" s="3">
        <f>Customer!L547+Commodity!L547+Demand!L547</f>
        <v>0</v>
      </c>
      <c r="N547" s="3"/>
      <c r="O547" s="3"/>
      <c r="P547" s="3"/>
      <c r="Q547" s="3"/>
      <c r="R547" s="3"/>
      <c r="S547" s="3"/>
    </row>
    <row r="548" spans="1:19" ht="11.25" x14ac:dyDescent="0.2">
      <c r="A548" s="3">
        <f t="shared" si="64"/>
        <v>8</v>
      </c>
      <c r="B548" s="3" t="str">
        <f>Input!A402</f>
        <v>879</v>
      </c>
      <c r="C548" s="3" t="str">
        <f>Input!B402</f>
        <v xml:space="preserve">CUSTOMER INSTALLATION </v>
      </c>
      <c r="D548" s="3"/>
      <c r="E548" s="1">
        <f>Input!D402-'Total Co'!E449</f>
        <v>655940.9700000002</v>
      </c>
      <c r="F548" s="3">
        <f>Customer!F548+Commodity!F548+Demand!F548</f>
        <v>471897</v>
      </c>
      <c r="G548" s="3">
        <f>Customer!G548+Commodity!G548+Demand!G548</f>
        <v>181118</v>
      </c>
      <c r="H548" s="3">
        <f>Customer!H548+Commodity!H548+Demand!H548</f>
        <v>85</v>
      </c>
      <c r="I548" s="3">
        <f>Customer!I548+Commodity!I548+Demand!I548</f>
        <v>0</v>
      </c>
      <c r="J548" s="3">
        <f>Customer!J548+Commodity!J548+Demand!J548</f>
        <v>2840</v>
      </c>
      <c r="K548" s="3">
        <f>Customer!K548+Commodity!K548+Demand!K548</f>
        <v>0</v>
      </c>
      <c r="L548" s="3">
        <f>Customer!L548+Commodity!L548+Demand!L548</f>
        <v>0</v>
      </c>
      <c r="N548" s="3"/>
      <c r="O548" s="3"/>
      <c r="P548" s="3"/>
      <c r="Q548" s="3"/>
      <c r="R548" s="3"/>
      <c r="S548" s="3"/>
    </row>
    <row r="549" spans="1:19" ht="11.25" x14ac:dyDescent="0.2">
      <c r="A549" s="3">
        <f t="shared" si="64"/>
        <v>9</v>
      </c>
      <c r="B549" s="3" t="str">
        <f>Input!A403</f>
        <v>880</v>
      </c>
      <c r="C549" s="3" t="str">
        <f>Input!B403</f>
        <v>OTHER</v>
      </c>
      <c r="D549" s="3"/>
      <c r="E549" s="1">
        <f>Input!D403-'Total Co'!E450</f>
        <v>1211487</v>
      </c>
      <c r="F549" s="3">
        <f ca="1">Customer!F549+Commodity!F549+Demand!F549</f>
        <v>662118</v>
      </c>
      <c r="G549" s="3">
        <f ca="1">Customer!G549+Commodity!G549+Demand!G549</f>
        <v>278536</v>
      </c>
      <c r="H549" s="3">
        <f ca="1">Customer!H549+Commodity!H549+Demand!H549</f>
        <v>457</v>
      </c>
      <c r="I549" s="3">
        <f ca="1">Customer!I549+Commodity!I549+Demand!I549</f>
        <v>2168</v>
      </c>
      <c r="J549" s="3">
        <f ca="1">Customer!J549+Commodity!J549+Demand!J549</f>
        <v>268209</v>
      </c>
      <c r="K549" s="3">
        <f ca="1">Customer!K549+Commodity!K549+Demand!K549</f>
        <v>0</v>
      </c>
      <c r="L549" s="3">
        <f ca="1">Customer!L549+Commodity!L549+Demand!L549</f>
        <v>0</v>
      </c>
      <c r="N549" s="3"/>
      <c r="O549" s="3"/>
      <c r="P549" s="3"/>
      <c r="Q549" s="3"/>
      <c r="R549" s="3"/>
      <c r="S549" s="3"/>
    </row>
    <row r="550" spans="1:19" ht="11.25" x14ac:dyDescent="0.2">
      <c r="A550" s="3">
        <f t="shared" si="64"/>
        <v>10</v>
      </c>
      <c r="B550" s="3" t="str">
        <f>Input!A404</f>
        <v>881</v>
      </c>
      <c r="C550" s="3" t="str">
        <f>Input!B404</f>
        <v>RENTS</v>
      </c>
      <c r="D550" s="3"/>
      <c r="E550" s="116">
        <f>Input!D404-'Total Co'!E451</f>
        <v>82157</v>
      </c>
      <c r="F550" s="26">
        <f ca="1">Customer!F550+Commodity!F550+Demand!F550</f>
        <v>44901</v>
      </c>
      <c r="G550" s="26">
        <f ca="1">Customer!G550+Commodity!G550+Demand!G550</f>
        <v>18889</v>
      </c>
      <c r="H550" s="26">
        <f ca="1">Customer!H550+Commodity!H550+Demand!H550</f>
        <v>31</v>
      </c>
      <c r="I550" s="26">
        <f ca="1">Customer!I550+Commodity!I550+Demand!I550</f>
        <v>146</v>
      </c>
      <c r="J550" s="26">
        <f ca="1">Customer!J550+Commodity!J550+Demand!J550</f>
        <v>18189</v>
      </c>
      <c r="K550" s="26">
        <f ca="1">Customer!K550+Commodity!K550+Demand!K550</f>
        <v>0</v>
      </c>
      <c r="L550" s="26">
        <f ca="1">Customer!L550+Commodity!L550+Demand!L550</f>
        <v>0</v>
      </c>
      <c r="N550" s="3"/>
      <c r="O550" s="3"/>
      <c r="P550" s="3"/>
      <c r="Q550" s="3"/>
      <c r="R550" s="3"/>
      <c r="S550" s="3"/>
    </row>
    <row r="551" spans="1:19" ht="11.25" x14ac:dyDescent="0.2">
      <c r="A551" s="3">
        <f t="shared" si="64"/>
        <v>11</v>
      </c>
      <c r="B551" s="3"/>
      <c r="C551" s="3" t="s">
        <v>271</v>
      </c>
      <c r="D551" s="3"/>
      <c r="E551" s="1">
        <f t="shared" ref="E551:L551" si="65">SUM(E542:E550)</f>
        <v>8181638.0999999996</v>
      </c>
      <c r="F551" s="3">
        <f t="shared" ca="1" si="65"/>
        <v>4741887</v>
      </c>
      <c r="G551" s="3">
        <f t="shared" ca="1" si="65"/>
        <v>1838151</v>
      </c>
      <c r="H551" s="3">
        <f t="shared" ca="1" si="65"/>
        <v>2769</v>
      </c>
      <c r="I551" s="3">
        <f t="shared" ca="1" si="65"/>
        <v>9817</v>
      </c>
      <c r="J551" s="3">
        <f t="shared" ca="1" si="65"/>
        <v>1589013</v>
      </c>
      <c r="K551" s="3">
        <f t="shared" ca="1" si="65"/>
        <v>0</v>
      </c>
      <c r="L551" s="3">
        <f t="shared" ca="1" si="65"/>
        <v>0</v>
      </c>
      <c r="N551" s="3"/>
      <c r="O551" s="3"/>
      <c r="P551" s="3"/>
      <c r="Q551" s="3"/>
      <c r="R551" s="3"/>
      <c r="S551" s="3"/>
    </row>
    <row r="552" spans="1:19" ht="11.25" x14ac:dyDescent="0.2">
      <c r="A552" s="3"/>
      <c r="B552" s="3"/>
      <c r="C552" s="3"/>
      <c r="D552" s="3"/>
      <c r="E552" s="1"/>
      <c r="F552" s="3"/>
      <c r="G552" s="3"/>
      <c r="H552" s="3"/>
      <c r="I552" s="3"/>
      <c r="J552" s="3"/>
      <c r="K552" s="3"/>
      <c r="L552" s="3"/>
      <c r="N552" s="3"/>
      <c r="O552" s="3"/>
      <c r="P552" s="3"/>
      <c r="Q552" s="3"/>
      <c r="R552" s="3"/>
      <c r="S552" s="3"/>
    </row>
    <row r="553" spans="1:19" ht="11.25" x14ac:dyDescent="0.2">
      <c r="A553" s="3">
        <f>A551+1</f>
        <v>12</v>
      </c>
      <c r="B553" s="3"/>
      <c r="C553" s="3" t="str">
        <f>Input!A405</f>
        <v>MAINTENANCE</v>
      </c>
      <c r="D553" s="3"/>
      <c r="E553" s="1"/>
      <c r="F553" s="3"/>
      <c r="G553" s="3"/>
      <c r="H553" s="3"/>
      <c r="I553" s="3"/>
      <c r="J553" s="3"/>
      <c r="K553" s="3"/>
      <c r="L553" s="3"/>
      <c r="N553" s="3"/>
      <c r="O553" s="3"/>
      <c r="P553" s="3"/>
      <c r="Q553" s="3"/>
      <c r="R553" s="3"/>
      <c r="S553" s="3"/>
    </row>
    <row r="554" spans="1:19" ht="11.25" x14ac:dyDescent="0.2">
      <c r="A554" s="3"/>
      <c r="B554" s="3"/>
      <c r="C554" s="3"/>
      <c r="D554" s="3"/>
      <c r="E554" s="1"/>
      <c r="F554" s="3"/>
      <c r="G554" s="3"/>
      <c r="H554" s="3"/>
      <c r="I554" s="3"/>
      <c r="J554" s="3"/>
      <c r="K554" s="3"/>
      <c r="L554" s="3"/>
      <c r="N554" s="3"/>
      <c r="O554" s="3"/>
      <c r="P554" s="3"/>
      <c r="Q554" s="3"/>
      <c r="R554" s="3"/>
      <c r="S554" s="3"/>
    </row>
    <row r="555" spans="1:19" ht="11.25" x14ac:dyDescent="0.2">
      <c r="A555" s="3">
        <f>A553+1</f>
        <v>13</v>
      </c>
      <c r="B555" s="3" t="str">
        <f>Input!A406</f>
        <v>885</v>
      </c>
      <c r="C555" s="3" t="str">
        <f>Input!B406</f>
        <v>SUPERVISION &amp; ENGINEERING</v>
      </c>
      <c r="D555" s="3"/>
      <c r="E555" s="1">
        <f>Input!D406-'Total Co'!E456</f>
        <v>2570.9999999999982</v>
      </c>
      <c r="F555" s="3">
        <f ca="1">Customer!F555+Commodity!F555+Demand!F555</f>
        <v>1405</v>
      </c>
      <c r="G555" s="3">
        <f ca="1">Customer!G555+Commodity!G555+Demand!G555</f>
        <v>591</v>
      </c>
      <c r="H555" s="3">
        <f ca="1">Customer!H555+Commodity!H555+Demand!H555</f>
        <v>0</v>
      </c>
      <c r="I555" s="3">
        <f ca="1">Customer!I555+Commodity!I555+Demand!I555</f>
        <v>5</v>
      </c>
      <c r="J555" s="3">
        <f ca="1">Customer!J555+Commodity!J555+Demand!J555</f>
        <v>569</v>
      </c>
      <c r="K555" s="3">
        <f ca="1">Customer!K555+Commodity!K555+Demand!K555</f>
        <v>0</v>
      </c>
      <c r="L555" s="3">
        <f ca="1">Customer!L555+Commodity!L555+Demand!L555</f>
        <v>0</v>
      </c>
      <c r="N555" s="3"/>
      <c r="O555" s="3"/>
      <c r="P555" s="3"/>
      <c r="Q555" s="3"/>
      <c r="R555" s="3"/>
      <c r="S555" s="3"/>
    </row>
    <row r="556" spans="1:19" ht="11.25" x14ac:dyDescent="0.2">
      <c r="A556" s="3">
        <f t="shared" ref="A556:A563" si="66">A555+1</f>
        <v>14</v>
      </c>
      <c r="B556" s="3" t="str">
        <f>Input!A407</f>
        <v>886</v>
      </c>
      <c r="C556" s="3" t="str">
        <f>Input!B407</f>
        <v>STRUCTURES &amp; IMPROVEMENTS</v>
      </c>
      <c r="D556" s="3"/>
      <c r="E556" s="1">
        <f>Input!D407-'Total Co'!E457</f>
        <v>251838.08000000002</v>
      </c>
      <c r="F556" s="3">
        <f>Customer!F556+Commodity!F556+Demand!F556</f>
        <v>98172</v>
      </c>
      <c r="G556" s="3">
        <f>Customer!G556+Commodity!G556+Demand!G556</f>
        <v>66480</v>
      </c>
      <c r="H556" s="3">
        <f>Customer!H556+Commodity!H556+Demand!H556</f>
        <v>144</v>
      </c>
      <c r="I556" s="3">
        <f>Customer!I556+Commodity!I556+Demand!I556</f>
        <v>12</v>
      </c>
      <c r="J556" s="3">
        <f>Customer!J556+Commodity!J556+Demand!J556</f>
        <v>87030</v>
      </c>
      <c r="K556" s="3">
        <f>Customer!K556+Commodity!K556+Demand!K556</f>
        <v>0</v>
      </c>
      <c r="L556" s="3">
        <f>Customer!L556+Commodity!L556+Demand!L556</f>
        <v>0</v>
      </c>
      <c r="N556" s="3"/>
      <c r="O556" s="3"/>
      <c r="P556" s="3"/>
      <c r="Q556" s="3"/>
      <c r="R556" s="3"/>
      <c r="S556" s="3"/>
    </row>
    <row r="557" spans="1:19" ht="11.25" x14ac:dyDescent="0.2">
      <c r="A557" s="3">
        <f t="shared" si="66"/>
        <v>15</v>
      </c>
      <c r="B557" s="3" t="str">
        <f>Input!A408</f>
        <v>887</v>
      </c>
      <c r="C557" s="3" t="str">
        <f>Input!B408</f>
        <v>MAINS</v>
      </c>
      <c r="D557" s="3"/>
      <c r="E557" s="1">
        <f>Input!D408-'Total Co'!E458</f>
        <v>2202076.0000000005</v>
      </c>
      <c r="F557" s="3">
        <f>Customer!F557+Commodity!F557+Demand!F557</f>
        <v>858414</v>
      </c>
      <c r="G557" s="3">
        <f>Customer!G557+Commodity!G557+Demand!G557</f>
        <v>581304</v>
      </c>
      <c r="H557" s="3">
        <f>Customer!H557+Commodity!H557+Demand!H557</f>
        <v>1256</v>
      </c>
      <c r="I557" s="3">
        <f>Customer!I557+Commodity!I557+Demand!I557</f>
        <v>110</v>
      </c>
      <c r="J557" s="3">
        <f>Customer!J557+Commodity!J557+Demand!J557</f>
        <v>760994</v>
      </c>
      <c r="K557" s="3">
        <f>Customer!K557+Commodity!K557+Demand!K557</f>
        <v>0</v>
      </c>
      <c r="L557" s="3">
        <f>Customer!L557+Commodity!L557+Demand!L557</f>
        <v>0</v>
      </c>
      <c r="N557" s="3"/>
      <c r="O557" s="3"/>
      <c r="P557" s="3"/>
      <c r="Q557" s="3"/>
      <c r="R557" s="3"/>
      <c r="S557" s="3"/>
    </row>
    <row r="558" spans="1:19" ht="11.25" x14ac:dyDescent="0.2">
      <c r="A558" s="3">
        <f t="shared" si="66"/>
        <v>16</v>
      </c>
      <c r="B558" s="3" t="str">
        <f>Input!A409</f>
        <v>889</v>
      </c>
      <c r="C558" s="3" t="str">
        <f>Input!B409</f>
        <v>M &amp; R - GENERAL</v>
      </c>
      <c r="D558" s="3"/>
      <c r="E558" s="1">
        <f>Input!D409-'Total Co'!E459</f>
        <v>144735.98999999993</v>
      </c>
      <c r="F558" s="3">
        <f>Customer!F558+Commodity!F558+Demand!F558</f>
        <v>56420</v>
      </c>
      <c r="G558" s="3">
        <f>Customer!G558+Commodity!G558+Demand!G558</f>
        <v>38208</v>
      </c>
      <c r="H558" s="3">
        <f>Customer!H558+Commodity!H558+Demand!H558</f>
        <v>82</v>
      </c>
      <c r="I558" s="3">
        <f>Customer!I558+Commodity!I558+Demand!I558</f>
        <v>8</v>
      </c>
      <c r="J558" s="3">
        <f>Customer!J558+Commodity!J558+Demand!J558</f>
        <v>50018</v>
      </c>
      <c r="K558" s="3">
        <f>Customer!K558+Commodity!K558+Demand!K558</f>
        <v>0</v>
      </c>
      <c r="L558" s="3">
        <f>Customer!L558+Commodity!L558+Demand!L558</f>
        <v>0</v>
      </c>
      <c r="N558" s="3"/>
      <c r="O558" s="3"/>
      <c r="P558" s="3"/>
      <c r="Q558" s="3"/>
      <c r="R558" s="3"/>
      <c r="S558" s="3"/>
    </row>
    <row r="559" spans="1:19" ht="11.25" x14ac:dyDescent="0.2">
      <c r="A559" s="3">
        <f t="shared" si="66"/>
        <v>17</v>
      </c>
      <c r="B559" s="3" t="str">
        <f>Input!A410</f>
        <v>890</v>
      </c>
      <c r="C559" s="3" t="str">
        <f>Input!B410</f>
        <v>M &amp; R - INDUSTRIAL</v>
      </c>
      <c r="D559" s="3"/>
      <c r="E559" s="1">
        <f>Input!D410-'Total Co'!E460</f>
        <v>51880</v>
      </c>
      <c r="F559" s="3">
        <f>Customer!F559+Commodity!F559+Demand!F559</f>
        <v>0</v>
      </c>
      <c r="G559" s="3">
        <f>Customer!G559+Commodity!G559+Demand!G559</f>
        <v>10771</v>
      </c>
      <c r="H559" s="3">
        <f>Customer!H559+Commodity!H559+Demand!H559</f>
        <v>12</v>
      </c>
      <c r="I559" s="3">
        <f>Customer!I559+Commodity!I559+Demand!I559</f>
        <v>10418</v>
      </c>
      <c r="J559" s="3">
        <f>Customer!J559+Commodity!J559+Demand!J559</f>
        <v>30679</v>
      </c>
      <c r="K559" s="3">
        <f>Customer!K559+Commodity!K559+Demand!K559</f>
        <v>0</v>
      </c>
      <c r="L559" s="3">
        <f>Customer!L559+Commodity!L559+Demand!L559</f>
        <v>0</v>
      </c>
      <c r="N559" s="3"/>
      <c r="O559" s="3"/>
      <c r="P559" s="3"/>
      <c r="Q559" s="3"/>
      <c r="R559" s="3"/>
      <c r="S559" s="3"/>
    </row>
    <row r="560" spans="1:19" ht="11.25" x14ac:dyDescent="0.2">
      <c r="A560" s="3">
        <f t="shared" si="66"/>
        <v>18</v>
      </c>
      <c r="B560" s="3" t="str">
        <f>Input!A411</f>
        <v>892</v>
      </c>
      <c r="C560" s="3" t="str">
        <f>Input!B411</f>
        <v>SERVICES</v>
      </c>
      <c r="D560" s="3"/>
      <c r="E560" s="1">
        <f>Input!D411-'Total Co'!E461</f>
        <v>431251</v>
      </c>
      <c r="F560" s="3">
        <f ca="1">Customer!F560+Commodity!F560+Demand!F560</f>
        <v>380484</v>
      </c>
      <c r="G560" s="3">
        <f ca="1">Customer!G560+Commodity!G560+Demand!G560</f>
        <v>49240</v>
      </c>
      <c r="H560" s="3">
        <f ca="1">Customer!H560+Commodity!H560+Demand!H560</f>
        <v>4</v>
      </c>
      <c r="I560" s="3">
        <f ca="1">Customer!I560+Commodity!I560+Demand!I560</f>
        <v>0</v>
      </c>
      <c r="J560" s="3">
        <f ca="1">Customer!J560+Commodity!J560+Demand!J560</f>
        <v>1522</v>
      </c>
      <c r="K560" s="3">
        <f ca="1">Customer!K560+Commodity!K560+Demand!K560</f>
        <v>0</v>
      </c>
      <c r="L560" s="3">
        <f ca="1">Customer!L560+Commodity!L560+Demand!L560</f>
        <v>0</v>
      </c>
      <c r="N560" s="3"/>
      <c r="O560" s="3"/>
      <c r="P560" s="3"/>
      <c r="Q560" s="3"/>
      <c r="R560" s="3"/>
      <c r="S560" s="3"/>
    </row>
    <row r="561" spans="1:19" ht="11.25" x14ac:dyDescent="0.2">
      <c r="A561" s="3">
        <f t="shared" si="66"/>
        <v>19</v>
      </c>
      <c r="B561" s="3" t="str">
        <f>Input!A412</f>
        <v>893</v>
      </c>
      <c r="C561" s="3" t="str">
        <f>Input!B412</f>
        <v>METERS &amp; HOUSE REGULATORS</v>
      </c>
      <c r="D561" s="3"/>
      <c r="E561" s="1">
        <f>Input!D412-'Total Co'!E462</f>
        <v>118176</v>
      </c>
      <c r="F561" s="3">
        <f>Customer!F561+Commodity!F561+Demand!F561</f>
        <v>85018</v>
      </c>
      <c r="G561" s="3">
        <f>Customer!G561+Commodity!G561+Demand!G561</f>
        <v>32631</v>
      </c>
      <c r="H561" s="3">
        <f>Customer!H561+Commodity!H561+Demand!H561</f>
        <v>15</v>
      </c>
      <c r="I561" s="3">
        <f>Customer!I561+Commodity!I561+Demand!I561</f>
        <v>0</v>
      </c>
      <c r="J561" s="3">
        <f>Customer!J561+Commodity!J561+Demand!J561</f>
        <v>512</v>
      </c>
      <c r="K561" s="3">
        <f>Customer!K561+Commodity!K561+Demand!K561</f>
        <v>0</v>
      </c>
      <c r="L561" s="3">
        <f>Customer!L561+Commodity!L561+Demand!L561</f>
        <v>0</v>
      </c>
      <c r="N561" s="3"/>
      <c r="O561" s="3"/>
      <c r="P561" s="3"/>
      <c r="Q561" s="3"/>
      <c r="R561" s="3"/>
      <c r="S561" s="3"/>
    </row>
    <row r="562" spans="1:19" ht="11.25" x14ac:dyDescent="0.2">
      <c r="A562" s="3">
        <f t="shared" si="66"/>
        <v>20</v>
      </c>
      <c r="B562" s="3" t="str">
        <f>Input!A413</f>
        <v>894</v>
      </c>
      <c r="C562" s="3" t="str">
        <f>Input!B413</f>
        <v>OTHER EQUIPMENT</v>
      </c>
      <c r="D562" s="3"/>
      <c r="E562" s="116">
        <f>Input!D413-'Total Co'!E463</f>
        <v>199573</v>
      </c>
      <c r="F562" s="26">
        <f ca="1">Customer!F562+Commodity!F562+Demand!F562</f>
        <v>109072</v>
      </c>
      <c r="G562" s="26">
        <f ca="1">Customer!G562+Commodity!G562+Demand!G562</f>
        <v>45884</v>
      </c>
      <c r="H562" s="26">
        <f ca="1">Customer!H562+Commodity!H562+Demand!H562</f>
        <v>75</v>
      </c>
      <c r="I562" s="26">
        <f ca="1">Customer!I562+Commodity!I562+Demand!I562</f>
        <v>357</v>
      </c>
      <c r="J562" s="26">
        <f ca="1">Customer!J562+Commodity!J562+Demand!J562</f>
        <v>44184</v>
      </c>
      <c r="K562" s="26">
        <f ca="1">Customer!K562+Commodity!K562+Demand!K562</f>
        <v>0</v>
      </c>
      <c r="L562" s="26">
        <f ca="1">Customer!L562+Commodity!L562+Demand!L562</f>
        <v>0</v>
      </c>
      <c r="N562" s="3"/>
      <c r="O562" s="3"/>
      <c r="P562" s="3"/>
      <c r="Q562" s="3"/>
      <c r="R562" s="3"/>
      <c r="S562" s="3"/>
    </row>
    <row r="563" spans="1:19" ht="11.25" x14ac:dyDescent="0.2">
      <c r="A563" s="3">
        <f t="shared" si="66"/>
        <v>21</v>
      </c>
      <c r="B563" s="3"/>
      <c r="C563" s="3" t="s">
        <v>280</v>
      </c>
      <c r="D563" s="3"/>
      <c r="E563" s="1">
        <f t="shared" ref="E563:L563" si="67">SUM(E555:E562)</f>
        <v>3402101.0700000003</v>
      </c>
      <c r="F563" s="3">
        <f t="shared" ca="1" si="67"/>
        <v>1588985</v>
      </c>
      <c r="G563" s="3">
        <f t="shared" ca="1" si="67"/>
        <v>825109</v>
      </c>
      <c r="H563" s="3">
        <f t="shared" ca="1" si="67"/>
        <v>1588</v>
      </c>
      <c r="I563" s="3">
        <f t="shared" ca="1" si="67"/>
        <v>10910</v>
      </c>
      <c r="J563" s="3">
        <f t="shared" ca="1" si="67"/>
        <v>975508</v>
      </c>
      <c r="K563" s="3">
        <f t="shared" ca="1" si="67"/>
        <v>0</v>
      </c>
      <c r="L563" s="3">
        <f t="shared" ca="1" si="67"/>
        <v>0</v>
      </c>
      <c r="N563" s="3"/>
      <c r="O563" s="3"/>
      <c r="P563" s="3"/>
      <c r="Q563" s="3"/>
      <c r="R563" s="3"/>
      <c r="S563" s="3"/>
    </row>
    <row r="564" spans="1:19" ht="11.25" x14ac:dyDescent="0.2">
      <c r="A564" s="3" t="s">
        <v>810</v>
      </c>
      <c r="B564" s="3"/>
      <c r="C564" s="3"/>
      <c r="D564" s="3"/>
      <c r="E564" s="3"/>
      <c r="F564" s="325" t="str">
        <f>""&amp;+Input!$B$1</f>
        <v>COLUMBIA GAS OF KENTUCKY, INC.</v>
      </c>
      <c r="H564" s="3"/>
      <c r="I564" s="3"/>
      <c r="J564" s="3"/>
      <c r="K564" s="3"/>
      <c r="L564" s="32" t="str">
        <f>Input!$B$2</f>
        <v>ATTACHMENT CEN-2</v>
      </c>
      <c r="N564" s="3"/>
      <c r="O564" s="3"/>
      <c r="P564" s="3"/>
      <c r="Q564" s="3"/>
      <c r="R564" s="3"/>
      <c r="S564" s="3"/>
    </row>
    <row r="565" spans="1:19" ht="11.25" x14ac:dyDescent="0.2">
      <c r="A565" s="3" t="str">
        <f>Input!$B$7</f>
        <v>DEMAND-COMMODITY</v>
      </c>
      <c r="B565" s="3"/>
      <c r="C565" s="3"/>
      <c r="D565" s="3"/>
      <c r="E565" s="3"/>
      <c r="F565" s="325" t="s">
        <v>569</v>
      </c>
      <c r="H565" s="3"/>
      <c r="I565" s="3"/>
      <c r="J565" s="3"/>
      <c r="K565" s="3"/>
      <c r="L565" s="32" t="str">
        <f>"PAGE 17 OF "&amp;FIXED(Input!$B$8,0,TRUE)</f>
        <v>PAGE 17 OF 129</v>
      </c>
      <c r="N565" s="3"/>
      <c r="O565" s="3"/>
      <c r="P565" s="3"/>
      <c r="Q565" s="3"/>
      <c r="R565" s="3"/>
      <c r="S565" s="3"/>
    </row>
    <row r="566" spans="1:19" ht="11.25" x14ac:dyDescent="0.2">
      <c r="A566" s="17" t="str">
        <f>Input!$B$6</f>
        <v>FORECASTED TEST YEAR - ORIGINAL FILING</v>
      </c>
      <c r="B566" s="17"/>
      <c r="C566" s="17"/>
      <c r="D566" s="18"/>
      <c r="E566" s="17"/>
      <c r="F566" s="19" t="str">
        <f>"FOR THE TWELVE MONTHS ENDED "&amp;Input!$B$4</f>
        <v>FOR THE TWELVE MONTHS ENDED 12/31/2017</v>
      </c>
      <c r="G566" s="329"/>
      <c r="H566" s="17"/>
      <c r="I566" s="17"/>
      <c r="J566" s="17"/>
      <c r="K566" s="17"/>
      <c r="L566" s="183" t="str">
        <f>"WITNESS: "&amp;Input!$B$5</f>
        <v>WITNESS: C. NOTESTONE</v>
      </c>
      <c r="N566" s="3"/>
      <c r="O566" s="3"/>
      <c r="P566" s="3"/>
      <c r="Q566" s="3"/>
      <c r="R566" s="3"/>
      <c r="S566" s="3"/>
    </row>
    <row r="567" spans="1:19" ht="11.25" x14ac:dyDescent="0.2">
      <c r="A567" s="325" t="s">
        <v>5</v>
      </c>
      <c r="B567" s="3" t="s">
        <v>6</v>
      </c>
      <c r="C567" s="3"/>
      <c r="D567" s="325" t="s">
        <v>7</v>
      </c>
      <c r="E567" s="325" t="s">
        <v>8</v>
      </c>
      <c r="F567" s="3"/>
      <c r="G567" s="3"/>
      <c r="H567" s="3"/>
      <c r="I567" s="3"/>
      <c r="J567" s="3"/>
      <c r="K567" s="3"/>
      <c r="L567" s="3"/>
      <c r="N567" s="3"/>
      <c r="O567" s="3"/>
      <c r="P567" s="3"/>
      <c r="Q567" s="3"/>
      <c r="R567" s="3"/>
      <c r="S567" s="3"/>
    </row>
    <row r="568" spans="1:19" ht="11.25" x14ac:dyDescent="0.2">
      <c r="A568" s="341" t="s">
        <v>9</v>
      </c>
      <c r="B568" s="341" t="s">
        <v>9</v>
      </c>
      <c r="C568" s="341" t="str">
        <f>"                        ACCOUNT TITLE                "</f>
        <v xml:space="preserve">                        ACCOUNT TITLE                </v>
      </c>
      <c r="D568" s="26" t="s">
        <v>10</v>
      </c>
      <c r="E568" s="341" t="s">
        <v>11</v>
      </c>
      <c r="F568" s="341" t="str">
        <f>"  "&amp;+Input!$C$12</f>
        <v xml:space="preserve">  GS-RESIDENTIAL</v>
      </c>
      <c r="G568" s="341" t="str">
        <f>Input!$C$13</f>
        <v>GS-OTHER</v>
      </c>
      <c r="H568" s="341" t="str">
        <f>Input!$C$14</f>
        <v>IUS</v>
      </c>
      <c r="I568" s="341" t="str">
        <f>Input!$C$15</f>
        <v>DS-ML</v>
      </c>
      <c r="J568" s="341" t="str">
        <f>Input!$C$16</f>
        <v>DS/IS</v>
      </c>
      <c r="K568" s="26" t="str">
        <f>Input!$C$17</f>
        <v>NOT USED</v>
      </c>
      <c r="L568" s="26" t="str">
        <f>Input!$C$18</f>
        <v>NOT USED</v>
      </c>
      <c r="N568" s="3"/>
      <c r="O568" s="3"/>
      <c r="P568" s="3"/>
      <c r="Q568" s="3"/>
      <c r="R568" s="3"/>
      <c r="S568" s="3"/>
    </row>
    <row r="569" spans="1:19" ht="11.25" x14ac:dyDescent="0.2">
      <c r="A569" s="3"/>
      <c r="B569" s="342" t="s">
        <v>13</v>
      </c>
      <c r="C569" s="342" t="s">
        <v>14</v>
      </c>
      <c r="D569" s="325" t="s">
        <v>15</v>
      </c>
      <c r="E569" s="325" t="s">
        <v>16</v>
      </c>
      <c r="F569" s="325" t="s">
        <v>17</v>
      </c>
      <c r="G569" s="325" t="s">
        <v>18</v>
      </c>
      <c r="H569" s="325" t="s">
        <v>19</v>
      </c>
      <c r="I569" s="325" t="s">
        <v>20</v>
      </c>
      <c r="J569" s="325" t="s">
        <v>21</v>
      </c>
      <c r="K569" s="325" t="s">
        <v>22</v>
      </c>
      <c r="L569" s="325" t="s">
        <v>23</v>
      </c>
      <c r="N569" s="3"/>
      <c r="O569" s="3"/>
      <c r="P569" s="3"/>
      <c r="Q569" s="3"/>
      <c r="R569" s="3"/>
      <c r="S569" s="3"/>
    </row>
    <row r="570" spans="1:19" ht="11.25" x14ac:dyDescent="0.2">
      <c r="A570" s="3"/>
      <c r="B570" s="3"/>
      <c r="C570" s="3"/>
      <c r="D570" s="3"/>
      <c r="E570" s="325" t="s">
        <v>26</v>
      </c>
      <c r="F570" s="325" t="s">
        <v>26</v>
      </c>
      <c r="G570" s="325" t="s">
        <v>26</v>
      </c>
      <c r="H570" s="325" t="s">
        <v>26</v>
      </c>
      <c r="I570" s="325" t="s">
        <v>26</v>
      </c>
      <c r="J570" s="325" t="s">
        <v>26</v>
      </c>
      <c r="K570" s="325" t="s">
        <v>26</v>
      </c>
      <c r="L570" s="325" t="s">
        <v>26</v>
      </c>
      <c r="N570" s="3"/>
      <c r="O570" s="3"/>
      <c r="P570" s="3"/>
      <c r="Q570" s="3"/>
      <c r="R570" s="3"/>
      <c r="S570" s="3"/>
    </row>
    <row r="571" spans="1:19" ht="11.25" x14ac:dyDescent="0.2">
      <c r="A571" s="3">
        <v>1</v>
      </c>
      <c r="B571" s="3"/>
      <c r="C571" s="3" t="str">
        <f>Input!A414</f>
        <v>CUSTOMER ACCOUNTS</v>
      </c>
      <c r="D571" s="3"/>
      <c r="E571" s="3"/>
      <c r="F571" s="3"/>
      <c r="G571" s="3"/>
      <c r="H571" s="3"/>
      <c r="I571" s="3"/>
      <c r="J571" s="3"/>
      <c r="K571" s="3"/>
      <c r="L571" s="3"/>
      <c r="N571" s="3"/>
      <c r="O571" s="3"/>
      <c r="P571" s="3"/>
      <c r="Q571" s="3"/>
      <c r="R571" s="3"/>
      <c r="S571" s="3"/>
    </row>
    <row r="572" spans="1:19" ht="11.2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N572" s="3"/>
      <c r="O572" s="3"/>
      <c r="P572" s="3"/>
      <c r="Q572" s="3"/>
      <c r="R572" s="3"/>
      <c r="S572" s="3"/>
    </row>
    <row r="573" spans="1:19" ht="11.25" x14ac:dyDescent="0.2">
      <c r="A573" s="3">
        <f>A571+1</f>
        <v>2</v>
      </c>
      <c r="B573" s="3" t="str">
        <f>Input!A415</f>
        <v>901</v>
      </c>
      <c r="C573" s="3" t="str">
        <f>Input!B415</f>
        <v>SUPERVISION</v>
      </c>
      <c r="D573" s="3"/>
      <c r="E573" s="1">
        <f>Input!D415-'Total Co'!E474</f>
        <v>0</v>
      </c>
      <c r="F573" s="3">
        <f>Customer!F573+Commodity!F573+Demand!F573</f>
        <v>0</v>
      </c>
      <c r="G573" s="3">
        <f>Customer!G573+Commodity!G573+Demand!G573</f>
        <v>0</v>
      </c>
      <c r="H573" s="3">
        <f>Customer!H573+Commodity!H573+Demand!H573</f>
        <v>0</v>
      </c>
      <c r="I573" s="3">
        <f>Customer!I573+Commodity!I573+Demand!I573</f>
        <v>0</v>
      </c>
      <c r="J573" s="3">
        <f>Customer!J573+Commodity!J573+Demand!J573</f>
        <v>0</v>
      </c>
      <c r="K573" s="3">
        <f>Customer!K573+Commodity!K573+Demand!K573</f>
        <v>0</v>
      </c>
      <c r="L573" s="3">
        <f>Customer!L573+Commodity!L573+Demand!L573</f>
        <v>0</v>
      </c>
      <c r="N573" s="3"/>
      <c r="O573" s="3"/>
      <c r="P573" s="3"/>
      <c r="Q573" s="3"/>
      <c r="R573" s="3"/>
      <c r="S573" s="3"/>
    </row>
    <row r="574" spans="1:19" ht="11.25" x14ac:dyDescent="0.2">
      <c r="A574" s="3">
        <f t="shared" ref="A574:A582" si="68">A573+1</f>
        <v>3</v>
      </c>
      <c r="B574" s="3" t="str">
        <f>Input!A416</f>
        <v>902</v>
      </c>
      <c r="C574" s="3" t="str">
        <f>Input!B416</f>
        <v>METER READING</v>
      </c>
      <c r="D574" s="3"/>
      <c r="E574" s="1">
        <f>Input!D416-'Total Co'!E475</f>
        <v>399502</v>
      </c>
      <c r="F574" s="3">
        <f>Customer!F574+Commodity!F574+Demand!F574</f>
        <v>358186</v>
      </c>
      <c r="G574" s="3">
        <f>Customer!G574+Commodity!G574+Demand!G574</f>
        <v>41065</v>
      </c>
      <c r="H574" s="3">
        <f>Customer!H574+Commodity!H574+Demand!H574</f>
        <v>4</v>
      </c>
      <c r="I574" s="3">
        <f>Customer!I574+Commodity!I574+Demand!I574</f>
        <v>16</v>
      </c>
      <c r="J574" s="3">
        <f>Customer!J574+Commodity!J574+Demand!J574</f>
        <v>232</v>
      </c>
      <c r="K574" s="3">
        <f>Customer!K574+Commodity!K574+Demand!K574</f>
        <v>0</v>
      </c>
      <c r="L574" s="3">
        <f>Customer!L574+Commodity!L574+Demand!L574</f>
        <v>0</v>
      </c>
      <c r="N574" s="3"/>
      <c r="O574" s="3"/>
      <c r="P574" s="3"/>
      <c r="Q574" s="3"/>
      <c r="R574" s="3"/>
      <c r="S574" s="3"/>
    </row>
    <row r="575" spans="1:19" ht="11.25" x14ac:dyDescent="0.2">
      <c r="A575" s="3">
        <f t="shared" si="68"/>
        <v>4</v>
      </c>
      <c r="B575" s="3" t="str">
        <f>Input!A417</f>
        <v>903</v>
      </c>
      <c r="C575" s="3" t="str">
        <f>Input!B417</f>
        <v>CUSTOMER RECORDS &amp; COLLECTIONS</v>
      </c>
      <c r="D575" s="3"/>
      <c r="E575" s="1">
        <f>Input!D417-'Total Co'!E476</f>
        <v>3252912</v>
      </c>
      <c r="F575" s="3">
        <f>Customer!F575+Commodity!F575+Demand!F575</f>
        <v>2916496</v>
      </c>
      <c r="G575" s="3">
        <f>Customer!G575+Commodity!G575+Demand!G575</f>
        <v>334367</v>
      </c>
      <c r="H575" s="3">
        <f>Customer!H575+Commodity!H575+Demand!H575</f>
        <v>33</v>
      </c>
      <c r="I575" s="3">
        <f>Customer!I575+Commodity!I575+Demand!I575</f>
        <v>130</v>
      </c>
      <c r="J575" s="3">
        <f>Customer!J575+Commodity!J575+Demand!J575</f>
        <v>1887</v>
      </c>
      <c r="K575" s="3">
        <f>Customer!K575+Commodity!K575+Demand!K575</f>
        <v>0</v>
      </c>
      <c r="L575" s="3">
        <f>Customer!L575+Commodity!L575+Demand!L575</f>
        <v>0</v>
      </c>
      <c r="N575" s="3"/>
      <c r="O575" s="3"/>
      <c r="P575" s="3"/>
      <c r="Q575" s="3"/>
      <c r="R575" s="3"/>
      <c r="S575" s="3"/>
    </row>
    <row r="576" spans="1:19" ht="11.25" x14ac:dyDescent="0.2">
      <c r="A576" s="3">
        <f t="shared" si="68"/>
        <v>5</v>
      </c>
      <c r="B576" s="3" t="str">
        <f>Input!A419</f>
        <v>904</v>
      </c>
      <c r="C576" s="3" t="str">
        <f>Input!B419</f>
        <v>UNCOLLECTIBLE ACCOUNTS</v>
      </c>
      <c r="D576" s="3"/>
      <c r="E576" s="1">
        <f>Input!D419-'Total Co'!E477</f>
        <v>1027585</v>
      </c>
      <c r="F576" s="3">
        <f>Customer!F576+Commodity!F576+Demand!F576</f>
        <v>891707</v>
      </c>
      <c r="G576" s="3">
        <f>Customer!G576+Commodity!G576+Demand!G576</f>
        <v>135035</v>
      </c>
      <c r="H576" s="3">
        <f>Customer!H576+Commodity!H576+Demand!H576</f>
        <v>21</v>
      </c>
      <c r="I576" s="3">
        <f>Customer!I576+Commodity!I576+Demand!I576</f>
        <v>62</v>
      </c>
      <c r="J576" s="3">
        <f>Customer!J576+Commodity!J576+Demand!J576</f>
        <v>760</v>
      </c>
      <c r="K576" s="3">
        <f>Customer!K576+Commodity!K576+Demand!K576</f>
        <v>0</v>
      </c>
      <c r="L576" s="3">
        <f>Customer!L576+Commodity!L576+Demand!L576</f>
        <v>0</v>
      </c>
      <c r="N576" s="3"/>
      <c r="O576" s="3"/>
      <c r="P576" s="3"/>
      <c r="Q576" s="3"/>
      <c r="R576" s="3"/>
      <c r="S576" s="3"/>
    </row>
    <row r="577" spans="1:19" ht="11.25" x14ac:dyDescent="0.2">
      <c r="A577" s="3">
        <f t="shared" si="68"/>
        <v>6</v>
      </c>
      <c r="B577" s="3" t="str">
        <f>Input!A420</f>
        <v>905</v>
      </c>
      <c r="C577" s="3" t="str">
        <f>Input!B420</f>
        <v>MISC.</v>
      </c>
      <c r="D577" s="3"/>
      <c r="E577" s="1">
        <f>Input!D420-'Total Co'!E478</f>
        <v>1073</v>
      </c>
      <c r="F577" s="3">
        <f>Customer!F577+Commodity!F577+Demand!F577</f>
        <v>962</v>
      </c>
      <c r="G577" s="3">
        <f>Customer!G577+Commodity!G577+Demand!G577</f>
        <v>110</v>
      </c>
      <c r="H577" s="3">
        <f>Customer!H577+Commodity!H577+Demand!H577</f>
        <v>0</v>
      </c>
      <c r="I577" s="3">
        <f>Customer!I577+Commodity!I577+Demand!I577</f>
        <v>0</v>
      </c>
      <c r="J577" s="3">
        <f>Customer!J577+Commodity!J577+Demand!J577</f>
        <v>1</v>
      </c>
      <c r="K577" s="3">
        <f>Customer!K577+Commodity!K577+Demand!K577</f>
        <v>0</v>
      </c>
      <c r="L577" s="3">
        <f>Customer!L577+Commodity!L577+Demand!L577</f>
        <v>0</v>
      </c>
      <c r="N577" s="3"/>
      <c r="O577" s="3"/>
      <c r="P577" s="3"/>
      <c r="Q577" s="3"/>
      <c r="R577" s="3"/>
      <c r="S577" s="3"/>
    </row>
    <row r="578" spans="1:19" ht="11.25" x14ac:dyDescent="0.2">
      <c r="A578" s="3">
        <f t="shared" si="68"/>
        <v>7</v>
      </c>
      <c r="B578" s="3" t="str">
        <f>Input!A421</f>
        <v>920</v>
      </c>
      <c r="C578" s="3" t="str">
        <f>Input!B421</f>
        <v>SALARIES</v>
      </c>
      <c r="D578" s="3"/>
      <c r="E578" s="1">
        <f>Input!D421-'Total Co'!E479</f>
        <v>0</v>
      </c>
      <c r="F578" s="3">
        <f>Customer!F578+Commodity!F578+Demand!F578</f>
        <v>0</v>
      </c>
      <c r="G578" s="3">
        <f>Customer!G578+Commodity!G578+Demand!G578</f>
        <v>0</v>
      </c>
      <c r="H578" s="3">
        <f>Customer!H578+Commodity!H578+Demand!H578</f>
        <v>0</v>
      </c>
      <c r="I578" s="3">
        <f>Customer!I578+Commodity!I578+Demand!I578</f>
        <v>0</v>
      </c>
      <c r="J578" s="3">
        <f>Customer!J578+Commodity!J578+Demand!J578</f>
        <v>0</v>
      </c>
      <c r="K578" s="3">
        <f>Customer!K578+Commodity!K578+Demand!K578</f>
        <v>0</v>
      </c>
      <c r="L578" s="3">
        <f>Customer!L578+Commodity!L578+Demand!L578</f>
        <v>0</v>
      </c>
      <c r="N578" s="3"/>
      <c r="O578" s="3"/>
      <c r="P578" s="3"/>
      <c r="Q578" s="3"/>
      <c r="R578" s="3"/>
      <c r="S578" s="3"/>
    </row>
    <row r="579" spans="1:19" ht="11.25" x14ac:dyDescent="0.2">
      <c r="A579" s="3">
        <f t="shared" si="68"/>
        <v>8</v>
      </c>
      <c r="B579" s="3" t="str">
        <f>Input!A422</f>
        <v>921</v>
      </c>
      <c r="C579" s="3" t="str">
        <f>Input!B422</f>
        <v>OFFICE SUPPLIES AND EXPENSE</v>
      </c>
      <c r="D579" s="3"/>
      <c r="E579" s="1">
        <f>Input!D422-'Total Co'!E480</f>
        <v>253</v>
      </c>
      <c r="F579" s="3">
        <f>Customer!F579+Commodity!F579+Demand!F579</f>
        <v>227</v>
      </c>
      <c r="G579" s="3">
        <f>Customer!G579+Commodity!G579+Demand!G579</f>
        <v>26</v>
      </c>
      <c r="H579" s="3">
        <f>Customer!H579+Commodity!H579+Demand!H579</f>
        <v>0</v>
      </c>
      <c r="I579" s="3">
        <f>Customer!I579+Commodity!I579+Demand!I579</f>
        <v>0</v>
      </c>
      <c r="J579" s="3">
        <f>Customer!J579+Commodity!J579+Demand!J579</f>
        <v>0</v>
      </c>
      <c r="K579" s="3">
        <f>Customer!K579+Commodity!K579+Demand!K579</f>
        <v>0</v>
      </c>
      <c r="L579" s="3">
        <f>Customer!L579+Commodity!L579+Demand!L579</f>
        <v>0</v>
      </c>
      <c r="N579" s="3"/>
      <c r="O579" s="3"/>
      <c r="P579" s="3"/>
      <c r="Q579" s="3"/>
      <c r="R579" s="3"/>
      <c r="S579" s="3"/>
    </row>
    <row r="580" spans="1:19" ht="11.25" x14ac:dyDescent="0.2">
      <c r="A580" s="3">
        <f t="shared" si="68"/>
        <v>9</v>
      </c>
      <c r="B580" s="3" t="str">
        <f>Input!A423</f>
        <v>931</v>
      </c>
      <c r="C580" s="3" t="str">
        <f>Input!B423</f>
        <v>RENTS</v>
      </c>
      <c r="D580" s="3"/>
      <c r="E580" s="1">
        <f>Input!D423-'Total Co'!E481</f>
        <v>0</v>
      </c>
      <c r="F580" s="3">
        <f>Customer!F580+Commodity!F580+Demand!F580</f>
        <v>0</v>
      </c>
      <c r="G580" s="3">
        <f>Customer!G580+Commodity!G580+Demand!G580</f>
        <v>0</v>
      </c>
      <c r="H580" s="3">
        <f>Customer!H580+Commodity!H580+Demand!H580</f>
        <v>0</v>
      </c>
      <c r="I580" s="3">
        <f>Customer!I580+Commodity!I580+Demand!I580</f>
        <v>0</v>
      </c>
      <c r="J580" s="3">
        <f>Customer!J580+Commodity!J580+Demand!J580</f>
        <v>0</v>
      </c>
      <c r="K580" s="3">
        <f>Customer!K580+Commodity!K580+Demand!K580</f>
        <v>0</v>
      </c>
      <c r="L580" s="3">
        <f>Customer!L580+Commodity!L580+Demand!L580</f>
        <v>0</v>
      </c>
      <c r="N580" s="3"/>
      <c r="O580" s="3"/>
      <c r="P580" s="3"/>
      <c r="Q580" s="3"/>
      <c r="R580" s="3"/>
      <c r="S580" s="3"/>
    </row>
    <row r="581" spans="1:19" ht="11.25" x14ac:dyDescent="0.2">
      <c r="A581" s="3">
        <f t="shared" si="68"/>
        <v>10</v>
      </c>
      <c r="B581" s="3" t="str">
        <f>Input!A424</f>
        <v>935</v>
      </c>
      <c r="C581" s="3" t="str">
        <f>Input!B424</f>
        <v>GENERAL PLANT MAINTENANCE</v>
      </c>
      <c r="D581" s="3"/>
      <c r="E581" s="116">
        <f>Input!D424-'Total Co'!E482</f>
        <v>0</v>
      </c>
      <c r="F581" s="26">
        <f>Customer!F581+Commodity!F581+Demand!F581</f>
        <v>0</v>
      </c>
      <c r="G581" s="26">
        <f>Customer!G581+Commodity!G581+Demand!G581</f>
        <v>0</v>
      </c>
      <c r="H581" s="26">
        <f>Customer!H581+Commodity!H581+Demand!H581</f>
        <v>0</v>
      </c>
      <c r="I581" s="26">
        <f>Customer!I581+Commodity!I581+Demand!I581</f>
        <v>0</v>
      </c>
      <c r="J581" s="26">
        <f>Customer!J581+Commodity!J581+Demand!J581</f>
        <v>0</v>
      </c>
      <c r="K581" s="26">
        <f>Customer!K581+Commodity!K581+Demand!K581</f>
        <v>0</v>
      </c>
      <c r="L581" s="26">
        <f>Customer!L581+Commodity!L581+Demand!L581</f>
        <v>0</v>
      </c>
      <c r="N581" s="3"/>
      <c r="O581" s="3"/>
      <c r="P581" s="3"/>
      <c r="Q581" s="3"/>
      <c r="R581" s="3"/>
      <c r="S581" s="3"/>
    </row>
    <row r="582" spans="1:19" ht="11.25" x14ac:dyDescent="0.2">
      <c r="A582" s="3">
        <f t="shared" si="68"/>
        <v>11</v>
      </c>
      <c r="B582" s="3"/>
      <c r="C582" s="3" t="s">
        <v>301</v>
      </c>
      <c r="D582" s="3"/>
      <c r="E582" s="1">
        <f t="shared" ref="E582:L582" si="69">SUM(E573:E581)</f>
        <v>4681325</v>
      </c>
      <c r="F582" s="3">
        <f t="shared" si="69"/>
        <v>4167578</v>
      </c>
      <c r="G582" s="3">
        <f t="shared" si="69"/>
        <v>510603</v>
      </c>
      <c r="H582" s="3">
        <f t="shared" si="69"/>
        <v>58</v>
      </c>
      <c r="I582" s="3">
        <f t="shared" si="69"/>
        <v>208</v>
      </c>
      <c r="J582" s="3">
        <f t="shared" si="69"/>
        <v>2880</v>
      </c>
      <c r="K582" s="3">
        <f t="shared" si="69"/>
        <v>0</v>
      </c>
      <c r="L582" s="3">
        <f t="shared" si="69"/>
        <v>0</v>
      </c>
      <c r="N582" s="3"/>
      <c r="O582" s="3"/>
      <c r="P582" s="3"/>
      <c r="Q582" s="3"/>
      <c r="R582" s="3"/>
      <c r="S582" s="3"/>
    </row>
    <row r="583" spans="1:19" ht="11.25" x14ac:dyDescent="0.2">
      <c r="A583" s="3"/>
      <c r="B583" s="3"/>
      <c r="C583" s="3"/>
      <c r="D583" s="3"/>
      <c r="E583" s="1"/>
      <c r="F583" s="3"/>
      <c r="G583" s="3"/>
      <c r="H583" s="3"/>
      <c r="I583" s="3"/>
      <c r="J583" s="3"/>
      <c r="K583" s="3"/>
      <c r="L583" s="3"/>
      <c r="N583" s="3"/>
      <c r="O583" s="3"/>
      <c r="P583" s="3"/>
      <c r="Q583" s="3"/>
      <c r="R583" s="3"/>
      <c r="S583" s="3"/>
    </row>
    <row r="584" spans="1:19" ht="11.25" x14ac:dyDescent="0.2">
      <c r="A584" s="3">
        <f>A582+1</f>
        <v>12</v>
      </c>
      <c r="B584" s="3"/>
      <c r="C584" s="3" t="str">
        <f>Input!A425</f>
        <v>CUSTOMER SERVICE &amp; INFORMATIONAL</v>
      </c>
      <c r="D584" s="3"/>
      <c r="E584" s="1"/>
      <c r="F584" s="3"/>
      <c r="G584" s="3"/>
      <c r="H584" s="3"/>
      <c r="I584" s="3"/>
      <c r="J584" s="3"/>
      <c r="K584" s="3"/>
      <c r="L584" s="3"/>
      <c r="N584" s="3"/>
      <c r="O584" s="3"/>
      <c r="P584" s="3"/>
      <c r="Q584" s="3"/>
      <c r="R584" s="3"/>
      <c r="S584" s="3"/>
    </row>
    <row r="585" spans="1:19" ht="11.25" x14ac:dyDescent="0.2">
      <c r="A585" s="3"/>
      <c r="B585" s="3"/>
      <c r="C585" s="3"/>
      <c r="D585" s="3"/>
      <c r="E585" s="1"/>
      <c r="F585" s="3"/>
      <c r="G585" s="3"/>
      <c r="H585" s="3"/>
      <c r="I585" s="3"/>
      <c r="J585" s="3"/>
      <c r="K585" s="3"/>
      <c r="L585" s="3"/>
      <c r="N585" s="3"/>
      <c r="O585" s="3"/>
      <c r="P585" s="3"/>
      <c r="Q585" s="3"/>
      <c r="R585" s="3"/>
      <c r="S585" s="3"/>
    </row>
    <row r="586" spans="1:19" ht="11.25" x14ac:dyDescent="0.2">
      <c r="A586" s="3">
        <f>A584+1</f>
        <v>13</v>
      </c>
      <c r="B586" s="3" t="str">
        <f>Input!A426</f>
        <v>907</v>
      </c>
      <c r="C586" s="3" t="str">
        <f>Input!B426</f>
        <v>SUPERVISION</v>
      </c>
      <c r="D586" s="3"/>
      <c r="E586" s="1">
        <f>Input!D426-'Total Co'!E487</f>
        <v>-2788.9999999999982</v>
      </c>
      <c r="F586" s="3">
        <f>Customer!F586+Commodity!F586+Demand!F586</f>
        <v>-2501</v>
      </c>
      <c r="G586" s="3">
        <f>Customer!G586+Commodity!G586+Demand!G586</f>
        <v>-287</v>
      </c>
      <c r="H586" s="3">
        <f>Customer!H586+Commodity!H586+Demand!H586</f>
        <v>0</v>
      </c>
      <c r="I586" s="3">
        <f>Customer!I586+Commodity!I586+Demand!I586</f>
        <v>0</v>
      </c>
      <c r="J586" s="3">
        <f>Customer!J586+Commodity!J586+Demand!J586</f>
        <v>-2</v>
      </c>
      <c r="K586" s="3">
        <f>Customer!K586+Commodity!K586+Demand!K586</f>
        <v>0</v>
      </c>
      <c r="L586" s="3">
        <f>Customer!L586+Commodity!L586+Demand!L586</f>
        <v>0</v>
      </c>
      <c r="N586" s="3"/>
      <c r="O586" s="3"/>
      <c r="P586" s="3"/>
      <c r="Q586" s="3"/>
      <c r="R586" s="3"/>
      <c r="S586" s="3"/>
    </row>
    <row r="587" spans="1:19" ht="11.25" x14ac:dyDescent="0.2">
      <c r="A587" s="3">
        <f t="shared" ref="A587:A593" si="70">A586+1</f>
        <v>14</v>
      </c>
      <c r="B587" s="3" t="str">
        <f>Input!A428</f>
        <v>908</v>
      </c>
      <c r="C587" s="3" t="str">
        <f>Input!B428</f>
        <v>CUSTOMER ASSISTANCE</v>
      </c>
      <c r="D587" s="3"/>
      <c r="E587" s="1">
        <f>Input!D428-'Total Co'!E488</f>
        <v>1198970.9999999995</v>
      </c>
      <c r="F587" s="3">
        <f>Customer!F587+Commodity!F587+Demand!F587</f>
        <v>1074973</v>
      </c>
      <c r="G587" s="3">
        <f>Customer!G587+Commodity!G587+Demand!G587</f>
        <v>123242</v>
      </c>
      <c r="H587" s="3">
        <f>Customer!H587+Commodity!H587+Demand!H587</f>
        <v>12</v>
      </c>
      <c r="I587" s="3">
        <f>Customer!I587+Commodity!I587+Demand!I587</f>
        <v>48</v>
      </c>
      <c r="J587" s="3">
        <f>Customer!J587+Commodity!J587+Demand!J587</f>
        <v>695</v>
      </c>
      <c r="K587" s="3">
        <f>Customer!K587+Commodity!K587+Demand!K587</f>
        <v>0</v>
      </c>
      <c r="L587" s="3">
        <f>Customer!L587+Commodity!L587+Demand!L587</f>
        <v>0</v>
      </c>
      <c r="N587" s="3"/>
      <c r="O587" s="3"/>
      <c r="P587" s="3"/>
      <c r="Q587" s="3"/>
      <c r="R587" s="3"/>
      <c r="S587" s="3"/>
    </row>
    <row r="588" spans="1:19" ht="11.25" x14ac:dyDescent="0.2">
      <c r="A588" s="3">
        <f t="shared" si="70"/>
        <v>15</v>
      </c>
      <c r="B588" s="3" t="str">
        <f>Input!A430</f>
        <v>909</v>
      </c>
      <c r="C588" s="3" t="str">
        <f>Input!B430</f>
        <v>INFO. &amp; INSTRUCTIONAL</v>
      </c>
      <c r="D588" s="3"/>
      <c r="E588" s="1">
        <f>Input!D430-'Total Co'!E489</f>
        <v>65932</v>
      </c>
      <c r="F588" s="3">
        <f>Customer!F588+Commodity!F588+Demand!F588</f>
        <v>59113</v>
      </c>
      <c r="G588" s="3">
        <f>Customer!G588+Commodity!G588+Demand!G588</f>
        <v>6777</v>
      </c>
      <c r="H588" s="3">
        <f>Customer!H588+Commodity!H588+Demand!H588</f>
        <v>1</v>
      </c>
      <c r="I588" s="3">
        <f>Customer!I588+Commodity!I588+Demand!I588</f>
        <v>3</v>
      </c>
      <c r="J588" s="3">
        <f>Customer!J588+Commodity!J588+Demand!J588</f>
        <v>38</v>
      </c>
      <c r="K588" s="3">
        <f>Customer!K588+Commodity!K588+Demand!K588</f>
        <v>0</v>
      </c>
      <c r="L588" s="3">
        <f>Customer!L588+Commodity!L588+Demand!L588</f>
        <v>0</v>
      </c>
      <c r="N588" s="3"/>
      <c r="O588" s="3"/>
      <c r="P588" s="3"/>
      <c r="Q588" s="3"/>
      <c r="R588" s="3"/>
      <c r="S588" s="3"/>
    </row>
    <row r="589" spans="1:19" ht="11.25" x14ac:dyDescent="0.2">
      <c r="A589" s="3">
        <f t="shared" si="70"/>
        <v>16</v>
      </c>
      <c r="B589" s="3" t="str">
        <f>Input!A431</f>
        <v>910</v>
      </c>
      <c r="C589" s="3" t="str">
        <f>Input!B431</f>
        <v>MISCELLANEOUS</v>
      </c>
      <c r="D589" s="3"/>
      <c r="E589" s="1">
        <f>Input!D431-'Total Co'!E490</f>
        <v>257797</v>
      </c>
      <c r="F589" s="3">
        <f>Customer!F589+Commodity!F589+Demand!F589</f>
        <v>231136</v>
      </c>
      <c r="G589" s="3">
        <f>Customer!G589+Commodity!G589+Demand!G589</f>
        <v>26499</v>
      </c>
      <c r="H589" s="3">
        <f>Customer!H589+Commodity!H589+Demand!H589</f>
        <v>3</v>
      </c>
      <c r="I589" s="3">
        <f>Customer!I589+Commodity!I589+Demand!I589</f>
        <v>10</v>
      </c>
      <c r="J589" s="3">
        <f>Customer!J589+Commodity!J589+Demand!J589</f>
        <v>150</v>
      </c>
      <c r="K589" s="3">
        <f>Customer!K589+Commodity!K589+Demand!K589</f>
        <v>0</v>
      </c>
      <c r="L589" s="3">
        <f>Customer!L589+Commodity!L589+Demand!L589</f>
        <v>0</v>
      </c>
      <c r="N589" s="3"/>
      <c r="O589" s="3"/>
      <c r="P589" s="3"/>
      <c r="Q589" s="3"/>
      <c r="R589" s="3"/>
      <c r="S589" s="3"/>
    </row>
    <row r="590" spans="1:19" ht="11.25" x14ac:dyDescent="0.2">
      <c r="A590" s="3">
        <f t="shared" si="70"/>
        <v>17</v>
      </c>
      <c r="B590" s="3" t="str">
        <f>Input!A432</f>
        <v>920</v>
      </c>
      <c r="C590" s="3" t="str">
        <f>Input!B432</f>
        <v>SALARIES</v>
      </c>
      <c r="D590" s="3"/>
      <c r="E590" s="1">
        <f>Input!D432-'Total Co'!E491</f>
        <v>0</v>
      </c>
      <c r="F590" s="3">
        <f>Customer!F590+Commodity!F590+Demand!F590</f>
        <v>0</v>
      </c>
      <c r="G590" s="3">
        <f>Customer!G590+Commodity!G590+Demand!G590</f>
        <v>0</v>
      </c>
      <c r="H590" s="3">
        <f>Customer!H590+Commodity!H590+Demand!H590</f>
        <v>0</v>
      </c>
      <c r="I590" s="3">
        <f>Customer!I590+Commodity!I590+Demand!I590</f>
        <v>0</v>
      </c>
      <c r="J590" s="3">
        <f>Customer!J590+Commodity!J590+Demand!J590</f>
        <v>0</v>
      </c>
      <c r="K590" s="3">
        <f>Customer!K590+Commodity!K590+Demand!K590</f>
        <v>0</v>
      </c>
      <c r="L590" s="3">
        <f>Customer!L590+Commodity!L590+Demand!L590</f>
        <v>0</v>
      </c>
      <c r="N590" s="3"/>
      <c r="O590" s="3"/>
      <c r="P590" s="3"/>
      <c r="Q590" s="3"/>
      <c r="R590" s="3"/>
      <c r="S590" s="3"/>
    </row>
    <row r="591" spans="1:19" ht="11.25" x14ac:dyDescent="0.2">
      <c r="A591" s="3">
        <f t="shared" si="70"/>
        <v>18</v>
      </c>
      <c r="B591" s="3" t="str">
        <f>Input!A433</f>
        <v>921</v>
      </c>
      <c r="C591" s="3" t="str">
        <f>Input!B433</f>
        <v>OFFICE SUPPLIES AND EXPENSE</v>
      </c>
      <c r="D591" s="3"/>
      <c r="E591" s="1">
        <f>Input!D433-'Total Co'!E492</f>
        <v>13868</v>
      </c>
      <c r="F591" s="3">
        <f>Customer!F591+Commodity!F591+Demand!F591</f>
        <v>12434</v>
      </c>
      <c r="G591" s="3">
        <f>Customer!G591+Commodity!G591+Demand!G591</f>
        <v>1425</v>
      </c>
      <c r="H591" s="3">
        <f>Customer!H591+Commodity!H591+Demand!H591</f>
        <v>0</v>
      </c>
      <c r="I591" s="3">
        <f>Customer!I591+Commodity!I591+Demand!I591</f>
        <v>1</v>
      </c>
      <c r="J591" s="3">
        <f>Customer!J591+Commodity!J591+Demand!J591</f>
        <v>8</v>
      </c>
      <c r="K591" s="3">
        <f>Customer!K591+Commodity!K591+Demand!K591</f>
        <v>0</v>
      </c>
      <c r="L591" s="3">
        <f>Customer!L591+Commodity!L591+Demand!L591</f>
        <v>0</v>
      </c>
      <c r="N591" s="3"/>
      <c r="O591" s="3"/>
      <c r="P591" s="3"/>
      <c r="Q591" s="3"/>
      <c r="R591" s="3"/>
      <c r="S591" s="3"/>
    </row>
    <row r="592" spans="1:19" ht="11.25" x14ac:dyDescent="0.2">
      <c r="A592" s="3">
        <f t="shared" si="70"/>
        <v>19</v>
      </c>
      <c r="B592" s="3" t="str">
        <f>Input!A434</f>
        <v>931</v>
      </c>
      <c r="C592" s="3" t="str">
        <f>Input!B434</f>
        <v>RENTS</v>
      </c>
      <c r="D592" s="3"/>
      <c r="E592" s="1">
        <f>Input!D434-'Total Co'!E493</f>
        <v>0</v>
      </c>
      <c r="F592" s="3">
        <f>Customer!F592+Commodity!F592+Demand!F592</f>
        <v>0</v>
      </c>
      <c r="G592" s="3">
        <f>Customer!G592+Commodity!G592+Demand!G592</f>
        <v>0</v>
      </c>
      <c r="H592" s="3">
        <f>Customer!H592+Commodity!H592+Demand!H592</f>
        <v>0</v>
      </c>
      <c r="I592" s="3">
        <f>Customer!I592+Commodity!I592+Demand!I592</f>
        <v>0</v>
      </c>
      <c r="J592" s="3">
        <f>Customer!J592+Commodity!J592+Demand!J592</f>
        <v>0</v>
      </c>
      <c r="K592" s="3">
        <f>Customer!K592+Commodity!K592+Demand!K592</f>
        <v>0</v>
      </c>
      <c r="L592" s="3">
        <f>Customer!L592+Commodity!L592+Demand!L592</f>
        <v>0</v>
      </c>
      <c r="N592" s="3"/>
      <c r="O592" s="3"/>
      <c r="P592" s="3"/>
      <c r="Q592" s="3"/>
      <c r="R592" s="3"/>
      <c r="S592" s="3"/>
    </row>
    <row r="593" spans="1:19" ht="11.25" x14ac:dyDescent="0.2">
      <c r="A593" s="3">
        <f t="shared" si="70"/>
        <v>20</v>
      </c>
      <c r="B593" s="3" t="str">
        <f>Input!A435</f>
        <v>935</v>
      </c>
      <c r="C593" s="3" t="str">
        <f>Input!B435</f>
        <v>GENERAL PLANT MAINTENANCE</v>
      </c>
      <c r="D593" s="3"/>
      <c r="E593" s="116">
        <f>Input!D435-'Total Co'!E494</f>
        <v>0</v>
      </c>
      <c r="F593" s="26">
        <f>Customer!F593+Commodity!F593+Demand!F593</f>
        <v>0</v>
      </c>
      <c r="G593" s="26">
        <f>Customer!G593+Commodity!G593+Demand!G593</f>
        <v>0</v>
      </c>
      <c r="H593" s="26">
        <f>Customer!H593+Commodity!H593+Demand!H593</f>
        <v>0</v>
      </c>
      <c r="I593" s="26">
        <f>Customer!I593+Commodity!I593+Demand!I593</f>
        <v>0</v>
      </c>
      <c r="J593" s="26">
        <f>Customer!J593+Commodity!J593+Demand!J593</f>
        <v>0</v>
      </c>
      <c r="K593" s="26">
        <f>Customer!K593+Commodity!K593+Demand!K593</f>
        <v>0</v>
      </c>
      <c r="L593" s="26">
        <f>Customer!L593+Commodity!L593+Demand!L593</f>
        <v>0</v>
      </c>
      <c r="N593" s="3"/>
      <c r="O593" s="3"/>
      <c r="P593" s="3"/>
      <c r="Q593" s="3"/>
      <c r="R593" s="3"/>
      <c r="S593" s="3"/>
    </row>
    <row r="594" spans="1:19" ht="11.25" x14ac:dyDescent="0.2">
      <c r="A594" s="3">
        <f>A593+1</f>
        <v>21</v>
      </c>
      <c r="B594" s="3"/>
      <c r="C594" s="3" t="s">
        <v>309</v>
      </c>
      <c r="D594" s="3"/>
      <c r="E594" s="1">
        <f t="shared" ref="E594:L594" si="71">SUM(E586:E593)</f>
        <v>1533778.9999999995</v>
      </c>
      <c r="F594" s="3">
        <f t="shared" si="71"/>
        <v>1375155</v>
      </c>
      <c r="G594" s="3">
        <f t="shared" si="71"/>
        <v>157656</v>
      </c>
      <c r="H594" s="3">
        <f t="shared" si="71"/>
        <v>16</v>
      </c>
      <c r="I594" s="3">
        <f t="shared" si="71"/>
        <v>62</v>
      </c>
      <c r="J594" s="3">
        <f t="shared" si="71"/>
        <v>889</v>
      </c>
      <c r="K594" s="3">
        <f t="shared" si="71"/>
        <v>0</v>
      </c>
      <c r="L594" s="3">
        <f t="shared" si="71"/>
        <v>0</v>
      </c>
      <c r="N594" s="3"/>
      <c r="O594" s="3"/>
      <c r="P594" s="3"/>
      <c r="Q594" s="3"/>
      <c r="R594" s="3"/>
      <c r="S594" s="3"/>
    </row>
    <row r="595" spans="1:19" ht="11.25" x14ac:dyDescent="0.2">
      <c r="A595" s="3" t="s">
        <v>810</v>
      </c>
      <c r="B595" s="3"/>
      <c r="C595" s="14"/>
      <c r="D595" s="3"/>
      <c r="E595" s="15"/>
      <c r="F595" s="325" t="str">
        <f>""&amp;+Input!$B$1</f>
        <v>COLUMBIA GAS OF KENTUCKY, INC.</v>
      </c>
      <c r="H595" s="3"/>
      <c r="I595" s="3"/>
      <c r="J595" s="3"/>
      <c r="K595" s="3"/>
      <c r="L595" s="32" t="str">
        <f>Input!$B$2</f>
        <v>ATTACHMENT CEN-2</v>
      </c>
      <c r="N595" s="3"/>
      <c r="O595" s="3"/>
      <c r="P595" s="3"/>
      <c r="Q595" s="3"/>
      <c r="R595" s="3"/>
      <c r="S595" s="3"/>
    </row>
    <row r="596" spans="1:19" ht="11.25" x14ac:dyDescent="0.2">
      <c r="A596" s="3" t="str">
        <f>Input!$B$7</f>
        <v>DEMAND-COMMODITY</v>
      </c>
      <c r="B596" s="3"/>
      <c r="C596" s="3"/>
      <c r="D596" s="3"/>
      <c r="E596" s="3"/>
      <c r="F596" s="325" t="s">
        <v>569</v>
      </c>
      <c r="H596" s="3"/>
      <c r="I596" s="3"/>
      <c r="J596" s="3"/>
      <c r="K596" s="3"/>
      <c r="L596" s="32" t="str">
        <f>"PAGE 18 OF "&amp;FIXED(Input!$B$8,0,TRUE)</f>
        <v>PAGE 18 OF 129</v>
      </c>
      <c r="N596" s="3"/>
      <c r="O596" s="3"/>
      <c r="P596" s="3"/>
      <c r="Q596" s="3"/>
      <c r="R596" s="3"/>
      <c r="S596" s="3"/>
    </row>
    <row r="597" spans="1:19" ht="11.25" x14ac:dyDescent="0.2">
      <c r="A597" s="17" t="str">
        <f>Input!$B$6</f>
        <v>FORECASTED TEST YEAR - ORIGINAL FILING</v>
      </c>
      <c r="B597" s="17"/>
      <c r="C597" s="17"/>
      <c r="D597" s="18"/>
      <c r="E597" s="17"/>
      <c r="F597" s="19" t="str">
        <f>"FOR THE TWELVE MONTHS ENDED "&amp;Input!$B$4</f>
        <v>FOR THE TWELVE MONTHS ENDED 12/31/2017</v>
      </c>
      <c r="G597" s="329"/>
      <c r="H597" s="17"/>
      <c r="I597" s="17"/>
      <c r="J597" s="17"/>
      <c r="K597" s="17"/>
      <c r="L597" s="183" t="str">
        <f>"WITNESS: "&amp;Input!$B$5</f>
        <v>WITNESS: C. NOTESTONE</v>
      </c>
      <c r="N597" s="3"/>
      <c r="O597" s="3"/>
      <c r="P597" s="3"/>
      <c r="Q597" s="3"/>
      <c r="R597" s="3"/>
      <c r="S597" s="3"/>
    </row>
    <row r="598" spans="1:19" ht="11.25" x14ac:dyDescent="0.2">
      <c r="A598" s="325" t="s">
        <v>5</v>
      </c>
      <c r="B598" s="3" t="s">
        <v>6</v>
      </c>
      <c r="C598" s="3"/>
      <c r="D598" s="325" t="s">
        <v>7</v>
      </c>
      <c r="E598" s="325" t="s">
        <v>8</v>
      </c>
      <c r="F598" s="3"/>
      <c r="G598" s="3"/>
      <c r="H598" s="3"/>
      <c r="I598" s="3"/>
      <c r="J598" s="3"/>
      <c r="K598" s="3"/>
      <c r="L598" s="3"/>
      <c r="N598" s="3"/>
      <c r="O598" s="3"/>
      <c r="P598" s="3"/>
      <c r="Q598" s="3"/>
      <c r="R598" s="3"/>
      <c r="S598" s="3"/>
    </row>
    <row r="599" spans="1:19" ht="11.25" x14ac:dyDescent="0.2">
      <c r="A599" s="341" t="s">
        <v>9</v>
      </c>
      <c r="B599" s="341" t="s">
        <v>9</v>
      </c>
      <c r="C599" s="341" t="str">
        <f>"                        ACCOUNT TITLE                "</f>
        <v xml:space="preserve">                        ACCOUNT TITLE                </v>
      </c>
      <c r="D599" s="26" t="s">
        <v>10</v>
      </c>
      <c r="E599" s="341" t="s">
        <v>11</v>
      </c>
      <c r="F599" s="341" t="str">
        <f>"  "&amp;+Input!$C$12</f>
        <v xml:space="preserve">  GS-RESIDENTIAL</v>
      </c>
      <c r="G599" s="341" t="str">
        <f>Input!$C$13</f>
        <v>GS-OTHER</v>
      </c>
      <c r="H599" s="341" t="str">
        <f>Input!$C$14</f>
        <v>IUS</v>
      </c>
      <c r="I599" s="341" t="str">
        <f>Input!$C$15</f>
        <v>DS-ML</v>
      </c>
      <c r="J599" s="341" t="str">
        <f>Input!$C$16</f>
        <v>DS/IS</v>
      </c>
      <c r="K599" s="341" t="str">
        <f>Input!$C$17</f>
        <v>NOT USED</v>
      </c>
      <c r="L599" s="341" t="str">
        <f>Input!$C$18</f>
        <v>NOT USED</v>
      </c>
      <c r="N599" s="3"/>
      <c r="O599" s="3"/>
      <c r="P599" s="3"/>
      <c r="Q599" s="3"/>
      <c r="R599" s="3"/>
      <c r="S599" s="3"/>
    </row>
    <row r="600" spans="1:19" ht="11.25" x14ac:dyDescent="0.2">
      <c r="A600" s="3"/>
      <c r="B600" s="342" t="s">
        <v>13</v>
      </c>
      <c r="C600" s="342" t="s">
        <v>14</v>
      </c>
      <c r="D600" s="325" t="s">
        <v>15</v>
      </c>
      <c r="E600" s="325" t="s">
        <v>16</v>
      </c>
      <c r="F600" s="325" t="s">
        <v>17</v>
      </c>
      <c r="G600" s="325" t="s">
        <v>18</v>
      </c>
      <c r="H600" s="325" t="s">
        <v>19</v>
      </c>
      <c r="I600" s="325" t="s">
        <v>20</v>
      </c>
      <c r="J600" s="325" t="s">
        <v>21</v>
      </c>
      <c r="K600" s="325" t="s">
        <v>22</v>
      </c>
      <c r="L600" s="325" t="s">
        <v>23</v>
      </c>
      <c r="N600" s="3"/>
      <c r="O600" s="3"/>
      <c r="P600" s="3"/>
      <c r="Q600" s="3"/>
      <c r="R600" s="3"/>
      <c r="S600" s="3"/>
    </row>
    <row r="601" spans="1:19" ht="11.25" x14ac:dyDescent="0.2">
      <c r="A601" s="3"/>
      <c r="B601" s="3"/>
      <c r="C601" s="3"/>
      <c r="D601" s="3"/>
      <c r="E601" s="325" t="s">
        <v>26</v>
      </c>
      <c r="F601" s="325" t="s">
        <v>26</v>
      </c>
      <c r="G601" s="325" t="s">
        <v>26</v>
      </c>
      <c r="H601" s="325" t="s">
        <v>26</v>
      </c>
      <c r="I601" s="325" t="s">
        <v>26</v>
      </c>
      <c r="J601" s="325" t="s">
        <v>26</v>
      </c>
      <c r="K601" s="325" t="s">
        <v>26</v>
      </c>
      <c r="L601" s="325" t="s">
        <v>26</v>
      </c>
      <c r="N601" s="3"/>
      <c r="O601" s="3"/>
      <c r="P601" s="3"/>
      <c r="Q601" s="3"/>
      <c r="R601" s="3"/>
      <c r="S601" s="3"/>
    </row>
    <row r="602" spans="1:19" ht="11.25" x14ac:dyDescent="0.2">
      <c r="A602" s="3">
        <v>1</v>
      </c>
      <c r="B602" s="3"/>
      <c r="C602" s="3" t="str">
        <f>Input!A436</f>
        <v>SALES</v>
      </c>
      <c r="D602" s="3"/>
      <c r="E602" s="3"/>
      <c r="F602" s="3"/>
      <c r="G602" s="3"/>
      <c r="H602" s="3"/>
      <c r="I602" s="3"/>
      <c r="J602" s="3"/>
      <c r="K602" s="3"/>
      <c r="L602" s="3"/>
      <c r="N602" s="3"/>
      <c r="O602" s="3"/>
      <c r="P602" s="3"/>
      <c r="Q602" s="3"/>
      <c r="R602" s="3"/>
      <c r="S602" s="3"/>
    </row>
    <row r="603" spans="1:19" ht="11.25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N603" s="3"/>
      <c r="O603" s="3"/>
      <c r="P603" s="3"/>
      <c r="Q603" s="3"/>
      <c r="R603" s="3"/>
      <c r="S603" s="3"/>
    </row>
    <row r="604" spans="1:19" ht="11.25" x14ac:dyDescent="0.2">
      <c r="A604" s="3">
        <f>A602+1</f>
        <v>2</v>
      </c>
      <c r="B604" s="3" t="str">
        <f>Input!A437</f>
        <v>911</v>
      </c>
      <c r="C604" s="3" t="str">
        <f>Input!B437</f>
        <v>SUPERVISION</v>
      </c>
      <c r="D604" s="3"/>
      <c r="E604" s="1">
        <f>Input!D437-'Total Co'!E505</f>
        <v>0</v>
      </c>
      <c r="F604" s="3">
        <f>Customer!F604+Commodity!F604+Demand!F604</f>
        <v>0</v>
      </c>
      <c r="G604" s="3">
        <f>Customer!G604+Commodity!G604+Demand!G604</f>
        <v>0</v>
      </c>
      <c r="H604" s="3">
        <f>Customer!H604+Commodity!H604+Demand!H604</f>
        <v>0</v>
      </c>
      <c r="I604" s="3">
        <f>Customer!I604+Commodity!I604+Demand!I604</f>
        <v>0</v>
      </c>
      <c r="J604" s="3">
        <f>Customer!J604+Commodity!J604+Demand!J604</f>
        <v>0</v>
      </c>
      <c r="K604" s="3">
        <f>Customer!K604+Commodity!K604+Demand!K604</f>
        <v>0</v>
      </c>
      <c r="L604" s="3">
        <f>Customer!L604+Commodity!L604+Demand!L604</f>
        <v>0</v>
      </c>
      <c r="N604" s="3"/>
      <c r="O604" s="3"/>
      <c r="P604" s="3"/>
      <c r="Q604" s="3"/>
      <c r="R604" s="3"/>
      <c r="S604" s="3"/>
    </row>
    <row r="605" spans="1:19" ht="11.25" x14ac:dyDescent="0.2">
      <c r="A605" s="3">
        <f>A604+1</f>
        <v>3</v>
      </c>
      <c r="B605" s="3" t="str">
        <f>Input!A438</f>
        <v>912</v>
      </c>
      <c r="C605" s="3" t="str">
        <f>Input!B438</f>
        <v>DEMONSTRATION &amp; SELLING</v>
      </c>
      <c r="D605" s="3"/>
      <c r="E605" s="1">
        <f>Input!D438-'Total Co'!E506</f>
        <v>37477</v>
      </c>
      <c r="F605" s="3">
        <f>Customer!F605+Commodity!F605+Demand!F605</f>
        <v>33601</v>
      </c>
      <c r="G605" s="3">
        <f>Customer!G605+Commodity!G605+Demand!G605</f>
        <v>3852</v>
      </c>
      <c r="H605" s="3">
        <f>Customer!H605+Commodity!H605+Demand!H605</f>
        <v>0</v>
      </c>
      <c r="I605" s="3">
        <f>Customer!I605+Commodity!I605+Demand!I605</f>
        <v>1</v>
      </c>
      <c r="J605" s="3">
        <f>Customer!J605+Commodity!J605+Demand!J605</f>
        <v>22</v>
      </c>
      <c r="K605" s="3">
        <f>Customer!K605+Commodity!K605+Demand!K605</f>
        <v>0</v>
      </c>
      <c r="L605" s="3">
        <f>Customer!L605+Commodity!L605+Demand!L605</f>
        <v>0</v>
      </c>
      <c r="N605" s="3"/>
      <c r="O605" s="3"/>
      <c r="P605" s="3"/>
      <c r="Q605" s="3"/>
      <c r="R605" s="3"/>
      <c r="S605" s="3"/>
    </row>
    <row r="606" spans="1:19" ht="11.25" x14ac:dyDescent="0.2">
      <c r="A606" s="3">
        <f>A605+1</f>
        <v>4</v>
      </c>
      <c r="B606" s="3" t="str">
        <f>Input!A439</f>
        <v>913</v>
      </c>
      <c r="C606" s="3" t="str">
        <f>Input!B439</f>
        <v>ADVERTISING</v>
      </c>
      <c r="D606" s="3"/>
      <c r="E606" s="1">
        <f>Input!D439-'Total Co'!E507</f>
        <v>138706</v>
      </c>
      <c r="F606" s="3">
        <f>Customer!F606+Commodity!F606+Demand!F606</f>
        <v>124361</v>
      </c>
      <c r="G606" s="3">
        <f>Customer!G606+Commodity!G606+Demand!G606</f>
        <v>14258</v>
      </c>
      <c r="H606" s="3">
        <f>Customer!H606+Commodity!H606+Demand!H606</f>
        <v>1</v>
      </c>
      <c r="I606" s="3">
        <f>Customer!I606+Commodity!I606+Demand!I606</f>
        <v>6</v>
      </c>
      <c r="J606" s="3">
        <f>Customer!J606+Commodity!J606+Demand!J606</f>
        <v>80</v>
      </c>
      <c r="K606" s="3">
        <f>Customer!K606+Commodity!K606+Demand!K606</f>
        <v>0</v>
      </c>
      <c r="L606" s="3">
        <f>Customer!L606+Commodity!L606+Demand!L606</f>
        <v>0</v>
      </c>
      <c r="N606" s="3"/>
      <c r="O606" s="3"/>
      <c r="P606" s="3"/>
      <c r="Q606" s="3"/>
      <c r="R606" s="3"/>
      <c r="S606" s="3"/>
    </row>
    <row r="607" spans="1:19" ht="11.25" x14ac:dyDescent="0.2">
      <c r="A607" s="3">
        <f>A606+1</f>
        <v>5</v>
      </c>
      <c r="B607" s="3" t="str">
        <f>Input!A440</f>
        <v>916</v>
      </c>
      <c r="C607" s="3" t="str">
        <f>Input!B440</f>
        <v>MISC.</v>
      </c>
      <c r="D607" s="3"/>
      <c r="E607" s="116">
        <f>Input!D440-'Total Co'!E508</f>
        <v>0</v>
      </c>
      <c r="F607" s="3">
        <f>Customer!F607+Commodity!F607+Demand!F607</f>
        <v>0</v>
      </c>
      <c r="G607" s="3">
        <f>Customer!G607+Commodity!G607+Demand!G607</f>
        <v>0</v>
      </c>
      <c r="H607" s="3">
        <f>Customer!H607+Commodity!H607+Demand!H607</f>
        <v>0</v>
      </c>
      <c r="I607" s="3">
        <f>Customer!I607+Commodity!I607+Demand!I607</f>
        <v>0</v>
      </c>
      <c r="J607" s="3">
        <f>Customer!J607+Commodity!J607+Demand!J607</f>
        <v>0</v>
      </c>
      <c r="K607" s="3">
        <f>Customer!K607+Commodity!K607+Demand!K607</f>
        <v>0</v>
      </c>
      <c r="L607" s="3">
        <f>Customer!L607+Commodity!L607+Demand!L607</f>
        <v>0</v>
      </c>
      <c r="N607" s="3"/>
      <c r="O607" s="3"/>
      <c r="P607" s="3"/>
      <c r="Q607" s="3"/>
      <c r="R607" s="3"/>
      <c r="S607" s="3"/>
    </row>
    <row r="608" spans="1:19" ht="11.25" x14ac:dyDescent="0.2">
      <c r="A608" s="3">
        <f>A607+1</f>
        <v>6</v>
      </c>
      <c r="B608" s="3"/>
      <c r="C608" s="3" t="s">
        <v>312</v>
      </c>
      <c r="D608" s="3"/>
      <c r="E608" s="116">
        <f t="shared" ref="E608:L608" si="72">SUM(E604:E607)</f>
        <v>176183</v>
      </c>
      <c r="F608" s="26">
        <f t="shared" si="72"/>
        <v>157962</v>
      </c>
      <c r="G608" s="26">
        <f t="shared" si="72"/>
        <v>18110</v>
      </c>
      <c r="H608" s="26">
        <f t="shared" si="72"/>
        <v>1</v>
      </c>
      <c r="I608" s="26">
        <f t="shared" si="72"/>
        <v>7</v>
      </c>
      <c r="J608" s="26">
        <f t="shared" si="72"/>
        <v>102</v>
      </c>
      <c r="K608" s="26">
        <f t="shared" si="72"/>
        <v>0</v>
      </c>
      <c r="L608" s="26">
        <f t="shared" si="72"/>
        <v>0</v>
      </c>
      <c r="N608" s="3"/>
      <c r="O608" s="3"/>
      <c r="P608" s="3"/>
      <c r="Q608" s="3"/>
      <c r="R608" s="3"/>
      <c r="S608" s="3"/>
    </row>
    <row r="609" spans="1:19" ht="11.25" x14ac:dyDescent="0.2">
      <c r="A609" s="3"/>
      <c r="B609" s="3"/>
      <c r="C609" s="3"/>
      <c r="D609" s="3"/>
      <c r="E609" s="1"/>
      <c r="F609" s="3"/>
      <c r="G609" s="3"/>
      <c r="H609" s="3"/>
      <c r="I609" s="3"/>
      <c r="J609" s="3"/>
      <c r="K609" s="3"/>
      <c r="L609" s="3"/>
      <c r="N609" s="3"/>
      <c r="O609" s="3"/>
      <c r="P609" s="3"/>
      <c r="Q609" s="3"/>
      <c r="R609" s="3"/>
      <c r="S609" s="3"/>
    </row>
    <row r="610" spans="1:19" ht="11.25" x14ac:dyDescent="0.2">
      <c r="A610" s="3">
        <f>A608+1</f>
        <v>7</v>
      </c>
      <c r="B610" s="3"/>
      <c r="C610" s="3" t="s">
        <v>314</v>
      </c>
      <c r="D610" s="3"/>
      <c r="E610" s="1">
        <f>'Total Co'!E551+'Total Co'!E563+'Total Co'!E582+'Total Co'!E594+E608</f>
        <v>17975026.169999998</v>
      </c>
      <c r="F610" s="3">
        <f ca="1">'Total Co'!F551+'Total Co'!F563+'Total Co'!F582+'Total Co'!F594+F608</f>
        <v>12031567</v>
      </c>
      <c r="G610" s="3">
        <f ca="1">'Total Co'!G551+'Total Co'!G563+'Total Co'!G582+'Total Co'!G594+G608</f>
        <v>3349629</v>
      </c>
      <c r="H610" s="3">
        <f ca="1">'Total Co'!H551+'Total Co'!H563+'Total Co'!H582+'Total Co'!H594+H608</f>
        <v>4432</v>
      </c>
      <c r="I610" s="3">
        <f ca="1">'Total Co'!I551+'Total Co'!I563+'Total Co'!I582+'Total Co'!I594+I608</f>
        <v>21004</v>
      </c>
      <c r="J610" s="3">
        <f ca="1">'Total Co'!J551+'Total Co'!J563+'Total Co'!J582+'Total Co'!J594+J608</f>
        <v>2568392</v>
      </c>
      <c r="K610" s="3">
        <f ca="1">'Total Co'!K551+'Total Co'!K563+'Total Co'!K582+'Total Co'!K594+K608</f>
        <v>0</v>
      </c>
      <c r="L610" s="3">
        <f ca="1">'Total Co'!L551+'Total Co'!L563+'Total Co'!L582+'Total Co'!L594+L608</f>
        <v>0</v>
      </c>
      <c r="N610" s="3"/>
      <c r="O610" s="3"/>
      <c r="P610" s="3"/>
      <c r="Q610" s="3"/>
      <c r="R610" s="3"/>
      <c r="S610" s="3"/>
    </row>
    <row r="611" spans="1:19" ht="11.25" x14ac:dyDescent="0.2">
      <c r="A611" s="3"/>
      <c r="B611" s="3"/>
      <c r="C611" s="3"/>
      <c r="D611" s="3"/>
      <c r="E611" s="1"/>
      <c r="F611" s="3"/>
      <c r="G611" s="3"/>
      <c r="H611" s="3"/>
      <c r="I611" s="3"/>
      <c r="J611" s="3"/>
      <c r="K611" s="3"/>
      <c r="L611" s="3"/>
      <c r="N611" s="3"/>
      <c r="O611" s="3"/>
      <c r="P611" s="3"/>
      <c r="Q611" s="3"/>
      <c r="R611" s="3"/>
      <c r="S611" s="3"/>
    </row>
    <row r="612" spans="1:19" ht="11.25" x14ac:dyDescent="0.2">
      <c r="A612" s="3">
        <f>A610+1</f>
        <v>8</v>
      </c>
      <c r="B612" s="3"/>
      <c r="C612" s="3" t="str">
        <f>Input!A474</f>
        <v>ADMINISTRATIVE &amp; GENERAL</v>
      </c>
      <c r="D612" s="3"/>
      <c r="E612" s="1"/>
      <c r="F612" s="3"/>
      <c r="G612" s="3"/>
      <c r="H612" s="3"/>
      <c r="I612" s="3"/>
      <c r="J612" s="3"/>
      <c r="K612" s="3"/>
      <c r="L612" s="3"/>
      <c r="N612" s="3"/>
      <c r="O612" s="3"/>
      <c r="P612" s="3"/>
      <c r="Q612" s="3"/>
      <c r="R612" s="3"/>
      <c r="S612" s="3"/>
    </row>
    <row r="613" spans="1:19" ht="11.25" x14ac:dyDescent="0.2">
      <c r="A613" s="3"/>
      <c r="B613" s="25"/>
      <c r="C613" s="25"/>
      <c r="D613" s="3"/>
      <c r="E613" s="1"/>
      <c r="F613" s="3"/>
      <c r="G613" s="3"/>
      <c r="H613" s="3"/>
      <c r="I613" s="3"/>
      <c r="J613" s="3"/>
      <c r="K613" s="3"/>
      <c r="L613" s="3"/>
      <c r="N613" s="3"/>
      <c r="O613" s="3"/>
      <c r="P613" s="3"/>
      <c r="Q613" s="3"/>
      <c r="R613" s="3"/>
      <c r="S613" s="3"/>
    </row>
    <row r="614" spans="1:19" ht="11.25" x14ac:dyDescent="0.2">
      <c r="A614" s="3">
        <f>A612+1</f>
        <v>9</v>
      </c>
      <c r="B614" s="3" t="str">
        <f>Input!A475</f>
        <v>920</v>
      </c>
      <c r="C614" s="3" t="str">
        <f>Input!B475</f>
        <v>SALARIES</v>
      </c>
      <c r="D614" s="3"/>
      <c r="E614" s="1">
        <f>Input!D475-'Total Co'!E515</f>
        <v>2963302</v>
      </c>
      <c r="F614" s="3">
        <f ca="1">Customer!F614+Commodity!F614+Demand!F614</f>
        <v>1945722</v>
      </c>
      <c r="G614" s="3">
        <f ca="1">Customer!G614+Commodity!G614+Demand!G614</f>
        <v>571422</v>
      </c>
      <c r="H614" s="3">
        <f ca="1">Customer!H614+Commodity!H614+Demand!H614</f>
        <v>817</v>
      </c>
      <c r="I614" s="3">
        <f ca="1">Customer!I614+Commodity!I614+Demand!I614</f>
        <v>3592</v>
      </c>
      <c r="J614" s="3">
        <f ca="1">Customer!J614+Commodity!J614+Demand!J614</f>
        <v>441749</v>
      </c>
      <c r="K614" s="3">
        <f ca="1">Customer!K614+Commodity!K614+Demand!K614</f>
        <v>0</v>
      </c>
      <c r="L614" s="3">
        <f ca="1">Customer!L614+Commodity!L614+Demand!L614</f>
        <v>0</v>
      </c>
      <c r="N614" s="3"/>
      <c r="O614" s="3"/>
      <c r="P614" s="3"/>
      <c r="Q614" s="3"/>
      <c r="R614" s="3"/>
      <c r="S614" s="3"/>
    </row>
    <row r="615" spans="1:19" ht="11.25" x14ac:dyDescent="0.2">
      <c r="A615" s="3">
        <f t="shared" ref="A615:A628" si="73">A614+1</f>
        <v>10</v>
      </c>
      <c r="B615" s="3" t="str">
        <f>Input!A476</f>
        <v>921</v>
      </c>
      <c r="C615" s="3" t="str">
        <f>Input!B476</f>
        <v>OFFICE SUPPLIES &amp; EXPENSES</v>
      </c>
      <c r="D615" s="3"/>
      <c r="E615" s="1">
        <f>Input!D476-'Total Co'!E516</f>
        <v>894098</v>
      </c>
      <c r="F615" s="3">
        <f ca="1">Customer!F615+Commodity!F615+Demand!F615</f>
        <v>587070</v>
      </c>
      <c r="G615" s="3">
        <f ca="1">Customer!G615+Commodity!G615+Demand!G615</f>
        <v>172412</v>
      </c>
      <c r="H615" s="3">
        <f ca="1">Customer!H615+Commodity!H615+Demand!H615</f>
        <v>247</v>
      </c>
      <c r="I615" s="3">
        <f ca="1">Customer!I615+Commodity!I615+Demand!I615</f>
        <v>1083</v>
      </c>
      <c r="J615" s="3">
        <f ca="1">Customer!J615+Commodity!J615+Demand!J615</f>
        <v>133286</v>
      </c>
      <c r="K615" s="3">
        <f ca="1">Customer!K615+Commodity!K615+Demand!K615</f>
        <v>0</v>
      </c>
      <c r="L615" s="3">
        <f ca="1">Customer!L615+Commodity!L615+Demand!L615</f>
        <v>0</v>
      </c>
      <c r="N615" s="3"/>
      <c r="O615" s="3"/>
      <c r="P615" s="3"/>
      <c r="Q615" s="3"/>
      <c r="R615" s="3"/>
      <c r="S615" s="3"/>
    </row>
    <row r="616" spans="1:19" ht="11.25" x14ac:dyDescent="0.2">
      <c r="A616" s="3">
        <f t="shared" si="73"/>
        <v>11</v>
      </c>
      <c r="B616" s="3" t="str">
        <f>Input!A477</f>
        <v>922</v>
      </c>
      <c r="C616" s="3" t="str">
        <f>Input!B477</f>
        <v>ADMIN. EXPENSES TRANSFERED</v>
      </c>
      <c r="D616" s="3"/>
      <c r="E616" s="1">
        <f>Input!D477-'Total Co'!E517</f>
        <v>0</v>
      </c>
      <c r="F616" s="3">
        <f ca="1">Customer!F616+Commodity!F616+Demand!F616</f>
        <v>0</v>
      </c>
      <c r="G616" s="3">
        <f ca="1">Customer!G616+Commodity!G616+Demand!G616</f>
        <v>0</v>
      </c>
      <c r="H616" s="3">
        <f ca="1">Customer!H616+Commodity!H616+Demand!H616</f>
        <v>0</v>
      </c>
      <c r="I616" s="3">
        <f ca="1">Customer!I616+Commodity!I616+Demand!I616</f>
        <v>0</v>
      </c>
      <c r="J616" s="3">
        <f ca="1">Customer!J616+Commodity!J616+Demand!J616</f>
        <v>0</v>
      </c>
      <c r="K616" s="3">
        <f ca="1">Customer!K616+Commodity!K616+Demand!K616</f>
        <v>0</v>
      </c>
      <c r="L616" s="3">
        <f ca="1">Customer!L616+Commodity!L616+Demand!L616</f>
        <v>0</v>
      </c>
      <c r="N616" s="3"/>
      <c r="O616" s="3"/>
      <c r="P616" s="3"/>
      <c r="Q616" s="3"/>
      <c r="R616" s="3"/>
      <c r="S616" s="3"/>
    </row>
    <row r="617" spans="1:19" ht="11.25" x14ac:dyDescent="0.2">
      <c r="A617" s="3">
        <f t="shared" si="73"/>
        <v>12</v>
      </c>
      <c r="B617" s="3" t="str">
        <f>Input!A478</f>
        <v>923</v>
      </c>
      <c r="C617" s="3" t="str">
        <f>Input!B478</f>
        <v xml:space="preserve">OUTSIDE SERVICES </v>
      </c>
      <c r="D617" s="3"/>
      <c r="E617" s="1">
        <f>Input!D478-'Total Co'!E518</f>
        <v>7869788.9999600006</v>
      </c>
      <c r="F617" s="3">
        <f ca="1">Customer!F617+Commodity!F617+Demand!F617</f>
        <v>5167352</v>
      </c>
      <c r="G617" s="3">
        <f ca="1">Customer!G617+Commodity!G617+Demand!G617</f>
        <v>1517556</v>
      </c>
      <c r="H617" s="3">
        <f ca="1">Customer!H617+Commodity!H617+Demand!H617</f>
        <v>2171</v>
      </c>
      <c r="I617" s="3">
        <f ca="1">Customer!I617+Commodity!I617+Demand!I617</f>
        <v>9537</v>
      </c>
      <c r="J617" s="3">
        <f ca="1">Customer!J617+Commodity!J617+Demand!J617</f>
        <v>1173174</v>
      </c>
      <c r="K617" s="3">
        <f ca="1">Customer!K617+Commodity!K617+Demand!K617</f>
        <v>0</v>
      </c>
      <c r="L617" s="3">
        <f ca="1">Customer!L617+Commodity!L617+Demand!L617</f>
        <v>0</v>
      </c>
      <c r="N617" s="3"/>
      <c r="O617" s="3"/>
      <c r="P617" s="3"/>
      <c r="Q617" s="3"/>
      <c r="R617" s="3"/>
      <c r="S617" s="3"/>
    </row>
    <row r="618" spans="1:19" ht="11.25" x14ac:dyDescent="0.2">
      <c r="A618" s="3">
        <f t="shared" si="73"/>
        <v>13</v>
      </c>
      <c r="B618" s="3" t="str">
        <f>Input!A479</f>
        <v>924</v>
      </c>
      <c r="C618" s="3" t="str">
        <f>Input!B479</f>
        <v>PROPERTY INSURANCE</v>
      </c>
      <c r="D618" s="3"/>
      <c r="E618" s="1">
        <f>Input!D479-'Total Co'!E519</f>
        <v>81748</v>
      </c>
      <c r="F618" s="3">
        <f ca="1">Customer!F618+Commodity!F618+Demand!F618</f>
        <v>53676</v>
      </c>
      <c r="G618" s="3">
        <f ca="1">Customer!G618+Commodity!G618+Demand!G618</f>
        <v>15764</v>
      </c>
      <c r="H618" s="3">
        <f ca="1">Customer!H618+Commodity!H618+Demand!H618</f>
        <v>23</v>
      </c>
      <c r="I618" s="3">
        <f ca="1">Customer!I618+Commodity!I618+Demand!I618</f>
        <v>99</v>
      </c>
      <c r="J618" s="3">
        <f ca="1">Customer!J618+Commodity!J618+Demand!J618</f>
        <v>12186</v>
      </c>
      <c r="K618" s="3">
        <f ca="1">Customer!K618+Commodity!K618+Demand!K618</f>
        <v>0</v>
      </c>
      <c r="L618" s="3">
        <f ca="1">Customer!L618+Commodity!L618+Demand!L618</f>
        <v>0</v>
      </c>
      <c r="N618" s="3"/>
      <c r="O618" s="3"/>
      <c r="P618" s="3"/>
      <c r="Q618" s="3"/>
      <c r="R618" s="3"/>
      <c r="S618" s="3"/>
    </row>
    <row r="619" spans="1:19" ht="11.25" x14ac:dyDescent="0.2">
      <c r="A619" s="3">
        <f t="shared" si="73"/>
        <v>14</v>
      </c>
      <c r="B619" s="3" t="str">
        <f>Input!A480</f>
        <v>925</v>
      </c>
      <c r="C619" s="3" t="str">
        <f>Input!B480</f>
        <v>INJURIES AND DAMAGES</v>
      </c>
      <c r="D619" s="3"/>
      <c r="E619" s="1">
        <f>Input!D480-'Total Co'!E520</f>
        <v>1043923.25</v>
      </c>
      <c r="F619" s="3">
        <f ca="1">Customer!F619+Commodity!F619+Demand!F619</f>
        <v>632095</v>
      </c>
      <c r="G619" s="3">
        <f ca="1">Customer!G619+Commodity!G619+Demand!G619</f>
        <v>245265</v>
      </c>
      <c r="H619" s="3">
        <f ca="1">Customer!H619+Commodity!H619+Demand!H619</f>
        <v>310</v>
      </c>
      <c r="I619" s="3">
        <f ca="1">Customer!I619+Commodity!I619+Demand!I619</f>
        <v>1530</v>
      </c>
      <c r="J619" s="3">
        <f ca="1">Customer!J619+Commodity!J619+Demand!J619</f>
        <v>164723</v>
      </c>
      <c r="K619" s="3">
        <f ca="1">Customer!K619+Commodity!K619+Demand!K619</f>
        <v>0</v>
      </c>
      <c r="L619" s="3">
        <f ca="1">Customer!L619+Commodity!L619+Demand!L619</f>
        <v>0</v>
      </c>
      <c r="N619" s="3"/>
      <c r="O619" s="3"/>
      <c r="P619" s="3"/>
      <c r="Q619" s="3"/>
      <c r="R619" s="3"/>
      <c r="S619" s="3"/>
    </row>
    <row r="620" spans="1:19" ht="11.25" x14ac:dyDescent="0.2">
      <c r="A620" s="3">
        <f t="shared" si="73"/>
        <v>15</v>
      </c>
      <c r="B620" s="3" t="str">
        <f>Input!A481</f>
        <v>926</v>
      </c>
      <c r="C620" s="3" t="str">
        <f>Input!B481</f>
        <v>EMPLOYEE PENSIONS &amp; BENEFITS</v>
      </c>
      <c r="D620" s="3"/>
      <c r="E620" s="1">
        <f>Input!D481-E621-'Total Co'!E521</f>
        <v>3351466.88</v>
      </c>
      <c r="F620" s="3">
        <f ca="1">Customer!F620+Commodity!F620+Demand!F620</f>
        <v>2029310</v>
      </c>
      <c r="G620" s="3">
        <f ca="1">Customer!G620+Commodity!G620+Demand!G620</f>
        <v>787415</v>
      </c>
      <c r="H620" s="3">
        <f ca="1">Customer!H620+Commodity!H620+Demand!H620</f>
        <v>996</v>
      </c>
      <c r="I620" s="3">
        <f ca="1">Customer!I620+Commodity!I620+Demand!I620</f>
        <v>4912</v>
      </c>
      <c r="J620" s="3">
        <f ca="1">Customer!J620+Commodity!J620+Demand!J620</f>
        <v>528834</v>
      </c>
      <c r="K620" s="3">
        <f ca="1">Customer!K620+Commodity!K620+Demand!K620</f>
        <v>0</v>
      </c>
      <c r="L620" s="3">
        <f ca="1">Customer!L620+Commodity!L620+Demand!L620</f>
        <v>0</v>
      </c>
      <c r="N620" s="3"/>
      <c r="O620" s="3"/>
      <c r="P620" s="3"/>
      <c r="Q620" s="3"/>
      <c r="R620" s="3"/>
      <c r="S620" s="3"/>
    </row>
    <row r="621" spans="1:19" ht="11.25" x14ac:dyDescent="0.2">
      <c r="A621" s="3">
        <f t="shared" si="73"/>
        <v>16</v>
      </c>
      <c r="B621" s="3" t="str">
        <f>Input!A482</f>
        <v>926</v>
      </c>
      <c r="C621" s="3" t="str">
        <f>Input!B482</f>
        <v>DIRECT EMPLOYEE PENSIONS &amp; BENEFITS</v>
      </c>
      <c r="D621" s="3"/>
      <c r="E621" s="1">
        <f>SUM(F621:L621)</f>
        <v>0</v>
      </c>
      <c r="F621" s="3">
        <f>Customer!F621+Commodity!F621+Demand!F621</f>
        <v>0</v>
      </c>
      <c r="G621" s="3">
        <f>Customer!G621+Commodity!G621+Demand!G621</f>
        <v>0</v>
      </c>
      <c r="H621" s="3">
        <f>Customer!H621+Commodity!H621+Demand!H621</f>
        <v>0</v>
      </c>
      <c r="I621" s="3">
        <f>Customer!I621+Commodity!I621+Demand!I621</f>
        <v>0</v>
      </c>
      <c r="J621" s="3">
        <f>Customer!J621+Commodity!J621+Demand!J621</f>
        <v>0</v>
      </c>
      <c r="K621" s="3">
        <f>Customer!K621+Commodity!K621+Demand!K621</f>
        <v>0</v>
      </c>
      <c r="L621" s="3">
        <f>Customer!L621+Commodity!L621+Demand!L621</f>
        <v>0</v>
      </c>
      <c r="N621" s="3"/>
      <c r="O621" s="3"/>
      <c r="P621" s="3"/>
      <c r="Q621" s="3"/>
      <c r="R621" s="3"/>
      <c r="S621" s="3"/>
    </row>
    <row r="622" spans="1:19" ht="11.25" x14ac:dyDescent="0.2">
      <c r="A622" s="3">
        <f t="shared" si="73"/>
        <v>17</v>
      </c>
      <c r="B622" s="3" t="str">
        <f>Input!A483</f>
        <v>928</v>
      </c>
      <c r="C622" s="3" t="str">
        <f>Input!B483</f>
        <v>REG COMMISSION EXP - GENERAL</v>
      </c>
      <c r="D622" s="3"/>
      <c r="E622" s="1">
        <f ca="1">Input!D483-'Total Co'!E522</f>
        <v>197760.25</v>
      </c>
      <c r="F622" s="3">
        <f ca="1">Customer!F622+Commodity!F622+Demand!F622</f>
        <v>129851</v>
      </c>
      <c r="G622" s="3">
        <f ca="1">Customer!G622+Commodity!G622+Demand!G622</f>
        <v>38135</v>
      </c>
      <c r="H622" s="3">
        <f ca="1">Customer!H622+Commodity!H622+Demand!H622</f>
        <v>55</v>
      </c>
      <c r="I622" s="3">
        <f ca="1">Customer!I622+Commodity!I622+Demand!I622</f>
        <v>239</v>
      </c>
      <c r="J622" s="3">
        <f ca="1">Customer!J622+Commodity!J622+Demand!J622</f>
        <v>29481</v>
      </c>
      <c r="K622" s="3">
        <f ca="1">Customer!K622+Commodity!K622+Demand!K622</f>
        <v>0</v>
      </c>
      <c r="L622" s="3">
        <f ca="1">Customer!L622+Commodity!L622+Demand!L622</f>
        <v>0</v>
      </c>
      <c r="N622" s="3"/>
      <c r="O622" s="3"/>
      <c r="P622" s="3"/>
      <c r="Q622" s="3"/>
      <c r="R622" s="3"/>
      <c r="S622" s="3"/>
    </row>
    <row r="623" spans="1:19" ht="11.25" x14ac:dyDescent="0.2">
      <c r="A623" s="3">
        <f t="shared" si="73"/>
        <v>18</v>
      </c>
      <c r="B623" s="3" t="str">
        <f>Input!A484</f>
        <v>928</v>
      </c>
      <c r="C623" s="3" t="str">
        <f>Input!B484</f>
        <v>REGULATORY COMMISSION EXP - PSC @ 0.001901</v>
      </c>
      <c r="D623" s="3"/>
      <c r="E623" s="1">
        <f ca="1">SUM(F623:L623)</f>
        <v>176190</v>
      </c>
      <c r="F623" s="3">
        <f ca="1">Customer!F623+Commodity!F623+Demand!F623</f>
        <v>115687</v>
      </c>
      <c r="G623" s="3">
        <f ca="1">Customer!G623+Commodity!G623+Demand!G623</f>
        <v>33975</v>
      </c>
      <c r="H623" s="3">
        <f ca="1">Customer!H623+Commodity!H623+Demand!H623</f>
        <v>49</v>
      </c>
      <c r="I623" s="3">
        <f ca="1">Customer!I623+Commodity!I623+Demand!I623</f>
        <v>214</v>
      </c>
      <c r="J623" s="3">
        <f ca="1">Customer!J623+Commodity!J623+Demand!J623</f>
        <v>26265</v>
      </c>
      <c r="K623" s="3">
        <f ca="1">Customer!K623+Commodity!K623+Demand!K623</f>
        <v>0</v>
      </c>
      <c r="L623" s="3">
        <f ca="1">Customer!L623+Commodity!L623+Demand!L623</f>
        <v>0</v>
      </c>
      <c r="N623" s="3"/>
      <c r="O623" s="3"/>
      <c r="P623" s="3"/>
      <c r="Q623" s="3"/>
      <c r="R623" s="3"/>
      <c r="S623" s="3"/>
    </row>
    <row r="624" spans="1:19" ht="11.25" x14ac:dyDescent="0.2">
      <c r="A624" s="3">
        <f t="shared" si="73"/>
        <v>19</v>
      </c>
      <c r="B624" s="3" t="str">
        <f>Input!A485</f>
        <v>930.10</v>
      </c>
      <c r="C624" s="3" t="str">
        <f>Input!B485</f>
        <v>MISC. - INSTITUT &amp; GOODWILL ADV</v>
      </c>
      <c r="D624" s="3"/>
      <c r="E624" s="3">
        <f>Input!D485-'Total Co'!E523</f>
        <v>0</v>
      </c>
      <c r="F624" s="3">
        <f ca="1">Customer!F624+Commodity!F624+Demand!F624</f>
        <v>0</v>
      </c>
      <c r="G624" s="3">
        <f ca="1">Customer!G624+Commodity!G624+Demand!G624</f>
        <v>0</v>
      </c>
      <c r="H624" s="3">
        <f ca="1">Customer!H624+Commodity!H624+Demand!H624</f>
        <v>0</v>
      </c>
      <c r="I624" s="3">
        <f ca="1">Customer!I624+Commodity!I624+Demand!I624</f>
        <v>0</v>
      </c>
      <c r="J624" s="3">
        <f ca="1">Customer!J624+Commodity!J624+Demand!J624</f>
        <v>0</v>
      </c>
      <c r="K624" s="3">
        <f ca="1">Customer!K624+Commodity!K624+Demand!K624</f>
        <v>0</v>
      </c>
      <c r="L624" s="3">
        <f ca="1">Customer!L624+Commodity!L624+Demand!L624</f>
        <v>0</v>
      </c>
      <c r="N624" s="3"/>
      <c r="O624" s="3"/>
      <c r="P624" s="3"/>
      <c r="Q624" s="3"/>
      <c r="R624" s="3"/>
      <c r="S624" s="3"/>
    </row>
    <row r="625" spans="1:19" ht="11.25" x14ac:dyDescent="0.2">
      <c r="A625" s="3">
        <f t="shared" si="73"/>
        <v>20</v>
      </c>
      <c r="B625" s="3" t="str">
        <f>Input!A486</f>
        <v>930.20</v>
      </c>
      <c r="C625" s="3" t="str">
        <f>Input!B486</f>
        <v>MISC. - GENERAL</v>
      </c>
      <c r="D625" s="3"/>
      <c r="E625" s="1">
        <f>Input!D486-'Total Co'!E524</f>
        <v>-62123.400000000009</v>
      </c>
      <c r="F625" s="3">
        <f ca="1">Customer!F625+Commodity!F625+Demand!F625</f>
        <v>-40791</v>
      </c>
      <c r="G625" s="3">
        <f ca="1">Customer!G625+Commodity!G625+Demand!G625</f>
        <v>-11979</v>
      </c>
      <c r="H625" s="3">
        <f ca="1">Customer!H625+Commodity!H625+Demand!H625</f>
        <v>-17</v>
      </c>
      <c r="I625" s="3">
        <f ca="1">Customer!I625+Commodity!I625+Demand!I625</f>
        <v>-76</v>
      </c>
      <c r="J625" s="3">
        <f ca="1">Customer!J625+Commodity!J625+Demand!J625</f>
        <v>-9262</v>
      </c>
      <c r="K625" s="3">
        <f ca="1">Customer!K625+Commodity!K625+Demand!K625</f>
        <v>0</v>
      </c>
      <c r="L625" s="3">
        <f ca="1">Customer!L625+Commodity!L625+Demand!L625</f>
        <v>0</v>
      </c>
      <c r="N625" s="3"/>
      <c r="O625" s="3"/>
      <c r="P625" s="3"/>
      <c r="Q625" s="3"/>
      <c r="R625" s="3"/>
      <c r="S625" s="3"/>
    </row>
    <row r="626" spans="1:19" ht="11.25" x14ac:dyDescent="0.2">
      <c r="A626" s="3">
        <f t="shared" si="73"/>
        <v>21</v>
      </c>
      <c r="B626" s="3" t="str">
        <f>Input!A487</f>
        <v>931</v>
      </c>
      <c r="C626" s="3" t="str">
        <f>Input!B487</f>
        <v>RENTS</v>
      </c>
      <c r="D626" s="3"/>
      <c r="E626" s="1">
        <f>Input!D487-'Total Co'!E525</f>
        <v>642175</v>
      </c>
      <c r="F626" s="3">
        <f ca="1">Customer!F626+Commodity!F626+Demand!F626</f>
        <v>421656</v>
      </c>
      <c r="G626" s="3">
        <f ca="1">Customer!G626+Commodity!G626+Demand!G626</f>
        <v>123832</v>
      </c>
      <c r="H626" s="3">
        <f ca="1">Customer!H626+Commodity!H626+Demand!H626</f>
        <v>177</v>
      </c>
      <c r="I626" s="3">
        <f ca="1">Customer!I626+Commodity!I626+Demand!I626</f>
        <v>778</v>
      </c>
      <c r="J626" s="3">
        <f ca="1">Customer!J626+Commodity!J626+Demand!J626</f>
        <v>95731</v>
      </c>
      <c r="K626" s="3">
        <f ca="1">Customer!K626+Commodity!K626+Demand!K626</f>
        <v>0</v>
      </c>
      <c r="L626" s="3">
        <f ca="1">Customer!L626+Commodity!L626+Demand!L626</f>
        <v>0</v>
      </c>
      <c r="N626" s="3"/>
      <c r="O626" s="3"/>
      <c r="P626" s="3"/>
      <c r="Q626" s="3"/>
      <c r="R626" s="3"/>
      <c r="S626" s="3"/>
    </row>
    <row r="627" spans="1:19" ht="11.25" x14ac:dyDescent="0.2">
      <c r="A627" s="3">
        <f t="shared" si="73"/>
        <v>22</v>
      </c>
      <c r="B627" s="3" t="str">
        <f>Input!A488</f>
        <v>935.13</v>
      </c>
      <c r="C627" s="3" t="str">
        <f>Input!B488</f>
        <v>MAINT. STRUCTURES &amp; IMPROV.</v>
      </c>
      <c r="D627" s="3"/>
      <c r="E627" s="1">
        <f>Input!D488-'Total Co'!E526</f>
        <v>130</v>
      </c>
      <c r="F627" s="3">
        <f ca="1">Customer!F627+Commodity!F627+Demand!F627</f>
        <v>85</v>
      </c>
      <c r="G627" s="3">
        <f ca="1">Customer!G627+Commodity!G627+Demand!G627</f>
        <v>25</v>
      </c>
      <c r="H627" s="3">
        <f ca="1">Customer!H627+Commodity!H627+Demand!H627</f>
        <v>0</v>
      </c>
      <c r="I627" s="3">
        <f ca="1">Customer!I627+Commodity!I627+Demand!I627</f>
        <v>0</v>
      </c>
      <c r="J627" s="3">
        <f ca="1">Customer!J627+Commodity!J627+Demand!J627</f>
        <v>20</v>
      </c>
      <c r="K627" s="3">
        <f ca="1">Customer!K627+Commodity!K627+Demand!K627</f>
        <v>0</v>
      </c>
      <c r="L627" s="3">
        <f ca="1">Customer!L627+Commodity!L627+Demand!L627</f>
        <v>0</v>
      </c>
      <c r="N627" s="3"/>
      <c r="O627" s="3"/>
      <c r="P627" s="3"/>
      <c r="Q627" s="3"/>
      <c r="R627" s="3"/>
      <c r="S627" s="3"/>
    </row>
    <row r="628" spans="1:19" ht="11.25" x14ac:dyDescent="0.2">
      <c r="A628" s="3">
        <f t="shared" si="73"/>
        <v>23</v>
      </c>
      <c r="B628" s="3" t="str">
        <f>Input!A489</f>
        <v>935.23</v>
      </c>
      <c r="C628" s="3" t="str">
        <f>Input!B489</f>
        <v xml:space="preserve">MAINT. - GEN'L OFFICE </v>
      </c>
      <c r="D628" s="3"/>
      <c r="E628" s="1"/>
      <c r="F628" s="3"/>
      <c r="G628" s="3"/>
      <c r="H628" s="3"/>
      <c r="I628" s="3"/>
      <c r="J628" s="3"/>
      <c r="K628" s="3"/>
      <c r="L628" s="3"/>
      <c r="N628" s="3"/>
      <c r="O628" s="3"/>
      <c r="P628" s="3"/>
      <c r="Q628" s="3"/>
      <c r="R628" s="3"/>
      <c r="S628" s="3"/>
    </row>
    <row r="629" spans="1:19" ht="11.25" x14ac:dyDescent="0.2">
      <c r="A629" s="3"/>
      <c r="B629" s="3"/>
      <c r="C629" s="3" t="str">
        <f>Input!B490</f>
        <v>FURNITURE &amp; EQUIPMENT</v>
      </c>
      <c r="D629" s="3"/>
      <c r="E629" s="1">
        <f>Input!D490-'Total Co'!E528</f>
        <v>0</v>
      </c>
      <c r="F629" s="3">
        <f ca="1">Customer!F629+Commodity!F629+Demand!F629</f>
        <v>0</v>
      </c>
      <c r="G629" s="3">
        <f ca="1">Customer!G629+Commodity!G629+Demand!G629</f>
        <v>0</v>
      </c>
      <c r="H629" s="3">
        <f ca="1">Customer!H629+Commodity!H629+Demand!H629</f>
        <v>0</v>
      </c>
      <c r="I629" s="3">
        <f ca="1">Customer!I629+Commodity!I629+Demand!I629</f>
        <v>0</v>
      </c>
      <c r="J629" s="3">
        <f ca="1">Customer!J629+Commodity!J629+Demand!J629</f>
        <v>0</v>
      </c>
      <c r="K629" s="3">
        <f ca="1">Customer!K629+Commodity!K629+Demand!K629</f>
        <v>0</v>
      </c>
      <c r="L629" s="3">
        <f ca="1">Customer!L629+Commodity!L629+Demand!L629</f>
        <v>0</v>
      </c>
      <c r="N629" s="3"/>
      <c r="O629" s="3"/>
      <c r="P629" s="3"/>
      <c r="Q629" s="3"/>
      <c r="R629" s="3"/>
      <c r="S629" s="3"/>
    </row>
    <row r="630" spans="1:19" ht="11.25" x14ac:dyDescent="0.2">
      <c r="A630" s="3">
        <f>A628+1</f>
        <v>24</v>
      </c>
      <c r="B630" s="3">
        <f>Input!A491</f>
        <v>932</v>
      </c>
      <c r="C630" s="3" t="str">
        <f>Input!B491</f>
        <v>MAINT.-MISCELLANEOUS</v>
      </c>
      <c r="D630" s="3"/>
      <c r="E630" s="26">
        <f>Input!D491-'Total Co'!E529</f>
        <v>259121</v>
      </c>
      <c r="F630" s="26">
        <f ca="1">Customer!F630+Commodity!F630+Demand!F630</f>
        <v>170141</v>
      </c>
      <c r="G630" s="26">
        <f ca="1">Customer!G630+Commodity!G630+Demand!G630</f>
        <v>49967</v>
      </c>
      <c r="H630" s="26">
        <f ca="1">Customer!H630+Commodity!H630+Demand!H630</f>
        <v>72</v>
      </c>
      <c r="I630" s="26">
        <f ca="1">Customer!I630+Commodity!I630+Demand!I630</f>
        <v>314</v>
      </c>
      <c r="J630" s="26">
        <f ca="1">Customer!J630+Commodity!J630+Demand!J630</f>
        <v>38628</v>
      </c>
      <c r="K630" s="26">
        <f ca="1">Customer!K630+Commodity!K630+Demand!K630</f>
        <v>0</v>
      </c>
      <c r="L630" s="26">
        <f ca="1">Customer!L630+Commodity!L630+Demand!L630</f>
        <v>0</v>
      </c>
      <c r="N630" s="3"/>
      <c r="O630" s="3"/>
      <c r="P630" s="3"/>
      <c r="Q630" s="3"/>
      <c r="R630" s="3"/>
      <c r="S630" s="3"/>
    </row>
    <row r="631" spans="1:19" ht="11.25" x14ac:dyDescent="0.2">
      <c r="A631" s="3">
        <f>A630+1</f>
        <v>25</v>
      </c>
      <c r="B631" s="3"/>
      <c r="C631" s="3" t="s">
        <v>340</v>
      </c>
      <c r="D631" s="3"/>
      <c r="E631" s="26">
        <f t="shared" ref="E631:L631" ca="1" si="74">SUM(E614:E630)</f>
        <v>17417579.979960002</v>
      </c>
      <c r="F631" s="26">
        <f t="shared" ca="1" si="74"/>
        <v>11211854</v>
      </c>
      <c r="G631" s="26">
        <f t="shared" ca="1" si="74"/>
        <v>3543789</v>
      </c>
      <c r="H631" s="26">
        <f t="shared" ca="1" si="74"/>
        <v>4900</v>
      </c>
      <c r="I631" s="26">
        <f t="shared" ca="1" si="74"/>
        <v>22222</v>
      </c>
      <c r="J631" s="26">
        <f t="shared" ca="1" si="74"/>
        <v>2634815</v>
      </c>
      <c r="K631" s="26">
        <f t="shared" ca="1" si="74"/>
        <v>0</v>
      </c>
      <c r="L631" s="26">
        <f t="shared" ca="1" si="74"/>
        <v>0</v>
      </c>
      <c r="N631" s="3"/>
      <c r="O631" s="3"/>
      <c r="P631" s="3"/>
      <c r="Q631" s="3"/>
      <c r="R631" s="3"/>
      <c r="S631" s="3"/>
    </row>
    <row r="632" spans="1:19" ht="11.25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N632" s="3"/>
      <c r="O632" s="3"/>
      <c r="P632" s="3"/>
      <c r="Q632" s="3"/>
      <c r="R632" s="3"/>
      <c r="S632" s="3"/>
    </row>
    <row r="633" spans="1:19" ht="11.25" x14ac:dyDescent="0.2">
      <c r="A633" s="3">
        <f>A631+1</f>
        <v>26</v>
      </c>
      <c r="B633" s="3"/>
      <c r="C633" s="3" t="s">
        <v>341</v>
      </c>
      <c r="D633" s="3"/>
      <c r="E633" s="3">
        <f ca="1">'Total Co'!E409+'Total Co'!E410+'Total Co'!E411+'Total Co'!E417+'Total Co'!E419+'Total Co'!E429+'Total Co'!E430+E610+E631</f>
        <v>35736302.149959996</v>
      </c>
      <c r="F633" s="3">
        <f ca="1">'Total Co'!F409+'Total Co'!F410+'Total Co'!F411+'Total Co'!F417+'Total Co'!F419+'Total Co'!F429+'Total Co'!F430+F610+F631</f>
        <v>23464315</v>
      </c>
      <c r="G633" s="3">
        <f ca="1">'Total Co'!G409+'Total Co'!G410+'Total Co'!G411+'Total Co'!G417+'Total Co'!G419+'Total Co'!G429+'Total Co'!G430+G610+G631</f>
        <v>7015785</v>
      </c>
      <c r="H633" s="3">
        <f ca="1">'Total Co'!H409+'Total Co'!H410+'Total Co'!H411+'Total Co'!H417+'Total Co'!H419+'Total Co'!H429+'Total Co'!H430+H610+H631</f>
        <v>9730</v>
      </c>
      <c r="I633" s="3">
        <f ca="1">'Total Co'!I409+'Total Co'!I410+'Total Co'!I411+'Total Co'!I417+'Total Co'!I419+'Total Co'!I429+'Total Co'!I430+I610+I631</f>
        <v>43226</v>
      </c>
      <c r="J633" s="3">
        <f ca="1">'Total Co'!J409+'Total Co'!J410+'Total Co'!J411+'Total Co'!J417+'Total Co'!J419+'Total Co'!J429+'Total Co'!J430+J610+J631</f>
        <v>5203244</v>
      </c>
      <c r="K633" s="3">
        <f ca="1">'Total Co'!K409+'Total Co'!K410+'Total Co'!K411+'Total Co'!K417+'Total Co'!K419+'Total Co'!K429+'Total Co'!K430+K610+K631</f>
        <v>0</v>
      </c>
      <c r="L633" s="3">
        <f ca="1">'Total Co'!L409+'Total Co'!L410+'Total Co'!L411+'Total Co'!L417+'Total Co'!L419+'Total Co'!L429+'Total Co'!L430+L610+L631</f>
        <v>0</v>
      </c>
      <c r="N633" s="3"/>
      <c r="O633" s="3"/>
      <c r="P633" s="3"/>
      <c r="Q633" s="3"/>
      <c r="R633" s="3"/>
      <c r="S633" s="3"/>
    </row>
    <row r="634" spans="1:19" ht="11.25" x14ac:dyDescent="0.2">
      <c r="A634" s="3" t="s">
        <v>810</v>
      </c>
      <c r="B634" s="3"/>
      <c r="C634" s="14"/>
      <c r="D634" s="3"/>
      <c r="E634" s="15"/>
      <c r="F634" s="325" t="str">
        <f>""&amp;+Input!$B$1</f>
        <v>COLUMBIA GAS OF KENTUCKY, INC.</v>
      </c>
      <c r="H634" s="3"/>
      <c r="I634" s="3"/>
      <c r="J634" s="3"/>
      <c r="K634" s="3"/>
      <c r="L634" s="32" t="str">
        <f>Input!$B$2</f>
        <v>ATTACHMENT CEN-2</v>
      </c>
      <c r="N634" s="3"/>
      <c r="O634" s="3"/>
      <c r="P634" s="3"/>
      <c r="Q634" s="3"/>
      <c r="R634" s="3"/>
      <c r="S634" s="3"/>
    </row>
    <row r="635" spans="1:19" ht="11.25" x14ac:dyDescent="0.2">
      <c r="A635" s="3" t="str">
        <f>Input!$B$7</f>
        <v>DEMAND-COMMODITY</v>
      </c>
      <c r="B635" s="3"/>
      <c r="C635" s="3"/>
      <c r="D635" s="3"/>
      <c r="E635" s="3"/>
      <c r="F635" s="325" t="s">
        <v>42</v>
      </c>
      <c r="H635" s="3"/>
      <c r="I635" s="3"/>
      <c r="J635" s="3"/>
      <c r="K635" s="3"/>
      <c r="L635" s="32" t="str">
        <f>"PAGE 19 OF "&amp;FIXED(Input!$B$8,0,TRUE)</f>
        <v>PAGE 19 OF 129</v>
      </c>
      <c r="N635" s="3"/>
      <c r="O635" s="3"/>
      <c r="P635" s="3"/>
      <c r="Q635" s="3"/>
      <c r="R635" s="3"/>
      <c r="S635" s="3"/>
    </row>
    <row r="636" spans="1:19" ht="11.25" x14ac:dyDescent="0.2">
      <c r="A636" s="17" t="str">
        <f>Input!$B$6</f>
        <v>FORECASTED TEST YEAR - ORIGINAL FILING</v>
      </c>
      <c r="B636" s="17"/>
      <c r="C636" s="17"/>
      <c r="D636" s="18"/>
      <c r="E636" s="17"/>
      <c r="F636" s="19" t="str">
        <f>"FOR THE TWELVE MONTHS ENDED "&amp;Input!$B$4</f>
        <v>FOR THE TWELVE MONTHS ENDED 12/31/2017</v>
      </c>
      <c r="G636" s="329"/>
      <c r="H636" s="17"/>
      <c r="I636" s="17"/>
      <c r="J636" s="17"/>
      <c r="K636" s="17"/>
      <c r="L636" s="183" t="str">
        <f>"WITNESS: "&amp;Input!$B$5</f>
        <v>WITNESS: C. NOTESTONE</v>
      </c>
      <c r="N636" s="3"/>
      <c r="O636" s="3"/>
      <c r="P636" s="3"/>
      <c r="Q636" s="3"/>
      <c r="R636" s="3"/>
      <c r="S636" s="3"/>
    </row>
    <row r="637" spans="1:19" ht="11.25" x14ac:dyDescent="0.2">
      <c r="A637" s="325" t="s">
        <v>5</v>
      </c>
      <c r="B637" s="3" t="s">
        <v>6</v>
      </c>
      <c r="C637" s="3"/>
      <c r="D637" s="325" t="s">
        <v>7</v>
      </c>
      <c r="E637" s="325" t="s">
        <v>8</v>
      </c>
      <c r="F637" s="3"/>
      <c r="G637" s="3"/>
      <c r="H637" s="3"/>
      <c r="I637" s="3"/>
      <c r="J637" s="3"/>
      <c r="K637" s="3"/>
      <c r="L637" s="3"/>
      <c r="N637" s="3"/>
      <c r="O637" s="3"/>
      <c r="P637" s="3"/>
      <c r="Q637" s="3"/>
      <c r="R637" s="3"/>
      <c r="S637" s="3"/>
    </row>
    <row r="638" spans="1:19" ht="11.25" x14ac:dyDescent="0.2">
      <c r="A638" s="341" t="s">
        <v>9</v>
      </c>
      <c r="B638" s="341" t="s">
        <v>9</v>
      </c>
      <c r="C638" s="341" t="str">
        <f>"                        ACCOUNT TITLE                "</f>
        <v xml:space="preserve">                        ACCOUNT TITLE                </v>
      </c>
      <c r="D638" s="26" t="s">
        <v>10</v>
      </c>
      <c r="E638" s="341" t="s">
        <v>11</v>
      </c>
      <c r="F638" s="341" t="str">
        <f>"  "&amp;+Input!$C$12</f>
        <v xml:space="preserve">  GS-RESIDENTIAL</v>
      </c>
      <c r="G638" s="341" t="str">
        <f>Input!$C$13</f>
        <v>GS-OTHER</v>
      </c>
      <c r="H638" s="341" t="str">
        <f>Input!$C$14</f>
        <v>IUS</v>
      </c>
      <c r="I638" s="341" t="str">
        <f>Input!$C$15</f>
        <v>DS-ML</v>
      </c>
      <c r="J638" s="341" t="str">
        <f>Input!$C$16</f>
        <v>DS/IS</v>
      </c>
      <c r="K638" s="341" t="str">
        <f>Input!$C$17</f>
        <v>NOT USED</v>
      </c>
      <c r="L638" s="341" t="str">
        <f>Input!$C$18</f>
        <v>NOT USED</v>
      </c>
      <c r="N638" s="3"/>
      <c r="O638" s="3"/>
      <c r="P638" s="3"/>
      <c r="Q638" s="3"/>
      <c r="R638" s="3"/>
      <c r="S638" s="3"/>
    </row>
    <row r="639" spans="1:19" ht="11.25" x14ac:dyDescent="0.2">
      <c r="A639" s="3"/>
      <c r="B639" s="342" t="s">
        <v>13</v>
      </c>
      <c r="C639" s="342" t="s">
        <v>14</v>
      </c>
      <c r="D639" s="325" t="s">
        <v>15</v>
      </c>
      <c r="E639" s="325" t="s">
        <v>16</v>
      </c>
      <c r="F639" s="325" t="s">
        <v>17</v>
      </c>
      <c r="G639" s="325" t="s">
        <v>18</v>
      </c>
      <c r="H639" s="325" t="s">
        <v>19</v>
      </c>
      <c r="I639" s="325" t="s">
        <v>20</v>
      </c>
      <c r="J639" s="325" t="s">
        <v>21</v>
      </c>
      <c r="K639" s="325" t="s">
        <v>22</v>
      </c>
      <c r="L639" s="325" t="s">
        <v>23</v>
      </c>
      <c r="N639" s="3"/>
      <c r="O639" s="3"/>
      <c r="P639" s="3"/>
      <c r="Q639" s="3"/>
      <c r="R639" s="3"/>
      <c r="S639" s="3"/>
    </row>
    <row r="640" spans="1:19" ht="11.25" x14ac:dyDescent="0.2">
      <c r="A640" s="3"/>
      <c r="B640" s="3"/>
      <c r="C640" s="3"/>
      <c r="D640" s="3"/>
      <c r="E640" s="325" t="s">
        <v>26</v>
      </c>
      <c r="F640" s="325" t="s">
        <v>26</v>
      </c>
      <c r="G640" s="325" t="s">
        <v>26</v>
      </c>
      <c r="H640" s="325" t="s">
        <v>26</v>
      </c>
      <c r="I640" s="325" t="s">
        <v>26</v>
      </c>
      <c r="J640" s="325" t="s">
        <v>26</v>
      </c>
      <c r="K640" s="325" t="s">
        <v>26</v>
      </c>
      <c r="L640" s="325" t="s">
        <v>26</v>
      </c>
      <c r="N640" s="3"/>
      <c r="O640" s="3"/>
      <c r="P640" s="3"/>
      <c r="Q640" s="3"/>
      <c r="R640" s="3"/>
      <c r="S640" s="3"/>
    </row>
    <row r="641" spans="1:19" ht="11.25" x14ac:dyDescent="0.2">
      <c r="A641" s="3">
        <v>1</v>
      </c>
      <c r="B641" s="3" t="s">
        <v>342</v>
      </c>
      <c r="C641" s="3"/>
      <c r="D641" s="3"/>
      <c r="E641" s="3"/>
      <c r="F641" s="3"/>
      <c r="G641" s="3"/>
      <c r="H641" s="3"/>
      <c r="I641" s="3"/>
      <c r="J641" s="3"/>
      <c r="K641" s="3"/>
      <c r="L641" s="3"/>
      <c r="N641" s="3"/>
      <c r="O641" s="3"/>
      <c r="P641" s="3"/>
      <c r="Q641" s="3"/>
      <c r="R641" s="3"/>
      <c r="S641" s="3"/>
    </row>
    <row r="642" spans="1:19" ht="11.25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N642" s="3"/>
      <c r="O642" s="3"/>
      <c r="P642" s="3"/>
      <c r="Q642" s="3"/>
      <c r="R642" s="3"/>
      <c r="S642" s="3"/>
    </row>
    <row r="643" spans="1:19" ht="11.25" x14ac:dyDescent="0.2">
      <c r="A643" s="3">
        <f>A641+1</f>
        <v>2</v>
      </c>
      <c r="B643" s="3" t="s">
        <v>343</v>
      </c>
      <c r="C643" s="3"/>
      <c r="D643" s="3" t="s">
        <v>344</v>
      </c>
      <c r="E643" s="23">
        <f>'Total Co'!E408+'Total Co'!E416+'Total Co'!E418+'Total Co'!E428</f>
        <v>0</v>
      </c>
      <c r="F643" s="23">
        <f>'Total Co'!F408+'Total Co'!F416+'Total Co'!F418+'Total Co'!F428</f>
        <v>0</v>
      </c>
      <c r="G643" s="23">
        <f>'Total Co'!G408+'Total Co'!G416+'Total Co'!G418+'Total Co'!G428</f>
        <v>0</v>
      </c>
      <c r="H643" s="23">
        <f>'Total Co'!H408+'Total Co'!H416+'Total Co'!H418+'Total Co'!H428</f>
        <v>0</v>
      </c>
      <c r="I643" s="23">
        <f>'Total Co'!I408+'Total Co'!I416+'Total Co'!I418+'Total Co'!I428</f>
        <v>0</v>
      </c>
      <c r="J643" s="23">
        <f>'Total Co'!J408+'Total Co'!J416+'Total Co'!J418+'Total Co'!J428</f>
        <v>0</v>
      </c>
      <c r="K643" s="23">
        <f>'Total Co'!K408+'Total Co'!K416+'Total Co'!K418+'Total Co'!K428</f>
        <v>0</v>
      </c>
      <c r="L643" s="23">
        <f>'Total Co'!L408+'Total Co'!L416+'Total Co'!L418+'Total Co'!L428</f>
        <v>0</v>
      </c>
      <c r="N643" s="3"/>
      <c r="O643" s="3"/>
      <c r="P643" s="3"/>
      <c r="Q643" s="3"/>
      <c r="R643" s="3"/>
      <c r="S643" s="3"/>
    </row>
    <row r="644" spans="1:19" ht="11.25" x14ac:dyDescent="0.2">
      <c r="A644" s="3">
        <f t="shared" ref="A644:A650" si="75">A643+1</f>
        <v>3</v>
      </c>
      <c r="B644" s="3" t="s">
        <v>345</v>
      </c>
      <c r="C644" s="3"/>
      <c r="D644" s="3" t="s">
        <v>346</v>
      </c>
      <c r="E644" s="23">
        <f>'Total Co'!E452</f>
        <v>5340024</v>
      </c>
      <c r="F644" s="23">
        <f ca="1">'Total Co'!F452</f>
        <v>3433358</v>
      </c>
      <c r="G644" s="23">
        <f ca="1">'Total Co'!G452</f>
        <v>1333586</v>
      </c>
      <c r="H644" s="23">
        <f ca="1">'Total Co'!H452</f>
        <v>1256</v>
      </c>
      <c r="I644" s="23">
        <f ca="1">'Total Co'!I452</f>
        <v>9085</v>
      </c>
      <c r="J644" s="23">
        <f ca="1">'Total Co'!J452</f>
        <v>562735</v>
      </c>
      <c r="K644" s="23">
        <f ca="1">'Total Co'!K452</f>
        <v>0</v>
      </c>
      <c r="L644" s="23">
        <f ca="1">'Total Co'!L452</f>
        <v>0</v>
      </c>
      <c r="N644" s="3"/>
      <c r="O644" s="3"/>
      <c r="P644" s="3"/>
      <c r="Q644" s="3"/>
      <c r="R644" s="3"/>
      <c r="S644" s="3"/>
    </row>
    <row r="645" spans="1:19" ht="11.25" x14ac:dyDescent="0.2">
      <c r="A645" s="3">
        <f t="shared" si="75"/>
        <v>4</v>
      </c>
      <c r="B645" s="3" t="s">
        <v>347</v>
      </c>
      <c r="C645" s="3"/>
      <c r="D645" s="3" t="s">
        <v>346</v>
      </c>
      <c r="E645" s="3">
        <f>'Total Co'!E464</f>
        <v>1545213</v>
      </c>
      <c r="F645" s="3">
        <f ca="1">'Total Co'!F464</f>
        <v>780220</v>
      </c>
      <c r="G645" s="3">
        <f ca="1">'Total Co'!G464</f>
        <v>360005</v>
      </c>
      <c r="H645" s="3">
        <f ca="1">'Total Co'!H464</f>
        <v>656</v>
      </c>
      <c r="I645" s="3">
        <f ca="1">'Total Co'!I464</f>
        <v>4209</v>
      </c>
      <c r="J645" s="3">
        <f ca="1">'Total Co'!J464</f>
        <v>400121</v>
      </c>
      <c r="K645" s="3">
        <f ca="1">'Total Co'!K464</f>
        <v>0</v>
      </c>
      <c r="L645" s="3">
        <f ca="1">'Total Co'!L464</f>
        <v>0</v>
      </c>
      <c r="N645" s="3"/>
      <c r="O645" s="3"/>
      <c r="P645" s="3"/>
      <c r="Q645" s="3"/>
      <c r="R645" s="3"/>
      <c r="S645" s="3"/>
    </row>
    <row r="646" spans="1:19" ht="11.25" x14ac:dyDescent="0.2">
      <c r="A646" s="3">
        <f t="shared" si="75"/>
        <v>5</v>
      </c>
      <c r="B646" s="3" t="s">
        <v>348</v>
      </c>
      <c r="C646" s="3"/>
      <c r="D646" s="3" t="s">
        <v>349</v>
      </c>
      <c r="E646" s="3">
        <f>'Total Co'!E483</f>
        <v>857887</v>
      </c>
      <c r="F646" s="3">
        <f>'Total Co'!F483</f>
        <v>769164</v>
      </c>
      <c r="G646" s="3">
        <f>'Total Co'!G483</f>
        <v>88182</v>
      </c>
      <c r="H646" s="3">
        <f>'Total Co'!H483</f>
        <v>9</v>
      </c>
      <c r="I646" s="3">
        <f>'Total Co'!I483</f>
        <v>35</v>
      </c>
      <c r="J646" s="3">
        <f>'Total Co'!J483</f>
        <v>498</v>
      </c>
      <c r="K646" s="3">
        <f>'Total Co'!K483</f>
        <v>0</v>
      </c>
      <c r="L646" s="3">
        <f>'Total Co'!L483</f>
        <v>0</v>
      </c>
      <c r="N646" s="3"/>
      <c r="O646" s="3"/>
      <c r="P646" s="3"/>
      <c r="Q646" s="3"/>
      <c r="R646" s="3"/>
      <c r="S646" s="3"/>
    </row>
    <row r="647" spans="1:19" ht="11.25" x14ac:dyDescent="0.2">
      <c r="A647" s="3">
        <f t="shared" si="75"/>
        <v>6</v>
      </c>
      <c r="B647" s="3" t="s">
        <v>350</v>
      </c>
      <c r="C647" s="3"/>
      <c r="D647" s="3" t="s">
        <v>349</v>
      </c>
      <c r="E647" s="3">
        <f>'Total Co'!E495</f>
        <v>12982</v>
      </c>
      <c r="F647" s="3">
        <f>'Total Co'!F495</f>
        <v>11639</v>
      </c>
      <c r="G647" s="3">
        <f>'Total Co'!G495</f>
        <v>1334</v>
      </c>
      <c r="H647" s="3">
        <f>'Total Co'!H495</f>
        <v>0</v>
      </c>
      <c r="I647" s="3">
        <f>'Total Co'!I495</f>
        <v>1</v>
      </c>
      <c r="J647" s="3">
        <f>'Total Co'!J495</f>
        <v>8</v>
      </c>
      <c r="K647" s="3">
        <f>'Total Co'!K495</f>
        <v>0</v>
      </c>
      <c r="L647" s="3">
        <f>'Total Co'!L495</f>
        <v>0</v>
      </c>
      <c r="N647" s="3"/>
      <c r="O647" s="3"/>
      <c r="P647" s="3"/>
      <c r="Q647" s="3"/>
      <c r="R647" s="3"/>
      <c r="S647" s="3"/>
    </row>
    <row r="648" spans="1:19" ht="11.25" x14ac:dyDescent="0.2">
      <c r="A648" s="3">
        <f t="shared" si="75"/>
        <v>7</v>
      </c>
      <c r="B648" s="3" t="s">
        <v>351</v>
      </c>
      <c r="C648" s="3"/>
      <c r="D648" s="3" t="s">
        <v>352</v>
      </c>
      <c r="E648" s="3">
        <f>'Total Co'!E509</f>
        <v>0</v>
      </c>
      <c r="F648" s="3">
        <f>'Total Co'!F509</f>
        <v>0</v>
      </c>
      <c r="G648" s="3">
        <f>'Total Co'!G509</f>
        <v>0</v>
      </c>
      <c r="H648" s="3">
        <f>'Total Co'!H509</f>
        <v>0</v>
      </c>
      <c r="I648" s="3">
        <f>'Total Co'!I509</f>
        <v>0</v>
      </c>
      <c r="J648" s="3">
        <f>'Total Co'!J509</f>
        <v>0</v>
      </c>
      <c r="K648" s="3">
        <f>'Total Co'!K509</f>
        <v>0</v>
      </c>
      <c r="L648" s="3">
        <f>'Total Co'!L509</f>
        <v>0</v>
      </c>
      <c r="N648" s="3"/>
      <c r="O648" s="3"/>
      <c r="P648" s="3"/>
      <c r="Q648" s="3"/>
      <c r="R648" s="3"/>
      <c r="S648" s="3"/>
    </row>
    <row r="649" spans="1:19" ht="11.25" x14ac:dyDescent="0.2">
      <c r="A649" s="3">
        <f t="shared" si="75"/>
        <v>8</v>
      </c>
      <c r="B649" s="3" t="s">
        <v>353</v>
      </c>
      <c r="C649" s="3"/>
      <c r="D649" s="3" t="s">
        <v>352</v>
      </c>
      <c r="E649" s="26">
        <f>'Total Co'!E530</f>
        <v>1602620.44</v>
      </c>
      <c r="F649" s="26">
        <f ca="1">'Total Co'!F530</f>
        <v>1031974</v>
      </c>
      <c r="G649" s="26">
        <f ca="1">'Total Co'!G530</f>
        <v>368436</v>
      </c>
      <c r="H649" s="26">
        <f ca="1">'Total Co'!H530</f>
        <v>399</v>
      </c>
      <c r="I649" s="26">
        <f ca="1">'Total Co'!I530</f>
        <v>2751</v>
      </c>
      <c r="J649" s="26">
        <f ca="1">'Total Co'!J530</f>
        <v>199061</v>
      </c>
      <c r="K649" s="26">
        <f ca="1">'Total Co'!K530</f>
        <v>0</v>
      </c>
      <c r="L649" s="26">
        <f ca="1">'Total Co'!L530</f>
        <v>0</v>
      </c>
      <c r="N649" s="3"/>
      <c r="O649" s="3"/>
      <c r="P649" s="3"/>
      <c r="Q649" s="3"/>
      <c r="R649" s="3"/>
      <c r="S649" s="3"/>
    </row>
    <row r="650" spans="1:19" ht="11.25" x14ac:dyDescent="0.2">
      <c r="A650" s="3">
        <f t="shared" si="75"/>
        <v>9</v>
      </c>
      <c r="B650" s="3" t="s">
        <v>354</v>
      </c>
      <c r="C650" s="3"/>
      <c r="D650" s="3"/>
      <c r="E650" s="1">
        <f t="shared" ref="E650:L650" si="76">SUM(E643:E649)</f>
        <v>9358726.4399999995</v>
      </c>
      <c r="F650" s="3">
        <f t="shared" ca="1" si="76"/>
        <v>6026355</v>
      </c>
      <c r="G650" s="3">
        <f t="shared" ca="1" si="76"/>
        <v>2151543</v>
      </c>
      <c r="H650" s="3">
        <f t="shared" ca="1" si="76"/>
        <v>2320</v>
      </c>
      <c r="I650" s="3">
        <f t="shared" ca="1" si="76"/>
        <v>16081</v>
      </c>
      <c r="J650" s="3">
        <f t="shared" ca="1" si="76"/>
        <v>1162423</v>
      </c>
      <c r="K650" s="3">
        <f t="shared" ca="1" si="76"/>
        <v>0</v>
      </c>
      <c r="L650" s="3">
        <f t="shared" ca="1" si="76"/>
        <v>0</v>
      </c>
      <c r="N650" s="3"/>
      <c r="O650" s="3"/>
      <c r="P650" s="3"/>
      <c r="Q650" s="3"/>
      <c r="R650" s="3"/>
      <c r="S650" s="3"/>
    </row>
    <row r="651" spans="1:19" ht="11.25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N651" s="3"/>
      <c r="O651" s="3"/>
      <c r="P651" s="3"/>
      <c r="Q651" s="3"/>
      <c r="R651" s="3"/>
      <c r="S651" s="3"/>
    </row>
    <row r="652" spans="1:19" ht="11.25" x14ac:dyDescent="0.2">
      <c r="A652" s="3">
        <f>A650+1</f>
        <v>10</v>
      </c>
      <c r="B652" s="3" t="s">
        <v>355</v>
      </c>
      <c r="C652" s="3"/>
      <c r="D652" s="3"/>
      <c r="E652" s="3"/>
      <c r="F652" s="3"/>
      <c r="G652" s="3"/>
      <c r="H652" s="3"/>
      <c r="I652" s="3"/>
      <c r="J652" s="3"/>
      <c r="K652" s="3"/>
      <c r="L652" s="3"/>
      <c r="N652" s="3"/>
      <c r="O652" s="3"/>
      <c r="P652" s="3"/>
      <c r="Q652" s="3"/>
      <c r="R652" s="3"/>
      <c r="S652" s="3"/>
    </row>
    <row r="653" spans="1:19" ht="11.25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N653" s="3"/>
      <c r="O653" s="3"/>
      <c r="P653" s="3"/>
      <c r="Q653" s="3"/>
      <c r="R653" s="3"/>
      <c r="S653" s="3"/>
    </row>
    <row r="654" spans="1:19" ht="11.25" x14ac:dyDescent="0.2">
      <c r="A654" s="3">
        <f>A652+1</f>
        <v>11</v>
      </c>
      <c r="B654" s="3" t="s">
        <v>343</v>
      </c>
      <c r="C654" s="3"/>
      <c r="D654" s="3" t="s">
        <v>344</v>
      </c>
      <c r="E654" s="3">
        <f>'Total Co'!E409+'Total Co'!E410+'Total Co'!E411+'Total Co'!E417+'Total Co'!E419+'Total Co'!E429+'Total Co'!E430</f>
        <v>343696</v>
      </c>
      <c r="F654" s="3">
        <f>'Total Co'!F409+'Total Co'!F410+'Total Co'!F411+'Total Co'!F417+'Total Co'!F419+'Total Co'!F429+'Total Co'!F430</f>
        <v>220894</v>
      </c>
      <c r="G654" s="3">
        <f>'Total Co'!G409+'Total Co'!G410+'Total Co'!G411+'Total Co'!G417+'Total Co'!G419+'Total Co'!G429+'Total Co'!G430</f>
        <v>122367</v>
      </c>
      <c r="H654" s="3">
        <f>'Total Co'!H409+'Total Co'!H410+'Total Co'!H411+'Total Co'!H417+'Total Co'!H419+'Total Co'!H429+'Total Co'!H430</f>
        <v>398</v>
      </c>
      <c r="I654" s="3">
        <f>'Total Co'!I409+'Total Co'!I410+'Total Co'!I411+'Total Co'!I417+'Total Co'!I419+'Total Co'!I429+'Total Co'!I430</f>
        <v>0</v>
      </c>
      <c r="J654" s="3">
        <f>'Total Co'!J409+'Total Co'!J410+'Total Co'!J411+'Total Co'!J417+'Total Co'!J419+'Total Co'!J429+'Total Co'!J430</f>
        <v>37</v>
      </c>
      <c r="K654" s="3">
        <f>'Total Co'!K409+'Total Co'!K410+'Total Co'!K411+'Total Co'!K417+'Total Co'!K419+'Total Co'!K429+'Total Co'!K430</f>
        <v>0</v>
      </c>
      <c r="L654" s="3">
        <f>'Total Co'!L409+'Total Co'!L410+'Total Co'!L411+'Total Co'!L417+'Total Co'!L419+'Total Co'!L429+'Total Co'!L430</f>
        <v>0</v>
      </c>
      <c r="N654" s="3"/>
      <c r="O654" s="3"/>
      <c r="P654" s="3"/>
      <c r="Q654" s="3"/>
      <c r="R654" s="3"/>
      <c r="S654" s="3"/>
    </row>
    <row r="655" spans="1:19" ht="11.25" x14ac:dyDescent="0.2">
      <c r="A655" s="3">
        <f t="shared" ref="A655:A661" si="77">A654+1</f>
        <v>12</v>
      </c>
      <c r="B655" s="3" t="s">
        <v>345</v>
      </c>
      <c r="C655" s="3"/>
      <c r="D655" s="3" t="s">
        <v>356</v>
      </c>
      <c r="E655" s="3">
        <f>'Total Co'!E551</f>
        <v>8181638.0999999996</v>
      </c>
      <c r="F655" s="3">
        <f ca="1">'Total Co'!F551</f>
        <v>4741887</v>
      </c>
      <c r="G655" s="3">
        <f ca="1">'Total Co'!G551</f>
        <v>1838151</v>
      </c>
      <c r="H655" s="3">
        <f ca="1">'Total Co'!H551</f>
        <v>2769</v>
      </c>
      <c r="I655" s="3">
        <f ca="1">'Total Co'!I551</f>
        <v>9817</v>
      </c>
      <c r="J655" s="3">
        <f ca="1">'Total Co'!J551</f>
        <v>1589013</v>
      </c>
      <c r="K655" s="3">
        <f ca="1">'Total Co'!K551</f>
        <v>0</v>
      </c>
      <c r="L655" s="3">
        <f ca="1">'Total Co'!L551</f>
        <v>0</v>
      </c>
      <c r="N655" s="3"/>
      <c r="O655" s="3"/>
      <c r="P655" s="3"/>
      <c r="Q655" s="3"/>
      <c r="R655" s="3"/>
      <c r="S655" s="3"/>
    </row>
    <row r="656" spans="1:19" ht="11.25" x14ac:dyDescent="0.2">
      <c r="A656" s="3">
        <f t="shared" si="77"/>
        <v>13</v>
      </c>
      <c r="B656" s="3" t="s">
        <v>347</v>
      </c>
      <c r="C656" s="3"/>
      <c r="D656" s="3" t="s">
        <v>356</v>
      </c>
      <c r="E656" s="3">
        <f>'Total Co'!E563</f>
        <v>3402101.0700000003</v>
      </c>
      <c r="F656" s="3">
        <f ca="1">'Total Co'!F563</f>
        <v>1588985</v>
      </c>
      <c r="G656" s="3">
        <f ca="1">'Total Co'!G563</f>
        <v>825109</v>
      </c>
      <c r="H656" s="3">
        <f ca="1">'Total Co'!H563</f>
        <v>1588</v>
      </c>
      <c r="I656" s="3">
        <f ca="1">'Total Co'!I563</f>
        <v>10910</v>
      </c>
      <c r="J656" s="3">
        <f ca="1">'Total Co'!J563</f>
        <v>975508</v>
      </c>
      <c r="K656" s="3">
        <f ca="1">'Total Co'!K563</f>
        <v>0</v>
      </c>
      <c r="L656" s="3">
        <f ca="1">'Total Co'!L563</f>
        <v>0</v>
      </c>
      <c r="N656" s="3"/>
      <c r="O656" s="3"/>
      <c r="P656" s="3"/>
      <c r="Q656" s="3"/>
      <c r="R656" s="3"/>
      <c r="S656" s="3"/>
    </row>
    <row r="657" spans="1:19" ht="11.25" x14ac:dyDescent="0.2">
      <c r="A657" s="3">
        <f t="shared" si="77"/>
        <v>14</v>
      </c>
      <c r="B657" s="3" t="s">
        <v>348</v>
      </c>
      <c r="C657" s="3"/>
      <c r="D657" s="3" t="s">
        <v>357</v>
      </c>
      <c r="E657" s="3">
        <f>'Total Co'!E582</f>
        <v>4681325</v>
      </c>
      <c r="F657" s="3">
        <f>'Total Co'!F582</f>
        <v>4167578</v>
      </c>
      <c r="G657" s="3">
        <f>'Total Co'!G582</f>
        <v>510603</v>
      </c>
      <c r="H657" s="3">
        <f>'Total Co'!H582</f>
        <v>58</v>
      </c>
      <c r="I657" s="3">
        <f>'Total Co'!I582</f>
        <v>208</v>
      </c>
      <c r="J657" s="3">
        <f>'Total Co'!J582</f>
        <v>2880</v>
      </c>
      <c r="K657" s="3">
        <f>'Total Co'!K582</f>
        <v>0</v>
      </c>
      <c r="L657" s="3">
        <f>'Total Co'!L582</f>
        <v>0</v>
      </c>
      <c r="N657" s="3"/>
      <c r="O657" s="3"/>
      <c r="P657" s="3"/>
      <c r="Q657" s="3"/>
      <c r="R657" s="3"/>
      <c r="S657" s="3"/>
    </row>
    <row r="658" spans="1:19" ht="11.25" x14ac:dyDescent="0.2">
      <c r="A658" s="3">
        <f t="shared" si="77"/>
        <v>15</v>
      </c>
      <c r="B658" s="3" t="s">
        <v>350</v>
      </c>
      <c r="C658" s="3"/>
      <c r="D658" s="3" t="s">
        <v>357</v>
      </c>
      <c r="E658" s="3">
        <f>'Total Co'!E594</f>
        <v>1533778.9999999995</v>
      </c>
      <c r="F658" s="3">
        <f>'Total Co'!F594</f>
        <v>1375155</v>
      </c>
      <c r="G658" s="3">
        <f>'Total Co'!G594</f>
        <v>157656</v>
      </c>
      <c r="H658" s="3">
        <f>'Total Co'!H594</f>
        <v>16</v>
      </c>
      <c r="I658" s="3">
        <f>'Total Co'!I594</f>
        <v>62</v>
      </c>
      <c r="J658" s="3">
        <f>'Total Co'!J594</f>
        <v>889</v>
      </c>
      <c r="K658" s="3">
        <f>'Total Co'!K594</f>
        <v>0</v>
      </c>
      <c r="L658" s="3">
        <f>'Total Co'!L594</f>
        <v>0</v>
      </c>
      <c r="N658" s="3"/>
      <c r="O658" s="3"/>
      <c r="P658" s="3"/>
      <c r="Q658" s="3"/>
      <c r="R658" s="3"/>
      <c r="S658" s="3"/>
    </row>
    <row r="659" spans="1:19" ht="11.25" x14ac:dyDescent="0.2">
      <c r="A659" s="3">
        <f t="shared" si="77"/>
        <v>16</v>
      </c>
      <c r="B659" s="3" t="s">
        <v>351</v>
      </c>
      <c r="C659" s="3"/>
      <c r="D659" s="3" t="s">
        <v>358</v>
      </c>
      <c r="E659" s="3">
        <f>'Total Co'!E608</f>
        <v>176183</v>
      </c>
      <c r="F659" s="3">
        <f>'Total Co'!F608</f>
        <v>157962</v>
      </c>
      <c r="G659" s="3">
        <f>'Total Co'!G608</f>
        <v>18110</v>
      </c>
      <c r="H659" s="3">
        <f>'Total Co'!H608</f>
        <v>1</v>
      </c>
      <c r="I659" s="3">
        <f>'Total Co'!I608</f>
        <v>7</v>
      </c>
      <c r="J659" s="3">
        <f>'Total Co'!J608</f>
        <v>102</v>
      </c>
      <c r="K659" s="3">
        <f>'Total Co'!K608</f>
        <v>0</v>
      </c>
      <c r="L659" s="3">
        <f>'Total Co'!L608</f>
        <v>0</v>
      </c>
      <c r="N659" s="3"/>
      <c r="O659" s="3"/>
      <c r="P659" s="3"/>
      <c r="Q659" s="3"/>
      <c r="R659" s="3"/>
      <c r="S659" s="3"/>
    </row>
    <row r="660" spans="1:19" ht="11.25" x14ac:dyDescent="0.2">
      <c r="A660" s="3">
        <f t="shared" si="77"/>
        <v>17</v>
      </c>
      <c r="B660" s="3" t="s">
        <v>353</v>
      </c>
      <c r="C660" s="3"/>
      <c r="D660" s="3" t="s">
        <v>358</v>
      </c>
      <c r="E660" s="26">
        <f ca="1">'Total Co'!E631</f>
        <v>17417579.979960002</v>
      </c>
      <c r="F660" s="26">
        <f ca="1">'Total Co'!F631</f>
        <v>11211854</v>
      </c>
      <c r="G660" s="26">
        <f ca="1">'Total Co'!G631</f>
        <v>3543789</v>
      </c>
      <c r="H660" s="26">
        <f ca="1">'Total Co'!H631</f>
        <v>4900</v>
      </c>
      <c r="I660" s="26">
        <f ca="1">'Total Co'!I631</f>
        <v>22222</v>
      </c>
      <c r="J660" s="26">
        <f ca="1">'Total Co'!J631</f>
        <v>2634815</v>
      </c>
      <c r="K660" s="26">
        <f ca="1">'Total Co'!K631</f>
        <v>0</v>
      </c>
      <c r="L660" s="26">
        <f ca="1">'Total Co'!L631</f>
        <v>0</v>
      </c>
      <c r="N660" s="3"/>
      <c r="O660" s="3"/>
      <c r="P660" s="3"/>
      <c r="Q660" s="3"/>
      <c r="R660" s="3"/>
      <c r="S660" s="3"/>
    </row>
    <row r="661" spans="1:19" ht="11.25" x14ac:dyDescent="0.2">
      <c r="A661" s="3">
        <f t="shared" si="77"/>
        <v>18</v>
      </c>
      <c r="B661" s="3" t="s">
        <v>359</v>
      </c>
      <c r="C661" s="3"/>
      <c r="D661" s="3"/>
      <c r="E661" s="26">
        <f t="shared" ref="E661:L661" ca="1" si="78">SUM(E654:E660)</f>
        <v>35736302.149959996</v>
      </c>
      <c r="F661" s="26">
        <f t="shared" ca="1" si="78"/>
        <v>23464315</v>
      </c>
      <c r="G661" s="26">
        <f t="shared" ca="1" si="78"/>
        <v>7015785</v>
      </c>
      <c r="H661" s="26">
        <f t="shared" ca="1" si="78"/>
        <v>9730</v>
      </c>
      <c r="I661" s="26">
        <f t="shared" ca="1" si="78"/>
        <v>43226</v>
      </c>
      <c r="J661" s="26">
        <f t="shared" ca="1" si="78"/>
        <v>5203244</v>
      </c>
      <c r="K661" s="26">
        <f t="shared" ca="1" si="78"/>
        <v>0</v>
      </c>
      <c r="L661" s="26">
        <f t="shared" ca="1" si="78"/>
        <v>0</v>
      </c>
      <c r="N661" s="3"/>
      <c r="O661" s="3"/>
      <c r="P661" s="3"/>
      <c r="Q661" s="3"/>
      <c r="R661" s="3"/>
      <c r="S661" s="3"/>
    </row>
    <row r="662" spans="1:19" ht="11.25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N662" s="3"/>
      <c r="O662" s="3"/>
      <c r="P662" s="3"/>
      <c r="Q662" s="3"/>
      <c r="R662" s="3"/>
      <c r="S662" s="3"/>
    </row>
    <row r="663" spans="1:19" ht="11.25" x14ac:dyDescent="0.2">
      <c r="A663" s="3">
        <f>A661+1</f>
        <v>19</v>
      </c>
      <c r="B663" s="3" t="s">
        <v>360</v>
      </c>
      <c r="C663" s="3"/>
      <c r="D663" s="3"/>
      <c r="E663" s="3">
        <f t="shared" ref="E663:L663" ca="1" si="79">E650+E661</f>
        <v>45095028.589959994</v>
      </c>
      <c r="F663" s="3">
        <f t="shared" ca="1" si="79"/>
        <v>29490670</v>
      </c>
      <c r="G663" s="3">
        <f t="shared" ca="1" si="79"/>
        <v>9167328</v>
      </c>
      <c r="H663" s="3">
        <f t="shared" ca="1" si="79"/>
        <v>12050</v>
      </c>
      <c r="I663" s="3">
        <f t="shared" ca="1" si="79"/>
        <v>59307</v>
      </c>
      <c r="J663" s="3">
        <f t="shared" ca="1" si="79"/>
        <v>6365667</v>
      </c>
      <c r="K663" s="3">
        <f t="shared" ca="1" si="79"/>
        <v>0</v>
      </c>
      <c r="L663" s="3">
        <f t="shared" ca="1" si="79"/>
        <v>0</v>
      </c>
      <c r="N663" s="3"/>
      <c r="O663" s="3"/>
      <c r="P663" s="3"/>
      <c r="Q663" s="3"/>
      <c r="R663" s="3"/>
      <c r="S663" s="3"/>
    </row>
    <row r="664" spans="1:19" ht="11.25" x14ac:dyDescent="0.2">
      <c r="A664" s="3" t="s">
        <v>810</v>
      </c>
      <c r="B664" s="3"/>
      <c r="C664" s="3"/>
      <c r="D664" s="3"/>
      <c r="E664" s="15"/>
      <c r="F664" s="325" t="str">
        <f>""&amp;+Input!$B$1</f>
        <v>COLUMBIA GAS OF KENTUCKY, INC.</v>
      </c>
      <c r="H664" s="3"/>
      <c r="I664" s="3"/>
      <c r="J664" s="3"/>
      <c r="K664" s="3"/>
      <c r="L664" s="32" t="str">
        <f>Input!$B$2</f>
        <v>ATTACHMENT CEN-2</v>
      </c>
      <c r="N664" s="3"/>
      <c r="O664" s="3"/>
      <c r="P664" s="3"/>
      <c r="Q664" s="3"/>
      <c r="R664" s="3"/>
      <c r="S664" s="3"/>
    </row>
    <row r="665" spans="1:19" ht="11.25" x14ac:dyDescent="0.2">
      <c r="A665" s="3" t="str">
        <f>Input!$B$7</f>
        <v>DEMAND-COMMODITY</v>
      </c>
      <c r="B665" s="3"/>
      <c r="C665" s="3"/>
      <c r="D665" s="3"/>
      <c r="E665" s="3"/>
      <c r="F665" s="325" t="s">
        <v>43</v>
      </c>
      <c r="H665" s="3"/>
      <c r="I665" s="3"/>
      <c r="J665" s="3"/>
      <c r="K665" s="3"/>
      <c r="L665" s="32" t="str">
        <f>"PAGE 20 OF "&amp;FIXED(Input!$B$8,0,TRUE)</f>
        <v>PAGE 20 OF 129</v>
      </c>
      <c r="N665" s="3"/>
      <c r="O665" s="3"/>
      <c r="P665" s="3"/>
      <c r="Q665" s="3"/>
      <c r="R665" s="3"/>
      <c r="S665" s="3"/>
    </row>
    <row r="666" spans="1:19" ht="11.25" x14ac:dyDescent="0.2">
      <c r="A666" s="17" t="str">
        <f>Input!$B$6</f>
        <v>FORECASTED TEST YEAR - ORIGINAL FILING</v>
      </c>
      <c r="B666" s="17"/>
      <c r="C666" s="17"/>
      <c r="D666" s="18"/>
      <c r="E666" s="17"/>
      <c r="F666" s="19" t="str">
        <f>"FOR THE TWELVE MONTHS ENDED "&amp;Input!$B$4</f>
        <v>FOR THE TWELVE MONTHS ENDED 12/31/2017</v>
      </c>
      <c r="G666" s="329"/>
      <c r="H666" s="17"/>
      <c r="I666" s="17"/>
      <c r="J666" s="17"/>
      <c r="K666" s="17"/>
      <c r="L666" s="183" t="str">
        <f>"WITNESS: "&amp;Input!$B$5</f>
        <v>WITNESS: C. NOTESTONE</v>
      </c>
      <c r="N666" s="3"/>
      <c r="O666" s="3"/>
      <c r="P666" s="3"/>
      <c r="Q666" s="3"/>
      <c r="R666" s="3"/>
      <c r="S666" s="3"/>
    </row>
    <row r="667" spans="1:19" ht="11.25" x14ac:dyDescent="0.2">
      <c r="A667" s="325" t="s">
        <v>5</v>
      </c>
      <c r="B667" s="3" t="s">
        <v>6</v>
      </c>
      <c r="C667" s="3"/>
      <c r="D667" s="325" t="s">
        <v>7</v>
      </c>
      <c r="E667" s="325" t="s">
        <v>8</v>
      </c>
      <c r="F667" s="3"/>
      <c r="G667" s="3"/>
      <c r="H667" s="3"/>
      <c r="I667" s="3"/>
      <c r="J667" s="3"/>
      <c r="K667" s="3"/>
      <c r="L667" s="3"/>
      <c r="N667" s="3"/>
      <c r="O667" s="3"/>
      <c r="P667" s="3"/>
      <c r="Q667" s="3"/>
      <c r="R667" s="3"/>
      <c r="S667" s="3"/>
    </row>
    <row r="668" spans="1:19" ht="11.25" x14ac:dyDescent="0.2">
      <c r="A668" s="341" t="s">
        <v>9</v>
      </c>
      <c r="B668" s="341" t="s">
        <v>9</v>
      </c>
      <c r="C668" s="341" t="str">
        <f>"                        ACCOUNT TITLE                "</f>
        <v xml:space="preserve">                        ACCOUNT TITLE                </v>
      </c>
      <c r="D668" s="26" t="s">
        <v>10</v>
      </c>
      <c r="E668" s="341" t="s">
        <v>11</v>
      </c>
      <c r="F668" s="341" t="str">
        <f>"  "&amp;+Input!$C$12</f>
        <v xml:space="preserve">  GS-RESIDENTIAL</v>
      </c>
      <c r="G668" s="341" t="str">
        <f>Input!$C$13</f>
        <v>GS-OTHER</v>
      </c>
      <c r="H668" s="341" t="str">
        <f>Input!$C$14</f>
        <v>IUS</v>
      </c>
      <c r="I668" s="341" t="str">
        <f>Input!$C$15</f>
        <v>DS-ML</v>
      </c>
      <c r="J668" s="341" t="str">
        <f>Input!$C$16</f>
        <v>DS/IS</v>
      </c>
      <c r="K668" s="341" t="str">
        <f>Input!$C$17</f>
        <v>NOT USED</v>
      </c>
      <c r="L668" s="341" t="str">
        <f>Input!$C$18</f>
        <v>NOT USED</v>
      </c>
      <c r="N668" s="3"/>
      <c r="O668" s="3"/>
      <c r="P668" s="3"/>
      <c r="Q668" s="3"/>
      <c r="R668" s="3"/>
      <c r="S668" s="3"/>
    </row>
    <row r="669" spans="1:19" ht="11.25" x14ac:dyDescent="0.2">
      <c r="A669" s="3"/>
      <c r="B669" s="342" t="s">
        <v>13</v>
      </c>
      <c r="C669" s="342" t="s">
        <v>14</v>
      </c>
      <c r="D669" s="325" t="s">
        <v>15</v>
      </c>
      <c r="E669" s="325" t="s">
        <v>16</v>
      </c>
      <c r="F669" s="325" t="s">
        <v>17</v>
      </c>
      <c r="G669" s="325" t="s">
        <v>18</v>
      </c>
      <c r="H669" s="325" t="s">
        <v>19</v>
      </c>
      <c r="I669" s="325" t="s">
        <v>20</v>
      </c>
      <c r="J669" s="325" t="s">
        <v>21</v>
      </c>
      <c r="K669" s="325" t="s">
        <v>22</v>
      </c>
      <c r="L669" s="325" t="s">
        <v>23</v>
      </c>
      <c r="N669" s="3"/>
      <c r="O669" s="3"/>
      <c r="P669" s="3"/>
      <c r="Q669" s="3"/>
      <c r="R669" s="3"/>
      <c r="S669" s="3"/>
    </row>
    <row r="670" spans="1:19" ht="11.25" x14ac:dyDescent="0.2">
      <c r="A670" s="3"/>
      <c r="B670" s="3"/>
      <c r="C670" s="3"/>
      <c r="D670" s="3"/>
      <c r="E670" s="325" t="s">
        <v>26</v>
      </c>
      <c r="F670" s="325" t="s">
        <v>26</v>
      </c>
      <c r="G670" s="325" t="s">
        <v>26</v>
      </c>
      <c r="H670" s="325" t="s">
        <v>26</v>
      </c>
      <c r="I670" s="325" t="s">
        <v>26</v>
      </c>
      <c r="J670" s="325" t="s">
        <v>26</v>
      </c>
      <c r="K670" s="325" t="s">
        <v>26</v>
      </c>
      <c r="L670" s="325" t="s">
        <v>26</v>
      </c>
      <c r="N670" s="3"/>
      <c r="O670" s="3"/>
      <c r="P670" s="3"/>
      <c r="Q670" s="3"/>
      <c r="R670" s="3"/>
      <c r="S670" s="3"/>
    </row>
    <row r="671" spans="1:19" ht="11.25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N671" s="3"/>
      <c r="O671" s="3"/>
      <c r="P671" s="3"/>
      <c r="Q671" s="3"/>
      <c r="R671" s="3"/>
      <c r="S671" s="3"/>
    </row>
    <row r="672" spans="1:19" ht="11.25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N672" s="3"/>
      <c r="O672" s="3"/>
      <c r="P672" s="3"/>
      <c r="Q672" s="3"/>
      <c r="R672" s="3"/>
      <c r="S672" s="3"/>
    </row>
    <row r="673" spans="1:19" ht="11.25" x14ac:dyDescent="0.2">
      <c r="A673" s="3">
        <v>1</v>
      </c>
      <c r="B673" s="3">
        <f>Input!A499</f>
        <v>408</v>
      </c>
      <c r="C673" s="23" t="str">
        <f>Input!B499</f>
        <v>TAXES BASED ON PROPERTY</v>
      </c>
      <c r="D673" s="3"/>
      <c r="E673" s="3">
        <f>Input!D499-SUM(Input!E500:M500)</f>
        <v>4136779</v>
      </c>
      <c r="F673" s="3">
        <f ca="1">Customer!F673+Commodity!F673+Demand!F673</f>
        <v>2368440</v>
      </c>
      <c r="G673" s="3">
        <f ca="1">Customer!G673+Commodity!G673+Demand!G673</f>
        <v>901761</v>
      </c>
      <c r="H673" s="3">
        <f ca="1">Customer!H673+Commodity!H673+Demand!H673</f>
        <v>1441</v>
      </c>
      <c r="I673" s="3">
        <f ca="1">Customer!I673+Commodity!I673+Demand!I673</f>
        <v>7433</v>
      </c>
      <c r="J673" s="3">
        <f ca="1">Customer!J673+Commodity!J673+Demand!J673</f>
        <v>857705</v>
      </c>
      <c r="K673" s="3">
        <f ca="1">Customer!K673+Commodity!K673+Demand!K673</f>
        <v>0</v>
      </c>
      <c r="L673" s="3">
        <f ca="1">Customer!L673+Commodity!L673+Demand!L673</f>
        <v>0</v>
      </c>
      <c r="N673" s="3"/>
      <c r="O673" s="3"/>
      <c r="P673" s="3"/>
      <c r="Q673" s="3"/>
      <c r="R673" s="3"/>
      <c r="S673" s="3"/>
    </row>
    <row r="674" spans="1:19" ht="11.25" x14ac:dyDescent="0.2">
      <c r="A674" s="3" t="s">
        <v>2</v>
      </c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N674" s="3"/>
      <c r="O674" s="3"/>
      <c r="P674" s="3"/>
      <c r="Q674" s="3"/>
      <c r="R674" s="3"/>
      <c r="S674" s="3"/>
    </row>
    <row r="675" spans="1:19" ht="11.25" x14ac:dyDescent="0.2">
      <c r="A675" s="3">
        <f>A673+1</f>
        <v>2</v>
      </c>
      <c r="B675" s="3">
        <f>Input!A500</f>
        <v>408</v>
      </c>
      <c r="C675" s="23" t="str">
        <f>Input!B500</f>
        <v>TAXES BASED ON PAYROLL</v>
      </c>
      <c r="D675" s="3"/>
      <c r="E675" s="3">
        <f>Input!D500</f>
        <v>654102</v>
      </c>
      <c r="F675" s="3">
        <f ca="1">Customer!F675+Commodity!F675+Demand!F675</f>
        <v>421195</v>
      </c>
      <c r="G675" s="3">
        <f ca="1">Customer!G675+Commodity!G675+Demand!G675</f>
        <v>150376</v>
      </c>
      <c r="H675" s="3">
        <f ca="1">Customer!H675+Commodity!H675+Demand!H675</f>
        <v>163</v>
      </c>
      <c r="I675" s="3">
        <f ca="1">Customer!I675+Commodity!I675+Demand!I675</f>
        <v>1123</v>
      </c>
      <c r="J675" s="3">
        <f ca="1">Customer!J675+Commodity!J675+Demand!J675</f>
        <v>81245</v>
      </c>
      <c r="K675" s="3">
        <f ca="1">Customer!K675+Commodity!K675+Demand!K675</f>
        <v>0</v>
      </c>
      <c r="L675" s="3">
        <f ca="1">Customer!L675+Commodity!L675+Demand!L675</f>
        <v>0</v>
      </c>
      <c r="N675" s="3"/>
      <c r="O675" s="3"/>
      <c r="P675" s="3"/>
      <c r="Q675" s="3"/>
      <c r="R675" s="3"/>
      <c r="S675" s="3"/>
    </row>
    <row r="676" spans="1:19" ht="11.25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N676" s="3"/>
      <c r="O676" s="3"/>
      <c r="P676" s="3"/>
      <c r="Q676" s="3"/>
      <c r="R676" s="3"/>
      <c r="S676" s="3"/>
    </row>
    <row r="677" spans="1:19" ht="11.25" x14ac:dyDescent="0.2">
      <c r="A677" s="3">
        <f>A675+1</f>
        <v>3</v>
      </c>
      <c r="B677" s="3">
        <f>Input!A501</f>
        <v>408</v>
      </c>
      <c r="C677" s="23" t="str">
        <f>Input!B501</f>
        <v>OTHER TAXES</v>
      </c>
      <c r="D677" s="3"/>
      <c r="E677" s="3">
        <f>Input!D501</f>
        <v>0</v>
      </c>
      <c r="F677" s="3">
        <f ca="1">Customer!F677+Commodity!F677+Demand!F677</f>
        <v>0</v>
      </c>
      <c r="G677" s="3">
        <f ca="1">Customer!G677+Commodity!G677+Demand!G677</f>
        <v>0</v>
      </c>
      <c r="H677" s="3">
        <f ca="1">Customer!H677+Commodity!H677+Demand!H677</f>
        <v>0</v>
      </c>
      <c r="I677" s="3">
        <f ca="1">Customer!I677+Commodity!I677+Demand!I677</f>
        <v>0</v>
      </c>
      <c r="J677" s="3">
        <f ca="1">Customer!J677+Commodity!J677+Demand!J677</f>
        <v>0</v>
      </c>
      <c r="K677" s="3">
        <f ca="1">Customer!K677+Commodity!K677+Demand!K677</f>
        <v>0</v>
      </c>
      <c r="L677" s="3">
        <f ca="1">Customer!L677+Commodity!L677+Demand!L677</f>
        <v>0</v>
      </c>
      <c r="N677" s="3"/>
      <c r="O677" s="3"/>
      <c r="P677" s="3"/>
      <c r="Q677" s="3"/>
      <c r="R677" s="3"/>
      <c r="S677" s="3"/>
    </row>
    <row r="678" spans="1:19" ht="11.25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N678" s="3"/>
      <c r="O678" s="3"/>
      <c r="P678" s="3"/>
      <c r="Q678" s="3"/>
      <c r="R678" s="3"/>
      <c r="S678" s="3"/>
    </row>
    <row r="679" spans="1:19" ht="11.25" x14ac:dyDescent="0.2">
      <c r="A679" s="3">
        <f>A677+1</f>
        <v>4</v>
      </c>
      <c r="B679" s="3"/>
      <c r="C679" s="3" t="s">
        <v>370</v>
      </c>
      <c r="D679" s="3"/>
      <c r="E679" s="3">
        <f t="shared" ref="E679:L679" si="80">SUM(E673:E677)</f>
        <v>4790881</v>
      </c>
      <c r="F679" s="3">
        <f t="shared" ca="1" si="80"/>
        <v>2789635</v>
      </c>
      <c r="G679" s="3">
        <f t="shared" ca="1" si="80"/>
        <v>1052137</v>
      </c>
      <c r="H679" s="3">
        <f t="shared" ca="1" si="80"/>
        <v>1604</v>
      </c>
      <c r="I679" s="3">
        <f t="shared" ca="1" si="80"/>
        <v>8556</v>
      </c>
      <c r="J679" s="3">
        <f t="shared" ca="1" si="80"/>
        <v>938950</v>
      </c>
      <c r="K679" s="3">
        <f t="shared" ca="1" si="80"/>
        <v>0</v>
      </c>
      <c r="L679" s="3">
        <f t="shared" ca="1" si="80"/>
        <v>0</v>
      </c>
      <c r="N679" s="3"/>
      <c r="O679" s="3"/>
      <c r="P679" s="3"/>
      <c r="Q679" s="3"/>
      <c r="R679" s="3"/>
      <c r="S679" s="3"/>
    </row>
    <row r="680" spans="1:19" ht="11.25" x14ac:dyDescent="0.2">
      <c r="A680" s="3" t="s">
        <v>810</v>
      </c>
      <c r="B680" s="3"/>
      <c r="C680" s="3"/>
      <c r="D680" s="3"/>
      <c r="E680" s="3"/>
      <c r="F680" s="325" t="str">
        <f>""&amp;+Input!$B$1</f>
        <v>COLUMBIA GAS OF KENTUCKY, INC.</v>
      </c>
      <c r="H680" s="3"/>
      <c r="I680" s="3"/>
      <c r="J680" s="3"/>
      <c r="K680" s="3"/>
      <c r="L680" s="32" t="str">
        <f>Input!$B$2</f>
        <v>ATTACHMENT CEN-2</v>
      </c>
      <c r="N680" s="3"/>
      <c r="O680" s="3"/>
      <c r="P680" s="3"/>
      <c r="Q680" s="3"/>
      <c r="R680" s="3"/>
      <c r="S680" s="3"/>
    </row>
    <row r="681" spans="1:19" ht="11.25" x14ac:dyDescent="0.2">
      <c r="A681" s="3" t="str">
        <f>Input!$B$7</f>
        <v>DEMAND-COMMODITY</v>
      </c>
      <c r="B681" s="3"/>
      <c r="C681" s="3"/>
      <c r="D681" s="3"/>
      <c r="E681" s="3"/>
      <c r="F681" s="325" t="s">
        <v>425</v>
      </c>
      <c r="H681" s="3"/>
      <c r="I681" s="3"/>
      <c r="J681" s="3"/>
      <c r="K681" s="3"/>
      <c r="L681" s="32" t="str">
        <f>"PAGE 21 OF "&amp;FIXED(Input!$B$8,0,TRUE)</f>
        <v>PAGE 21 OF 129</v>
      </c>
      <c r="N681" s="3"/>
      <c r="O681" s="3"/>
      <c r="P681" s="3"/>
      <c r="Q681" s="3"/>
      <c r="R681" s="3"/>
      <c r="S681" s="3"/>
    </row>
    <row r="682" spans="1:19" ht="11.25" x14ac:dyDescent="0.2">
      <c r="A682" s="17" t="str">
        <f>Input!$B$6</f>
        <v>FORECASTED TEST YEAR - ORIGINAL FILING</v>
      </c>
      <c r="B682" s="17"/>
      <c r="C682" s="17"/>
      <c r="D682" s="18"/>
      <c r="E682" s="17"/>
      <c r="F682" s="19" t="str">
        <f>"FOR THE TWELVE MONTHS ENDED "&amp;Input!$B$4</f>
        <v>FOR THE TWELVE MONTHS ENDED 12/31/2017</v>
      </c>
      <c r="G682" s="329"/>
      <c r="H682" s="17"/>
      <c r="I682" s="17"/>
      <c r="J682" s="17"/>
      <c r="K682" s="17"/>
      <c r="L682" s="183" t="str">
        <f>"WITNESS: "&amp;Input!$B$5</f>
        <v>WITNESS: C. NOTESTONE</v>
      </c>
      <c r="N682" s="3"/>
      <c r="O682" s="3"/>
      <c r="P682" s="3"/>
      <c r="Q682" s="3"/>
      <c r="R682" s="3"/>
      <c r="S682" s="3"/>
    </row>
    <row r="683" spans="1:19" ht="11.25" x14ac:dyDescent="0.2">
      <c r="A683" s="325" t="s">
        <v>5</v>
      </c>
      <c r="B683" s="3" t="s">
        <v>6</v>
      </c>
      <c r="C683" s="3"/>
      <c r="D683" s="325" t="s">
        <v>7</v>
      </c>
      <c r="E683" s="325" t="s">
        <v>8</v>
      </c>
      <c r="F683" s="3"/>
      <c r="G683" s="3"/>
      <c r="H683" s="3"/>
      <c r="I683" s="3"/>
      <c r="J683" s="3"/>
      <c r="K683" s="3"/>
      <c r="L683" s="3"/>
      <c r="N683" s="3"/>
      <c r="O683" s="3"/>
      <c r="P683" s="3"/>
      <c r="Q683" s="3"/>
      <c r="R683" s="3"/>
      <c r="S683" s="3"/>
    </row>
    <row r="684" spans="1:19" ht="11.25" x14ac:dyDescent="0.2">
      <c r="A684" s="341" t="s">
        <v>9</v>
      </c>
      <c r="B684" s="341" t="s">
        <v>9</v>
      </c>
      <c r="C684" s="341" t="str">
        <f>"                           ACCOUNT TITLE                  "</f>
        <v xml:space="preserve">                           ACCOUNT TITLE                  </v>
      </c>
      <c r="D684" s="26" t="s">
        <v>10</v>
      </c>
      <c r="E684" s="341" t="s">
        <v>11</v>
      </c>
      <c r="F684" s="22" t="str">
        <f>"  "&amp;+Input!$C$12</f>
        <v xml:space="preserve">  GS-RESIDENTIAL</v>
      </c>
      <c r="G684" s="22" t="str">
        <f>Input!$C$13</f>
        <v>GS-OTHER</v>
      </c>
      <c r="H684" s="22" t="str">
        <f>Input!$C$14</f>
        <v>IUS</v>
      </c>
      <c r="I684" s="22" t="str">
        <f>Input!$C$15</f>
        <v>DS-ML</v>
      </c>
      <c r="J684" s="22" t="str">
        <f>Input!$C$16</f>
        <v>DS/IS</v>
      </c>
      <c r="K684" s="22" t="str">
        <f>Input!$C$17</f>
        <v>NOT USED</v>
      </c>
      <c r="L684" s="22" t="str">
        <f>Input!$C$18</f>
        <v>NOT USED</v>
      </c>
      <c r="N684" s="3"/>
      <c r="O684" s="3"/>
      <c r="P684" s="3"/>
      <c r="Q684" s="3"/>
      <c r="R684" s="3"/>
      <c r="S684" s="3"/>
    </row>
    <row r="685" spans="1:19" ht="11.25" x14ac:dyDescent="0.2">
      <c r="A685" s="3"/>
      <c r="B685" s="342" t="s">
        <v>13</v>
      </c>
      <c r="C685" s="342" t="s">
        <v>14</v>
      </c>
      <c r="D685" s="325" t="s">
        <v>15</v>
      </c>
      <c r="E685" s="325" t="s">
        <v>16</v>
      </c>
      <c r="F685" s="325" t="s">
        <v>17</v>
      </c>
      <c r="G685" s="325" t="s">
        <v>18</v>
      </c>
      <c r="H685" s="325" t="s">
        <v>19</v>
      </c>
      <c r="I685" s="325" t="s">
        <v>20</v>
      </c>
      <c r="J685" s="325" t="s">
        <v>21</v>
      </c>
      <c r="K685" s="325" t="s">
        <v>22</v>
      </c>
      <c r="L685" s="325" t="s">
        <v>23</v>
      </c>
      <c r="N685" s="3"/>
      <c r="O685" s="3"/>
      <c r="P685" s="3"/>
      <c r="Q685" s="3"/>
      <c r="R685" s="3"/>
      <c r="S685" s="3"/>
    </row>
    <row r="686" spans="1:19" ht="11.25" x14ac:dyDescent="0.2">
      <c r="A686" s="3"/>
      <c r="B686" s="1"/>
      <c r="C686" s="1"/>
      <c r="D686" s="3"/>
      <c r="E686" s="325" t="s">
        <v>26</v>
      </c>
      <c r="F686" s="325" t="s">
        <v>26</v>
      </c>
      <c r="G686" s="325" t="s">
        <v>26</v>
      </c>
      <c r="H686" s="325" t="s">
        <v>26</v>
      </c>
      <c r="I686" s="325" t="s">
        <v>26</v>
      </c>
      <c r="J686" s="325" t="s">
        <v>26</v>
      </c>
      <c r="K686" s="325" t="s">
        <v>26</v>
      </c>
      <c r="L686" s="325" t="s">
        <v>26</v>
      </c>
      <c r="N686" s="3"/>
      <c r="O686" s="3"/>
      <c r="P686" s="3"/>
      <c r="Q686" s="3"/>
      <c r="R686" s="3"/>
      <c r="S686" s="3"/>
    </row>
    <row r="687" spans="1:19" ht="11.25" x14ac:dyDescent="0.2">
      <c r="A687" s="3">
        <v>1</v>
      </c>
      <c r="B687" s="1" t="s">
        <v>381</v>
      </c>
      <c r="C687" s="1"/>
      <c r="D687" s="3"/>
      <c r="E687" s="3">
        <f ca="1">'Total Co'!E732</f>
        <v>5380520.4866891801</v>
      </c>
      <c r="F687" s="3">
        <f ca="1">'Total Co'!F732</f>
        <v>3329815.8500000015</v>
      </c>
      <c r="G687" s="3">
        <f ca="1">'Total Co'!G732</f>
        <v>5671842.049999997</v>
      </c>
      <c r="H687" s="3">
        <f ca="1">'Total Co'!H732</f>
        <v>5205.7700000000114</v>
      </c>
      <c r="I687" s="3">
        <f ca="1">'Total Co'!I732</f>
        <v>396032.07999999996</v>
      </c>
      <c r="J687" s="3">
        <f ca="1">'Total Co'!J732</f>
        <v>-4022366.9699999997</v>
      </c>
      <c r="K687" s="3">
        <f ca="1">'Total Co'!K732</f>
        <v>0</v>
      </c>
      <c r="L687" s="3">
        <f ca="1">'Total Co'!L732</f>
        <v>0</v>
      </c>
      <c r="N687" s="3"/>
      <c r="O687" s="3"/>
      <c r="P687" s="3"/>
      <c r="Q687" s="3"/>
      <c r="R687" s="3"/>
      <c r="S687" s="3"/>
    </row>
    <row r="688" spans="1:19" ht="11.25" x14ac:dyDescent="0.2">
      <c r="A688" s="3"/>
      <c r="B688" s="1"/>
      <c r="C688" s="1"/>
      <c r="D688" s="3"/>
      <c r="E688" s="3"/>
      <c r="F688" s="3"/>
      <c r="G688" s="3"/>
      <c r="H688" s="3"/>
      <c r="I688" s="3"/>
      <c r="J688" s="3"/>
      <c r="K688" s="3"/>
      <c r="L688" s="3"/>
      <c r="N688" s="3"/>
      <c r="O688" s="3"/>
      <c r="P688" s="3"/>
      <c r="Q688" s="3"/>
      <c r="R688" s="3"/>
      <c r="S688" s="3"/>
    </row>
    <row r="689" spans="1:19" ht="11.25" x14ac:dyDescent="0.2">
      <c r="A689" s="3">
        <f>A687+1</f>
        <v>2</v>
      </c>
      <c r="B689" s="1" t="s">
        <v>382</v>
      </c>
      <c r="C689" s="1"/>
      <c r="D689" s="3"/>
      <c r="E689" s="3"/>
      <c r="F689" s="3"/>
      <c r="G689" s="3"/>
      <c r="H689" s="3"/>
      <c r="I689" s="3"/>
      <c r="J689" s="3"/>
      <c r="K689" s="3"/>
      <c r="L689" s="3"/>
      <c r="N689" s="3"/>
      <c r="O689" s="3"/>
      <c r="P689" s="3"/>
      <c r="Q689" s="3"/>
      <c r="R689" s="3"/>
      <c r="S689" s="3"/>
    </row>
    <row r="690" spans="1:19" ht="11.25" x14ac:dyDescent="0.2">
      <c r="A690" s="3"/>
      <c r="B690" s="1"/>
      <c r="C690" s="1"/>
      <c r="D690" s="3"/>
      <c r="E690" s="3"/>
      <c r="F690" s="3"/>
      <c r="G690" s="3"/>
      <c r="H690" s="3"/>
      <c r="I690" s="3"/>
      <c r="J690" s="3"/>
      <c r="K690" s="3"/>
      <c r="L690" s="3"/>
      <c r="N690" s="3"/>
      <c r="O690" s="3"/>
      <c r="P690" s="3"/>
      <c r="Q690" s="3"/>
      <c r="R690" s="3"/>
      <c r="S690" s="3"/>
    </row>
    <row r="691" spans="1:19" ht="11.25" x14ac:dyDescent="0.2">
      <c r="A691" s="3">
        <f>A689+1</f>
        <v>3</v>
      </c>
      <c r="B691" s="1" t="s">
        <v>383</v>
      </c>
      <c r="C691" s="1"/>
      <c r="D691" s="3"/>
      <c r="E691" s="3">
        <f ca="1">'Total Co'!E736</f>
        <v>6688725</v>
      </c>
      <c r="F691" s="3">
        <f ca="1">'Total Co'!F736</f>
        <v>3655277</v>
      </c>
      <c r="G691" s="3">
        <f ca="1">'Total Co'!G736</f>
        <v>1693088</v>
      </c>
      <c r="H691" s="3">
        <f ca="1">'Total Co'!H736</f>
        <v>3176</v>
      </c>
      <c r="I691" s="3">
        <f ca="1">'Total Co'!I736</f>
        <v>12817</v>
      </c>
      <c r="J691" s="3">
        <f ca="1">'Total Co'!J736</f>
        <v>1324367</v>
      </c>
      <c r="K691" s="3">
        <f ca="1">'Total Co'!K736</f>
        <v>0</v>
      </c>
      <c r="L691" s="3">
        <f ca="1">'Total Co'!L736</f>
        <v>0</v>
      </c>
      <c r="N691" s="3"/>
      <c r="O691" s="3"/>
      <c r="P691" s="3"/>
      <c r="Q691" s="3"/>
      <c r="R691" s="3"/>
      <c r="S691" s="3"/>
    </row>
    <row r="692" spans="1:19" ht="11.25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N692" s="3"/>
      <c r="O692" s="3"/>
      <c r="P692" s="3"/>
      <c r="Q692" s="3"/>
      <c r="R692" s="3"/>
      <c r="S692" s="3"/>
    </row>
    <row r="693" spans="1:19" ht="11.25" x14ac:dyDescent="0.2">
      <c r="A693" s="3">
        <f>A691+1</f>
        <v>4</v>
      </c>
      <c r="B693" s="3" t="str">
        <f>Input!A535</f>
        <v>TAX ACCELERATED DEPRECIATION</v>
      </c>
      <c r="C693" s="3"/>
      <c r="D693" s="3"/>
      <c r="E693" s="3">
        <f>E694-Input!D535</f>
        <v>14595754</v>
      </c>
      <c r="F693" s="3">
        <f ca="1">Customer!F693+Commodity!F693+Demand!F693</f>
        <v>8356539</v>
      </c>
      <c r="G693" s="3">
        <f ca="1">Customer!G693+Commodity!G693+Demand!G693</f>
        <v>3181671</v>
      </c>
      <c r="H693" s="3">
        <f ca="1">Customer!H693+Commodity!H693+Demand!H693</f>
        <v>5082</v>
      </c>
      <c r="I693" s="3">
        <f ca="1">Customer!I693+Commodity!I693+Demand!I693</f>
        <v>26225</v>
      </c>
      <c r="J693" s="3">
        <f ca="1">Customer!J693+Commodity!J693+Demand!J693</f>
        <v>3026236</v>
      </c>
      <c r="K693" s="3">
        <f ca="1">Customer!K693+Commodity!K693+Demand!K693</f>
        <v>0</v>
      </c>
      <c r="L693" s="3">
        <f ca="1">Customer!L693+Commodity!L693+Demand!L693</f>
        <v>0</v>
      </c>
      <c r="N693" s="3"/>
      <c r="O693" s="3"/>
      <c r="P693" s="3"/>
      <c r="Q693" s="3"/>
      <c r="R693" s="3"/>
      <c r="S693" s="3"/>
    </row>
    <row r="694" spans="1:19" ht="11.25" x14ac:dyDescent="0.2">
      <c r="A694" s="3">
        <f>A693+1</f>
        <v>5</v>
      </c>
      <c r="B694" s="3" t="str">
        <f>'Total Co'!B739</f>
        <v xml:space="preserve">  BOOK DEPRECIATION</v>
      </c>
      <c r="C694" s="3"/>
      <c r="D694" s="3"/>
      <c r="E694" s="26">
        <f>'Total Co'!E739</f>
        <v>14665691</v>
      </c>
      <c r="F694" s="26">
        <f ca="1">'Total Co'!F739</f>
        <v>9533148</v>
      </c>
      <c r="G694" s="26">
        <f ca="1">'Total Co'!G739</f>
        <v>2872396</v>
      </c>
      <c r="H694" s="26">
        <f ca="1">'Total Co'!H739</f>
        <v>3769</v>
      </c>
      <c r="I694" s="26">
        <f ca="1">'Total Co'!I739</f>
        <v>15550.86</v>
      </c>
      <c r="J694" s="26">
        <f ca="1">'Total Co'!J739</f>
        <v>2240825</v>
      </c>
      <c r="K694" s="26">
        <f ca="1">'Total Co'!K739</f>
        <v>0</v>
      </c>
      <c r="L694" s="26">
        <f ca="1">'Total Co'!L739</f>
        <v>0</v>
      </c>
      <c r="N694" s="3"/>
      <c r="O694" s="3"/>
      <c r="P694" s="3"/>
      <c r="Q694" s="3"/>
      <c r="R694" s="3"/>
      <c r="S694" s="3"/>
    </row>
    <row r="695" spans="1:19" ht="11.25" x14ac:dyDescent="0.2">
      <c r="A695" s="3">
        <f>A694+1</f>
        <v>6</v>
      </c>
      <c r="B695" s="3" t="str">
        <f>'Total Co'!B740</f>
        <v xml:space="preserve">  EXCESS OF BOOK OVER TAX DEPRECIATION</v>
      </c>
      <c r="C695" s="3"/>
      <c r="D695" s="3"/>
      <c r="E695" s="3">
        <f t="shared" ref="E695:L695" si="81">E693-E694</f>
        <v>-69937</v>
      </c>
      <c r="F695" s="3">
        <f t="shared" ca="1" si="81"/>
        <v>-1176609</v>
      </c>
      <c r="G695" s="3">
        <f t="shared" ca="1" si="81"/>
        <v>309275</v>
      </c>
      <c r="H695" s="3">
        <f t="shared" ca="1" si="81"/>
        <v>1313</v>
      </c>
      <c r="I695" s="3">
        <f t="shared" ca="1" si="81"/>
        <v>10674.14</v>
      </c>
      <c r="J695" s="3">
        <f t="shared" ca="1" si="81"/>
        <v>785411</v>
      </c>
      <c r="K695" s="3">
        <f t="shared" ca="1" si="81"/>
        <v>0</v>
      </c>
      <c r="L695" s="3">
        <f t="shared" ca="1" si="81"/>
        <v>0</v>
      </c>
      <c r="N695" s="3"/>
      <c r="O695" s="3"/>
      <c r="P695" s="3"/>
      <c r="Q695" s="3"/>
      <c r="R695" s="3"/>
      <c r="S695" s="3"/>
    </row>
    <row r="696" spans="1:19" ht="11.25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N696" s="3"/>
      <c r="O696" s="3"/>
      <c r="P696" s="3"/>
      <c r="Q696" s="3"/>
      <c r="R696" s="3"/>
      <c r="S696" s="3"/>
    </row>
    <row r="697" spans="1:19" ht="11.25" x14ac:dyDescent="0.2">
      <c r="A697" s="3">
        <f>A695+1</f>
        <v>7</v>
      </c>
      <c r="B697" s="3" t="str">
        <f>'Total Co'!B742</f>
        <v xml:space="preserve">  NON DEDUCTIBLE EMPLOYEE EXPENSE</v>
      </c>
      <c r="C697" s="3"/>
      <c r="D697" s="3"/>
      <c r="E697" s="26">
        <f>'Total Co'!E742</f>
        <v>-4960</v>
      </c>
      <c r="F697" s="3">
        <f ca="1">Customer!F697+Commodity!F697+Demand!F697</f>
        <v>-3194</v>
      </c>
      <c r="G697" s="3">
        <f ca="1">Customer!G697+Commodity!G697+Demand!G697</f>
        <v>-1140</v>
      </c>
      <c r="H697" s="3">
        <f ca="1">Customer!H697+Commodity!H697+Demand!H697</f>
        <v>0</v>
      </c>
      <c r="I697" s="3">
        <f ca="1">Customer!I697+Commodity!I697+Demand!I697</f>
        <v>-8</v>
      </c>
      <c r="J697" s="3">
        <f ca="1">Customer!J697+Commodity!J697+Demand!J697</f>
        <v>-616</v>
      </c>
      <c r="K697" s="3">
        <f ca="1">Customer!K697+Commodity!K697+Demand!K697</f>
        <v>0</v>
      </c>
      <c r="L697" s="3">
        <f ca="1">Customer!L697+Commodity!L697+Demand!L697</f>
        <v>0</v>
      </c>
      <c r="N697" s="3"/>
      <c r="O697" s="3"/>
      <c r="P697" s="3"/>
      <c r="Q697" s="3"/>
      <c r="R697" s="3"/>
      <c r="S697" s="3"/>
    </row>
    <row r="698" spans="1:19" ht="11.25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N698" s="3"/>
      <c r="O698" s="3"/>
      <c r="P698" s="3"/>
      <c r="Q698" s="3"/>
      <c r="R698" s="3"/>
      <c r="S698" s="3"/>
    </row>
    <row r="699" spans="1:19" ht="11.25" x14ac:dyDescent="0.2">
      <c r="A699" s="3">
        <f>A697+1</f>
        <v>8</v>
      </c>
      <c r="B699" s="3" t="s">
        <v>384</v>
      </c>
      <c r="C699" s="3"/>
      <c r="D699" s="3"/>
      <c r="E699" s="26">
        <f ca="1">E691+E695+E697</f>
        <v>6613828</v>
      </c>
      <c r="F699" s="26">
        <f t="shared" ref="F699:L699" ca="1" si="82">F691+F695+F697</f>
        <v>2475474</v>
      </c>
      <c r="G699" s="26">
        <f t="shared" ca="1" si="82"/>
        <v>2001223</v>
      </c>
      <c r="H699" s="26">
        <f t="shared" ca="1" si="82"/>
        <v>4489</v>
      </c>
      <c r="I699" s="26">
        <f t="shared" ca="1" si="82"/>
        <v>23483.14</v>
      </c>
      <c r="J699" s="26">
        <f t="shared" ca="1" si="82"/>
        <v>2109162</v>
      </c>
      <c r="K699" s="26">
        <f t="shared" ca="1" si="82"/>
        <v>0</v>
      </c>
      <c r="L699" s="26">
        <f t="shared" ca="1" si="82"/>
        <v>0</v>
      </c>
      <c r="N699" s="3"/>
      <c r="O699" s="3"/>
      <c r="P699" s="3"/>
      <c r="Q699" s="3"/>
      <c r="R699" s="3"/>
      <c r="S699" s="3"/>
    </row>
    <row r="700" spans="1:19" ht="11.25" x14ac:dyDescent="0.2">
      <c r="A700" s="3">
        <f>A699+1</f>
        <v>9</v>
      </c>
      <c r="B700" s="3" t="s">
        <v>385</v>
      </c>
      <c r="C700" s="3"/>
      <c r="D700" s="3"/>
      <c r="E700" s="3">
        <f t="shared" ref="E700:L700" ca="1" si="83">E687-E699</f>
        <v>-1233307.5133108199</v>
      </c>
      <c r="F700" s="3">
        <f t="shared" ca="1" si="83"/>
        <v>854341.85000000149</v>
      </c>
      <c r="G700" s="3">
        <f t="shared" ca="1" si="83"/>
        <v>3670619.049999997</v>
      </c>
      <c r="H700" s="3">
        <f t="shared" ca="1" si="83"/>
        <v>716.77000000001135</v>
      </c>
      <c r="I700" s="3">
        <f t="shared" ca="1" si="83"/>
        <v>372548.93999999994</v>
      </c>
      <c r="J700" s="3">
        <f t="shared" ca="1" si="83"/>
        <v>-6131528.9699999997</v>
      </c>
      <c r="K700" s="3">
        <f t="shared" ca="1" si="83"/>
        <v>0</v>
      </c>
      <c r="L700" s="3">
        <f t="shared" ca="1" si="83"/>
        <v>0</v>
      </c>
      <c r="N700" s="3"/>
      <c r="O700" s="3"/>
      <c r="P700" s="3"/>
      <c r="Q700" s="3"/>
      <c r="R700" s="3"/>
      <c r="S700" s="3"/>
    </row>
    <row r="701" spans="1:19" ht="11.25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N701" s="3"/>
      <c r="O701" s="3"/>
      <c r="P701" s="3"/>
      <c r="Q701" s="3"/>
      <c r="R701" s="3"/>
      <c r="S701" s="3"/>
    </row>
    <row r="702" spans="1:19" ht="11.25" x14ac:dyDescent="0.2">
      <c r="A702" s="3">
        <f>A700+1</f>
        <v>10</v>
      </c>
      <c r="B702" s="3" t="str">
        <f>"STATE INCOME TAX @ "&amp;FIXED(ROUND(Input!$D$28*100,2),2,TRUE)&amp;"%"</f>
        <v>STATE INCOME TAX @ 6.00%</v>
      </c>
      <c r="C702" s="3"/>
      <c r="D702" s="3"/>
      <c r="E702" s="46">
        <f ca="1">ROUND((+E700)*0.06,0)</f>
        <v>-73998</v>
      </c>
      <c r="F702" s="3">
        <f ca="1">($E$702/$E$700)*F700</f>
        <v>51260.198720906861</v>
      </c>
      <c r="G702" s="3">
        <f ca="1">($E$702/$E$700)*G700</f>
        <v>220235.80131506594</v>
      </c>
      <c r="H702" s="3">
        <f ca="1">($E$702/$E$700)*H700</f>
        <v>43.005938006179761</v>
      </c>
      <c r="I702" s="3">
        <f ca="1">($E$702/$E$700)*I700</f>
        <v>22352.800225885188</v>
      </c>
      <c r="J702" s="3">
        <f ca="1">($E$702/$E$700)*J700</f>
        <v>-367889.49700309872</v>
      </c>
      <c r="K702" s="3">
        <f ca="1">ROUND(K700*Input!$D$28,0)</f>
        <v>0</v>
      </c>
      <c r="L702" s="3">
        <f ca="1">ROUND(L700*Input!$D$28,0)</f>
        <v>0</v>
      </c>
      <c r="N702" s="3"/>
      <c r="O702" s="3"/>
      <c r="P702" s="3"/>
      <c r="Q702" s="3"/>
      <c r="R702" s="3"/>
      <c r="S702" s="3"/>
    </row>
    <row r="703" spans="1:19" ht="11.25" x14ac:dyDescent="0.2">
      <c r="A703" s="3">
        <f>A702+1</f>
        <v>11</v>
      </c>
      <c r="B703" s="3" t="str">
        <f>"PLUS: "&amp;+Input!A536</f>
        <v>PLUS: FOREIGN TAX PAYMENTS</v>
      </c>
      <c r="C703" s="3"/>
      <c r="D703" s="3"/>
      <c r="E703" s="26">
        <f>Input!D536</f>
        <v>0</v>
      </c>
      <c r="F703" s="3">
        <f ca="1">Customer!F703+Commodity!F703+Demand!F703</f>
        <v>0</v>
      </c>
      <c r="G703" s="3">
        <f ca="1">Customer!G703+Commodity!G703+Demand!G703</f>
        <v>0</v>
      </c>
      <c r="H703" s="3">
        <f ca="1">Customer!H703+Commodity!H703+Demand!H703</f>
        <v>0</v>
      </c>
      <c r="I703" s="3">
        <f ca="1">Customer!I703+Commodity!I703+Demand!I703</f>
        <v>0</v>
      </c>
      <c r="J703" s="3">
        <f ca="1">Customer!J703+Commodity!J703+Demand!J703</f>
        <v>0</v>
      </c>
      <c r="K703" s="3">
        <f ca="1">Customer!K703+Commodity!K703+Demand!K703</f>
        <v>0</v>
      </c>
      <c r="L703" s="3">
        <f ca="1">Customer!L703+Commodity!L703+Demand!L703</f>
        <v>0</v>
      </c>
      <c r="N703" s="3"/>
      <c r="O703" s="3"/>
      <c r="P703" s="3"/>
      <c r="Q703" s="3"/>
      <c r="R703" s="3"/>
      <c r="S703" s="3"/>
    </row>
    <row r="704" spans="1:19" ht="11.25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N704" s="3"/>
      <c r="O704" s="3"/>
      <c r="P704" s="3"/>
      <c r="Q704" s="3"/>
      <c r="R704" s="3"/>
      <c r="S704" s="3"/>
    </row>
    <row r="705" spans="1:19" ht="11.25" x14ac:dyDescent="0.2">
      <c r="A705" s="3">
        <f>A703+1</f>
        <v>12</v>
      </c>
      <c r="B705" s="3" t="s">
        <v>46</v>
      </c>
      <c r="C705" s="3"/>
      <c r="D705" s="3"/>
      <c r="E705" s="3">
        <f t="shared" ref="E705:L705" ca="1" si="84">E702+E703</f>
        <v>-73998</v>
      </c>
      <c r="F705" s="3">
        <f t="shared" ca="1" si="84"/>
        <v>51260.198720906861</v>
      </c>
      <c r="G705" s="3">
        <f t="shared" ca="1" si="84"/>
        <v>220235.80131506594</v>
      </c>
      <c r="H705" s="3">
        <f t="shared" ca="1" si="84"/>
        <v>43.005938006179761</v>
      </c>
      <c r="I705" s="3">
        <f t="shared" ca="1" si="84"/>
        <v>22352.800225885188</v>
      </c>
      <c r="J705" s="3">
        <f t="shared" ca="1" si="84"/>
        <v>-367889.49700309872</v>
      </c>
      <c r="K705" s="3">
        <f t="shared" ca="1" si="84"/>
        <v>0</v>
      </c>
      <c r="L705" s="3">
        <f t="shared" ca="1" si="84"/>
        <v>0</v>
      </c>
      <c r="N705" s="3"/>
      <c r="O705" s="3"/>
      <c r="P705" s="3"/>
      <c r="Q705" s="3"/>
      <c r="R705" s="3"/>
      <c r="S705" s="3"/>
    </row>
    <row r="706" spans="1:19" ht="11.25" x14ac:dyDescent="0.2">
      <c r="A706" s="3" t="s">
        <v>810</v>
      </c>
      <c r="B706" s="3"/>
      <c r="C706" s="3"/>
      <c r="D706" s="3"/>
      <c r="E706" s="3"/>
      <c r="F706" s="325" t="str">
        <f>""&amp;+Input!$B$1</f>
        <v>COLUMBIA GAS OF KENTUCKY, INC.</v>
      </c>
      <c r="H706" s="3"/>
      <c r="I706" s="3"/>
      <c r="J706" s="3"/>
      <c r="K706" s="3"/>
      <c r="L706" s="32" t="str">
        <f>Input!$B$2</f>
        <v>ATTACHMENT CEN-2</v>
      </c>
      <c r="N706" s="3"/>
      <c r="O706" s="3"/>
      <c r="P706" s="3"/>
      <c r="Q706" s="3"/>
      <c r="R706" s="3"/>
      <c r="S706" s="3"/>
    </row>
    <row r="707" spans="1:19" ht="11.25" x14ac:dyDescent="0.2">
      <c r="A707" s="3" t="str">
        <f>Input!$B$7</f>
        <v>DEMAND-COMMODITY</v>
      </c>
      <c r="B707" s="3"/>
      <c r="C707" s="3"/>
      <c r="D707" s="3"/>
      <c r="E707" s="3"/>
      <c r="F707" s="325" t="s">
        <v>425</v>
      </c>
      <c r="H707" s="3"/>
      <c r="I707" s="3"/>
      <c r="J707" s="3"/>
      <c r="K707" s="3"/>
      <c r="L707" s="32" t="str">
        <f>"PAGE 22 OF "&amp;FIXED(Input!$B$8,0,TRUE)</f>
        <v>PAGE 22 OF 129</v>
      </c>
      <c r="N707" s="3"/>
      <c r="O707" s="3"/>
      <c r="P707" s="3"/>
      <c r="Q707" s="3"/>
      <c r="R707" s="3"/>
      <c r="S707" s="3"/>
    </row>
    <row r="708" spans="1:19" ht="11.25" x14ac:dyDescent="0.2">
      <c r="A708" s="17" t="str">
        <f>Input!$B$6</f>
        <v>FORECASTED TEST YEAR - ORIGINAL FILING</v>
      </c>
      <c r="B708" s="17"/>
      <c r="C708" s="17"/>
      <c r="D708" s="18"/>
      <c r="E708" s="17"/>
      <c r="F708" s="19" t="str">
        <f>"FOR THE TWELVE MONTHS ENDED "&amp;Input!$B$4</f>
        <v>FOR THE TWELVE MONTHS ENDED 12/31/2017</v>
      </c>
      <c r="G708" s="329"/>
      <c r="H708" s="17"/>
      <c r="I708" s="17"/>
      <c r="J708" s="17"/>
      <c r="K708" s="17"/>
      <c r="L708" s="183" t="str">
        <f>"WITNESS: "&amp;Input!$B$5</f>
        <v>WITNESS: C. NOTESTONE</v>
      </c>
      <c r="N708" s="3"/>
      <c r="O708" s="3"/>
      <c r="P708" s="3"/>
      <c r="Q708" s="3"/>
      <c r="R708" s="3"/>
      <c r="S708" s="3"/>
    </row>
    <row r="709" spans="1:19" ht="11.25" x14ac:dyDescent="0.2">
      <c r="A709" s="325" t="s">
        <v>5</v>
      </c>
      <c r="B709" s="3" t="s">
        <v>6</v>
      </c>
      <c r="C709" s="3"/>
      <c r="D709" s="325" t="s">
        <v>7</v>
      </c>
      <c r="E709" s="325" t="s">
        <v>8</v>
      </c>
      <c r="F709" s="3"/>
      <c r="G709" s="3"/>
      <c r="H709" s="3"/>
      <c r="I709" s="3"/>
      <c r="J709" s="3"/>
      <c r="K709" s="3"/>
      <c r="L709" s="3"/>
      <c r="N709" s="3"/>
      <c r="O709" s="3"/>
      <c r="P709" s="3"/>
      <c r="Q709" s="3"/>
      <c r="R709" s="3"/>
      <c r="S709" s="3"/>
    </row>
    <row r="710" spans="1:19" ht="11.25" x14ac:dyDescent="0.2">
      <c r="A710" s="341" t="s">
        <v>9</v>
      </c>
      <c r="B710" s="341" t="s">
        <v>9</v>
      </c>
      <c r="C710" s="341" t="str">
        <f>"                        ACCOUNT TITLE                "</f>
        <v xml:space="preserve">                        ACCOUNT TITLE                </v>
      </c>
      <c r="D710" s="26" t="s">
        <v>10</v>
      </c>
      <c r="E710" s="341" t="s">
        <v>11</v>
      </c>
      <c r="F710" s="341" t="str">
        <f>"  "&amp;+Input!$C$12</f>
        <v xml:space="preserve">  GS-RESIDENTIAL</v>
      </c>
      <c r="G710" s="341" t="str">
        <f>Input!$C$13</f>
        <v>GS-OTHER</v>
      </c>
      <c r="H710" s="341" t="str">
        <f>Input!$C$14</f>
        <v>IUS</v>
      </c>
      <c r="I710" s="341" t="str">
        <f>Input!$C$15</f>
        <v>DS-ML</v>
      </c>
      <c r="J710" s="341" t="str">
        <f>Input!$C$16</f>
        <v>DS/IS</v>
      </c>
      <c r="K710" s="341" t="str">
        <f>Input!$C$17</f>
        <v>NOT USED</v>
      </c>
      <c r="L710" s="341" t="str">
        <f>Input!$C$18</f>
        <v>NOT USED</v>
      </c>
      <c r="N710" s="3"/>
      <c r="O710" s="3"/>
      <c r="P710" s="3"/>
      <c r="Q710" s="3"/>
      <c r="R710" s="3"/>
      <c r="S710" s="3"/>
    </row>
    <row r="711" spans="1:19" ht="11.25" x14ac:dyDescent="0.2">
      <c r="A711" s="3"/>
      <c r="B711" s="342" t="s">
        <v>13</v>
      </c>
      <c r="C711" s="342" t="s">
        <v>14</v>
      </c>
      <c r="D711" s="325" t="s">
        <v>15</v>
      </c>
      <c r="E711" s="325" t="s">
        <v>16</v>
      </c>
      <c r="F711" s="325" t="s">
        <v>17</v>
      </c>
      <c r="G711" s="325" t="s">
        <v>18</v>
      </c>
      <c r="H711" s="325" t="s">
        <v>19</v>
      </c>
      <c r="I711" s="325" t="s">
        <v>20</v>
      </c>
      <c r="J711" s="325" t="s">
        <v>21</v>
      </c>
      <c r="K711" s="325" t="s">
        <v>22</v>
      </c>
      <c r="L711" s="325" t="s">
        <v>23</v>
      </c>
      <c r="N711" s="3"/>
      <c r="O711" s="3"/>
      <c r="P711" s="3"/>
      <c r="Q711" s="3"/>
      <c r="R711" s="3"/>
      <c r="S711" s="3"/>
    </row>
    <row r="712" spans="1:19" ht="11.25" x14ac:dyDescent="0.2">
      <c r="A712" s="3"/>
      <c r="B712" s="3"/>
      <c r="C712" s="3"/>
      <c r="D712" s="3"/>
      <c r="E712" s="325" t="s">
        <v>26</v>
      </c>
      <c r="F712" s="325" t="s">
        <v>26</v>
      </c>
      <c r="G712" s="325" t="s">
        <v>26</v>
      </c>
      <c r="H712" s="325" t="s">
        <v>26</v>
      </c>
      <c r="I712" s="325" t="s">
        <v>26</v>
      </c>
      <c r="J712" s="325" t="s">
        <v>26</v>
      </c>
      <c r="K712" s="325" t="s">
        <v>26</v>
      </c>
      <c r="L712" s="325" t="s">
        <v>26</v>
      </c>
      <c r="N712" s="3"/>
      <c r="O712" s="3"/>
      <c r="P712" s="3"/>
      <c r="Q712" s="3"/>
      <c r="R712" s="3"/>
      <c r="S712" s="3"/>
    </row>
    <row r="713" spans="1:19" ht="11.25" x14ac:dyDescent="0.2">
      <c r="A713" s="3">
        <v>1</v>
      </c>
      <c r="B713" s="3"/>
      <c r="C713" s="3" t="s">
        <v>386</v>
      </c>
      <c r="D713" s="3"/>
      <c r="E713" s="3"/>
      <c r="F713" s="3"/>
      <c r="G713" s="3"/>
      <c r="H713" s="3"/>
      <c r="I713" s="3"/>
      <c r="J713" s="3"/>
      <c r="K713" s="3"/>
      <c r="L713" s="3"/>
      <c r="N713" s="3"/>
      <c r="O713" s="3"/>
      <c r="P713" s="3"/>
      <c r="Q713" s="3"/>
      <c r="R713" s="3"/>
      <c r="S713" s="3"/>
    </row>
    <row r="714" spans="1:19" ht="11.25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N714" s="3"/>
      <c r="O714" s="3"/>
      <c r="P714" s="3"/>
      <c r="Q714" s="3"/>
      <c r="R714" s="3"/>
      <c r="S714" s="3"/>
    </row>
    <row r="715" spans="1:19" ht="11.25" x14ac:dyDescent="0.2">
      <c r="A715" s="3">
        <f>A713+1</f>
        <v>2</v>
      </c>
      <c r="B715" s="3" t="s">
        <v>387</v>
      </c>
      <c r="C715" s="3"/>
      <c r="D715" s="3"/>
      <c r="E715" s="3"/>
      <c r="F715" s="3"/>
      <c r="G715" s="3"/>
      <c r="H715" s="3"/>
      <c r="I715" s="3"/>
      <c r="J715" s="3"/>
      <c r="K715" s="3"/>
      <c r="L715" s="3"/>
      <c r="N715" s="3"/>
      <c r="O715" s="3"/>
      <c r="P715" s="3"/>
      <c r="Q715" s="3"/>
      <c r="R715" s="3"/>
      <c r="S715" s="3"/>
    </row>
    <row r="716" spans="1:19" ht="11.25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N716" s="3"/>
      <c r="O716" s="3"/>
      <c r="P716" s="3"/>
      <c r="Q716" s="3"/>
      <c r="R716" s="3"/>
      <c r="S716" s="3"/>
    </row>
    <row r="717" spans="1:19" ht="11.25" x14ac:dyDescent="0.2">
      <c r="A717" s="3">
        <f>A715+1</f>
        <v>3</v>
      </c>
      <c r="B717" s="3" t="str">
        <f>Input!A538</f>
        <v>AMORTIZATION OF EXCESS ADIT-STATE</v>
      </c>
      <c r="C717" s="3"/>
      <c r="D717" s="3"/>
      <c r="E717" s="26">
        <f>Input!D538</f>
        <v>-17008</v>
      </c>
      <c r="F717" s="26">
        <f ca="1">Customer!F717+Commodity!F717+Demand!F717</f>
        <v>-9738</v>
      </c>
      <c r="G717" s="26">
        <f ca="1">Customer!G717+Commodity!G717+Demand!G717</f>
        <v>-3707</v>
      </c>
      <c r="H717" s="26">
        <f ca="1">Customer!H717+Commodity!H717+Demand!H717</f>
        <v>-6</v>
      </c>
      <c r="I717" s="26">
        <f ca="1">Customer!I717+Commodity!I717+Demand!I717</f>
        <v>-30</v>
      </c>
      <c r="J717" s="26">
        <f ca="1">Customer!J717+Commodity!J717+Demand!J717</f>
        <v>-3527</v>
      </c>
      <c r="K717" s="26">
        <f ca="1">Customer!K717+Commodity!K717+Demand!K717</f>
        <v>0</v>
      </c>
      <c r="L717" s="26">
        <f ca="1">Customer!L717+Commodity!L717+Demand!L717</f>
        <v>0</v>
      </c>
      <c r="N717" s="3"/>
      <c r="O717" s="3"/>
      <c r="P717" s="3"/>
      <c r="Q717" s="3"/>
      <c r="R717" s="3"/>
      <c r="S717" s="3"/>
    </row>
    <row r="718" spans="1:19" ht="11.25" x14ac:dyDescent="0.2">
      <c r="A718" s="3"/>
      <c r="B718" s="3"/>
      <c r="C718" s="3"/>
      <c r="D718" s="3"/>
      <c r="E718" s="26"/>
      <c r="F718" s="26"/>
      <c r="G718" s="26"/>
      <c r="H718" s="26"/>
      <c r="I718" s="26"/>
      <c r="J718" s="26"/>
      <c r="K718" s="26"/>
      <c r="L718" s="26"/>
      <c r="N718" s="3"/>
      <c r="O718" s="3"/>
      <c r="P718" s="3"/>
      <c r="Q718" s="3"/>
      <c r="R718" s="3"/>
      <c r="S718" s="3"/>
    </row>
    <row r="719" spans="1:19" ht="11.25" x14ac:dyDescent="0.2">
      <c r="A719" s="3">
        <f>A717+1</f>
        <v>4</v>
      </c>
      <c r="B719" s="3" t="s">
        <v>388</v>
      </c>
      <c r="C719" s="3"/>
      <c r="D719" s="3"/>
      <c r="E719" s="3">
        <f t="shared" ref="E719:L719" si="85">E717</f>
        <v>-17008</v>
      </c>
      <c r="F719" s="3">
        <f t="shared" ca="1" si="85"/>
        <v>-9738</v>
      </c>
      <c r="G719" s="3">
        <f t="shared" ca="1" si="85"/>
        <v>-3707</v>
      </c>
      <c r="H719" s="3">
        <f t="shared" ca="1" si="85"/>
        <v>-6</v>
      </c>
      <c r="I719" s="3">
        <f t="shared" ca="1" si="85"/>
        <v>-30</v>
      </c>
      <c r="J719" s="3">
        <f t="shared" ca="1" si="85"/>
        <v>-3527</v>
      </c>
      <c r="K719" s="3">
        <f t="shared" ca="1" si="85"/>
        <v>0</v>
      </c>
      <c r="L719" s="3">
        <f t="shared" ca="1" si="85"/>
        <v>0</v>
      </c>
      <c r="N719" s="3"/>
      <c r="O719" s="3"/>
      <c r="P719" s="3"/>
      <c r="Q719" s="3"/>
      <c r="R719" s="3"/>
      <c r="S719" s="3"/>
    </row>
    <row r="720" spans="1:19" ht="11.25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N720" s="3"/>
      <c r="O720" s="3"/>
      <c r="P720" s="3"/>
      <c r="Q720" s="3"/>
      <c r="R720" s="3"/>
      <c r="S720" s="3"/>
    </row>
    <row r="721" spans="1:19" ht="11.25" x14ac:dyDescent="0.2">
      <c r="A721" s="3">
        <f>A719+1</f>
        <v>5</v>
      </c>
      <c r="B721" s="3" t="s">
        <v>389</v>
      </c>
      <c r="C721" s="3"/>
      <c r="D721" s="3"/>
      <c r="E721" s="3">
        <f ca="1">'Total Co'!E705+E719</f>
        <v>-91006</v>
      </c>
      <c r="F721" s="3">
        <f ca="1">'Total Co'!F705+F719</f>
        <v>41522.198720906861</v>
      </c>
      <c r="G721" s="3">
        <f ca="1">'Total Co'!G705+G719</f>
        <v>216528.80131506594</v>
      </c>
      <c r="H721" s="3">
        <f ca="1">'Total Co'!H705+H719</f>
        <v>37.005938006179761</v>
      </c>
      <c r="I721" s="3">
        <f ca="1">'Total Co'!I705+I719</f>
        <v>22322.800225885188</v>
      </c>
      <c r="J721" s="3">
        <f ca="1">'Total Co'!J705+J719</f>
        <v>-371416.49700309872</v>
      </c>
      <c r="K721" s="3">
        <f ca="1">'Total Co'!K705+K719</f>
        <v>0</v>
      </c>
      <c r="L721" s="3">
        <f ca="1">'Total Co'!L705+L719</f>
        <v>0</v>
      </c>
      <c r="N721" s="3"/>
      <c r="O721" s="3"/>
      <c r="P721" s="3"/>
      <c r="Q721" s="3"/>
      <c r="R721" s="3"/>
      <c r="S721" s="3"/>
    </row>
    <row r="722" spans="1:19" ht="11.25" x14ac:dyDescent="0.2">
      <c r="A722" s="3" t="s">
        <v>810</v>
      </c>
      <c r="B722" s="3"/>
      <c r="C722" s="3"/>
      <c r="D722" s="3"/>
      <c r="E722" s="3"/>
      <c r="F722" s="325" t="str">
        <f>""&amp;+Input!$B$1</f>
        <v>COLUMBIA GAS OF KENTUCKY, INC.</v>
      </c>
      <c r="H722" s="3"/>
      <c r="I722" s="3"/>
      <c r="J722" s="3"/>
      <c r="K722" s="3"/>
      <c r="L722" s="32" t="str">
        <f>Input!$B$2</f>
        <v>ATTACHMENT CEN-2</v>
      </c>
      <c r="N722" s="3"/>
      <c r="O722" s="3"/>
      <c r="P722" s="3"/>
      <c r="Q722" s="3"/>
      <c r="R722" s="3"/>
      <c r="S722" s="3"/>
    </row>
    <row r="723" spans="1:19" ht="11.25" x14ac:dyDescent="0.2">
      <c r="A723" s="3" t="str">
        <f>Input!$B$7</f>
        <v>DEMAND-COMMODITY</v>
      </c>
      <c r="B723" s="3"/>
      <c r="C723" s="3"/>
      <c r="D723" s="3"/>
      <c r="E723" s="3"/>
      <c r="F723" s="325" t="s">
        <v>572</v>
      </c>
      <c r="H723" s="3"/>
      <c r="I723" s="3"/>
      <c r="J723" s="3"/>
      <c r="K723" s="3"/>
      <c r="L723" s="32" t="str">
        <f>"PAGE 23 OF "&amp;FIXED(Input!$B$8,0,TRUE)</f>
        <v>PAGE 23 OF 129</v>
      </c>
      <c r="N723" s="3"/>
      <c r="O723" s="3"/>
      <c r="P723" s="3"/>
      <c r="Q723" s="3"/>
      <c r="R723" s="3"/>
      <c r="S723" s="3"/>
    </row>
    <row r="724" spans="1:19" ht="11.25" x14ac:dyDescent="0.2">
      <c r="A724" s="17" t="str">
        <f>Input!$B$6</f>
        <v>FORECASTED TEST YEAR - ORIGINAL FILING</v>
      </c>
      <c r="B724" s="17"/>
      <c r="C724" s="17"/>
      <c r="D724" s="18"/>
      <c r="E724" s="17"/>
      <c r="F724" s="19" t="str">
        <f>"FOR THE TWELVE MONTHS ENDED "&amp;Input!$B$4</f>
        <v>FOR THE TWELVE MONTHS ENDED 12/31/2017</v>
      </c>
      <c r="G724" s="329"/>
      <c r="H724" s="17"/>
      <c r="I724" s="17"/>
      <c r="J724" s="17"/>
      <c r="K724" s="17"/>
      <c r="L724" s="183" t="str">
        <f>"WITNESS: "&amp;Input!$B$5</f>
        <v>WITNESS: C. NOTESTONE</v>
      </c>
      <c r="N724" s="3"/>
      <c r="O724" s="3"/>
      <c r="P724" s="3"/>
      <c r="Q724" s="3"/>
      <c r="R724" s="3"/>
      <c r="S724" s="3"/>
    </row>
    <row r="725" spans="1:19" ht="11.25" x14ac:dyDescent="0.2">
      <c r="A725" s="325" t="s">
        <v>5</v>
      </c>
      <c r="B725" s="3" t="s">
        <v>6</v>
      </c>
      <c r="C725" s="3"/>
      <c r="D725" s="325" t="s">
        <v>7</v>
      </c>
      <c r="E725" s="325" t="s">
        <v>8</v>
      </c>
      <c r="F725" s="3"/>
      <c r="G725" s="3"/>
      <c r="H725" s="3"/>
      <c r="I725" s="3"/>
      <c r="J725" s="3"/>
      <c r="K725" s="3"/>
      <c r="L725" s="3"/>
      <c r="N725" s="3"/>
      <c r="O725" s="3"/>
      <c r="P725" s="3"/>
      <c r="Q725" s="3"/>
      <c r="R725" s="3"/>
      <c r="S725" s="3"/>
    </row>
    <row r="726" spans="1:19" ht="11.25" x14ac:dyDescent="0.2">
      <c r="A726" s="341" t="s">
        <v>9</v>
      </c>
      <c r="B726" s="341" t="s">
        <v>9</v>
      </c>
      <c r="C726" s="341" t="str">
        <f>"                        ACCOUNT TITLE                "</f>
        <v xml:space="preserve">                        ACCOUNT TITLE                </v>
      </c>
      <c r="D726" s="26" t="s">
        <v>10</v>
      </c>
      <c r="E726" s="341" t="s">
        <v>11</v>
      </c>
      <c r="F726" s="341" t="str">
        <f>"  "&amp;+Input!$C$12</f>
        <v xml:space="preserve">  GS-RESIDENTIAL</v>
      </c>
      <c r="G726" s="341" t="str">
        <f>Input!$C$13</f>
        <v>GS-OTHER</v>
      </c>
      <c r="H726" s="341" t="str">
        <f>Input!$C$14</f>
        <v>IUS</v>
      </c>
      <c r="I726" s="341" t="str">
        <f>Input!$C$15</f>
        <v>DS-ML</v>
      </c>
      <c r="J726" s="341" t="str">
        <f>Input!$C$16</f>
        <v>DS/IS</v>
      </c>
      <c r="K726" s="341" t="str">
        <f>Input!$C$17</f>
        <v>NOT USED</v>
      </c>
      <c r="L726" s="341" t="str">
        <f>Input!$C$18</f>
        <v>NOT USED</v>
      </c>
      <c r="N726" s="3"/>
      <c r="O726" s="3"/>
      <c r="P726" s="3"/>
      <c r="Q726" s="3"/>
      <c r="R726" s="3"/>
      <c r="S726" s="3"/>
    </row>
    <row r="727" spans="1:19" ht="11.25" x14ac:dyDescent="0.2">
      <c r="A727" s="3"/>
      <c r="B727" s="342" t="s">
        <v>13</v>
      </c>
      <c r="C727" s="342" t="s">
        <v>14</v>
      </c>
      <c r="D727" s="325" t="s">
        <v>15</v>
      </c>
      <c r="E727" s="325" t="s">
        <v>16</v>
      </c>
      <c r="F727" s="325" t="s">
        <v>17</v>
      </c>
      <c r="G727" s="325" t="s">
        <v>18</v>
      </c>
      <c r="H727" s="325" t="s">
        <v>19</v>
      </c>
      <c r="I727" s="325" t="s">
        <v>20</v>
      </c>
      <c r="J727" s="325" t="s">
        <v>21</v>
      </c>
      <c r="K727" s="325" t="s">
        <v>22</v>
      </c>
      <c r="L727" s="325" t="s">
        <v>23</v>
      </c>
      <c r="N727" s="3"/>
      <c r="O727" s="3"/>
      <c r="P727" s="3"/>
      <c r="Q727" s="3"/>
      <c r="R727" s="3"/>
      <c r="S727" s="3"/>
    </row>
    <row r="728" spans="1:19" ht="11.25" x14ac:dyDescent="0.2">
      <c r="A728" s="3"/>
      <c r="B728" s="3"/>
      <c r="C728" s="3"/>
      <c r="D728" s="3"/>
      <c r="E728" s="325" t="s">
        <v>26</v>
      </c>
      <c r="F728" s="325" t="s">
        <v>26</v>
      </c>
      <c r="G728" s="325" t="s">
        <v>26</v>
      </c>
      <c r="H728" s="325" t="s">
        <v>26</v>
      </c>
      <c r="I728" s="325" t="s">
        <v>26</v>
      </c>
      <c r="J728" s="325" t="s">
        <v>26</v>
      </c>
      <c r="K728" s="325" t="s">
        <v>26</v>
      </c>
      <c r="L728" s="325" t="s">
        <v>26</v>
      </c>
      <c r="N728" s="3"/>
      <c r="O728" s="3"/>
      <c r="P728" s="3"/>
      <c r="Q728" s="3"/>
      <c r="R728" s="3"/>
      <c r="S728" s="3"/>
    </row>
    <row r="729" spans="1:19" ht="11.25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N729" s="3"/>
      <c r="O729" s="3"/>
      <c r="P729" s="3"/>
      <c r="Q729" s="3"/>
      <c r="R729" s="3"/>
      <c r="S729" s="3"/>
    </row>
    <row r="730" spans="1:19" ht="11.25" x14ac:dyDescent="0.2">
      <c r="A730" s="3">
        <v>1</v>
      </c>
      <c r="B730" s="3" t="s">
        <v>390</v>
      </c>
      <c r="C730" s="3"/>
      <c r="D730" s="3"/>
      <c r="E730" s="3">
        <f>'Total Co'!E396</f>
        <v>92682166.75</v>
      </c>
      <c r="F730" s="3">
        <f>'Total Co'!F396</f>
        <v>59679824.439999998</v>
      </c>
      <c r="G730" s="3">
        <f>'Total Co'!G396</f>
        <v>26685285.009999998</v>
      </c>
      <c r="H730" s="3">
        <f>'Total Co'!H396</f>
        <v>48080.330000000009</v>
      </c>
      <c r="I730" s="3">
        <f>'Total Co'!I396</f>
        <v>481734.93999999994</v>
      </c>
      <c r="J730" s="3">
        <f>'Total Co'!J396</f>
        <v>5787242.0300000003</v>
      </c>
      <c r="K730" s="3">
        <f>'Total Co'!K396</f>
        <v>0</v>
      </c>
      <c r="L730" s="3">
        <f>'Total Co'!L396</f>
        <v>0</v>
      </c>
      <c r="N730" s="3"/>
      <c r="O730" s="3"/>
      <c r="P730" s="3"/>
      <c r="Q730" s="3"/>
      <c r="R730" s="3"/>
      <c r="S730" s="3"/>
    </row>
    <row r="731" spans="1:19" ht="11.25" x14ac:dyDescent="0.2">
      <c r="A731" s="3">
        <f>A730+1</f>
        <v>2</v>
      </c>
      <c r="B731" s="3" t="s">
        <v>391</v>
      </c>
      <c r="C731" s="3"/>
      <c r="D731" s="3"/>
      <c r="E731" s="26">
        <f ca="1">'Total Co'!E$663+'Total Co'!E$679+'Total Co'!E$375+'Total Co'!E427</f>
        <v>87301646.26331082</v>
      </c>
      <c r="F731" s="26">
        <f ca="1">'Total Co'!F$663+'Total Co'!F$679+'Total Co'!F$375+'Total Co'!F427</f>
        <v>56350008.589999996</v>
      </c>
      <c r="G731" s="26">
        <f ca="1">'Total Co'!G$663+'Total Co'!G$679+'Total Co'!G$375+'Total Co'!G427</f>
        <v>21013442.960000001</v>
      </c>
      <c r="H731" s="26">
        <f ca="1">'Total Co'!H$663+'Total Co'!H$679+'Total Co'!H$375+'Total Co'!H427</f>
        <v>42874.559999999998</v>
      </c>
      <c r="I731" s="26">
        <f ca="1">'Total Co'!I$663+'Total Co'!I$679+'Total Co'!I$375+'Total Co'!I427</f>
        <v>85702.86</v>
      </c>
      <c r="J731" s="26">
        <f ca="1">'Total Co'!J$663+'Total Co'!J$679+'Total Co'!J$375+'Total Co'!J427</f>
        <v>9809609</v>
      </c>
      <c r="K731" s="26">
        <f ca="1">'Total Co'!K$663+'Total Co'!K$679+'Total Co'!K$375+'Total Co'!K427</f>
        <v>0</v>
      </c>
      <c r="L731" s="26">
        <f ca="1">'Total Co'!L$663+'Total Co'!L$679+'Total Co'!L$375+'Total Co'!L427</f>
        <v>0</v>
      </c>
      <c r="N731" s="3"/>
      <c r="O731" s="3"/>
      <c r="P731" s="3"/>
      <c r="Q731" s="3"/>
      <c r="R731" s="3"/>
      <c r="S731" s="3"/>
    </row>
    <row r="732" spans="1:19" ht="11.25" x14ac:dyDescent="0.2">
      <c r="A732" s="3">
        <f>A731+1</f>
        <v>3</v>
      </c>
      <c r="B732" s="3" t="s">
        <v>392</v>
      </c>
      <c r="C732" s="3"/>
      <c r="D732" s="3"/>
      <c r="E732" s="3">
        <f t="shared" ref="E732:L732" ca="1" si="86">E730-E731</f>
        <v>5380520.4866891801</v>
      </c>
      <c r="F732" s="3">
        <f t="shared" ca="1" si="86"/>
        <v>3329815.8500000015</v>
      </c>
      <c r="G732" s="3">
        <f t="shared" ca="1" si="86"/>
        <v>5671842.049999997</v>
      </c>
      <c r="H732" s="3">
        <f t="shared" ca="1" si="86"/>
        <v>5205.7700000000114</v>
      </c>
      <c r="I732" s="3">
        <f t="shared" ca="1" si="86"/>
        <v>396032.07999999996</v>
      </c>
      <c r="J732" s="3">
        <f t="shared" ca="1" si="86"/>
        <v>-4022366.9699999997</v>
      </c>
      <c r="K732" s="3">
        <f t="shared" ca="1" si="86"/>
        <v>0</v>
      </c>
      <c r="L732" s="3">
        <f t="shared" ca="1" si="86"/>
        <v>0</v>
      </c>
      <c r="N732" s="3"/>
      <c r="O732" s="3"/>
      <c r="P732" s="3"/>
      <c r="Q732" s="3"/>
      <c r="R732" s="3"/>
      <c r="S732" s="3"/>
    </row>
    <row r="733" spans="1:19" ht="11.25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N733" s="3"/>
      <c r="O733" s="3"/>
      <c r="P733" s="3"/>
      <c r="Q733" s="3"/>
      <c r="R733" s="3"/>
      <c r="S733" s="3"/>
    </row>
    <row r="734" spans="1:19" ht="11.25" x14ac:dyDescent="0.2">
      <c r="A734" s="3">
        <f>A732+1</f>
        <v>4</v>
      </c>
      <c r="B734" s="3" t="s">
        <v>382</v>
      </c>
      <c r="C734" s="3"/>
      <c r="D734" s="3"/>
      <c r="E734" s="3"/>
      <c r="F734" s="3"/>
      <c r="G734" s="3"/>
      <c r="H734" s="3"/>
      <c r="I734" s="3"/>
      <c r="J734" s="3"/>
      <c r="K734" s="3"/>
      <c r="L734" s="3"/>
      <c r="N734" s="3"/>
      <c r="O734" s="3"/>
      <c r="P734" s="3"/>
      <c r="Q734" s="3"/>
      <c r="R734" s="3"/>
      <c r="S734" s="3"/>
    </row>
    <row r="735" spans="1:19" ht="11.25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N735" s="3"/>
      <c r="O735" s="3"/>
      <c r="P735" s="3"/>
      <c r="Q735" s="3"/>
      <c r="R735" s="3"/>
      <c r="S735" s="3"/>
    </row>
    <row r="736" spans="1:19" ht="11.25" x14ac:dyDescent="0.2">
      <c r="A736" s="3">
        <f>A734+1</f>
        <v>5</v>
      </c>
      <c r="B736" s="3" t="s">
        <v>383</v>
      </c>
      <c r="C736" s="3"/>
      <c r="D736" s="3"/>
      <c r="E736" s="3">
        <f ca="1">ROUND('Total Co'!E800*Input!$D$30,0)</f>
        <v>6688725</v>
      </c>
      <c r="F736" s="3">
        <f ca="1">ROUND('Total Co'!F800*Input!$D$30,0)</f>
        <v>3655277</v>
      </c>
      <c r="G736" s="3">
        <f ca="1">ROUND('Total Co'!G800*Input!$D$30,0)</f>
        <v>1693088</v>
      </c>
      <c r="H736" s="3">
        <f ca="1">ROUND('Total Co'!H800*Input!$D$30,0)</f>
        <v>3176</v>
      </c>
      <c r="I736" s="3">
        <f ca="1">ROUND('Total Co'!I800*Input!$D$30,0)</f>
        <v>12817</v>
      </c>
      <c r="J736" s="3">
        <f ca="1">ROUND('Total Co'!J800*Input!$D$30,0)</f>
        <v>1324367</v>
      </c>
      <c r="K736" s="3">
        <f ca="1">ROUND('Total Co'!K800*Input!$D$30,0)</f>
        <v>0</v>
      </c>
      <c r="L736" s="3">
        <f ca="1">ROUND('Total Co'!L800*Input!$D$30,0)</f>
        <v>0</v>
      </c>
      <c r="N736" s="3"/>
      <c r="O736" s="3"/>
      <c r="P736" s="3"/>
      <c r="Q736" s="3"/>
      <c r="R736" s="3"/>
      <c r="S736" s="3"/>
    </row>
    <row r="737" spans="1:19" ht="11.25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N737" s="3"/>
      <c r="O737" s="3"/>
      <c r="P737" s="3"/>
      <c r="Q737" s="3"/>
      <c r="R737" s="3"/>
      <c r="S737" s="3"/>
    </row>
    <row r="738" spans="1:19" ht="11.25" x14ac:dyDescent="0.2">
      <c r="A738" s="3">
        <f>A736+1</f>
        <v>6</v>
      </c>
      <c r="B738" s="3" t="str">
        <f>"  "&amp;+Input!A519</f>
        <v xml:space="preserve">  EXCESS OF BOOK OVER TAX S/L</v>
      </c>
      <c r="C738" s="3"/>
      <c r="D738" s="3"/>
      <c r="E738" s="3">
        <f>E739-Input!D535</f>
        <v>14595754</v>
      </c>
      <c r="F738" s="3">
        <f ca="1">Customer!F738+Commodity!F738+Demand!F738</f>
        <v>8356539</v>
      </c>
      <c r="G738" s="3">
        <f ca="1">Customer!G738+Commodity!G738+Demand!G738</f>
        <v>3181671</v>
      </c>
      <c r="H738" s="3">
        <f ca="1">Customer!H738+Commodity!H738+Demand!H738</f>
        <v>5082</v>
      </c>
      <c r="I738" s="3">
        <f ca="1">Customer!I738+Commodity!I738+Demand!I738</f>
        <v>26225</v>
      </c>
      <c r="J738" s="3">
        <f ca="1">Customer!J738+Commodity!J738+Demand!J738</f>
        <v>3026236</v>
      </c>
      <c r="K738" s="3">
        <f ca="1">Customer!K738+Commodity!K738+Demand!K738</f>
        <v>0</v>
      </c>
      <c r="L738" s="3">
        <f ca="1">Customer!L738+Commodity!L738+Demand!L738</f>
        <v>0</v>
      </c>
      <c r="N738" s="3"/>
      <c r="O738" s="3"/>
      <c r="P738" s="3"/>
      <c r="Q738" s="3"/>
      <c r="R738" s="3"/>
      <c r="S738" s="3"/>
    </row>
    <row r="739" spans="1:19" ht="11.25" x14ac:dyDescent="0.2">
      <c r="A739" s="3">
        <f>A738+1</f>
        <v>7</v>
      </c>
      <c r="B739" s="3" t="s">
        <v>393</v>
      </c>
      <c r="C739" s="3"/>
      <c r="D739" s="3"/>
      <c r="E739" s="26">
        <f>'Total Co'!E375-'Total Co'!E306</f>
        <v>14665691</v>
      </c>
      <c r="F739" s="26">
        <f ca="1">'Total Co'!F375-'Total Co'!F306</f>
        <v>9533148</v>
      </c>
      <c r="G739" s="26">
        <f ca="1">'Total Co'!G375-'Total Co'!G306</f>
        <v>2872396</v>
      </c>
      <c r="H739" s="26">
        <f ca="1">'Total Co'!H375-'Total Co'!H306</f>
        <v>3769</v>
      </c>
      <c r="I739" s="26">
        <f ca="1">'Total Co'!I375-'Total Co'!I306</f>
        <v>15550.86</v>
      </c>
      <c r="J739" s="26">
        <f ca="1">'Total Co'!J375-'Total Co'!J306</f>
        <v>2240825</v>
      </c>
      <c r="K739" s="26">
        <f ca="1">'Total Co'!K375-'Total Co'!K306</f>
        <v>0</v>
      </c>
      <c r="L739" s="26">
        <f ca="1">'Total Co'!L375-'Total Co'!L306</f>
        <v>0</v>
      </c>
      <c r="N739" s="3"/>
      <c r="O739" s="3"/>
      <c r="P739" s="3"/>
      <c r="Q739" s="3"/>
      <c r="R739" s="3"/>
      <c r="S739" s="3"/>
    </row>
    <row r="740" spans="1:19" ht="11.25" x14ac:dyDescent="0.2">
      <c r="A740" s="3">
        <f>A739+1</f>
        <v>8</v>
      </c>
      <c r="B740" s="3" t="s">
        <v>551</v>
      </c>
      <c r="C740" s="3"/>
      <c r="D740" s="3"/>
      <c r="E740" s="3">
        <f t="shared" ref="E740:L740" si="87">E738-E739</f>
        <v>-69937</v>
      </c>
      <c r="F740" s="3">
        <f t="shared" ca="1" si="87"/>
        <v>-1176609</v>
      </c>
      <c r="G740" s="3">
        <f t="shared" ca="1" si="87"/>
        <v>309275</v>
      </c>
      <c r="H740" s="3">
        <f t="shared" ca="1" si="87"/>
        <v>1313</v>
      </c>
      <c r="I740" s="3">
        <f t="shared" ca="1" si="87"/>
        <v>10674.14</v>
      </c>
      <c r="J740" s="3">
        <f t="shared" ca="1" si="87"/>
        <v>785411</v>
      </c>
      <c r="K740" s="3">
        <f t="shared" ca="1" si="87"/>
        <v>0</v>
      </c>
      <c r="L740" s="3">
        <f t="shared" ca="1" si="87"/>
        <v>0</v>
      </c>
      <c r="N740" s="3"/>
      <c r="O740" s="3"/>
      <c r="P740" s="3"/>
      <c r="Q740" s="3"/>
      <c r="R740" s="3"/>
      <c r="S740" s="3"/>
    </row>
    <row r="741" spans="1:19" ht="11.25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N741" s="3"/>
      <c r="O741" s="3"/>
      <c r="P741" s="3"/>
      <c r="Q741" s="3"/>
      <c r="R741" s="3"/>
      <c r="S741" s="3"/>
    </row>
    <row r="742" spans="1:19" ht="11.25" x14ac:dyDescent="0.2">
      <c r="A742" s="3">
        <f>A740+1</f>
        <v>9</v>
      </c>
      <c r="B742" s="3" t="str">
        <f>"  "&amp;+Input!A520</f>
        <v xml:space="preserve">  NON DEDUCTIBLE EMPLOYEE EXPENSE</v>
      </c>
      <c r="C742" s="3"/>
      <c r="D742" s="3"/>
      <c r="E742" s="3">
        <f>Input!D520</f>
        <v>-4960</v>
      </c>
      <c r="F742" s="3">
        <f ca="1">Customer!F742+Commodity!F742+Demand!F742</f>
        <v>-3194</v>
      </c>
      <c r="G742" s="3">
        <f ca="1">Customer!G742+Commodity!G742+Demand!G742</f>
        <v>-1140</v>
      </c>
      <c r="H742" s="3">
        <f ca="1">Customer!H742+Commodity!H742+Demand!H742</f>
        <v>0</v>
      </c>
      <c r="I742" s="3">
        <f ca="1">Customer!I742+Commodity!I742+Demand!I742</f>
        <v>-8</v>
      </c>
      <c r="J742" s="3">
        <f ca="1">Customer!J742+Commodity!J742+Demand!J742</f>
        <v>-616</v>
      </c>
      <c r="K742" s="3">
        <f ca="1">Customer!K742+Commodity!K742+Demand!K742</f>
        <v>0</v>
      </c>
      <c r="L742" s="3">
        <f ca="1">Customer!L742+Commodity!L742+Demand!L742</f>
        <v>0</v>
      </c>
      <c r="N742" s="3"/>
      <c r="O742" s="3"/>
      <c r="P742" s="3"/>
      <c r="Q742" s="3"/>
      <c r="R742" s="3"/>
      <c r="S742" s="3"/>
    </row>
    <row r="743" spans="1:19" ht="11.25" x14ac:dyDescent="0.2">
      <c r="A743" s="3">
        <f>A742+1</f>
        <v>10</v>
      </c>
      <c r="B743" s="3" t="s">
        <v>394</v>
      </c>
      <c r="C743" s="3"/>
      <c r="D743" s="3"/>
      <c r="E743" s="26">
        <f ca="1">'Total Co'!E705</f>
        <v>-73998</v>
      </c>
      <c r="F743" s="26">
        <f ca="1">'Total Co'!F705</f>
        <v>51260.198720906861</v>
      </c>
      <c r="G743" s="26">
        <f ca="1">'Total Co'!G705</f>
        <v>220235.80131506594</v>
      </c>
      <c r="H743" s="26">
        <f ca="1">'Total Co'!H705</f>
        <v>43.005938006179761</v>
      </c>
      <c r="I743" s="26">
        <f ca="1">'Total Co'!I705</f>
        <v>22352.800225885188</v>
      </c>
      <c r="J743" s="26">
        <f ca="1">'Total Co'!J705</f>
        <v>-367889.49700309872</v>
      </c>
      <c r="K743" s="26">
        <f ca="1">'Total Co'!K705</f>
        <v>0</v>
      </c>
      <c r="L743" s="26">
        <f ca="1">'Total Co'!L705</f>
        <v>0</v>
      </c>
      <c r="N743" s="3"/>
      <c r="O743" s="3"/>
      <c r="P743" s="3"/>
      <c r="Q743" s="3"/>
      <c r="R743" s="3"/>
      <c r="S743" s="3"/>
    </row>
    <row r="744" spans="1:19" ht="11.25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N744" s="3"/>
      <c r="O744" s="3"/>
      <c r="P744" s="3"/>
      <c r="Q744" s="3"/>
      <c r="R744" s="3"/>
      <c r="S744" s="3"/>
    </row>
    <row r="745" spans="1:19" ht="11.25" x14ac:dyDescent="0.2">
      <c r="A745" s="3">
        <f>A743+1</f>
        <v>11</v>
      </c>
      <c r="B745" s="3" t="s">
        <v>384</v>
      </c>
      <c r="C745" s="3"/>
      <c r="D745" s="3"/>
      <c r="E745" s="23">
        <f t="shared" ref="E745:L745" ca="1" si="88">E736+E740+SUM(E742:E743)</f>
        <v>6539830</v>
      </c>
      <c r="F745" s="23">
        <f t="shared" ca="1" si="88"/>
        <v>2526734.1987209069</v>
      </c>
      <c r="G745" s="23">
        <f t="shared" ca="1" si="88"/>
        <v>2221458.8013150659</v>
      </c>
      <c r="H745" s="23">
        <f t="shared" ca="1" si="88"/>
        <v>4532.0059380061793</v>
      </c>
      <c r="I745" s="23">
        <f t="shared" ca="1" si="88"/>
        <v>45835.940225885191</v>
      </c>
      <c r="J745" s="23">
        <f t="shared" ca="1" si="88"/>
        <v>1741272.5029969013</v>
      </c>
      <c r="K745" s="23">
        <f t="shared" ca="1" si="88"/>
        <v>0</v>
      </c>
      <c r="L745" s="23">
        <f t="shared" ca="1" si="88"/>
        <v>0</v>
      </c>
      <c r="N745" s="3"/>
      <c r="O745" s="3"/>
      <c r="P745" s="3"/>
      <c r="Q745" s="3"/>
      <c r="R745" s="3"/>
      <c r="S745" s="3"/>
    </row>
    <row r="746" spans="1:19" ht="11.25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N746" s="3"/>
      <c r="O746" s="3"/>
      <c r="P746" s="3"/>
      <c r="Q746" s="3"/>
      <c r="R746" s="3"/>
      <c r="S746" s="3"/>
    </row>
    <row r="747" spans="1:19" ht="11.25" x14ac:dyDescent="0.2">
      <c r="A747" s="3">
        <f>A745+1</f>
        <v>12</v>
      </c>
      <c r="B747" s="3" t="s">
        <v>385</v>
      </c>
      <c r="C747" s="3"/>
      <c r="D747" s="3"/>
      <c r="E747" s="3">
        <f t="shared" ref="E747:L747" ca="1" si="89">E732-E745</f>
        <v>-1159309.5133108199</v>
      </c>
      <c r="F747" s="3">
        <f t="shared" ca="1" si="89"/>
        <v>803081.65127909463</v>
      </c>
      <c r="G747" s="3">
        <f t="shared" ca="1" si="89"/>
        <v>3450383.2486849311</v>
      </c>
      <c r="H747" s="3">
        <f t="shared" ca="1" si="89"/>
        <v>673.764061993832</v>
      </c>
      <c r="I747" s="3">
        <f t="shared" ca="1" si="89"/>
        <v>350196.13977411477</v>
      </c>
      <c r="J747" s="3">
        <f t="shared" ca="1" si="89"/>
        <v>-5763639.4729969008</v>
      </c>
      <c r="K747" s="3">
        <f t="shared" ca="1" si="89"/>
        <v>0</v>
      </c>
      <c r="L747" s="3">
        <f t="shared" ca="1" si="89"/>
        <v>0</v>
      </c>
      <c r="N747" s="3"/>
      <c r="O747" s="3"/>
      <c r="P747" s="3"/>
      <c r="Q747" s="3"/>
      <c r="R747" s="3"/>
      <c r="S747" s="3"/>
    </row>
    <row r="748" spans="1:19" ht="11.25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N748" s="3"/>
      <c r="O748" s="3"/>
      <c r="P748" s="3"/>
      <c r="Q748" s="3"/>
      <c r="R748" s="3"/>
      <c r="S748" s="3"/>
    </row>
    <row r="749" spans="1:19" ht="11.25" x14ac:dyDescent="0.2">
      <c r="A749" s="3">
        <f>A747+1</f>
        <v>13</v>
      </c>
      <c r="B749" s="3" t="str">
        <f>"CURRENT FEDERAL INCOME TAX @ "&amp;FIXED(ROUND(Input!$D$27*100,0),0,TRUE)&amp;"%"</f>
        <v>CURRENT FEDERAL INCOME TAX @ 35%</v>
      </c>
      <c r="C749" s="3"/>
      <c r="D749" s="3"/>
      <c r="E749" s="46">
        <f ca="1">IF(E747&gt;10000000,((+E747-10000000)*0.35)+(10000000*0.34),E747*0.34)</f>
        <v>-394165.2345256788</v>
      </c>
      <c r="F749" s="3">
        <f ca="1">ROUND(+F747*($E$749/$E$747),0)</f>
        <v>273048</v>
      </c>
      <c r="G749" s="3">
        <f ca="1">ROUND(+G747*($E$749/$E$747),0)</f>
        <v>1173130</v>
      </c>
      <c r="H749" s="3">
        <f ca="1">ROUND(+H747*($E$749/$E$747),0)</f>
        <v>229</v>
      </c>
      <c r="I749" s="3">
        <f ca="1">ROUND(+I747*($E$749/$E$747),0)</f>
        <v>119067</v>
      </c>
      <c r="J749" s="3">
        <f ca="1">ROUND(+J747*($E$749/$E$747),0)</f>
        <v>-1959637</v>
      </c>
      <c r="K749" s="3">
        <f ca="1">ROUND(+K747*Input!$D$27,0)</f>
        <v>0</v>
      </c>
      <c r="L749" s="3">
        <f ca="1">ROUND(+L747*Input!$D$27,0)</f>
        <v>0</v>
      </c>
      <c r="N749" s="3"/>
      <c r="O749" s="3"/>
      <c r="P749" s="3"/>
      <c r="Q749" s="3"/>
      <c r="R749" s="3"/>
      <c r="S749" s="3"/>
    </row>
    <row r="750" spans="1:19" ht="11.25" x14ac:dyDescent="0.2">
      <c r="A750" s="3">
        <f>A749+1</f>
        <v>14</v>
      </c>
      <c r="B750" s="3" t="str">
        <f>"PLUS: "&amp;+Input!A528</f>
        <v>PLUS: DIRECT ADJUSTMENT TO F.I.T.</v>
      </c>
      <c r="C750" s="3"/>
      <c r="D750" s="3"/>
      <c r="E750" s="26">
        <f>Input!D528</f>
        <v>0</v>
      </c>
      <c r="F750" s="26">
        <f ca="1">Customer!F750+Commodity!F750+Demand!F750</f>
        <v>0</v>
      </c>
      <c r="G750" s="26">
        <f ca="1">Customer!G750+Commodity!G750+Demand!G750</f>
        <v>0</v>
      </c>
      <c r="H750" s="26">
        <f ca="1">Customer!H750+Commodity!H750+Demand!H750</f>
        <v>0</v>
      </c>
      <c r="I750" s="26">
        <f ca="1">Customer!I750+Commodity!I750+Demand!I750</f>
        <v>0</v>
      </c>
      <c r="J750" s="26">
        <f ca="1">Customer!J750+Commodity!J750+Demand!J750</f>
        <v>0</v>
      </c>
      <c r="K750" s="26">
        <f ca="1">Customer!K750+Commodity!K750+Demand!K750</f>
        <v>0</v>
      </c>
      <c r="L750" s="26">
        <f ca="1">Customer!L750+Commodity!L750+Demand!L750</f>
        <v>0</v>
      </c>
      <c r="N750" s="3"/>
      <c r="O750" s="3"/>
      <c r="P750" s="3"/>
      <c r="Q750" s="3"/>
      <c r="R750" s="3"/>
      <c r="S750" s="3"/>
    </row>
    <row r="751" spans="1:19" ht="11.25" x14ac:dyDescent="0.2">
      <c r="A751" s="3">
        <f>A750+1</f>
        <v>15</v>
      </c>
      <c r="B751" s="3" t="str">
        <f>"CURRENT FEDERAL INCOME TAX @ "&amp;FIXED(ROUND(Input!$D$27*100,0),0,TRUE)&amp;"%"</f>
        <v>CURRENT FEDERAL INCOME TAX @ 35%</v>
      </c>
      <c r="C751" s="3"/>
      <c r="D751" s="3"/>
      <c r="E751" s="3">
        <f t="shared" ref="E751:L751" ca="1" si="90">E749+E750</f>
        <v>-394165.2345256788</v>
      </c>
      <c r="F751" s="3">
        <f t="shared" ca="1" si="90"/>
        <v>273048</v>
      </c>
      <c r="G751" s="3">
        <f t="shared" ca="1" si="90"/>
        <v>1173130</v>
      </c>
      <c r="H751" s="3">
        <f t="shared" ca="1" si="90"/>
        <v>229</v>
      </c>
      <c r="I751" s="3">
        <f t="shared" ca="1" si="90"/>
        <v>119067</v>
      </c>
      <c r="J751" s="3">
        <f t="shared" ca="1" si="90"/>
        <v>-1959637</v>
      </c>
      <c r="K751" s="3">
        <f t="shared" ca="1" si="90"/>
        <v>0</v>
      </c>
      <c r="L751" s="3">
        <f t="shared" ca="1" si="90"/>
        <v>0</v>
      </c>
      <c r="N751" s="3"/>
      <c r="O751" s="3"/>
      <c r="P751" s="3"/>
      <c r="Q751" s="3"/>
      <c r="R751" s="3"/>
      <c r="S751" s="3"/>
    </row>
    <row r="752" spans="1:19" ht="11.25" x14ac:dyDescent="0.2">
      <c r="A752" s="3" t="s">
        <v>810</v>
      </c>
      <c r="B752" s="3"/>
      <c r="C752" s="3"/>
      <c r="D752" s="3"/>
      <c r="E752" s="3"/>
      <c r="F752" s="325" t="str">
        <f>""&amp;+Input!$B$1</f>
        <v>COLUMBIA GAS OF KENTUCKY, INC.</v>
      </c>
      <c r="H752" s="3"/>
      <c r="I752" s="3"/>
      <c r="J752" s="3"/>
      <c r="K752" s="3"/>
      <c r="L752" s="32" t="str">
        <f>Input!$B$2</f>
        <v>ATTACHMENT CEN-2</v>
      </c>
      <c r="N752" s="3"/>
      <c r="O752" s="3"/>
      <c r="P752" s="3"/>
      <c r="Q752" s="3"/>
      <c r="R752" s="3"/>
      <c r="S752" s="3"/>
    </row>
    <row r="753" spans="1:19" ht="11.25" x14ac:dyDescent="0.2">
      <c r="A753" s="3" t="str">
        <f>Input!$B$7</f>
        <v>DEMAND-COMMODITY</v>
      </c>
      <c r="B753" s="3"/>
      <c r="C753" s="3"/>
      <c r="D753" s="3"/>
      <c r="E753" s="3"/>
      <c r="F753" s="325" t="s">
        <v>572</v>
      </c>
      <c r="H753" s="3"/>
      <c r="I753" s="3"/>
      <c r="J753" s="3"/>
      <c r="K753" s="3"/>
      <c r="L753" s="32" t="str">
        <f>"PAGE 24 OF "&amp;FIXED(Input!$B$8,0,TRUE)</f>
        <v>PAGE 24 OF 129</v>
      </c>
      <c r="N753" s="3"/>
      <c r="O753" s="3"/>
      <c r="P753" s="3"/>
      <c r="Q753" s="3"/>
      <c r="R753" s="3"/>
      <c r="S753" s="3"/>
    </row>
    <row r="754" spans="1:19" ht="11.25" x14ac:dyDescent="0.2">
      <c r="A754" s="17" t="str">
        <f>Input!$B$6</f>
        <v>FORECASTED TEST YEAR - ORIGINAL FILING</v>
      </c>
      <c r="B754" s="17"/>
      <c r="C754" s="17"/>
      <c r="D754" s="18"/>
      <c r="E754" s="17"/>
      <c r="F754" s="19" t="str">
        <f>"FOR THE TWELVE MONTHS ENDED "&amp;Input!$B$4</f>
        <v>FOR THE TWELVE MONTHS ENDED 12/31/2017</v>
      </c>
      <c r="G754" s="329"/>
      <c r="H754" s="17"/>
      <c r="I754" s="17"/>
      <c r="J754" s="17"/>
      <c r="K754" s="17"/>
      <c r="L754" s="183" t="str">
        <f>"WITNESS: "&amp;Input!$B$5</f>
        <v>WITNESS: C. NOTESTONE</v>
      </c>
      <c r="N754" s="3"/>
      <c r="O754" s="3"/>
      <c r="P754" s="3"/>
      <c r="Q754" s="3"/>
      <c r="R754" s="3"/>
      <c r="S754" s="3"/>
    </row>
    <row r="755" spans="1:19" ht="11.25" x14ac:dyDescent="0.2">
      <c r="A755" s="325" t="s">
        <v>5</v>
      </c>
      <c r="B755" s="3" t="s">
        <v>6</v>
      </c>
      <c r="C755" s="3"/>
      <c r="D755" s="325" t="s">
        <v>7</v>
      </c>
      <c r="E755" s="325" t="s">
        <v>8</v>
      </c>
      <c r="F755" s="3"/>
      <c r="G755" s="3"/>
      <c r="H755" s="3"/>
      <c r="I755" s="3"/>
      <c r="J755" s="3"/>
      <c r="K755" s="3"/>
      <c r="L755" s="3"/>
      <c r="N755" s="3"/>
      <c r="O755" s="3"/>
      <c r="P755" s="3"/>
      <c r="Q755" s="3"/>
      <c r="R755" s="3"/>
      <c r="S755" s="3"/>
    </row>
    <row r="756" spans="1:19" ht="11.25" x14ac:dyDescent="0.2">
      <c r="A756" s="341" t="s">
        <v>9</v>
      </c>
      <c r="B756" s="341" t="s">
        <v>9</v>
      </c>
      <c r="C756" s="341" t="str">
        <f>"                        ACCOUNT TITLE                "</f>
        <v xml:space="preserve">                        ACCOUNT TITLE                </v>
      </c>
      <c r="D756" s="26" t="s">
        <v>10</v>
      </c>
      <c r="E756" s="341" t="s">
        <v>11</v>
      </c>
      <c r="F756" s="341" t="str">
        <f>"  "&amp;+Input!$C$12</f>
        <v xml:space="preserve">  GS-RESIDENTIAL</v>
      </c>
      <c r="G756" s="341" t="str">
        <f>Input!$C$13</f>
        <v>GS-OTHER</v>
      </c>
      <c r="H756" s="341" t="str">
        <f>Input!$C$14</f>
        <v>IUS</v>
      </c>
      <c r="I756" s="341" t="str">
        <f>Input!$C$15</f>
        <v>DS-ML</v>
      </c>
      <c r="J756" s="341" t="str">
        <f>Input!$C$16</f>
        <v>DS/IS</v>
      </c>
      <c r="K756" s="341" t="str">
        <f>Input!$C$17</f>
        <v>NOT USED</v>
      </c>
      <c r="L756" s="341" t="str">
        <f>Input!$C$18</f>
        <v>NOT USED</v>
      </c>
      <c r="N756" s="3"/>
      <c r="O756" s="3"/>
      <c r="P756" s="3"/>
      <c r="Q756" s="3"/>
      <c r="R756" s="3"/>
      <c r="S756" s="3"/>
    </row>
    <row r="757" spans="1:19" ht="11.25" x14ac:dyDescent="0.2">
      <c r="A757" s="3"/>
      <c r="B757" s="342" t="s">
        <v>13</v>
      </c>
      <c r="C757" s="342" t="s">
        <v>14</v>
      </c>
      <c r="D757" s="325" t="s">
        <v>15</v>
      </c>
      <c r="E757" s="325" t="s">
        <v>16</v>
      </c>
      <c r="F757" s="325" t="s">
        <v>17</v>
      </c>
      <c r="G757" s="325" t="s">
        <v>18</v>
      </c>
      <c r="H757" s="325" t="s">
        <v>19</v>
      </c>
      <c r="I757" s="325" t="s">
        <v>20</v>
      </c>
      <c r="J757" s="325" t="s">
        <v>21</v>
      </c>
      <c r="K757" s="325" t="s">
        <v>22</v>
      </c>
      <c r="L757" s="325" t="s">
        <v>23</v>
      </c>
      <c r="N757" s="3"/>
      <c r="O757" s="3"/>
      <c r="P757" s="3"/>
      <c r="Q757" s="3"/>
      <c r="R757" s="3"/>
      <c r="S757" s="3"/>
    </row>
    <row r="758" spans="1:19" ht="11.25" x14ac:dyDescent="0.2">
      <c r="A758" s="3"/>
      <c r="B758" s="3"/>
      <c r="C758" s="3"/>
      <c r="D758" s="3"/>
      <c r="E758" s="325" t="s">
        <v>26</v>
      </c>
      <c r="F758" s="325" t="s">
        <v>26</v>
      </c>
      <c r="G758" s="325" t="s">
        <v>26</v>
      </c>
      <c r="H758" s="325" t="s">
        <v>26</v>
      </c>
      <c r="I758" s="325" t="s">
        <v>26</v>
      </c>
      <c r="J758" s="325" t="s">
        <v>26</v>
      </c>
      <c r="K758" s="325" t="s">
        <v>26</v>
      </c>
      <c r="L758" s="325" t="s">
        <v>26</v>
      </c>
      <c r="N758" s="3"/>
      <c r="O758" s="3"/>
      <c r="P758" s="3"/>
      <c r="Q758" s="3"/>
      <c r="R758" s="3"/>
      <c r="S758" s="3"/>
    </row>
    <row r="759" spans="1:19" ht="11.25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N759" s="3"/>
      <c r="O759" s="3"/>
      <c r="P759" s="3"/>
      <c r="Q759" s="3"/>
      <c r="R759" s="3"/>
      <c r="S759" s="3"/>
    </row>
    <row r="760" spans="1:19" ht="11.25" x14ac:dyDescent="0.2">
      <c r="A760" s="3">
        <v>1</v>
      </c>
      <c r="B760" s="3"/>
      <c r="C760" s="3" t="s">
        <v>395</v>
      </c>
      <c r="D760" s="3"/>
      <c r="E760" s="3"/>
      <c r="F760" s="3"/>
      <c r="G760" s="3"/>
      <c r="H760" s="3"/>
      <c r="I760" s="3"/>
      <c r="J760" s="3"/>
      <c r="K760" s="3"/>
      <c r="L760" s="3"/>
      <c r="N760" s="3"/>
      <c r="O760" s="3"/>
      <c r="P760" s="3"/>
      <c r="Q760" s="3"/>
      <c r="R760" s="3"/>
      <c r="S760" s="3"/>
    </row>
    <row r="761" spans="1:19" ht="11.25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N761" s="3"/>
      <c r="O761" s="3"/>
      <c r="P761" s="3"/>
      <c r="Q761" s="3"/>
      <c r="R761" s="3"/>
      <c r="S761" s="3"/>
    </row>
    <row r="762" spans="1:19" ht="11.25" x14ac:dyDescent="0.2">
      <c r="A762" s="3">
        <f>A760+1</f>
        <v>2</v>
      </c>
      <c r="B762" s="3" t="str">
        <f>"LESS: "&amp;Input!A526</f>
        <v>LESS: AMORT. OF PRIOR YEARS ITC</v>
      </c>
      <c r="C762" s="3"/>
      <c r="D762" s="3"/>
      <c r="E762" s="3">
        <f>Input!D526</f>
        <v>35760</v>
      </c>
      <c r="F762" s="3">
        <f ca="1">Customer!F762+Commodity!F762+Demand!F762</f>
        <v>20474</v>
      </c>
      <c r="G762" s="3">
        <f ca="1">Customer!G762+Commodity!G762+Demand!G762</f>
        <v>7795</v>
      </c>
      <c r="H762" s="3">
        <f ca="1">Customer!H762+Commodity!H762+Demand!H762</f>
        <v>13</v>
      </c>
      <c r="I762" s="3">
        <f ca="1">Customer!I762+Commodity!I762+Demand!I762</f>
        <v>63</v>
      </c>
      <c r="J762" s="3">
        <f ca="1">Customer!J762+Commodity!J762+Demand!J762</f>
        <v>7414</v>
      </c>
      <c r="K762" s="3">
        <f ca="1">Customer!K762+Commodity!K762+Demand!K762</f>
        <v>0</v>
      </c>
      <c r="L762" s="3">
        <f ca="1">Customer!L762+Commodity!L762+Demand!L762</f>
        <v>0</v>
      </c>
      <c r="N762" s="3"/>
      <c r="O762" s="3"/>
      <c r="P762" s="3"/>
      <c r="Q762" s="3"/>
      <c r="R762" s="3"/>
      <c r="S762" s="3"/>
    </row>
    <row r="763" spans="1:19" ht="11.25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N763" s="3"/>
      <c r="O763" s="3"/>
      <c r="P763" s="3"/>
      <c r="Q763" s="3"/>
      <c r="R763" s="3"/>
      <c r="S763" s="3"/>
    </row>
    <row r="764" spans="1:19" ht="11.25" x14ac:dyDescent="0.2">
      <c r="A764" s="3">
        <f>A762+1</f>
        <v>3</v>
      </c>
      <c r="B764" s="3" t="s">
        <v>396</v>
      </c>
      <c r="C764" s="3"/>
      <c r="D764" s="3"/>
      <c r="E764" s="3"/>
      <c r="F764" s="3"/>
      <c r="G764" s="3"/>
      <c r="H764" s="3"/>
      <c r="I764" s="3"/>
      <c r="J764" s="3"/>
      <c r="K764" s="3"/>
      <c r="L764" s="3"/>
      <c r="N764" s="3"/>
      <c r="O764" s="3"/>
      <c r="P764" s="3"/>
      <c r="Q764" s="3"/>
      <c r="R764" s="3"/>
      <c r="S764" s="3"/>
    </row>
    <row r="765" spans="1:19" ht="11.25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N765" s="3"/>
      <c r="O765" s="3"/>
      <c r="P765" s="3"/>
      <c r="Q765" s="3"/>
      <c r="R765" s="3"/>
      <c r="S765" s="3"/>
    </row>
    <row r="766" spans="1:19" ht="11.25" x14ac:dyDescent="0.2">
      <c r="A766" s="3">
        <f>A764+1</f>
        <v>4</v>
      </c>
      <c r="B766" s="3" t="str">
        <f>Input!A524</f>
        <v>AMORTIZATION OF EXCESS ADIT-FEDERAL</v>
      </c>
      <c r="C766" s="3"/>
      <c r="D766" s="3"/>
      <c r="E766" s="26">
        <f>Input!D524</f>
        <v>-54526</v>
      </c>
      <c r="F766" s="26">
        <f ca="1">Customer!F766+Commodity!F766+Demand!F766</f>
        <v>-31218</v>
      </c>
      <c r="G766" s="26">
        <f ca="1">Customer!G766+Commodity!G766+Demand!G766</f>
        <v>-11885</v>
      </c>
      <c r="H766" s="26">
        <f ca="1">Customer!H766+Commodity!H766+Demand!H766</f>
        <v>-19</v>
      </c>
      <c r="I766" s="26">
        <f ca="1">Customer!I766+Commodity!I766+Demand!I766</f>
        <v>-98</v>
      </c>
      <c r="J766" s="26">
        <f ca="1">Customer!J766+Commodity!J766+Demand!J766</f>
        <v>-11305</v>
      </c>
      <c r="K766" s="26">
        <f ca="1">Customer!K766+Commodity!K766+Demand!K766</f>
        <v>0</v>
      </c>
      <c r="L766" s="26">
        <f ca="1">Customer!L766+Commodity!L766+Demand!L766</f>
        <v>0</v>
      </c>
      <c r="N766" s="3"/>
      <c r="O766" s="3"/>
      <c r="P766" s="3"/>
      <c r="Q766" s="3"/>
      <c r="R766" s="3"/>
      <c r="S766" s="3"/>
    </row>
    <row r="767" spans="1:19" ht="11.25" x14ac:dyDescent="0.2">
      <c r="A767" s="3">
        <f>A766+1</f>
        <v>5</v>
      </c>
      <c r="B767" s="3" t="s">
        <v>397</v>
      </c>
      <c r="C767" s="3"/>
      <c r="D767" s="3"/>
      <c r="E767" s="23">
        <f t="shared" ref="E767:L767" si="91">SUM(E766:E766)</f>
        <v>-54526</v>
      </c>
      <c r="F767" s="23">
        <f t="shared" ca="1" si="91"/>
        <v>-31218</v>
      </c>
      <c r="G767" s="23">
        <f t="shared" ca="1" si="91"/>
        <v>-11885</v>
      </c>
      <c r="H767" s="23">
        <f t="shared" ca="1" si="91"/>
        <v>-19</v>
      </c>
      <c r="I767" s="23">
        <f t="shared" ca="1" si="91"/>
        <v>-98</v>
      </c>
      <c r="J767" s="23">
        <f t="shared" ca="1" si="91"/>
        <v>-11305</v>
      </c>
      <c r="K767" s="23">
        <f t="shared" ca="1" si="91"/>
        <v>0</v>
      </c>
      <c r="L767" s="23">
        <f t="shared" ca="1" si="91"/>
        <v>0</v>
      </c>
      <c r="N767" s="3"/>
      <c r="O767" s="3"/>
      <c r="P767" s="3"/>
      <c r="Q767" s="3"/>
      <c r="R767" s="3"/>
      <c r="S767" s="3"/>
    </row>
    <row r="768" spans="1:19" ht="11.25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N768" s="3"/>
      <c r="O768" s="3"/>
      <c r="P768" s="3"/>
      <c r="Q768" s="3"/>
      <c r="R768" s="3"/>
      <c r="S768" s="3"/>
    </row>
    <row r="769" spans="1:19" ht="11.25" x14ac:dyDescent="0.2">
      <c r="A769" s="3">
        <f>A767+1</f>
        <v>6</v>
      </c>
      <c r="B769" s="3" t="s">
        <v>388</v>
      </c>
      <c r="C769" s="3"/>
      <c r="D769" s="3"/>
      <c r="E769" s="26">
        <f t="shared" ref="E769:L769" si="92">-E762+E767</f>
        <v>-90286</v>
      </c>
      <c r="F769" s="26">
        <f t="shared" ca="1" si="92"/>
        <v>-51692</v>
      </c>
      <c r="G769" s="26">
        <f t="shared" ca="1" si="92"/>
        <v>-19680</v>
      </c>
      <c r="H769" s="26">
        <f t="shared" ca="1" si="92"/>
        <v>-32</v>
      </c>
      <c r="I769" s="26">
        <f t="shared" ca="1" si="92"/>
        <v>-161</v>
      </c>
      <c r="J769" s="26">
        <f t="shared" ca="1" si="92"/>
        <v>-18719</v>
      </c>
      <c r="K769" s="26">
        <f t="shared" ca="1" si="92"/>
        <v>0</v>
      </c>
      <c r="L769" s="26">
        <f t="shared" ca="1" si="92"/>
        <v>0</v>
      </c>
      <c r="N769" s="3"/>
      <c r="O769" s="3"/>
      <c r="P769" s="3"/>
      <c r="Q769" s="3"/>
      <c r="R769" s="3"/>
      <c r="S769" s="3"/>
    </row>
    <row r="770" spans="1:19" ht="11.25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N770" s="3"/>
      <c r="O770" s="3"/>
      <c r="P770" s="3"/>
      <c r="Q770" s="3"/>
      <c r="R770" s="3"/>
      <c r="S770" s="3"/>
    </row>
    <row r="771" spans="1:19" ht="11.25" x14ac:dyDescent="0.2">
      <c r="A771" s="3">
        <f>A769+1</f>
        <v>7</v>
      </c>
      <c r="B771" s="3" t="s">
        <v>398</v>
      </c>
      <c r="C771" s="3"/>
      <c r="D771" s="3"/>
      <c r="E771" s="3">
        <f ca="1">'Total Co'!E751+E769</f>
        <v>-484451.2345256788</v>
      </c>
      <c r="F771" s="3">
        <f ca="1">'Total Co'!F751+F769</f>
        <v>221356</v>
      </c>
      <c r="G771" s="3">
        <f ca="1">'Total Co'!G751+G769</f>
        <v>1153450</v>
      </c>
      <c r="H771" s="3">
        <f ca="1">'Total Co'!H751+H769</f>
        <v>197</v>
      </c>
      <c r="I771" s="3">
        <f ca="1">'Total Co'!I751+I769</f>
        <v>118906</v>
      </c>
      <c r="J771" s="3">
        <f ca="1">'Total Co'!J751+J769</f>
        <v>-1978356</v>
      </c>
      <c r="K771" s="3">
        <f ca="1">'Total Co'!K751+K769</f>
        <v>0</v>
      </c>
      <c r="L771" s="3">
        <f ca="1">'Total Co'!L751+L769</f>
        <v>0</v>
      </c>
      <c r="N771" s="3"/>
      <c r="O771" s="3"/>
      <c r="P771" s="3"/>
      <c r="Q771" s="3"/>
      <c r="R771" s="3"/>
      <c r="S771" s="3"/>
    </row>
    <row r="772" spans="1:19" ht="11.25" x14ac:dyDescent="0.2">
      <c r="A772" s="3" t="s">
        <v>810</v>
      </c>
      <c r="B772" s="3"/>
      <c r="C772" s="14"/>
      <c r="D772" s="3"/>
      <c r="E772" s="15"/>
      <c r="F772" s="325" t="str">
        <f>""&amp;+Input!$B$1</f>
        <v>COLUMBIA GAS OF KENTUCKY, INC.</v>
      </c>
      <c r="H772" s="3"/>
      <c r="I772" s="3"/>
      <c r="J772" s="3"/>
      <c r="K772" s="3"/>
      <c r="L772" s="32" t="str">
        <f>Input!$B$2</f>
        <v>ATTACHMENT CEN-2</v>
      </c>
      <c r="N772" s="3"/>
      <c r="O772" s="3"/>
      <c r="P772" s="3"/>
      <c r="Q772" s="3"/>
      <c r="R772" s="3"/>
      <c r="S772" s="3"/>
    </row>
    <row r="773" spans="1:19" ht="11.25" x14ac:dyDescent="0.2">
      <c r="A773" s="3" t="str">
        <f>Input!$B$7</f>
        <v>DEMAND-COMMODITY</v>
      </c>
      <c r="B773" s="3"/>
      <c r="C773" s="3"/>
      <c r="D773" s="3"/>
      <c r="E773" s="3"/>
      <c r="F773" s="325" t="s">
        <v>573</v>
      </c>
      <c r="H773" s="3"/>
      <c r="I773" s="3"/>
      <c r="J773" s="3"/>
      <c r="K773" s="3"/>
      <c r="L773" s="32" t="str">
        <f>"PAGE 25 OF "&amp;FIXED(Input!$B$8,0,TRUE)</f>
        <v>PAGE 25 OF 129</v>
      </c>
      <c r="N773" s="3"/>
      <c r="O773" s="3"/>
      <c r="P773" s="3"/>
      <c r="Q773" s="3"/>
      <c r="R773" s="3"/>
      <c r="S773" s="3"/>
    </row>
    <row r="774" spans="1:19" ht="11.25" x14ac:dyDescent="0.2">
      <c r="A774" s="17" t="str">
        <f>Input!$B$6</f>
        <v>FORECASTED TEST YEAR - ORIGINAL FILING</v>
      </c>
      <c r="B774" s="17"/>
      <c r="C774" s="17"/>
      <c r="D774" s="18"/>
      <c r="E774" s="17"/>
      <c r="F774" s="19" t="str">
        <f>"FOR THE TWELVE MONTHS ENDED "&amp;Input!$B$4</f>
        <v>FOR THE TWELVE MONTHS ENDED 12/31/2017</v>
      </c>
      <c r="G774" s="329"/>
      <c r="H774" s="17"/>
      <c r="I774" s="17"/>
      <c r="J774" s="17"/>
      <c r="K774" s="17"/>
      <c r="L774" s="183" t="str">
        <f>"WITNESS: "&amp;Input!$B$5</f>
        <v>WITNESS: C. NOTESTONE</v>
      </c>
      <c r="N774" s="3"/>
      <c r="O774" s="3"/>
      <c r="P774" s="3"/>
      <c r="Q774" s="3"/>
      <c r="R774" s="3"/>
      <c r="S774" s="3"/>
    </row>
    <row r="775" spans="1:19" ht="11.25" x14ac:dyDescent="0.2">
      <c r="A775" s="325" t="s">
        <v>5</v>
      </c>
      <c r="B775" s="3" t="s">
        <v>6</v>
      </c>
      <c r="C775" s="3"/>
      <c r="D775" s="325" t="s">
        <v>7</v>
      </c>
      <c r="E775" s="325" t="s">
        <v>8</v>
      </c>
      <c r="F775" s="3"/>
      <c r="G775" s="3"/>
      <c r="H775" s="3"/>
      <c r="I775" s="3"/>
      <c r="J775" s="3"/>
      <c r="K775" s="3"/>
      <c r="L775" s="3"/>
      <c r="N775" s="3"/>
      <c r="O775" s="3"/>
      <c r="P775" s="3"/>
      <c r="Q775" s="3"/>
      <c r="R775" s="3"/>
      <c r="S775" s="3"/>
    </row>
    <row r="776" spans="1:19" ht="11.25" x14ac:dyDescent="0.2">
      <c r="A776" s="341" t="s">
        <v>9</v>
      </c>
      <c r="B776" s="341" t="s">
        <v>9</v>
      </c>
      <c r="C776" s="341" t="str">
        <f>"                        ACCOUNT TITLE                "</f>
        <v xml:space="preserve">                        ACCOUNT TITLE                </v>
      </c>
      <c r="D776" s="26" t="s">
        <v>10</v>
      </c>
      <c r="E776" s="341" t="s">
        <v>11</v>
      </c>
      <c r="F776" s="341" t="str">
        <f>"  "&amp;+Input!$C$12</f>
        <v xml:space="preserve">  GS-RESIDENTIAL</v>
      </c>
      <c r="G776" s="341" t="str">
        <f>Input!$C$13</f>
        <v>GS-OTHER</v>
      </c>
      <c r="H776" s="341" t="str">
        <f>Input!$C$14</f>
        <v>IUS</v>
      </c>
      <c r="I776" s="341" t="str">
        <f>Input!$C$15</f>
        <v>DS-ML</v>
      </c>
      <c r="J776" s="341" t="str">
        <f>Input!$C$16</f>
        <v>DS/IS</v>
      </c>
      <c r="K776" s="341" t="str">
        <f>Input!$C$17</f>
        <v>NOT USED</v>
      </c>
      <c r="L776" s="341" t="str">
        <f>Input!$C$18</f>
        <v>NOT USED</v>
      </c>
      <c r="N776" s="3"/>
      <c r="O776" s="3"/>
      <c r="P776" s="3"/>
      <c r="Q776" s="3"/>
      <c r="R776" s="3"/>
      <c r="S776" s="3"/>
    </row>
    <row r="777" spans="1:19" ht="11.25" x14ac:dyDescent="0.2">
      <c r="A777" s="3"/>
      <c r="B777" s="342" t="s">
        <v>13</v>
      </c>
      <c r="C777" s="342" t="s">
        <v>14</v>
      </c>
      <c r="D777" s="325" t="s">
        <v>15</v>
      </c>
      <c r="E777" s="325" t="s">
        <v>16</v>
      </c>
      <c r="F777" s="325" t="s">
        <v>17</v>
      </c>
      <c r="G777" s="325" t="s">
        <v>18</v>
      </c>
      <c r="H777" s="325" t="s">
        <v>19</v>
      </c>
      <c r="I777" s="325" t="s">
        <v>20</v>
      </c>
      <c r="J777" s="325" t="s">
        <v>21</v>
      </c>
      <c r="K777" s="325" t="s">
        <v>22</v>
      </c>
      <c r="L777" s="325" t="s">
        <v>23</v>
      </c>
      <c r="N777" s="3"/>
      <c r="O777" s="3"/>
      <c r="P777" s="3"/>
      <c r="Q777" s="3"/>
      <c r="R777" s="3"/>
      <c r="S777" s="3"/>
    </row>
    <row r="778" spans="1:19" ht="11.25" x14ac:dyDescent="0.2">
      <c r="A778" s="3"/>
      <c r="B778" s="3"/>
      <c r="C778" s="3"/>
      <c r="D778" s="3"/>
      <c r="E778" s="325" t="s">
        <v>26</v>
      </c>
      <c r="F778" s="325" t="s">
        <v>26</v>
      </c>
      <c r="G778" s="325" t="s">
        <v>26</v>
      </c>
      <c r="H778" s="325" t="s">
        <v>26</v>
      </c>
      <c r="I778" s="325" t="s">
        <v>26</v>
      </c>
      <c r="J778" s="325" t="s">
        <v>26</v>
      </c>
      <c r="K778" s="325" t="s">
        <v>26</v>
      </c>
      <c r="L778" s="325" t="s">
        <v>26</v>
      </c>
      <c r="N778" s="3"/>
      <c r="O778" s="3"/>
      <c r="P778" s="3"/>
      <c r="Q778" s="3"/>
      <c r="R778" s="3"/>
      <c r="S778" s="3"/>
    </row>
    <row r="779" spans="1:19" ht="11.25" x14ac:dyDescent="0.2">
      <c r="A779" s="3">
        <v>1</v>
      </c>
      <c r="B779" s="3" t="s">
        <v>807</v>
      </c>
      <c r="C779" s="3"/>
      <c r="D779" s="3"/>
      <c r="E779" s="23">
        <f>'Total Co'!E205</f>
        <v>437889787</v>
      </c>
      <c r="F779" s="23">
        <f ca="1">'Total Co'!F205</f>
        <v>250705921</v>
      </c>
      <c r="G779" s="23">
        <f ca="1">'Total Co'!G205</f>
        <v>95453037</v>
      </c>
      <c r="H779" s="23">
        <f ca="1">'Total Co'!H205</f>
        <v>152890</v>
      </c>
      <c r="I779" s="23">
        <f ca="1">'Total Co'!I205</f>
        <v>787764.55</v>
      </c>
      <c r="J779" s="23">
        <f ca="1">'Total Co'!J205</f>
        <v>90790197</v>
      </c>
      <c r="K779" s="23">
        <f ca="1">'Total Co'!K205</f>
        <v>0</v>
      </c>
      <c r="L779" s="23">
        <f ca="1">'Total Co'!L205</f>
        <v>0</v>
      </c>
      <c r="N779" s="3"/>
      <c r="O779" s="3"/>
      <c r="P779" s="3"/>
      <c r="Q779" s="3"/>
      <c r="R779" s="3"/>
      <c r="S779" s="3"/>
    </row>
    <row r="780" spans="1:19" ht="11.25" x14ac:dyDescent="0.2">
      <c r="A780" s="3"/>
      <c r="B780" s="3" t="s">
        <v>399</v>
      </c>
      <c r="C780" s="3"/>
      <c r="D780" s="3"/>
      <c r="E780" s="3"/>
      <c r="F780" s="3"/>
      <c r="G780" s="3"/>
      <c r="H780" s="3"/>
      <c r="I780" s="3"/>
      <c r="J780" s="3"/>
      <c r="K780" s="3"/>
      <c r="L780" s="3"/>
      <c r="N780" s="3"/>
      <c r="O780" s="3"/>
      <c r="P780" s="3"/>
      <c r="Q780" s="3"/>
      <c r="R780" s="3"/>
      <c r="S780" s="3"/>
    </row>
    <row r="781" spans="1:19" ht="11.25" x14ac:dyDescent="0.2">
      <c r="A781" s="3">
        <f>A779+1</f>
        <v>2</v>
      </c>
      <c r="B781" s="3" t="s">
        <v>400</v>
      </c>
      <c r="C781" s="3" t="s">
        <v>401</v>
      </c>
      <c r="D781" s="3"/>
      <c r="E781" s="26">
        <f>'Total Co'!E291</f>
        <v>151708251</v>
      </c>
      <c r="F781" s="26">
        <f ca="1">'Total Co'!F291</f>
        <v>95496496</v>
      </c>
      <c r="G781" s="26">
        <f ca="1">'Total Co'!G291</f>
        <v>30521646</v>
      </c>
      <c r="H781" s="26">
        <f ca="1">'Total Co'!H291</f>
        <v>43311</v>
      </c>
      <c r="I781" s="26">
        <f ca="1">'Total Co'!I291</f>
        <v>165248.1</v>
      </c>
      <c r="J781" s="26">
        <f ca="1">'Total Co'!J291</f>
        <v>25481547</v>
      </c>
      <c r="K781" s="26">
        <f ca="1">'Total Co'!K291</f>
        <v>0</v>
      </c>
      <c r="L781" s="26">
        <f ca="1">'Total Co'!L291</f>
        <v>0</v>
      </c>
      <c r="N781" s="3"/>
      <c r="O781" s="3"/>
      <c r="P781" s="3"/>
      <c r="Q781" s="3"/>
      <c r="R781" s="3"/>
      <c r="S781" s="3"/>
    </row>
    <row r="782" spans="1:19" ht="11.25" x14ac:dyDescent="0.2">
      <c r="A782" s="3">
        <f>A781+1</f>
        <v>3</v>
      </c>
      <c r="B782" s="3"/>
      <c r="C782" s="3" t="s">
        <v>402</v>
      </c>
      <c r="D782" s="3"/>
      <c r="E782" s="23">
        <f t="shared" ref="E782:L782" si="93">E779-E781</f>
        <v>286181536</v>
      </c>
      <c r="F782" s="23">
        <f t="shared" ca="1" si="93"/>
        <v>155209425</v>
      </c>
      <c r="G782" s="23">
        <f t="shared" ca="1" si="93"/>
        <v>64931391</v>
      </c>
      <c r="H782" s="23">
        <f t="shared" ca="1" si="93"/>
        <v>109579</v>
      </c>
      <c r="I782" s="23">
        <f t="shared" ca="1" si="93"/>
        <v>622516.45000000007</v>
      </c>
      <c r="J782" s="23">
        <f t="shared" ca="1" si="93"/>
        <v>65308650</v>
      </c>
      <c r="K782" s="23">
        <f t="shared" ca="1" si="93"/>
        <v>0</v>
      </c>
      <c r="L782" s="23">
        <f t="shared" ca="1" si="93"/>
        <v>0</v>
      </c>
      <c r="N782" s="3"/>
      <c r="O782" s="3"/>
      <c r="P782" s="3"/>
      <c r="Q782" s="3"/>
      <c r="R782" s="3"/>
      <c r="S782" s="3"/>
    </row>
    <row r="783" spans="1:19" ht="11.25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N783" s="3"/>
      <c r="O783" s="3"/>
      <c r="P783" s="3"/>
      <c r="Q783" s="3"/>
      <c r="R783" s="3"/>
      <c r="S783" s="3"/>
    </row>
    <row r="784" spans="1:19" ht="11.25" x14ac:dyDescent="0.2">
      <c r="A784" s="3">
        <f>A782+1</f>
        <v>4</v>
      </c>
      <c r="B784" s="24">
        <f>Input!A69</f>
        <v>190</v>
      </c>
      <c r="C784" s="3" t="str">
        <f>Input!B69</f>
        <v>ACCUMULATED DEF INCOME TAX</v>
      </c>
      <c r="D784" s="3"/>
      <c r="E784" s="30">
        <f>Input!D69</f>
        <v>5385972.865384616</v>
      </c>
      <c r="F784" s="3">
        <f ca="1">Customer!F784+Commodity!F784+Demand!F784</f>
        <v>3083643</v>
      </c>
      <c r="G784" s="3">
        <f ca="1">Customer!G784+Commodity!G784+Demand!G784</f>
        <v>1174068</v>
      </c>
      <c r="H784" s="3">
        <f ca="1">Customer!H784+Commodity!H784+Demand!H784</f>
        <v>1876</v>
      </c>
      <c r="I784" s="3">
        <f ca="1">Customer!I784+Commodity!I784+Demand!I784</f>
        <v>9677</v>
      </c>
      <c r="J784" s="3">
        <f ca="1">Customer!J784+Commodity!J784+Demand!J784</f>
        <v>1116711</v>
      </c>
      <c r="K784" s="3">
        <f ca="1">Customer!K784+Commodity!K784+Demand!K784</f>
        <v>0</v>
      </c>
      <c r="L784" s="3">
        <f ca="1">Customer!L784+Commodity!L784+Demand!L784</f>
        <v>0</v>
      </c>
      <c r="N784" s="3"/>
      <c r="O784" s="3"/>
      <c r="P784" s="3"/>
      <c r="Q784" s="3"/>
      <c r="R784" s="3"/>
      <c r="S784" s="3"/>
    </row>
    <row r="785" spans="1:19" ht="11.25" x14ac:dyDescent="0.2">
      <c r="A785" s="3"/>
      <c r="B785" s="3" t="s">
        <v>399</v>
      </c>
      <c r="C785" s="3"/>
      <c r="D785" s="3"/>
      <c r="E785" s="3"/>
      <c r="F785" s="3"/>
      <c r="G785" s="3"/>
      <c r="H785" s="3"/>
      <c r="I785" s="3"/>
      <c r="J785" s="3"/>
      <c r="K785" s="3"/>
      <c r="L785" s="3"/>
      <c r="N785" s="3"/>
      <c r="O785" s="3"/>
      <c r="P785" s="3"/>
      <c r="Q785" s="3"/>
      <c r="R785" s="3"/>
      <c r="S785" s="3"/>
    </row>
    <row r="786" spans="1:19" ht="11.25" x14ac:dyDescent="0.2">
      <c r="A786" s="3">
        <f>A784+1</f>
        <v>5</v>
      </c>
      <c r="B786" s="24">
        <f>Input!A70</f>
        <v>252</v>
      </c>
      <c r="C786" s="3" t="str">
        <f>Input!B70</f>
        <v>CUSTOMER ADVANCES</v>
      </c>
      <c r="D786" s="3"/>
      <c r="E786" s="3">
        <f>Input!D70</f>
        <v>0</v>
      </c>
      <c r="F786" s="3">
        <f>Customer!F786+Commodity!F786+Demand!F786</f>
        <v>0</v>
      </c>
      <c r="G786" s="3">
        <f>Customer!G786+Commodity!G786+Demand!G786</f>
        <v>0</v>
      </c>
      <c r="H786" s="3">
        <f>Customer!H786+Commodity!H786+Demand!H786</f>
        <v>0</v>
      </c>
      <c r="I786" s="3">
        <f>Customer!I786+Commodity!I786+Demand!I786</f>
        <v>0</v>
      </c>
      <c r="J786" s="3">
        <f>Customer!J786+Commodity!J786+Demand!J786</f>
        <v>0</v>
      </c>
      <c r="K786" s="3">
        <f>Customer!K786+Commodity!K786+Demand!K786</f>
        <v>0</v>
      </c>
      <c r="L786" s="3">
        <f>Customer!L786+Commodity!L786+Demand!L786</f>
        <v>0</v>
      </c>
      <c r="N786" s="3"/>
      <c r="O786" s="3"/>
      <c r="P786" s="3"/>
      <c r="Q786" s="3"/>
      <c r="R786" s="3"/>
      <c r="S786" s="3"/>
    </row>
    <row r="787" spans="1:19" ht="11.25" x14ac:dyDescent="0.2">
      <c r="A787" s="3">
        <f>A786+1</f>
        <v>6</v>
      </c>
      <c r="B787" s="24">
        <f>Input!A71</f>
        <v>255</v>
      </c>
      <c r="C787" s="3" t="str">
        <f>Input!B71</f>
        <v>(1962 - 69) INVESTMENT TAX CREDIT</v>
      </c>
      <c r="D787" s="3"/>
      <c r="E787" s="3">
        <f>Input!D71</f>
        <v>0</v>
      </c>
      <c r="F787" s="3">
        <f ca="1">Customer!F787+Commodity!F787+Demand!F787</f>
        <v>0</v>
      </c>
      <c r="G787" s="3">
        <f ca="1">Customer!G787+Commodity!G787+Demand!G787</f>
        <v>0</v>
      </c>
      <c r="H787" s="3">
        <f ca="1">Customer!H787+Commodity!H787+Demand!H787</f>
        <v>0</v>
      </c>
      <c r="I787" s="3">
        <f ca="1">Customer!I787+Commodity!I787+Demand!I787</f>
        <v>0</v>
      </c>
      <c r="J787" s="3">
        <f ca="1">Customer!J787+Commodity!J787+Demand!J787</f>
        <v>0</v>
      </c>
      <c r="K787" s="3">
        <f ca="1">Customer!K787+Commodity!K787+Demand!K787</f>
        <v>0</v>
      </c>
      <c r="L787" s="3">
        <f ca="1">Customer!L787+Commodity!L787+Demand!L787</f>
        <v>0</v>
      </c>
      <c r="N787" s="3"/>
      <c r="O787" s="3"/>
      <c r="P787" s="3"/>
      <c r="Q787" s="3"/>
      <c r="R787" s="3"/>
      <c r="S787" s="3"/>
    </row>
    <row r="788" spans="1:19" ht="11.25" x14ac:dyDescent="0.2">
      <c r="A788" s="3">
        <f>A787+1</f>
        <v>7</v>
      </c>
      <c r="B788" s="24">
        <f>Input!A72</f>
        <v>282</v>
      </c>
      <c r="C788" s="3" t="str">
        <f>Input!B72</f>
        <v>ACCUMULATED DEF INCOME TAX</v>
      </c>
      <c r="D788" s="3"/>
      <c r="E788" s="3">
        <f>Input!D72</f>
        <v>86167687</v>
      </c>
      <c r="F788" s="3">
        <f ca="1">Customer!F788+Commodity!F788+Demand!F788</f>
        <v>49333778</v>
      </c>
      <c r="G788" s="3">
        <f ca="1">Customer!G788+Commodity!G788+Demand!G788</f>
        <v>18783358</v>
      </c>
      <c r="H788" s="3">
        <f ca="1">Customer!H788+Commodity!H788+Demand!H788</f>
        <v>30004</v>
      </c>
      <c r="I788" s="3">
        <f ca="1">Customer!I788+Commodity!I788+Demand!I788</f>
        <v>154818</v>
      </c>
      <c r="J788" s="3">
        <f ca="1">Customer!J788+Commodity!J788+Demand!J788</f>
        <v>17865728</v>
      </c>
      <c r="K788" s="3">
        <f ca="1">Customer!K788+Commodity!K788+Demand!K788</f>
        <v>0</v>
      </c>
      <c r="L788" s="3">
        <f ca="1">Customer!L788+Commodity!L788+Demand!L788</f>
        <v>0</v>
      </c>
      <c r="N788" s="3"/>
      <c r="O788" s="3"/>
      <c r="P788" s="3"/>
      <c r="Q788" s="3"/>
      <c r="R788" s="3"/>
      <c r="S788" s="3"/>
    </row>
    <row r="789" spans="1:19" ht="11.25" x14ac:dyDescent="0.2">
      <c r="A789" s="3">
        <f>A788+1</f>
        <v>8</v>
      </c>
      <c r="B789" s="24">
        <f>Input!A73</f>
        <v>283</v>
      </c>
      <c r="C789" s="3" t="str">
        <f>Input!B73</f>
        <v>ACCUMULATED DEF INCOME TAX</v>
      </c>
      <c r="D789" s="3"/>
      <c r="E789" s="26">
        <f>Input!D73</f>
        <v>0</v>
      </c>
      <c r="F789" s="26">
        <f ca="1">Customer!F789+Commodity!F789+Demand!F789</f>
        <v>0</v>
      </c>
      <c r="G789" s="26">
        <f ca="1">Customer!G789+Commodity!G789+Demand!G789</f>
        <v>0</v>
      </c>
      <c r="H789" s="26">
        <f ca="1">Customer!H789+Commodity!H789+Demand!H789</f>
        <v>0</v>
      </c>
      <c r="I789" s="26">
        <f ca="1">Customer!I789+Commodity!I789+Demand!I789</f>
        <v>0</v>
      </c>
      <c r="J789" s="26">
        <f ca="1">Customer!J789+Commodity!J789+Demand!J789</f>
        <v>0</v>
      </c>
      <c r="K789" s="26">
        <f ca="1">Customer!K789+Commodity!K789+Demand!K789</f>
        <v>0</v>
      </c>
      <c r="L789" s="26">
        <f ca="1">Customer!L789+Commodity!L789+Demand!L789</f>
        <v>0</v>
      </c>
      <c r="N789" s="3"/>
      <c r="O789" s="3"/>
      <c r="P789" s="3"/>
      <c r="Q789" s="3"/>
      <c r="R789" s="3"/>
      <c r="S789" s="3"/>
    </row>
    <row r="790" spans="1:19" ht="11.25" x14ac:dyDescent="0.2">
      <c r="A790" s="3">
        <f>A789+1</f>
        <v>9</v>
      </c>
      <c r="B790" s="3"/>
      <c r="C790" s="3" t="s">
        <v>403</v>
      </c>
      <c r="D790" s="3"/>
      <c r="E790" s="23">
        <f t="shared" ref="E790:L790" si="94">E782-SUM(E786:E789)+E784</f>
        <v>205399821.86538461</v>
      </c>
      <c r="F790" s="23">
        <f t="shared" ca="1" si="94"/>
        <v>108959290</v>
      </c>
      <c r="G790" s="23">
        <f t="shared" ca="1" si="94"/>
        <v>47322101</v>
      </c>
      <c r="H790" s="23">
        <f t="shared" ca="1" si="94"/>
        <v>81451</v>
      </c>
      <c r="I790" s="23">
        <f t="shared" ca="1" si="94"/>
        <v>477375.45000000007</v>
      </c>
      <c r="J790" s="23">
        <f t="shared" ca="1" si="94"/>
        <v>48559633</v>
      </c>
      <c r="K790" s="23">
        <f t="shared" ca="1" si="94"/>
        <v>0</v>
      </c>
      <c r="L790" s="23">
        <f t="shared" ca="1" si="94"/>
        <v>0</v>
      </c>
      <c r="N790" s="3"/>
      <c r="O790" s="3"/>
      <c r="P790" s="3"/>
      <c r="Q790" s="3"/>
      <c r="R790" s="3"/>
      <c r="S790" s="3"/>
    </row>
    <row r="791" spans="1:19" ht="11.25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N791" s="3"/>
      <c r="O791" s="3"/>
      <c r="P791" s="3"/>
      <c r="Q791" s="3"/>
      <c r="R791" s="3"/>
      <c r="S791" s="3"/>
    </row>
    <row r="792" spans="1:19" ht="11.25" x14ac:dyDescent="0.2">
      <c r="A792" s="3">
        <f>A790+1</f>
        <v>10</v>
      </c>
      <c r="B792" s="3" t="s">
        <v>404</v>
      </c>
      <c r="C792" s="3"/>
      <c r="D792" s="3"/>
      <c r="E792" s="3"/>
      <c r="F792" s="3"/>
      <c r="G792" s="3"/>
      <c r="H792" s="3"/>
      <c r="I792" s="3"/>
      <c r="J792" s="3"/>
      <c r="K792" s="3"/>
      <c r="L792" s="3"/>
      <c r="N792" s="3"/>
      <c r="O792" s="3"/>
      <c r="P792" s="3"/>
      <c r="Q792" s="3"/>
      <c r="R792" s="3"/>
      <c r="S792" s="3"/>
    </row>
    <row r="793" spans="1:19" ht="11.25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N793" s="3"/>
      <c r="O793" s="3"/>
      <c r="P793" s="3"/>
      <c r="Q793" s="3"/>
      <c r="R793" s="3"/>
      <c r="S793" s="3"/>
    </row>
    <row r="794" spans="1:19" ht="11.25" x14ac:dyDescent="0.2">
      <c r="A794" s="3">
        <f>A792+1</f>
        <v>11</v>
      </c>
      <c r="B794" s="3" t="s">
        <v>405</v>
      </c>
      <c r="C794" s="3"/>
      <c r="D794" s="3"/>
      <c r="E794" s="3"/>
      <c r="F794" s="3"/>
      <c r="G794" s="3"/>
      <c r="H794" s="3"/>
      <c r="I794" s="3"/>
      <c r="J794" s="3"/>
      <c r="K794" s="3"/>
      <c r="L794" s="3"/>
      <c r="N794" s="3"/>
      <c r="O794" s="3"/>
      <c r="P794" s="3"/>
      <c r="Q794" s="3"/>
      <c r="R794" s="3"/>
      <c r="S794" s="3"/>
    </row>
    <row r="795" spans="1:19" ht="11.25" x14ac:dyDescent="0.2">
      <c r="A795" s="3">
        <f t="shared" ref="A795:A800" si="95">A794+1</f>
        <v>12</v>
      </c>
      <c r="B795" s="3" t="s">
        <v>406</v>
      </c>
      <c r="C795" s="3"/>
      <c r="D795" s="3"/>
      <c r="E795" s="3">
        <f t="shared" ref="E795:L795" ca="1" si="96">ROUND(E806/8,0)</f>
        <v>5636879</v>
      </c>
      <c r="F795" s="3">
        <f t="shared" ca="1" si="96"/>
        <v>3686334</v>
      </c>
      <c r="G795" s="3">
        <f t="shared" ca="1" si="96"/>
        <v>1145916</v>
      </c>
      <c r="H795" s="3">
        <f t="shared" ca="1" si="96"/>
        <v>1506</v>
      </c>
      <c r="I795" s="3">
        <f t="shared" ca="1" si="96"/>
        <v>7413</v>
      </c>
      <c r="J795" s="3">
        <f t="shared" ca="1" si="96"/>
        <v>795708</v>
      </c>
      <c r="K795" s="3">
        <f t="shared" ca="1" si="96"/>
        <v>0</v>
      </c>
      <c r="L795" s="3">
        <f t="shared" ca="1" si="96"/>
        <v>0</v>
      </c>
      <c r="N795" s="3"/>
      <c r="O795" s="3"/>
      <c r="P795" s="3"/>
      <c r="Q795" s="3"/>
      <c r="R795" s="3"/>
      <c r="S795" s="3"/>
    </row>
    <row r="796" spans="1:19" ht="11.25" x14ac:dyDescent="0.2">
      <c r="A796" s="3">
        <f t="shared" si="95"/>
        <v>13</v>
      </c>
      <c r="B796" s="24">
        <f>Input!A68</f>
        <v>151</v>
      </c>
      <c r="C796" s="3" t="str">
        <f>Input!B68</f>
        <v>FUEL STOCK</v>
      </c>
      <c r="D796" s="3"/>
      <c r="E796" s="3">
        <f>Input!D68</f>
        <v>0</v>
      </c>
      <c r="F796" s="3">
        <f>Customer!F796+Commodity!F796+Demand!F796</f>
        <v>0</v>
      </c>
      <c r="G796" s="3">
        <f>Customer!G796+Commodity!G796+Demand!G796</f>
        <v>0</v>
      </c>
      <c r="H796" s="3">
        <f>Customer!H796+Commodity!H796+Demand!H796</f>
        <v>0</v>
      </c>
      <c r="I796" s="3">
        <f>Customer!I796+Commodity!I796+Demand!I796</f>
        <v>0</v>
      </c>
      <c r="J796" s="3">
        <f>Customer!J796+Commodity!J796+Demand!J796</f>
        <v>0</v>
      </c>
      <c r="K796" s="3">
        <f>Customer!K796+Commodity!K796+Demand!K796</f>
        <v>0</v>
      </c>
      <c r="L796" s="3">
        <f>Customer!L796+Commodity!L796+Demand!L796</f>
        <v>0</v>
      </c>
      <c r="N796" s="3"/>
      <c r="O796" s="3"/>
      <c r="P796" s="3"/>
      <c r="Q796" s="3"/>
      <c r="R796" s="3"/>
      <c r="S796" s="3"/>
    </row>
    <row r="797" spans="1:19" ht="11.25" x14ac:dyDescent="0.2">
      <c r="A797" s="3">
        <f t="shared" si="95"/>
        <v>14</v>
      </c>
      <c r="B797" s="24">
        <f>Input!A74</f>
        <v>154</v>
      </c>
      <c r="C797" s="3" t="str">
        <f>Input!B74</f>
        <v>MATERIALS &amp; SUPPLIES</v>
      </c>
      <c r="D797" s="3"/>
      <c r="E797" s="3">
        <f>Input!D74</f>
        <v>82011</v>
      </c>
      <c r="F797" s="3">
        <f ca="1">Customer!F797+Commodity!F797+Demand!F797</f>
        <v>46954</v>
      </c>
      <c r="G797" s="3">
        <f ca="1">Customer!G797+Commodity!G797+Demand!G797</f>
        <v>17878</v>
      </c>
      <c r="H797" s="3">
        <f ca="1">Customer!H797+Commodity!H797+Demand!H797</f>
        <v>29</v>
      </c>
      <c r="I797" s="3">
        <f ca="1">Customer!I797+Commodity!I797+Demand!I797</f>
        <v>148</v>
      </c>
      <c r="J797" s="3">
        <f ca="1">Customer!J797+Commodity!J797+Demand!J797</f>
        <v>17003</v>
      </c>
      <c r="K797" s="3">
        <f ca="1">Customer!K797+Commodity!K797+Demand!K797</f>
        <v>0</v>
      </c>
      <c r="L797" s="3">
        <f ca="1">Customer!L797+Commodity!L797+Demand!L797</f>
        <v>0</v>
      </c>
      <c r="N797" s="3"/>
      <c r="O797" s="3"/>
      <c r="P797" s="3"/>
      <c r="Q797" s="3"/>
      <c r="R797" s="3"/>
      <c r="S797" s="3"/>
    </row>
    <row r="798" spans="1:19" ht="11.25" x14ac:dyDescent="0.2">
      <c r="A798" s="3">
        <f t="shared" si="95"/>
        <v>15</v>
      </c>
      <c r="B798" s="24">
        <f>Input!A75</f>
        <v>165</v>
      </c>
      <c r="C798" s="3" t="str">
        <f>Input!B75</f>
        <v>PREPAYMENTS</v>
      </c>
      <c r="D798" s="3"/>
      <c r="E798" s="3">
        <f>Input!D75</f>
        <v>469518</v>
      </c>
      <c r="F798" s="3">
        <f ca="1">Customer!F798+Commodity!F798+Demand!F798</f>
        <v>308288</v>
      </c>
      <c r="G798" s="3">
        <f ca="1">Customer!G798+Commodity!G798+Demand!G798</f>
        <v>90539</v>
      </c>
      <c r="H798" s="3">
        <f ca="1">Customer!H798+Commodity!H798+Demand!H798</f>
        <v>130</v>
      </c>
      <c r="I798" s="3">
        <f ca="1">Customer!I798+Commodity!I798+Demand!I798</f>
        <v>569</v>
      </c>
      <c r="J798" s="3">
        <f ca="1">Customer!J798+Commodity!J798+Demand!J798</f>
        <v>69992</v>
      </c>
      <c r="K798" s="3">
        <f ca="1">Customer!K798+Commodity!K798+Demand!K798</f>
        <v>0</v>
      </c>
      <c r="L798" s="3">
        <f ca="1">Customer!L798+Commodity!L798+Demand!L798</f>
        <v>0</v>
      </c>
      <c r="N798" s="3"/>
      <c r="O798" s="3"/>
      <c r="P798" s="3"/>
      <c r="Q798" s="3"/>
      <c r="R798" s="3"/>
      <c r="S798" s="3"/>
    </row>
    <row r="799" spans="1:19" ht="11.25" x14ac:dyDescent="0.2">
      <c r="A799" s="3">
        <f t="shared" si="95"/>
        <v>16</v>
      </c>
      <c r="B799" s="24">
        <f>Input!A76</f>
        <v>164</v>
      </c>
      <c r="C799" s="3" t="str">
        <f>Input!B76</f>
        <v>GAS STORED UNDERGROUND - FSS</v>
      </c>
      <c r="D799" s="3"/>
      <c r="E799" s="26">
        <f>Input!D76</f>
        <v>41772551</v>
      </c>
      <c r="F799" s="26">
        <f>Customer!F799+Commodity!F799+Demand!F799</f>
        <v>25456610</v>
      </c>
      <c r="G799" s="26">
        <f>Customer!G799+Commodity!G799+Demand!G799</f>
        <v>15555680</v>
      </c>
      <c r="H799" s="26">
        <f>Customer!H799+Commodity!H799+Demand!H799</f>
        <v>37178</v>
      </c>
      <c r="I799" s="26">
        <f>Customer!I799+Commodity!I799+Demand!I799</f>
        <v>0</v>
      </c>
      <c r="J799" s="26">
        <f>Customer!J799+Commodity!J799+Demand!J799</f>
        <v>723083</v>
      </c>
      <c r="K799" s="26">
        <f>Customer!K799+Commodity!K799+Demand!K799</f>
        <v>0</v>
      </c>
      <c r="L799" s="26">
        <f>Customer!L799+Commodity!L799+Demand!L799</f>
        <v>0</v>
      </c>
      <c r="N799" s="3"/>
      <c r="O799" s="3"/>
      <c r="P799" s="3"/>
      <c r="Q799" s="3"/>
      <c r="R799" s="3"/>
      <c r="S799" s="3"/>
    </row>
    <row r="800" spans="1:19" ht="11.25" x14ac:dyDescent="0.2">
      <c r="A800" s="3">
        <f t="shared" si="95"/>
        <v>17</v>
      </c>
      <c r="B800" s="3"/>
      <c r="C800" s="3" t="s">
        <v>407</v>
      </c>
      <c r="D800" s="3"/>
      <c r="E800" s="23">
        <f t="shared" ref="E800:L800" ca="1" si="97">E790+SUM(E795:E799)</f>
        <v>253360780.86538461</v>
      </c>
      <c r="F800" s="23">
        <f t="shared" ca="1" si="97"/>
        <v>138457476</v>
      </c>
      <c r="G800" s="23">
        <f t="shared" ca="1" si="97"/>
        <v>64132114</v>
      </c>
      <c r="H800" s="23">
        <f t="shared" ca="1" si="97"/>
        <v>120294</v>
      </c>
      <c r="I800" s="23">
        <f t="shared" ca="1" si="97"/>
        <v>485505.45000000007</v>
      </c>
      <c r="J800" s="23">
        <f t="shared" ca="1" si="97"/>
        <v>50165419</v>
      </c>
      <c r="K800" s="23">
        <f t="shared" ca="1" si="97"/>
        <v>0</v>
      </c>
      <c r="L800" s="23">
        <f t="shared" ca="1" si="97"/>
        <v>0</v>
      </c>
      <c r="N800" s="3"/>
      <c r="O800" s="3"/>
      <c r="P800" s="3"/>
      <c r="Q800" s="3"/>
      <c r="R800" s="3"/>
      <c r="S800" s="3"/>
    </row>
    <row r="801" spans="1:19" ht="11.25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N801" s="3"/>
      <c r="O801" s="3"/>
      <c r="P801" s="3"/>
      <c r="Q801" s="3"/>
      <c r="R801" s="3"/>
      <c r="S801" s="3"/>
    </row>
    <row r="802" spans="1:19" ht="11.25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N802" s="3"/>
      <c r="O802" s="3"/>
      <c r="P802" s="3"/>
      <c r="Q802" s="3"/>
      <c r="R802" s="3"/>
      <c r="S802" s="3"/>
    </row>
    <row r="803" spans="1:19" ht="11.25" x14ac:dyDescent="0.2">
      <c r="A803" s="3" t="s">
        <v>1138</v>
      </c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N803" s="3"/>
      <c r="O803" s="3"/>
      <c r="P803" s="3"/>
      <c r="Q803" s="3"/>
      <c r="R803" s="3"/>
      <c r="S803" s="3"/>
    </row>
    <row r="804" spans="1:19" ht="11.25" x14ac:dyDescent="0.2">
      <c r="A804" s="3"/>
      <c r="B804" s="47" t="s">
        <v>574</v>
      </c>
      <c r="C804" s="3"/>
      <c r="D804" s="3"/>
      <c r="E804" s="3">
        <f ca="1">'Total Co'!E663+'Total Co'!E427</f>
        <v>66570978.699959993</v>
      </c>
      <c r="F804" s="3">
        <f ca="1">'Total Co'!F663+'Total Co'!F427</f>
        <v>43297764.589999996</v>
      </c>
      <c r="G804" s="3">
        <f ca="1">'Total Co'!G663+'Total Co'!G427</f>
        <v>16811174.960000001</v>
      </c>
      <c r="H804" s="3">
        <f ca="1">'Total Co'!H663+'Total Co'!H427</f>
        <v>37058.559999999998</v>
      </c>
      <c r="I804" s="3">
        <f ca="1">'Total Co'!I663+'Total Co'!I427</f>
        <v>59307</v>
      </c>
      <c r="J804" s="3">
        <f ca="1">'Total Co'!J663+'Total Co'!J427</f>
        <v>6365667</v>
      </c>
      <c r="K804" s="3">
        <f ca="1">'Total Co'!K663+'Total Co'!K427</f>
        <v>0</v>
      </c>
      <c r="L804" s="3">
        <f ca="1">'Total Co'!L663+'Total Co'!L427</f>
        <v>0</v>
      </c>
      <c r="N804" s="3"/>
      <c r="O804" s="3"/>
      <c r="P804" s="3"/>
      <c r="Q804" s="3"/>
      <c r="R804" s="3"/>
      <c r="S804" s="3"/>
    </row>
    <row r="805" spans="1:19" ht="11.25" x14ac:dyDescent="0.2">
      <c r="A805" s="3"/>
      <c r="B805" s="3"/>
      <c r="C805" s="47" t="s">
        <v>575</v>
      </c>
      <c r="D805" s="3"/>
      <c r="E805" s="26">
        <f>'Total Co'!E427+'Total Co'!E430</f>
        <v>21475950.109999996</v>
      </c>
      <c r="F805" s="26">
        <f>'Total Co'!F427+'Total Co'!F430</f>
        <v>13807094.589999998</v>
      </c>
      <c r="G805" s="26">
        <f>'Total Co'!G427+'Total Co'!G430</f>
        <v>7643846.9600000009</v>
      </c>
      <c r="H805" s="26">
        <f>'Total Co'!H427+'Total Co'!H430</f>
        <v>25008.560000000001</v>
      </c>
      <c r="I805" s="26">
        <f>'Total Co'!I427+'Total Co'!I430</f>
        <v>0</v>
      </c>
      <c r="J805" s="26">
        <f>'Total Co'!J427+'Total Co'!J430</f>
        <v>0</v>
      </c>
      <c r="K805" s="26">
        <f>'Total Co'!K427+'Total Co'!K430</f>
        <v>0</v>
      </c>
      <c r="L805" s="26">
        <f>'Total Co'!L427</f>
        <v>0</v>
      </c>
      <c r="N805" s="3"/>
      <c r="O805" s="3"/>
      <c r="P805" s="3"/>
      <c r="Q805" s="3"/>
      <c r="R805" s="3"/>
      <c r="S805" s="3"/>
    </row>
    <row r="806" spans="1:19" ht="11.25" x14ac:dyDescent="0.2">
      <c r="A806" s="3"/>
      <c r="B806" s="3"/>
      <c r="C806" s="47" t="s">
        <v>576</v>
      </c>
      <c r="D806" s="3"/>
      <c r="E806" s="3">
        <f t="shared" ref="E806:L806" ca="1" si="98">E804-E805</f>
        <v>45095028.589959994</v>
      </c>
      <c r="F806" s="3">
        <f t="shared" ca="1" si="98"/>
        <v>29490670</v>
      </c>
      <c r="G806" s="3">
        <f t="shared" ca="1" si="98"/>
        <v>9167328</v>
      </c>
      <c r="H806" s="3">
        <f t="shared" ca="1" si="98"/>
        <v>12049.999999999996</v>
      </c>
      <c r="I806" s="3">
        <f t="shared" ca="1" si="98"/>
        <v>59307</v>
      </c>
      <c r="J806" s="3">
        <f t="shared" ca="1" si="98"/>
        <v>6365667</v>
      </c>
      <c r="K806" s="3">
        <f t="shared" ca="1" si="98"/>
        <v>0</v>
      </c>
      <c r="L806" s="3">
        <f t="shared" ca="1" si="98"/>
        <v>0</v>
      </c>
      <c r="N806" s="3"/>
      <c r="O806" s="3"/>
      <c r="P806" s="3"/>
      <c r="Q806" s="3"/>
      <c r="R806" s="3"/>
      <c r="S806" s="3"/>
    </row>
  </sheetData>
  <pageMargins left="0" right="0" top="0.75" bottom="0.75" header="0.3" footer="0.3"/>
  <pageSetup scale="94" orientation="landscape" r:id="rId1"/>
  <rowBreaks count="24" manualBreakCount="24">
    <brk id="34" max="11" man="1"/>
    <brk id="66" max="11" man="1"/>
    <brk id="89" max="16383" man="1"/>
    <brk id="123" max="16383" man="1"/>
    <brk id="167" max="16383" man="1"/>
    <brk id="205" max="16383" man="1"/>
    <brk id="250" max="16383" man="1"/>
    <brk id="291" max="16383" man="1"/>
    <brk id="336" max="16383" man="1"/>
    <brk id="375" max="16383" man="1"/>
    <brk id="396" max="16383" man="1"/>
    <brk id="433" max="16383" man="1"/>
    <brk id="464" max="16383" man="1"/>
    <brk id="495" max="16383" man="1"/>
    <brk id="532" max="16383" man="1"/>
    <brk id="563" max="16383" man="1"/>
    <brk id="594" max="16383" man="1"/>
    <brk id="633" max="16383" man="1"/>
    <brk id="663" max="16383" man="1"/>
    <brk id="679" max="16383" man="1"/>
    <brk id="705" max="16383" man="1"/>
    <brk id="721" max="16383" man="1"/>
    <brk id="751" max="16383" man="1"/>
    <brk id="771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selection activeCell="C39" sqref="C39"/>
    </sheetView>
  </sheetViews>
  <sheetFormatPr defaultRowHeight="10.5" x14ac:dyDescent="0.15"/>
  <cols>
    <col min="1" max="1" width="4.6640625" style="330" customWidth="1"/>
    <col min="2" max="2" width="35.1640625" style="330" bestFit="1" customWidth="1"/>
    <col min="3" max="3" width="16.1640625" style="330" bestFit="1" customWidth="1"/>
    <col min="4" max="4" width="19" style="330" bestFit="1" customWidth="1"/>
    <col min="5" max="5" width="11.6640625" style="330" bestFit="1" customWidth="1"/>
    <col min="6" max="8" width="10.5" style="330" customWidth="1"/>
    <col min="9" max="16384" width="9.33203125" style="330"/>
  </cols>
  <sheetData>
    <row r="1" spans="1:15" ht="12" x14ac:dyDescent="0.2">
      <c r="A1" s="54" t="s">
        <v>44</v>
      </c>
    </row>
    <row r="2" spans="1:15" ht="12" x14ac:dyDescent="0.2">
      <c r="A2" s="54" t="s">
        <v>965</v>
      </c>
    </row>
    <row r="3" spans="1:15" ht="12" x14ac:dyDescent="0.2">
      <c r="A3" s="54" t="s">
        <v>966</v>
      </c>
    </row>
    <row r="5" spans="1:15" ht="12" x14ac:dyDescent="0.2">
      <c r="C5" s="230"/>
      <c r="D5" s="230"/>
      <c r="E5" s="23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2" x14ac:dyDescent="0.2"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" x14ac:dyDescent="0.2">
      <c r="A7" s="228" t="s">
        <v>539</v>
      </c>
      <c r="B7" s="9" t="s">
        <v>970</v>
      </c>
      <c r="C7" s="9" t="s">
        <v>967</v>
      </c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2" x14ac:dyDescent="0.2">
      <c r="A8" s="340">
        <v>1</v>
      </c>
      <c r="B8" s="10" t="s">
        <v>961</v>
      </c>
      <c r="C8" s="229">
        <v>1022789.17</v>
      </c>
      <c r="D8" s="229"/>
      <c r="E8" s="229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2" x14ac:dyDescent="0.2">
      <c r="A9" s="340">
        <f>A8+1</f>
        <v>2</v>
      </c>
      <c r="B9" s="10" t="s">
        <v>968</v>
      </c>
      <c r="C9" s="229">
        <v>155603.24</v>
      </c>
      <c r="D9" s="229"/>
      <c r="E9" s="229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4.25" x14ac:dyDescent="0.35">
      <c r="A10" s="340">
        <f t="shared" ref="A10:A11" si="0">A9+1</f>
        <v>3</v>
      </c>
      <c r="B10" s="10" t="s">
        <v>969</v>
      </c>
      <c r="C10" s="440">
        <v>247.52</v>
      </c>
      <c r="D10" s="229"/>
      <c r="E10" s="229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2" x14ac:dyDescent="0.2">
      <c r="A11" s="340">
        <f t="shared" si="0"/>
        <v>4</v>
      </c>
      <c r="B11" s="10" t="s">
        <v>12</v>
      </c>
      <c r="C11" s="229">
        <f>SUM(C8:C10)</f>
        <v>1178639.9300000002</v>
      </c>
      <c r="D11" s="229"/>
      <c r="E11" s="229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2" x14ac:dyDescent="0.2">
      <c r="A12" s="34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2" x14ac:dyDescent="0.2">
      <c r="A13" s="340"/>
      <c r="B13" s="10"/>
      <c r="C13" s="9" t="s">
        <v>971</v>
      </c>
      <c r="D13" s="9" t="str">
        <f>'Total Co'!F5</f>
        <v xml:space="preserve">  GS-RESIDENTIAL</v>
      </c>
      <c r="E13" s="9" t="str">
        <f>'Total Co'!G5</f>
        <v>GS-OTHER</v>
      </c>
      <c r="F13" s="9" t="str">
        <f>'Total Co'!H5</f>
        <v>IUS</v>
      </c>
      <c r="G13" s="9" t="str">
        <f>'Total Co'!I5</f>
        <v>DS-ML</v>
      </c>
      <c r="H13" s="9" t="str">
        <f>'Total Co'!J5</f>
        <v>DS/IS</v>
      </c>
      <c r="I13" s="10"/>
      <c r="J13" s="10"/>
      <c r="K13" s="10"/>
      <c r="L13" s="10"/>
      <c r="M13" s="10"/>
      <c r="N13" s="10"/>
      <c r="O13" s="10"/>
    </row>
    <row r="14" spans="1:15" ht="12" x14ac:dyDescent="0.2">
      <c r="A14" s="340">
        <f>A11+1</f>
        <v>5</v>
      </c>
      <c r="B14" s="10" t="s">
        <v>974</v>
      </c>
      <c r="C14" s="232">
        <f>SUM(D14:H14)</f>
        <v>121915</v>
      </c>
      <c r="D14" s="232">
        <f>'Alloc Table'!C12</f>
        <v>121915</v>
      </c>
      <c r="E14" s="232"/>
      <c r="F14" s="232"/>
      <c r="G14" s="232"/>
      <c r="H14" s="232"/>
      <c r="I14" s="10"/>
      <c r="J14" s="10"/>
      <c r="K14" s="10"/>
      <c r="L14" s="10"/>
      <c r="M14" s="10"/>
      <c r="N14" s="10"/>
      <c r="O14" s="10"/>
    </row>
    <row r="15" spans="1:15" ht="12" x14ac:dyDescent="0.2">
      <c r="A15" s="340">
        <f>A14+1</f>
        <v>6</v>
      </c>
      <c r="B15" s="10" t="s">
        <v>975</v>
      </c>
      <c r="C15" s="232">
        <f>SUM(D15:H15)</f>
        <v>14064</v>
      </c>
      <c r="D15" s="232"/>
      <c r="E15" s="232">
        <f>'Alloc Table'!D12</f>
        <v>13977</v>
      </c>
      <c r="F15" s="232">
        <f>'Alloc Table'!E12</f>
        <v>2</v>
      </c>
      <c r="G15" s="232">
        <f>'Alloc Table'!F12</f>
        <v>6</v>
      </c>
      <c r="H15" s="232">
        <f>'Alloc Table'!G12</f>
        <v>79</v>
      </c>
      <c r="I15" s="10"/>
      <c r="J15" s="10"/>
      <c r="K15" s="10"/>
      <c r="L15" s="10"/>
      <c r="M15" s="10"/>
      <c r="N15" s="10"/>
      <c r="O15" s="10"/>
    </row>
    <row r="16" spans="1:15" ht="12" x14ac:dyDescent="0.2">
      <c r="A16" s="340"/>
      <c r="B16" s="10"/>
      <c r="C16" s="229"/>
      <c r="D16" s="229"/>
      <c r="E16" s="229"/>
      <c r="F16" s="229"/>
      <c r="G16" s="229"/>
      <c r="H16" s="229"/>
      <c r="I16" s="10"/>
      <c r="J16" s="10"/>
      <c r="K16" s="10"/>
      <c r="L16" s="10"/>
      <c r="M16" s="10"/>
      <c r="N16" s="10"/>
      <c r="O16" s="10"/>
    </row>
    <row r="17" spans="1:15" ht="12" x14ac:dyDescent="0.2">
      <c r="A17" s="340">
        <f>A15+1</f>
        <v>7</v>
      </c>
      <c r="B17" s="10" t="s">
        <v>972</v>
      </c>
      <c r="C17" s="231">
        <f>SUM(D17:H17)</f>
        <v>1</v>
      </c>
      <c r="D17" s="231">
        <f>ROUND(D14/C14,7)</f>
        <v>1</v>
      </c>
      <c r="E17" s="231"/>
      <c r="F17" s="231"/>
      <c r="G17" s="231"/>
      <c r="H17" s="231"/>
      <c r="I17" s="10"/>
      <c r="J17" s="10"/>
      <c r="K17" s="10"/>
      <c r="L17" s="10"/>
      <c r="M17" s="10"/>
      <c r="N17" s="10"/>
      <c r="O17" s="10"/>
    </row>
    <row r="18" spans="1:15" ht="12" x14ac:dyDescent="0.2">
      <c r="A18" s="340">
        <f>A17+1</f>
        <v>8</v>
      </c>
      <c r="B18" s="10" t="s">
        <v>973</v>
      </c>
      <c r="C18" s="231">
        <f>SUM(D18:H18)</f>
        <v>1</v>
      </c>
      <c r="D18" s="231"/>
      <c r="E18" s="231">
        <f>ROUND(E15/$C$15,7)</f>
        <v>0.99381399999999998</v>
      </c>
      <c r="F18" s="231">
        <f t="shared" ref="F18:H18" si="1">ROUND(F15/$C$15,7)</f>
        <v>1.4219999999999999E-4</v>
      </c>
      <c r="G18" s="231">
        <f t="shared" si="1"/>
        <v>4.2660000000000002E-4</v>
      </c>
      <c r="H18" s="231">
        <f t="shared" si="1"/>
        <v>5.6172000000000001E-3</v>
      </c>
      <c r="I18" s="10"/>
      <c r="J18" s="10"/>
      <c r="K18" s="10"/>
      <c r="L18" s="10"/>
      <c r="M18" s="10"/>
      <c r="N18" s="10"/>
      <c r="O18" s="10"/>
    </row>
    <row r="19" spans="1:15" ht="12" x14ac:dyDescent="0.2">
      <c r="A19" s="34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2" x14ac:dyDescent="0.2">
      <c r="A20" s="340">
        <f>A18+1</f>
        <v>9</v>
      </c>
      <c r="B20" s="10" t="s">
        <v>967</v>
      </c>
      <c r="C20" s="229">
        <f>SUM(D20:H20)</f>
        <v>1178639</v>
      </c>
      <c r="D20" s="229">
        <f>ROUND(D17*C8,0)</f>
        <v>1022789</v>
      </c>
      <c r="E20" s="229">
        <f>ROUND(E18*($C$9+$C$10),0)</f>
        <v>154887</v>
      </c>
      <c r="F20" s="229">
        <f t="shared" ref="F20:H20" si="2">ROUND(F18*($C$9+$C$10),0)</f>
        <v>22</v>
      </c>
      <c r="G20" s="229">
        <f t="shared" si="2"/>
        <v>66</v>
      </c>
      <c r="H20" s="229">
        <f t="shared" si="2"/>
        <v>875</v>
      </c>
      <c r="I20" s="10"/>
      <c r="J20" s="10"/>
      <c r="K20" s="10"/>
      <c r="L20" s="10"/>
      <c r="M20" s="10"/>
      <c r="N20" s="10"/>
      <c r="O20" s="10"/>
    </row>
    <row r="21" spans="1:15" ht="12" x14ac:dyDescent="0.2">
      <c r="A21" s="34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12" x14ac:dyDescent="0.2">
      <c r="A22" s="340">
        <f>A20+1</f>
        <v>10</v>
      </c>
      <c r="B22" s="54" t="s">
        <v>976</v>
      </c>
      <c r="C22" s="233">
        <f>SUM(D22:H22)</f>
        <v>1</v>
      </c>
      <c r="D22" s="233">
        <f>ROUND(D20/$C$20,5)</f>
        <v>0.86777000000000004</v>
      </c>
      <c r="E22" s="233">
        <f t="shared" ref="E22:H22" si="3">ROUND(E20/$C$20,5)</f>
        <v>0.13141</v>
      </c>
      <c r="F22" s="233">
        <f t="shared" si="3"/>
        <v>2.0000000000000002E-5</v>
      </c>
      <c r="G22" s="233">
        <f t="shared" si="3"/>
        <v>6.0000000000000002E-5</v>
      </c>
      <c r="H22" s="233">
        <f t="shared" si="3"/>
        <v>7.3999999999999999E-4</v>
      </c>
      <c r="I22" s="54"/>
      <c r="J22" s="10"/>
      <c r="K22" s="10"/>
      <c r="L22" s="10"/>
      <c r="M22" s="10"/>
      <c r="N22" s="10"/>
      <c r="O22" s="10"/>
    </row>
    <row r="23" spans="1:15" ht="12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12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ht="12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12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12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12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12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12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12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12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2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12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2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2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2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12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opLeftCell="A4" zoomScale="90" zoomScaleNormal="90" workbookViewId="0">
      <selection activeCell="C39" sqref="C39"/>
    </sheetView>
  </sheetViews>
  <sheetFormatPr defaultRowHeight="10.5" x14ac:dyDescent="0.15"/>
  <cols>
    <col min="1" max="1" width="21.1640625" style="330" bestFit="1" customWidth="1"/>
    <col min="2" max="2" width="48.1640625" style="330" bestFit="1" customWidth="1"/>
    <col min="3" max="3" width="15.5" style="330" bestFit="1" customWidth="1"/>
    <col min="4" max="4" width="11.83203125" style="330" bestFit="1" customWidth="1"/>
    <col min="5" max="5" width="10" style="330" bestFit="1" customWidth="1"/>
    <col min="6" max="6" width="9.83203125" style="330" bestFit="1" customWidth="1"/>
    <col min="7" max="7" width="13" style="330" bestFit="1" customWidth="1"/>
    <col min="8" max="8" width="12.83203125" style="330" bestFit="1" customWidth="1"/>
    <col min="9" max="9" width="12.5" style="330" bestFit="1" customWidth="1"/>
    <col min="10" max="10" width="13" style="330" bestFit="1" customWidth="1"/>
    <col min="11" max="16384" width="9.33203125" style="330"/>
  </cols>
  <sheetData>
    <row r="1" spans="1:10" ht="11.25" x14ac:dyDescent="0.2">
      <c r="A1" s="240"/>
      <c r="B1" s="125"/>
      <c r="C1" s="126"/>
      <c r="D1" s="126"/>
      <c r="E1" s="127"/>
    </row>
    <row r="2" spans="1:10" ht="11.25" x14ac:dyDescent="0.2">
      <c r="A2" s="4" t="s">
        <v>980</v>
      </c>
      <c r="B2" s="125"/>
      <c r="C2" s="125"/>
      <c r="D2" s="125"/>
      <c r="E2" s="125"/>
    </row>
    <row r="3" spans="1:10" ht="11.25" x14ac:dyDescent="0.2">
      <c r="A3" s="240"/>
      <c r="B3" s="129"/>
      <c r="C3" s="125"/>
      <c r="D3" s="125"/>
      <c r="E3" s="130"/>
    </row>
    <row r="4" spans="1:10" ht="11.25" x14ac:dyDescent="0.2">
      <c r="A4" s="125"/>
      <c r="B4" s="125"/>
      <c r="C4" s="125"/>
      <c r="D4" s="125"/>
      <c r="E4" s="130"/>
    </row>
    <row r="5" spans="1:10" ht="11.25" x14ac:dyDescent="0.2">
      <c r="A5" s="239" t="s">
        <v>530</v>
      </c>
      <c r="B5" s="239" t="s">
        <v>981</v>
      </c>
      <c r="C5" s="238" t="s">
        <v>527</v>
      </c>
      <c r="D5" s="238" t="s">
        <v>978</v>
      </c>
      <c r="E5" s="238" t="s">
        <v>537</v>
      </c>
      <c r="F5" s="127" t="s">
        <v>12</v>
      </c>
      <c r="G5" s="238" t="s">
        <v>527</v>
      </c>
      <c r="H5" s="238" t="s">
        <v>978</v>
      </c>
      <c r="I5" s="238" t="s">
        <v>537</v>
      </c>
      <c r="J5" s="127" t="s">
        <v>12</v>
      </c>
    </row>
    <row r="6" spans="1:10" ht="11.25" x14ac:dyDescent="0.2">
      <c r="A6" s="347">
        <v>1</v>
      </c>
      <c r="B6" s="197" t="s">
        <v>1103</v>
      </c>
      <c r="C6" s="235">
        <v>0</v>
      </c>
      <c r="D6" s="235">
        <v>0</v>
      </c>
      <c r="E6" s="235">
        <v>1</v>
      </c>
      <c r="F6" s="235">
        <f t="shared" ref="F6:F16" si="0">SUM(C6:E6)</f>
        <v>1</v>
      </c>
      <c r="G6" s="197"/>
      <c r="H6" s="3"/>
      <c r="I6" s="197"/>
      <c r="J6" s="125"/>
    </row>
    <row r="7" spans="1:10" ht="11.25" x14ac:dyDescent="0.2">
      <c r="A7" s="347">
        <v>2</v>
      </c>
      <c r="B7" s="197" t="s">
        <v>1147</v>
      </c>
      <c r="C7" s="235">
        <v>0</v>
      </c>
      <c r="D7" s="235">
        <v>0</v>
      </c>
      <c r="E7" s="235">
        <v>1</v>
      </c>
      <c r="F7" s="235">
        <f t="shared" si="0"/>
        <v>1</v>
      </c>
      <c r="G7" s="197"/>
      <c r="H7" s="3"/>
      <c r="I7" s="197"/>
      <c r="J7" s="125"/>
    </row>
    <row r="8" spans="1:10" ht="11.25" x14ac:dyDescent="0.2">
      <c r="A8" s="347">
        <v>3</v>
      </c>
      <c r="B8" s="197" t="s">
        <v>337</v>
      </c>
      <c r="C8" s="235">
        <f>'Min Syst - Mains'!C27</f>
        <v>0.64824999999999999</v>
      </c>
      <c r="D8" s="235">
        <v>0</v>
      </c>
      <c r="E8" s="235">
        <f>'Min Syst - Mains'!C28</f>
        <v>0.35175000000000001</v>
      </c>
      <c r="F8" s="235">
        <f t="shared" si="0"/>
        <v>1</v>
      </c>
      <c r="G8" s="197"/>
      <c r="H8" s="3"/>
      <c r="I8" s="197"/>
      <c r="J8" s="125"/>
    </row>
    <row r="9" spans="1:10" ht="11.25" x14ac:dyDescent="0.2">
      <c r="A9" s="347">
        <v>4</v>
      </c>
      <c r="B9" s="197" t="s">
        <v>1104</v>
      </c>
      <c r="C9" s="235">
        <v>0</v>
      </c>
      <c r="D9" s="235">
        <v>1</v>
      </c>
      <c r="E9" s="235">
        <v>0</v>
      </c>
      <c r="F9" s="235">
        <f t="shared" si="0"/>
        <v>1</v>
      </c>
      <c r="G9" s="197"/>
      <c r="H9" s="3"/>
      <c r="I9" s="197"/>
      <c r="J9" s="125"/>
    </row>
    <row r="10" spans="1:10" ht="11.25" x14ac:dyDescent="0.2">
      <c r="A10" s="347">
        <v>5</v>
      </c>
      <c r="B10" s="197" t="s">
        <v>1105</v>
      </c>
      <c r="C10" s="235">
        <v>0</v>
      </c>
      <c r="D10" s="235">
        <v>0.5</v>
      </c>
      <c r="E10" s="235">
        <v>0.5</v>
      </c>
      <c r="F10" s="235">
        <f t="shared" si="0"/>
        <v>1</v>
      </c>
      <c r="G10" s="3"/>
      <c r="H10" s="3"/>
      <c r="I10" s="3"/>
      <c r="J10" s="3"/>
    </row>
    <row r="11" spans="1:10" ht="11.25" x14ac:dyDescent="0.2">
      <c r="A11" s="347">
        <v>6</v>
      </c>
      <c r="B11" s="197" t="s">
        <v>1106</v>
      </c>
      <c r="C11" s="235">
        <v>1</v>
      </c>
      <c r="D11" s="235">
        <v>0</v>
      </c>
      <c r="E11" s="235">
        <v>0</v>
      </c>
      <c r="F11" s="235">
        <f t="shared" si="0"/>
        <v>1</v>
      </c>
      <c r="G11" s="3"/>
      <c r="H11" s="3"/>
      <c r="I11" s="3"/>
      <c r="J11" s="3"/>
    </row>
    <row r="12" spans="1:10" ht="11.25" x14ac:dyDescent="0.2">
      <c r="A12" s="347" t="s">
        <v>984</v>
      </c>
      <c r="B12" s="236" t="s">
        <v>986</v>
      </c>
      <c r="C12" s="237">
        <f>ROUND(G12/J12,7)</f>
        <v>0.79544709999999996</v>
      </c>
      <c r="D12" s="237">
        <f>ROUND(H12/J12,7)</f>
        <v>0</v>
      </c>
      <c r="E12" s="237">
        <f>ROUND(I12/J12,7)</f>
        <v>0.20455290000000001</v>
      </c>
      <c r="F12" s="235">
        <f t="shared" si="0"/>
        <v>1</v>
      </c>
      <c r="G12" s="3">
        <f>Classification!$E$167+Classification!$E$175+Classification!$E$176+Classification!$E$177+Classification!$E$178+Classification!$E$179+Classification!$E$180+Classification!$E$181+ROUND(SUM(Classification!$E$149:$E$156,Classification!$E$160:$E$166)*'Classification Table'!C8,0)</f>
        <v>325276540</v>
      </c>
      <c r="H12" s="3">
        <f>J12-G12-I12</f>
        <v>0</v>
      </c>
      <c r="I12" s="3">
        <f>ROUND(SUM(Classification!$E$149:$E$156,Classification!$E$160:$E$166)*'Classification Table'!E8,0)</f>
        <v>83646358</v>
      </c>
      <c r="J12" s="3">
        <f>SUM(Classification!$E$149:$E$157,Classification!$E$160:$E$167,Classification!$E$175:$E$181)</f>
        <v>408922898</v>
      </c>
    </row>
    <row r="13" spans="1:10" ht="11.25" x14ac:dyDescent="0.2">
      <c r="A13" s="347" t="s">
        <v>983</v>
      </c>
      <c r="B13" s="236" t="s">
        <v>987</v>
      </c>
      <c r="C13" s="237">
        <f t="shared" ref="C13:C14" si="1">ROUND(G13/J13,7)</f>
        <v>0.41847079999999998</v>
      </c>
      <c r="D13" s="237">
        <f t="shared" ref="D13:D14" si="2">ROUND(H13/J13,7)</f>
        <v>0.29076459999999998</v>
      </c>
      <c r="E13" s="237">
        <f t="shared" ref="E13:E14" si="3">ROUND(I13/J13,7)</f>
        <v>0.29076459999999998</v>
      </c>
      <c r="F13" s="235">
        <f t="shared" si="0"/>
        <v>1</v>
      </c>
      <c r="G13" s="3">
        <f>Classification!$E$167+Classification!$E$175+Classification!$E$176+Classification!$E$177+Classification!$E$178+Classification!$E$179+Classification!$E$180+Classification!$E$181+ROUND(SUM(Classification!$E$149:$E$156,Classification!$E$160:$E$166)*'Classification Table'!C10,0)</f>
        <v>171122306</v>
      </c>
      <c r="H13" s="3">
        <f>J13-G13-I13</f>
        <v>118900296</v>
      </c>
      <c r="I13" s="3">
        <f>ROUND(SUM(Classification!$E$149:$E$156,Classification!$E$160:$E$166)*'Classification Table'!E10,0)</f>
        <v>118900296</v>
      </c>
      <c r="J13" s="3">
        <f>SUM(Classification!$E$149:$E$157,Classification!$E$160:$E$167,Classification!$E$175:$E$181)</f>
        <v>408922898</v>
      </c>
    </row>
    <row r="14" spans="1:10" ht="11.25" x14ac:dyDescent="0.2">
      <c r="A14" s="347" t="s">
        <v>985</v>
      </c>
      <c r="B14" s="236" t="s">
        <v>988</v>
      </c>
      <c r="C14" s="237">
        <f t="shared" si="1"/>
        <v>0.60695900000000003</v>
      </c>
      <c r="D14" s="237">
        <f t="shared" si="2"/>
        <v>0.14538229999999999</v>
      </c>
      <c r="E14" s="237">
        <f t="shared" si="3"/>
        <v>0.24765870000000001</v>
      </c>
      <c r="F14" s="235">
        <f t="shared" si="0"/>
        <v>1</v>
      </c>
      <c r="G14" s="3">
        <f>Classification!$E$167+Classification!$E$175+Classification!$E$176+Classification!$E$177+Classification!$E$178+Classification!$E$179+Classification!$E$180+Classification!$E$181+ROUND(SUM(Classification!$E$149:$E$156,Classification!$E$160:$E$166)*'Classification Table'!C41,0)</f>
        <v>248199423</v>
      </c>
      <c r="H14" s="3">
        <f>J14-G14-I14</f>
        <v>59450148</v>
      </c>
      <c r="I14" s="3">
        <f>ROUND(SUM(Classification!$E$149:$E$156,Classification!$E$160:$E$166)*'Classification Table'!E41,0)</f>
        <v>101273327</v>
      </c>
      <c r="J14" s="3">
        <f>SUM(Classification!$E$149:$E$157,Classification!$E$160:$E$167,Classification!$E$175:$E$181)</f>
        <v>408922898</v>
      </c>
    </row>
    <row r="15" spans="1:10" ht="11.25" x14ac:dyDescent="0.2">
      <c r="A15" s="347">
        <v>8</v>
      </c>
      <c r="B15" s="197" t="s">
        <v>369</v>
      </c>
      <c r="C15" s="235">
        <v>1</v>
      </c>
      <c r="D15" s="235">
        <v>0</v>
      </c>
      <c r="E15" s="235">
        <v>0</v>
      </c>
      <c r="F15" s="235">
        <f t="shared" si="0"/>
        <v>1</v>
      </c>
      <c r="G15" s="3"/>
      <c r="H15" s="3"/>
      <c r="I15" s="3"/>
      <c r="J15" s="3"/>
    </row>
    <row r="16" spans="1:10" ht="11.25" x14ac:dyDescent="0.2">
      <c r="A16" s="347">
        <v>9</v>
      </c>
      <c r="B16" s="197" t="s">
        <v>552</v>
      </c>
      <c r="C16" s="235">
        <v>0</v>
      </c>
      <c r="D16" s="235">
        <v>1</v>
      </c>
      <c r="E16" s="235">
        <v>0</v>
      </c>
      <c r="F16" s="235">
        <f t="shared" si="0"/>
        <v>1</v>
      </c>
      <c r="G16" s="3"/>
      <c r="H16" s="3"/>
      <c r="I16" s="3"/>
      <c r="J16" s="3"/>
    </row>
    <row r="17" spans="1:10" ht="11.25" x14ac:dyDescent="0.2">
      <c r="A17" s="347" t="s">
        <v>989</v>
      </c>
      <c r="B17" s="197" t="s">
        <v>1163</v>
      </c>
      <c r="C17" s="237">
        <f>ROUND(G17/J17,7)</f>
        <v>0.85975939999999995</v>
      </c>
      <c r="D17" s="237">
        <f>ROUND(H17/J17,7)</f>
        <v>1.09128E-2</v>
      </c>
      <c r="E17" s="237">
        <f>ROUND(I17/J17,7)</f>
        <v>0.1293279</v>
      </c>
      <c r="F17" s="235">
        <f t="shared" ref="F17:F40" si="4">SUM(C17:E17)</f>
        <v>1.0000001000000001</v>
      </c>
      <c r="G17" s="3">
        <f>ROUND(SUM(Classification!$E$447,Classification!$E$460)*'Classification Table'!C$15,0)+ROUND(Classification!$E$461*'Classification Table'!C$32,0)+ROUND(SUM(Classification!$E$448:$E$449,Classification!$E$462)*'Classification Table'!C$33,0)+ROUND(Classification!$E$444*'Classification Table'!C$9,0)+ROUND(Classification!$E$445*'Classification Table'!C29,0)+ROUND(SUM(Classification!$E$446,Classification!$E$457:$E$459)*'Classification Table'!C35,0)</f>
        <v>5250529</v>
      </c>
      <c r="H17" s="3">
        <f t="shared" ref="H17:H40" si="5">J17-G17-I17</f>
        <v>66644</v>
      </c>
      <c r="I17" s="3">
        <f>ROUND(SUM(Classification!$E$447,Classification!$E$460)*'Classification Table'!E$15,0)+ROUND(Classification!$E$461*'Classification Table'!E$32,0)+ROUND(SUM(Classification!$E$448:$E$449,Classification!$E$462)*'Classification Table'!E$33,0)+ROUND(Classification!$E$444*'Classification Table'!E$9,0)+ROUND(Classification!$E$445*'Classification Table'!E29,0)+ROUND(SUM(Classification!$E$446,Classification!$E$457:$E$459)*'Classification Table'!E35,0)</f>
        <v>789802</v>
      </c>
      <c r="J17" s="3">
        <f>SUM(Classification!$E$444:$E$449,Classification!$E$457:$E$462)</f>
        <v>6106975</v>
      </c>
    </row>
    <row r="18" spans="1:10" ht="11.25" x14ac:dyDescent="0.2">
      <c r="A18" s="347" t="s">
        <v>990</v>
      </c>
      <c r="B18" s="197" t="s">
        <v>1164</v>
      </c>
      <c r="C18" s="237">
        <f t="shared" ref="C18:C19" si="6">ROUND(G18/J18,7)</f>
        <v>0.62141760000000001</v>
      </c>
      <c r="D18" s="237">
        <f t="shared" ref="D18:D19" si="7">ROUND(H18/J18,7)</f>
        <v>0.19474749999999999</v>
      </c>
      <c r="E18" s="237">
        <f t="shared" ref="E18:E19" si="8">ROUND(I18/J18,7)</f>
        <v>0.1838349</v>
      </c>
      <c r="F18" s="235">
        <f t="shared" si="4"/>
        <v>1</v>
      </c>
      <c r="G18" s="3">
        <f>ROUND(SUM(Classification!$E$447,Classification!$E$460)*'Classification Table'!C$15,0)+ROUND(Classification!$E$461*'Classification Table'!C$32,0)+ROUND(SUM(Classification!$E$448:$E$449,Classification!$E$462)*'Classification Table'!C$33,0)+ROUND(Classification!$E$444*'Classification Table'!C$9,0)+ROUND(Classification!$E$445*'Classification Table'!C30,0)+ROUND(SUM(Classification!$E$446,Classification!$E$457:$E$459)*'Classification Table'!C36,0)</f>
        <v>3794982</v>
      </c>
      <c r="H18" s="3">
        <f t="shared" si="5"/>
        <v>1189318</v>
      </c>
      <c r="I18" s="3">
        <f>ROUND(SUM(Classification!$E$447,Classification!$E$460)*'Classification Table'!E$15,0)+ROUND(Classification!$E$461*'Classification Table'!E$32,0)+ROUND(SUM(Classification!$E$448:$E$449,Classification!$E$462)*'Classification Table'!E$33,0)+ROUND(Classification!$E$444*'Classification Table'!E$9,0)+ROUND(Classification!$E$445*'Classification Table'!E30,0)+ROUND(SUM(Classification!$E$446,Classification!$E$457:$E$459)*'Classification Table'!E36,0)</f>
        <v>1122675</v>
      </c>
      <c r="J18" s="3">
        <f>SUM(Classification!$E$444:$E$449,Classification!$E$457:$E$462)</f>
        <v>6106975</v>
      </c>
    </row>
    <row r="19" spans="1:10" ht="11.25" x14ac:dyDescent="0.2">
      <c r="A19" s="347" t="s">
        <v>991</v>
      </c>
      <c r="B19" s="197" t="s">
        <v>1165</v>
      </c>
      <c r="C19" s="237">
        <f t="shared" si="6"/>
        <v>0.74058840000000004</v>
      </c>
      <c r="D19" s="237">
        <f t="shared" si="7"/>
        <v>0.1028303</v>
      </c>
      <c r="E19" s="237">
        <f t="shared" si="8"/>
        <v>0.15658130000000001</v>
      </c>
      <c r="F19" s="235">
        <f t="shared" si="4"/>
        <v>1</v>
      </c>
      <c r="G19" s="3">
        <f>ROUND(SUM(Classification!$E$447,Classification!$E$460)*'Classification Table'!C$15,0)+ROUND(Classification!$E$461*'Classification Table'!C$32,0)+ROUND(SUM(Classification!$E$448:$E$449,Classification!$E$462)*'Classification Table'!C$33,0)+ROUND(Classification!$E$444*'Classification Table'!C$9,0)+ROUND(Classification!$E$445*'Classification Table'!C31,0)+ROUND(SUM(Classification!$E$446,Classification!$E$457:$E$459)*'Classification Table'!C37,0)</f>
        <v>4522755</v>
      </c>
      <c r="H19" s="3">
        <f t="shared" si="5"/>
        <v>627982</v>
      </c>
      <c r="I19" s="3">
        <f>ROUND(SUM(Classification!$E$447,Classification!$E$460)*'Classification Table'!E$15,0)+ROUND(Classification!$E$461*'Classification Table'!E$32,0)+ROUND(SUM(Classification!$E$448:$E$449,Classification!$E$462)*'Classification Table'!E$33,0)+ROUND(Classification!$E$444*'Classification Table'!E$9,0)+ROUND(Classification!$E$445*'Classification Table'!E31,0)+ROUND(SUM(Classification!$E$446,Classification!$E$457:$E$459)*'Classification Table'!E37,0)</f>
        <v>956238</v>
      </c>
      <c r="J19" s="3">
        <f>SUM(Classification!$E$444:$E$449,Classification!$E$457:$E$462)</f>
        <v>6106975</v>
      </c>
    </row>
    <row r="20" spans="1:10" ht="11.25" x14ac:dyDescent="0.2">
      <c r="A20" s="347" t="s">
        <v>992</v>
      </c>
      <c r="B20" s="197" t="s">
        <v>1166</v>
      </c>
      <c r="C20" s="237">
        <f t="shared" ref="C20:C22" si="9">ROUND(G20/J20,7)</f>
        <v>0.7802753</v>
      </c>
      <c r="D20" s="237">
        <f t="shared" ref="D20:D22" si="10">ROUND(H20/J20,7)</f>
        <v>1.9222E-3</v>
      </c>
      <c r="E20" s="237">
        <f t="shared" ref="E20:E22" si="11">ROUND(I20/J20,7)</f>
        <v>0.21780250000000001</v>
      </c>
      <c r="F20" s="235">
        <f t="shared" si="4"/>
        <v>1</v>
      </c>
      <c r="G20" s="3">
        <f>ROUND(SUM(Classification!$E$546,Classification!$E$559)*C$15,0)+ROUND(SUM(Classification!$E$547:$E$548,Classification!$E$561)*'Classification Table'!C$33,0)+ROUND(Classification!$E$544*'Classification Table'!C29,0)+ROUND(SUM(Classification!$E$545,Classification!$E$556:$E$558)*'Classification Table'!C35,0)+ROUND(Classification!$E$560*'Classification Table'!C$32,0)+ROUND(Classification!$E$543*'Classification Table'!C$9,0)</f>
        <v>7260057</v>
      </c>
      <c r="H20" s="3">
        <f t="shared" si="5"/>
        <v>17885.169999999925</v>
      </c>
      <c r="I20" s="3">
        <f>ROUND(SUM(Classification!$E$546,Classification!$E$559)*E$15,0)+ROUND(SUM(Classification!$E$547:$E$548,Classification!$E$561)*'Classification Table'!E$33,0)+ROUND(Classification!$E$544*'Classification Table'!E29,0)+ROUND(SUM(Classification!$E$545,Classification!$E$556:$E$558)*'Classification Table'!E35,0)+ROUND(Classification!$E$560*'Classification Table'!E$32,0)+ROUND(Classification!$E$543*'Classification Table'!E$9,0)</f>
        <v>2026539</v>
      </c>
      <c r="J20" s="3">
        <f>SUM(Classification!$E$543:$E$548,Classification!$E$556:$E$561)</f>
        <v>9304481.1699999999</v>
      </c>
    </row>
    <row r="21" spans="1:10" ht="11.25" x14ac:dyDescent="0.2">
      <c r="A21" s="347" t="s">
        <v>993</v>
      </c>
      <c r="B21" s="197" t="s">
        <v>1167</v>
      </c>
      <c r="C21" s="237">
        <f t="shared" si="9"/>
        <v>0.37888100000000002</v>
      </c>
      <c r="D21" s="237">
        <f t="shared" si="10"/>
        <v>0.31152059999999998</v>
      </c>
      <c r="E21" s="237">
        <f t="shared" si="11"/>
        <v>0.3095985</v>
      </c>
      <c r="F21" s="235">
        <f t="shared" si="4"/>
        <v>1.0000000999999998</v>
      </c>
      <c r="G21" s="3">
        <f>ROUND(SUM(Classification!$E$546,Classification!$E$559)*C$15,0)+ROUND(SUM(Classification!$E$547:$E$548,Classification!$E$561)*'Classification Table'!C$33,0)+ROUND(Classification!$E$544*'Classification Table'!C30,0)+ROUND(SUM(Classification!$E$545,Classification!$E$556:$E$558)*'Classification Table'!C36,0)+ROUND(Classification!$E$560*'Classification Table'!C$32,0)+ROUND(Classification!$E$543*'Classification Table'!C$9,0)</f>
        <v>3525291</v>
      </c>
      <c r="H21" s="3">
        <f t="shared" si="5"/>
        <v>2898537.17</v>
      </c>
      <c r="I21" s="3">
        <f>ROUND(SUM(Classification!$E$546,Classification!$E$559)*E$15,0)+ROUND(SUM(Classification!$E$547:$E$548,Classification!$E$561)*'Classification Table'!E$33,0)+ROUND(Classification!$E$544*'Classification Table'!E30,0)+ROUND(SUM(Classification!$E$545,Classification!$E$556:$E$558)*'Classification Table'!E36,0)+ROUND(Classification!$E$560*'Classification Table'!E$32,0)+ROUND(Classification!$E$543*'Classification Table'!E$9,0)</f>
        <v>2880653</v>
      </c>
      <c r="J21" s="3">
        <f>SUM(Classification!$E$543:$E$548,Classification!$E$556:$E$561)</f>
        <v>9304481.1699999999</v>
      </c>
    </row>
    <row r="22" spans="1:10" ht="11.25" x14ac:dyDescent="0.2">
      <c r="A22" s="347" t="s">
        <v>994</v>
      </c>
      <c r="B22" s="197" t="s">
        <v>1168</v>
      </c>
      <c r="C22" s="237">
        <f t="shared" si="9"/>
        <v>0.57957820000000004</v>
      </c>
      <c r="D22" s="237">
        <f t="shared" si="10"/>
        <v>0.15672140000000001</v>
      </c>
      <c r="E22" s="237">
        <f t="shared" si="11"/>
        <v>0.2637005</v>
      </c>
      <c r="F22" s="235">
        <f t="shared" si="4"/>
        <v>1.0000001000000001</v>
      </c>
      <c r="G22" s="3">
        <f>ROUND(SUM(Classification!$E$546,Classification!$E$559)*C$15,0)+ROUND(SUM(Classification!$E$547:$E$548,Classification!$E$561)*'Classification Table'!C$33,0)+ROUND(Classification!$E$544*'Classification Table'!C31,0)+ROUND(SUM(Classification!$E$545,Classification!$E$556:$E$558)*'Classification Table'!C37,0)+ROUND(Classification!$E$560*'Classification Table'!C$32,0)+ROUND(Classification!$E$543*'Classification Table'!C$9,0)</f>
        <v>5392674</v>
      </c>
      <c r="H22" s="3">
        <f t="shared" si="5"/>
        <v>1458211.17</v>
      </c>
      <c r="I22" s="3">
        <f>ROUND(SUM(Classification!$E$546,Classification!$E$559)*E$15,0)+ROUND(SUM(Classification!$E$547:$E$548,Classification!$E$561)*'Classification Table'!E$33,0)+ROUND(Classification!$E$544*'Classification Table'!E31,0)+ROUND(SUM(Classification!$E$545,Classification!$E$556:$E$558)*'Classification Table'!E37,0)+ROUND(Classification!$E$560*'Classification Table'!E$32,0)+ROUND(Classification!$E$543*'Classification Table'!E$9,0)</f>
        <v>2453596</v>
      </c>
      <c r="J22" s="3">
        <f>SUM(Classification!$E$543:$E$548,Classification!$E$556:$E$561)</f>
        <v>9304481.1699999999</v>
      </c>
    </row>
    <row r="23" spans="1:10" ht="11.25" x14ac:dyDescent="0.2">
      <c r="A23" s="347" t="s">
        <v>995</v>
      </c>
      <c r="B23" s="197" t="s">
        <v>1169</v>
      </c>
      <c r="C23" s="237">
        <f t="shared" ref="C23:C25" si="12">ROUND(G23/J23,7)</f>
        <v>0.8755058</v>
      </c>
      <c r="D23" s="237">
        <f t="shared" ref="D23:D25" si="13">ROUND(H23/J23,7)</f>
        <v>9.6874999999999999E-3</v>
      </c>
      <c r="E23" s="237">
        <f t="shared" ref="E23:E25" si="14">ROUND(I23/J23,7)</f>
        <v>0.1148067</v>
      </c>
      <c r="F23" s="235">
        <f t="shared" si="4"/>
        <v>1</v>
      </c>
      <c r="G23" s="3">
        <f>ROUND(SUM(Classification!$E$448:$E$449,Classification!$E$462)*C$33,0)+ROUND(SUM(Classification!$E$474:$E$476,Classification!$E$478:$E$482,Classification!$E$487:$E$494,Classification!$E$505:$E$508)*C$11,0)+ROUND(SUM(Classification!$E$443,Classification!$E$450:$E$451,Classification!$E$456,Classification!$E$463)*'Classification Table'!C17,0)+ROUND(SUM(Classification!$E$445)*'Classification Table'!C29,0)+ROUND(SUM(Classification!$E$446,Classification!$E$457:$E$459)*'Classification Table'!C35,0)+ROUND(Classification!$E$477*'Classification Table'!C$42,0)+ROUND(Classification!$E$461*'Classification Table'!C$32,0)+ROUND(SUM(Classification!$E$447,'Total Co'!$E$460)*'Classification Table'!C$15,0)+ROUND(Classification!$E$444*'Classification Table'!C$9,0)+ROUND(Classification!$E$428*'Classification Table'!C$16,0)</f>
        <v>6790516</v>
      </c>
      <c r="H23" s="3">
        <f t="shared" si="5"/>
        <v>75137</v>
      </c>
      <c r="I23" s="3">
        <f>ROUND(SUM(Classification!$E$448:$E$449,Classification!$E$462)*E$33,0)+ROUND(SUM(Classification!$E$474:$E$476,Classification!$E$478:$E$482,Classification!$E$487:$E$494,Classification!$E$505:$E$508)*E$11,0)+ROUND(SUM(Classification!$E$443,Classification!$E$450:$E$451,Classification!$E$456,Classification!$E$463)*'Classification Table'!E17,0)+ROUND(SUM(Classification!$E$445)*'Classification Table'!E29,0)+ROUND(SUM(Classification!$E$446,Classification!$E$457:$E$459)*'Classification Table'!E35,0)+ROUND(Classification!$E$477*'Classification Table'!E$42,0)+ROUND(Classification!$E$461*'Classification Table'!E$32,0)+ROUND(SUM(Classification!$E$447,Classification!$E$460)*'Classification Table'!E$15,0)+ROUND(Classification!$E$444*'Classification Table'!E$9,0)+ROUND(Classification!$E$428*'Classification Table'!E$16,0)</f>
        <v>890453</v>
      </c>
      <c r="J23" s="3">
        <f>SUM(Classification!$E$643:$E$648)</f>
        <v>7756106</v>
      </c>
    </row>
    <row r="24" spans="1:10" ht="11.25" x14ac:dyDescent="0.2">
      <c r="A24" s="347" t="s">
        <v>996</v>
      </c>
      <c r="B24" s="197" t="s">
        <v>1170</v>
      </c>
      <c r="C24" s="237">
        <f t="shared" si="12"/>
        <v>0.6639256</v>
      </c>
      <c r="D24" s="237">
        <f t="shared" si="13"/>
        <v>0.1728808</v>
      </c>
      <c r="E24" s="237">
        <f t="shared" si="14"/>
        <v>0.16319359999999999</v>
      </c>
      <c r="F24" s="235">
        <f t="shared" si="4"/>
        <v>1</v>
      </c>
      <c r="G24" s="3">
        <f>ROUND(SUM(Classification!$E$448:$E$449,Classification!$E$462)*C$33,0)+ROUND(SUM(Classification!$E$474:$E$476,Classification!$E$478:$E$482,Classification!$E$487:$E$494,Classification!$E$505:$E$508)*C$11,0)+ROUND(SUM(Classification!$E$443,Classification!$E$450:$E$451,Classification!$E$456,Classification!$E$463)*'Classification Table'!C18,0)+ROUND(SUM(Classification!$E$445)*'Classification Table'!C30,0)+ROUND(SUM(Classification!$E$446,Classification!$E$457:$E$459)*'Classification Table'!C36,0)+ROUND(Classification!$E$477*'Classification Table'!C$42,0)+ROUND(Classification!$E$461*'Classification Table'!C$32,0)+ROUND(SUM(Classification!$E$447,Classification!$E$460)*'Classification Table'!C$15,0)+ROUND(Classification!$E$444*'Classification Table'!C$9,0)+ROUND(Classification!$E$428*'Classification Table'!C$16,0)</f>
        <v>5149477</v>
      </c>
      <c r="H24" s="3">
        <f t="shared" si="5"/>
        <v>1340882</v>
      </c>
      <c r="I24" s="3">
        <f>ROUND(SUM(Classification!$E$448:$E$449,Classification!$E$462)*E$33,0)+ROUND(SUM(Classification!$E$474:$E$476,Classification!$E$478:$E$482,Classification!$E$487:$E$494,Classification!$E$505:$E$508)*E$11,0)+ROUND(SUM(Classification!$E$443,Classification!$E$450:$E$451,Classification!$E$456,Classification!$E$463)*'Classification Table'!E18,0)+ROUND(SUM(Classification!$E$445)*'Classification Table'!E30,0)+ROUND(SUM(Classification!$E$446,Classification!$E$457:$E$459)*'Classification Table'!E36,0)+ROUND(Classification!$E$477*'Classification Table'!E$42,0)+ROUND(Classification!$E$461*'Classification Table'!E$32,0)+ROUND(SUM(Classification!$E$447,Classification!$E$460)*'Classification Table'!E$15,0)+ROUND(Classification!$E$444*'Classification Table'!E$9,0)+ROUND(Classification!$E$428*'Classification Table'!E$16,0)</f>
        <v>1265747</v>
      </c>
      <c r="J24" s="3">
        <f>SUM(Classification!$E$643:$E$648)</f>
        <v>7756106</v>
      </c>
    </row>
    <row r="25" spans="1:10" ht="11.25" x14ac:dyDescent="0.2">
      <c r="A25" s="347" t="s">
        <v>997</v>
      </c>
      <c r="B25" s="197" t="s">
        <v>1171</v>
      </c>
      <c r="C25" s="237">
        <f t="shared" si="12"/>
        <v>0.76971560000000006</v>
      </c>
      <c r="D25" s="237">
        <f t="shared" si="13"/>
        <v>9.1284299999999999E-2</v>
      </c>
      <c r="E25" s="237">
        <f t="shared" si="14"/>
        <v>0.13900000000000001</v>
      </c>
      <c r="F25" s="235">
        <f t="shared" si="4"/>
        <v>0.99999990000000005</v>
      </c>
      <c r="G25" s="3">
        <f>ROUND(SUM(Classification!$E$448:$E$449,Classification!$E$462)*C$33,0)+ROUND(SUM(Classification!$E$474:$E$476,Classification!$E$478:$E$482,Classification!$E$487:$E$494,Classification!$E$505:$E$508)*C$11,0)+ROUND(SUM(Classification!$E$443,Classification!$E$450:$E$451,Classification!$E$456,Classification!$E$463)*'Classification Table'!C19,0)+ROUND(SUM(Classification!$E$445)*'Classification Table'!C31,0)+ROUND(SUM(Classification!$E$446,Classification!$E$457:$E$459)*'Classification Table'!C37,0)+ROUND(Classification!$E$477*'Classification Table'!C$42,0)+ROUND(Classification!$E$461*'Classification Table'!C$32,0)+ROUND(SUM(Classification!$E$447,'Total Co'!$E$460)*'Classification Table'!C$15,0)+ROUND(Classification!$E$444*'Classification Table'!C$9,0)+ROUND(Classification!$E$428*'Classification Table'!C$16,0)</f>
        <v>5969996</v>
      </c>
      <c r="H25" s="3">
        <f t="shared" si="5"/>
        <v>708011</v>
      </c>
      <c r="I25" s="3">
        <f>ROUND(SUM(Classification!$E$448:$E$449,Classification!$E$462)*E$33,0)+ROUND(SUM(Classification!$E$474:$E$476,Classification!$E$478:$E$482,Classification!$E$487:$E$494,Classification!$E$505:$E$508)*E$11,0)+ROUND(SUM(Classification!$E$443,Classification!$E$450:$E$451,Classification!$E$456,Classification!$E$463)*'Classification Table'!E19,0)+ROUND(SUM(Classification!$E$445)*'Classification Table'!E31,0)+ROUND(SUM(Classification!$E$446,Classification!$E$457:$E$459)*'Classification Table'!E37,0)+ROUND(Classification!$E$477*'Classification Table'!E$42,0)+ROUND(Classification!$E$461*'Classification Table'!E$32,0)+ROUND(SUM(Classification!$E$447,Classification!$E$460)*'Classification Table'!E$15,0)+ROUND(Classification!$E$444*'Classification Table'!E$9,0)+ROUND(Classification!$E$428*'Classification Table'!E$16,0)</f>
        <v>1078099</v>
      </c>
      <c r="J25" s="3">
        <f>SUM(Classification!$E$643:$E$648)</f>
        <v>7756106</v>
      </c>
    </row>
    <row r="26" spans="1:10" ht="11.25" x14ac:dyDescent="0.2">
      <c r="A26" s="347" t="s">
        <v>998</v>
      </c>
      <c r="B26" s="197" t="s">
        <v>1172</v>
      </c>
      <c r="C26" s="237">
        <f t="shared" ref="C26:C28" si="15">ROUND(G26/J26,7)</f>
        <v>0.83292429999999995</v>
      </c>
      <c r="D26" s="237">
        <f t="shared" ref="D26:D28" si="16">ROUND(H26/J26,7)</f>
        <v>1.2876999999999999E-3</v>
      </c>
      <c r="E26" s="237">
        <f t="shared" ref="E26:E28" si="17">ROUND(I26/J26,7)</f>
        <v>0.16578799999999999</v>
      </c>
      <c r="F26" s="235">
        <f t="shared" si="4"/>
        <v>1</v>
      </c>
      <c r="G26" s="3">
        <f>ROUND(SUM(Classification!$E$409:$E$411,Classification!$E$417,Classification!$E$419,Classification!$E$429)*'Classification Table'!C$7,0)+ROUND(Classification!$E$543*'Classification Table'!C$9,0)+ROUND(SUM(Classification!$E$573:$E$575,Classification!$E$577:$E$581,Classification!$E$586:$E$593,Classification!$E$604:$E$607)*'Classification Table'!C$11,0)+ROUND(SUM(Classification!$E$546,Classification!$E$559)*'Classification Table'!C$15,0)+ROUND(Classification!$E$430*'Classification Table'!C$16,0)+ROUND(SUM(Classification!$E$542,Classification!$E$549:$E$550,Classification!$E$555,Classification!$E$562)*'Classification Table'!C20,0)+ROUND(Classification!$E$544*'Classification Table'!C29,0)+ROUND(Classification!$E$560*'Classification Table'!C$32,0)+ROUND(SUM(Classification!$E$547,Classification!$E$548,Classification!$E$561)*'Classification Table'!C$33,0)+ROUND(SUM(Classification!$E$545,Classification!$E$556:$E$558)*'Classification Table'!C35,0)</f>
        <v>14402208</v>
      </c>
      <c r="H26" s="3">
        <f t="shared" si="5"/>
        <v>22266.169999998063</v>
      </c>
      <c r="I26" s="3">
        <f>ROUND(SUM(Classification!$E$409:$E$411,Classification!$E$417,Classification!$E$419,Classification!$E$429)*'Classification Table'!E$7,0)+ROUND(Classification!$E$543*'Classification Table'!E$9,0)+ROUND(SUM(Classification!$E$573:$E$575,Classification!$E$577:$E$581,Classification!$E$586:$E$593,Classification!$E$604:$E$607)*'Classification Table'!E$11,0)+ROUND(SUM(Classification!$E$546,Classification!$E$559)*'Classification Table'!E$15,0)+ROUND(Classification!$E$430*'Classification Table'!E$16,0)+ROUND(SUM(Classification!$E$542,Classification!$E$549:$E$550,Classification!$E$555,Classification!$E$562)*'Classification Table'!E20,0)+ROUND(Classification!$E$544*'Classification Table'!E29,0)+ROUND(Classification!$E$560*'Classification Table'!E$32,0)+ROUND(SUM(Classification!$E$547,Classification!$E$548,Classification!$E$561)*'Classification Table'!E$33,0)+ROUND(SUM(Classification!$E$545,Classification!$E$556:$E$558)*'Classification Table'!E35,0)</f>
        <v>2866663</v>
      </c>
      <c r="J26" s="3">
        <f>SUM(Classification!$E$654:$E$659)-SUM(Classification!$E$576)</f>
        <v>17291137.169999998</v>
      </c>
    </row>
    <row r="27" spans="1:10" ht="11.25" x14ac:dyDescent="0.2">
      <c r="A27" s="347" t="s">
        <v>999</v>
      </c>
      <c r="B27" s="197" t="s">
        <v>1173</v>
      </c>
      <c r="C27" s="237">
        <f t="shared" si="15"/>
        <v>0.56402079999999999</v>
      </c>
      <c r="D27" s="237">
        <f t="shared" si="16"/>
        <v>0.20869489999999999</v>
      </c>
      <c r="E27" s="237">
        <f t="shared" si="17"/>
        <v>0.22728429999999999</v>
      </c>
      <c r="F27" s="235">
        <f t="shared" si="4"/>
        <v>1</v>
      </c>
      <c r="G27" s="3">
        <f>ROUND(SUM(Classification!$E$409:$E$411,Classification!$E$417,Classification!$E$419,Classification!$E$429)*'Classification Table'!C$7,0)+ROUND(Classification!$E$543*'Classification Table'!C$9,0)+ROUND(SUM(Classification!$E$573:$E$575,Classification!$E$577:$E$581,Classification!$E$586:$E$593,Classification!$E$604:$E$607)*'Classification Table'!C$11,0)+ROUND(SUM(Classification!$E$546,Classification!$E$559)*'Classification Table'!C$15,0)+ROUND(Classification!$E$430*'Classification Table'!C$16,0)+ROUND(SUM(Classification!$E$542,Classification!$E$549:$E$550,Classification!$E$555,Classification!$E$562)*'Classification Table'!C21,0)+ROUND(Classification!$E$544*'Classification Table'!C30,0)+ROUND(Classification!$E$560*'Classification Table'!C$32,0)+ROUND(SUM(Classification!$E$547,Classification!$E$548,Classification!$E$561)*'Classification Table'!C$33,0)+ROUND(SUM(Classification!$E$545,Classification!$E$556:$E$558)*'Classification Table'!C36,0)</f>
        <v>9752561</v>
      </c>
      <c r="H27" s="3">
        <f t="shared" si="5"/>
        <v>3608572.1699999981</v>
      </c>
      <c r="I27" s="3">
        <f>ROUND(SUM(Classification!$E$409:$E$411,Classification!$E$417,Classification!$E$419,Classification!$E$429)*'Classification Table'!E$7,0)+ROUND(Classification!$E$543*'Classification Table'!E$9,0)+ROUND(SUM(Classification!$E$573:$E$575,Classification!$E$577:$E$581,Classification!$E$586:$E$593,Classification!$E$604:$E$607)*'Classification Table'!E$11,0)+ROUND(SUM(Classification!$E$546,Classification!$E$559)*'Classification Table'!E$15,0)+ROUND(Classification!$E$430*'Classification Table'!E$16,0)+ROUND(SUM(Classification!$E$542,Classification!$E$549:$E$550,Classification!$E$555,Classification!$E$562)*'Classification Table'!E21,0)+ROUND(Classification!$E$544*'Classification Table'!E30,0)+ROUND(Classification!$E$560*'Classification Table'!E$32,0)+ROUND(SUM(Classification!$E$547,Classification!$E$548,'Total Co'!$E$561)*'Classification Table'!E$33,0)+ROUND(SUM(Classification!$E$545,Classification!$E$556:$E$558)*'Classification Table'!E36,0)</f>
        <v>3930004</v>
      </c>
      <c r="J27" s="3">
        <f>SUM(Classification!$E$654:$E$659)-SUM(Classification!$E$576)</f>
        <v>17291137.169999998</v>
      </c>
    </row>
    <row r="28" spans="1:10" ht="11.25" x14ac:dyDescent="0.2">
      <c r="A28" s="347" t="s">
        <v>1000</v>
      </c>
      <c r="B28" s="197" t="s">
        <v>1174</v>
      </c>
      <c r="C28" s="237">
        <f t="shared" si="15"/>
        <v>0.69847250000000005</v>
      </c>
      <c r="D28" s="237">
        <f t="shared" si="16"/>
        <v>0.1049914</v>
      </c>
      <c r="E28" s="237">
        <f t="shared" si="17"/>
        <v>0.19653609999999999</v>
      </c>
      <c r="F28" s="235">
        <f t="shared" si="4"/>
        <v>1</v>
      </c>
      <c r="G28" s="3">
        <f>ROUND(SUM(Classification!$E$409:$E$411,Classification!$E$417,Classification!$E$419,Classification!$E$429)*'Classification Table'!C$7,0)+ROUND(Classification!$E$543*'Classification Table'!C$9,0)+ROUND(SUM(Classification!$E$573:$E$575,Classification!$E$577:$E$581,Classification!$E$586:$E$593,Classification!$E$604:$E$607)*'Classification Table'!C$11,0)+ROUND(SUM(Classification!$E$546,Classification!$E$559)*'Classification Table'!C$15,0)+ROUND(Classification!$E$430*'Classification Table'!C$16,0)+ROUND(SUM(Classification!$E$542,Classification!$E$549:$E$550,Classification!$E$555,Classification!$E$562)*'Classification Table'!C22,0)+ROUND(Classification!$E$544*'Classification Table'!C31,0)+ROUND(Classification!$E$560*'Classification Table'!C$32,0)+ROUND(SUM(Classification!$E$547,Classification!$E$548,Classification!$E$561)*'Classification Table'!C$33,0)+ROUND(SUM(Classification!$E$545,Classification!$E$556:$E$558)*'Classification Table'!C37,0)</f>
        <v>12077384</v>
      </c>
      <c r="H28" s="3">
        <f t="shared" si="5"/>
        <v>1815420.1699999981</v>
      </c>
      <c r="I28" s="3">
        <f>ROUND(SUM(Classification!$E$409:$E$411,Classification!$E$417,Classification!$E$419,Classification!$E$429)*'Classification Table'!E$7,0)+ROUND(Classification!$E$543*'Classification Table'!E$9,0)+ROUND(SUM(Classification!$E$573:$E$575,Classification!$E$577:$E$581,Classification!$E$586:$E$593,Classification!$E$604:$E$607)*'Classification Table'!E$11,0)+ROUND(SUM(Classification!$E$546,Classification!$E$559)*'Classification Table'!E$15,0)+ROUND(Classification!$E$430*'Classification Table'!E$16,0)+ROUND(SUM(Classification!$E$542,Classification!$E$549:$E$550,Classification!$E$555,Classification!$E$562)*'Classification Table'!E22,0)+ROUND(Classification!$E$544*'Classification Table'!E31,0)+ROUND(Classification!$E$560*'Classification Table'!E$32,0)+ROUND(SUM(Classification!$E$547,Classification!$E$548,Classification!$E$561)*'Classification Table'!E$33,0)+ROUND(SUM(Classification!$E$545,Classification!$E$556:$E$558)*'Classification Table'!E37,0)</f>
        <v>3398333</v>
      </c>
      <c r="J28" s="3">
        <f>SUM(Classification!$E$654:$E$659)-SUM(Classification!$E$576)</f>
        <v>17291137.169999998</v>
      </c>
    </row>
    <row r="29" spans="1:10" ht="11.25" x14ac:dyDescent="0.2">
      <c r="A29" s="347" t="s">
        <v>1001</v>
      </c>
      <c r="B29" s="197" t="s">
        <v>1175</v>
      </c>
      <c r="C29" s="237">
        <f>ROUND(G29/J29,7)</f>
        <v>0.77680280000000002</v>
      </c>
      <c r="D29" s="237">
        <f>ROUND(H29/J29,7)</f>
        <v>0</v>
      </c>
      <c r="E29" s="237">
        <f>ROUND(I29/J29,7)</f>
        <v>0.22319720000000001</v>
      </c>
      <c r="F29" s="235">
        <f t="shared" si="4"/>
        <v>1</v>
      </c>
      <c r="G29" s="3">
        <f>ROUND((Classification!$E$161+Classification!$E$162)*'Classification Table'!C$8,0)+Classification!$E$167+Classification!$E$175</f>
        <v>270933194</v>
      </c>
      <c r="H29" s="3">
        <f t="shared" si="5"/>
        <v>0</v>
      </c>
      <c r="I29" s="3">
        <f>ROUND((Classification!$E$161+Classification!$E$162)*'Classification Table'!E$8,0)</f>
        <v>77846685</v>
      </c>
      <c r="J29" s="3">
        <f>Classification!$E$161+Classification!$E$162+Classification!$E$167+Classification!$E$175</f>
        <v>348779879</v>
      </c>
    </row>
    <row r="30" spans="1:10" ht="11.25" x14ac:dyDescent="0.2">
      <c r="A30" s="347" t="s">
        <v>1002</v>
      </c>
      <c r="B30" s="197" t="s">
        <v>1176</v>
      </c>
      <c r="C30" s="237">
        <f>ROUND(G30/J30,7)</f>
        <v>0.36546640000000002</v>
      </c>
      <c r="D30" s="237">
        <f>ROUND(H30/J30,7)</f>
        <v>0.31726680000000002</v>
      </c>
      <c r="E30" s="237">
        <f>ROUND(I30/J30,7)</f>
        <v>0.31726680000000002</v>
      </c>
      <c r="F30" s="235">
        <f t="shared" si="4"/>
        <v>1</v>
      </c>
      <c r="G30" s="3">
        <f>ROUND((Classification!$E$161+Classification!$E$162)*'Classification Table'!C$10,0)+Classification!$E$167+Classification!$E$175</f>
        <v>127467343</v>
      </c>
      <c r="H30" s="3">
        <f t="shared" si="5"/>
        <v>110656268</v>
      </c>
      <c r="I30" s="3">
        <f>ROUND((Classification!$E$161+Classification!$E$162)*'Classification Table'!E$10,0)</f>
        <v>110656268</v>
      </c>
      <c r="J30" s="3">
        <f>Classification!$E$161+Classification!$E$162+Classification!$E$167+Classification!$E$175</f>
        <v>348779879</v>
      </c>
    </row>
    <row r="31" spans="1:10" ht="11.25" x14ac:dyDescent="0.2">
      <c r="A31" s="347" t="s">
        <v>1003</v>
      </c>
      <c r="B31" s="197" t="s">
        <v>1177</v>
      </c>
      <c r="C31" s="237">
        <f>ROUND(G31/J31,7)</f>
        <v>0.57113460000000005</v>
      </c>
      <c r="D31" s="237">
        <f>ROUND(H31/J31,7)</f>
        <v>0.15863340000000001</v>
      </c>
      <c r="E31" s="237">
        <f>ROUND(I31/J31,7)</f>
        <v>0.27023200000000003</v>
      </c>
      <c r="F31" s="235">
        <f t="shared" si="4"/>
        <v>1</v>
      </c>
      <c r="G31" s="3">
        <f>ROUND((Classification!$E$161+Classification!$E$162)*'Classification Table'!C$41,0)+Classification!$E$167+Classification!$E$175</f>
        <v>199200269</v>
      </c>
      <c r="H31" s="3">
        <f t="shared" si="5"/>
        <v>55328134</v>
      </c>
      <c r="I31" s="3">
        <f>ROUND((Classification!$E$161+Classification!$E$162)*'Classification Table'!E$41,0)</f>
        <v>94251476</v>
      </c>
      <c r="J31" s="3">
        <f>Classification!$E$161+Classification!$E$162+Classification!$E$167+Classification!$E$175</f>
        <v>348779879</v>
      </c>
    </row>
    <row r="32" spans="1:10" ht="11.25" x14ac:dyDescent="0.2">
      <c r="A32" s="347">
        <v>15</v>
      </c>
      <c r="B32" s="197" t="s">
        <v>376</v>
      </c>
      <c r="C32" s="235">
        <v>1</v>
      </c>
      <c r="D32" s="235">
        <v>0</v>
      </c>
      <c r="E32" s="235">
        <v>0</v>
      </c>
      <c r="F32" s="235">
        <f t="shared" si="4"/>
        <v>1</v>
      </c>
      <c r="G32" s="3"/>
      <c r="H32" s="3"/>
      <c r="I32" s="3"/>
      <c r="J32" s="3"/>
    </row>
    <row r="33" spans="1:10" ht="11.25" x14ac:dyDescent="0.2">
      <c r="A33" s="347">
        <v>16</v>
      </c>
      <c r="B33" s="197" t="s">
        <v>377</v>
      </c>
      <c r="C33" s="235">
        <v>1</v>
      </c>
      <c r="D33" s="235">
        <v>0</v>
      </c>
      <c r="E33" s="235">
        <v>0</v>
      </c>
      <c r="F33" s="235">
        <f t="shared" si="4"/>
        <v>1</v>
      </c>
      <c r="G33" s="3"/>
      <c r="H33" s="3"/>
      <c r="I33" s="3"/>
      <c r="J33" s="3"/>
    </row>
    <row r="34" spans="1:10" ht="11.25" x14ac:dyDescent="0.2">
      <c r="A34" s="347">
        <v>17</v>
      </c>
      <c r="B34" s="197" t="s">
        <v>378</v>
      </c>
      <c r="C34" s="235">
        <v>1</v>
      </c>
      <c r="D34" s="235">
        <v>0</v>
      </c>
      <c r="E34" s="235">
        <v>0</v>
      </c>
      <c r="F34" s="235">
        <f t="shared" si="4"/>
        <v>1</v>
      </c>
      <c r="G34" s="3"/>
      <c r="H34" s="3"/>
      <c r="I34" s="3"/>
      <c r="J34" s="3"/>
    </row>
    <row r="35" spans="1:10" ht="11.25" x14ac:dyDescent="0.2">
      <c r="A35" s="347" t="s">
        <v>1004</v>
      </c>
      <c r="B35" s="197" t="s">
        <v>1178</v>
      </c>
      <c r="C35" s="237">
        <f>ROUND(G35/J35,7)</f>
        <v>0.64824999999999999</v>
      </c>
      <c r="D35" s="237">
        <f>ROUND(H35/J35,7)</f>
        <v>0</v>
      </c>
      <c r="E35" s="237">
        <f>ROUND(I35/J35,7)</f>
        <v>0.35175000000000001</v>
      </c>
      <c r="F35" s="235">
        <f t="shared" si="4"/>
        <v>1</v>
      </c>
      <c r="G35" s="3">
        <f>ROUND((Classification!$E$161+Classification!$E$162)*'Classification Table'!C8,0)</f>
        <v>143465851</v>
      </c>
      <c r="H35" s="3">
        <f t="shared" si="5"/>
        <v>0</v>
      </c>
      <c r="I35" s="3">
        <f>ROUND((Classification!$E$161+Classification!$E$162)*'Classification Table'!E8,0)</f>
        <v>77846685</v>
      </c>
      <c r="J35" s="3">
        <f>Classification!$E$161+Classification!$E$162</f>
        <v>221312536</v>
      </c>
    </row>
    <row r="36" spans="1:10" ht="11.25" x14ac:dyDescent="0.2">
      <c r="A36" s="347" t="s">
        <v>1005</v>
      </c>
      <c r="B36" s="197" t="s">
        <v>1179</v>
      </c>
      <c r="C36" s="237">
        <f t="shared" ref="C36:C37" si="18">ROUND(G36/J36,7)</f>
        <v>0</v>
      </c>
      <c r="D36" s="237">
        <f t="shared" ref="D36:D37" si="19">ROUND(H36/J36,7)</f>
        <v>0.5</v>
      </c>
      <c r="E36" s="237">
        <f t="shared" ref="E36:E37" si="20">ROUND(I36/J36,7)</f>
        <v>0.5</v>
      </c>
      <c r="F36" s="235">
        <f t="shared" si="4"/>
        <v>1</v>
      </c>
      <c r="G36" s="3">
        <f>ROUND((Classification!$E$161+Classification!$E$162)*'Classification Table'!C10,0)</f>
        <v>0</v>
      </c>
      <c r="H36" s="3">
        <f t="shared" si="5"/>
        <v>110656268</v>
      </c>
      <c r="I36" s="3">
        <f>ROUND((Classification!$E$161+Classification!$E$162)*'Classification Table'!E10,0)</f>
        <v>110656268</v>
      </c>
      <c r="J36" s="3">
        <f>Classification!$E$161+Classification!$E$162</f>
        <v>221312536</v>
      </c>
    </row>
    <row r="37" spans="1:10" ht="11.25" x14ac:dyDescent="0.2">
      <c r="A37" s="347" t="s">
        <v>1006</v>
      </c>
      <c r="B37" s="197" t="s">
        <v>1180</v>
      </c>
      <c r="C37" s="237">
        <f t="shared" si="18"/>
        <v>0.324125</v>
      </c>
      <c r="D37" s="237">
        <f t="shared" si="19"/>
        <v>0.25</v>
      </c>
      <c r="E37" s="237">
        <f t="shared" si="20"/>
        <v>0.425875</v>
      </c>
      <c r="F37" s="235">
        <f t="shared" si="4"/>
        <v>1</v>
      </c>
      <c r="G37" s="3">
        <f>ROUND((Classification!$E$161+Classification!$E$162)*'Classification Table'!C41,0)</f>
        <v>71732926</v>
      </c>
      <c r="H37" s="3">
        <f t="shared" ref="H37:H38" si="21">J37-G37-I37</f>
        <v>55328134</v>
      </c>
      <c r="I37" s="3">
        <f>ROUND((Classification!$E$161+Classification!$E$162)*'Classification Table'!E41,0)</f>
        <v>94251476</v>
      </c>
      <c r="J37" s="3">
        <f>Classification!$E$161+Classification!$E$162</f>
        <v>221312536</v>
      </c>
    </row>
    <row r="38" spans="1:10" ht="11.25" x14ac:dyDescent="0.2">
      <c r="A38" s="347" t="s">
        <v>1007</v>
      </c>
      <c r="B38" s="197" t="s">
        <v>1181</v>
      </c>
      <c r="C38" s="237">
        <f t="shared" ref="C38:C40" si="22">ROUND(G38/J38,7)</f>
        <v>0.79544709999999996</v>
      </c>
      <c r="D38" s="237">
        <f t="shared" ref="D38:D40" si="23">ROUND(H38/J38,7)</f>
        <v>0</v>
      </c>
      <c r="E38" s="237">
        <f t="shared" ref="E38:E40" si="24">ROUND(I38/J38,7)</f>
        <v>0.20455290000000001</v>
      </c>
      <c r="F38" s="235">
        <f t="shared" si="4"/>
        <v>1</v>
      </c>
      <c r="G38" s="3">
        <f>SUM(Classification!$E$157,Classification!$E$167,Classification!$E$175:$E$181)+ROUND(SUM(Classification!$E$133:$E$137,Classification!$E$158:$E$159,Classification!$E$182:$E$187,Classification!$E$190:$E$203)*'Classification Table'!C12,0)+ROUND(SUM(Classification!$E$149:$E$156,Classification!$E$160:$E$166)*'Classification Table'!C8,0)</f>
        <v>348318168</v>
      </c>
      <c r="H38" s="3">
        <f t="shared" si="21"/>
        <v>0</v>
      </c>
      <c r="I38" s="3">
        <f>ROUND(SUM(Classification!$E$133:$E$137,Classification!$E$158:$E$159,Classification!$E$182:$E$187,Classification!$E$190:$E$203)*'Classification Table'!E12,0)+ROUND(SUM(Classification!$E$149:$E$156,Classification!$E$160:$E$166)*'Classification Table'!E8,0)+Classification!E145</f>
        <v>89571619</v>
      </c>
      <c r="J38" s="3">
        <f>Classification!$E$205</f>
        <v>437889787</v>
      </c>
    </row>
    <row r="39" spans="1:10" ht="11.25" x14ac:dyDescent="0.2">
      <c r="A39" s="347" t="s">
        <v>1008</v>
      </c>
      <c r="B39" s="197" t="s">
        <v>1182</v>
      </c>
      <c r="C39" s="237">
        <f t="shared" si="22"/>
        <v>0.41847079999999998</v>
      </c>
      <c r="D39" s="237">
        <f t="shared" si="23"/>
        <v>0.29076459999999998</v>
      </c>
      <c r="E39" s="237">
        <f t="shared" si="24"/>
        <v>0.29076459999999998</v>
      </c>
      <c r="F39" s="235">
        <f t="shared" si="4"/>
        <v>1</v>
      </c>
      <c r="G39" s="3">
        <f>SUM(Classification!$E$157,Classification!$E$167,Classification!$E$175:$E$181)+ROUND(SUM(Classification!$E$133:$E$137,Classification!$E$158:$E$159,Classification!$E$182:$E$187,Classification!$E$190:$E$203)*'Classification Table'!C13,0)+ROUND(SUM(Classification!$E$149:$E$156,Classification!$E$160:$E$166)*'Classification Table'!C10,0)</f>
        <v>183244103</v>
      </c>
      <c r="H39" s="3">
        <f t="shared" si="5"/>
        <v>127322842</v>
      </c>
      <c r="I39" s="3">
        <f>ROUND(SUM(Classification!$E$133:$E$137,Classification!$E$158:$E$159,Classification!$E$182:$E$187,Classification!$E$190:$E$203)*'Classification Table'!E13,0)+ROUND(SUM(Classification!$E$149:$E$156,Classification!$E$160:$E$166)*'Classification Table'!E10,0)+Classification!E145</f>
        <v>127322842</v>
      </c>
      <c r="J39" s="3">
        <f>Classification!$E$205</f>
        <v>437889787</v>
      </c>
    </row>
    <row r="40" spans="1:10" ht="11.25" x14ac:dyDescent="0.2">
      <c r="A40" s="347" t="s">
        <v>1009</v>
      </c>
      <c r="B40" s="197" t="s">
        <v>1183</v>
      </c>
      <c r="C40" s="237">
        <f t="shared" si="22"/>
        <v>0.60695900000000003</v>
      </c>
      <c r="D40" s="237">
        <f t="shared" si="23"/>
        <v>0.14538229999999999</v>
      </c>
      <c r="E40" s="237">
        <f t="shared" si="24"/>
        <v>0.24765870000000001</v>
      </c>
      <c r="F40" s="235">
        <f t="shared" si="4"/>
        <v>1</v>
      </c>
      <c r="G40" s="3">
        <f>SUM(Classification!$E$157,Classification!$E$167,Classification!$E$175:$E$181)+ROUND(SUM(Classification!$E$133:$E$137,Classification!$E$158:$E$159,Classification!$E$182:$E$187,Classification!$E$190:$E$203)*'Classification Table'!C14,0)+ROUND(SUM(Classification!$E$149:$E$156,Classification!$E$160:$E$166)*'Classification Table'!C41,0)</f>
        <v>265781137</v>
      </c>
      <c r="H40" s="3">
        <f t="shared" si="5"/>
        <v>63661421</v>
      </c>
      <c r="I40" s="3">
        <f>ROUND(SUM(Classification!$E$133:$E$137,Classification!$E$158:$E$159,Classification!$E$182:$E$187,Classification!$E$190:$E$203)*'Classification Table'!E14,0)+ROUND(SUM(Classification!$E$149:$E$156,Classification!$E$160:$E$166)*'Classification Table'!E41,0)+Classification!E145</f>
        <v>108447229</v>
      </c>
      <c r="J40" s="3">
        <f>Classification!$E$205</f>
        <v>437889787</v>
      </c>
    </row>
    <row r="41" spans="1:10" ht="11.25" x14ac:dyDescent="0.2">
      <c r="A41" s="347">
        <v>20</v>
      </c>
      <c r="B41" s="197" t="s">
        <v>982</v>
      </c>
      <c r="C41" s="235">
        <f>ROUND((C8+C10)/2,7)</f>
        <v>0.324125</v>
      </c>
      <c r="D41" s="235">
        <f>1-C41-E41</f>
        <v>0.25</v>
      </c>
      <c r="E41" s="235">
        <f>ROUND((E8+E10)/2,7)</f>
        <v>0.425875</v>
      </c>
      <c r="F41" s="235">
        <f>SUM(C41:E41)</f>
        <v>1</v>
      </c>
      <c r="G41" s="3"/>
      <c r="H41" s="3"/>
      <c r="I41" s="3"/>
      <c r="J41" s="3"/>
    </row>
    <row r="42" spans="1:10" ht="11.25" x14ac:dyDescent="0.2">
      <c r="A42" s="347">
        <v>21</v>
      </c>
      <c r="B42" s="197" t="s">
        <v>977</v>
      </c>
      <c r="C42" s="235">
        <v>1</v>
      </c>
      <c r="D42" s="235">
        <v>0</v>
      </c>
      <c r="E42" s="235">
        <v>0</v>
      </c>
      <c r="F42" s="235">
        <f t="shared" ref="F42:F43" si="25">SUM(C42:E42)</f>
        <v>1</v>
      </c>
      <c r="G42" s="3"/>
      <c r="H42" s="3"/>
      <c r="I42" s="3"/>
      <c r="J42" s="3"/>
    </row>
    <row r="43" spans="1:10" ht="11.25" x14ac:dyDescent="0.2">
      <c r="A43" s="236">
        <v>22</v>
      </c>
      <c r="B43" s="125" t="s">
        <v>1095</v>
      </c>
      <c r="C43" s="237">
        <f ca="1">'Revenue Req'!D27</f>
        <v>0.48725000000000002</v>
      </c>
      <c r="D43" s="237">
        <f ca="1">'Revenue Req'!E27</f>
        <v>0.23124</v>
      </c>
      <c r="E43" s="237">
        <f ca="1">'Revenue Req'!F27</f>
        <v>0.28150999999999998</v>
      </c>
      <c r="F43" s="320">
        <f t="shared" ca="1" si="25"/>
        <v>1</v>
      </c>
    </row>
    <row r="44" spans="1:10" ht="11.25" x14ac:dyDescent="0.2">
      <c r="A44" s="347"/>
    </row>
    <row r="45" spans="1:10" ht="11.25" x14ac:dyDescent="0.2">
      <c r="A45" s="347"/>
      <c r="G45" s="3"/>
      <c r="H45" s="3"/>
      <c r="I45" s="3"/>
      <c r="J45" s="3"/>
    </row>
    <row r="46" spans="1:10" ht="11.25" x14ac:dyDescent="0.2">
      <c r="A46" s="347"/>
    </row>
    <row r="47" spans="1:10" ht="11.25" x14ac:dyDescent="0.2">
      <c r="A47" s="347"/>
      <c r="B47" s="236"/>
      <c r="G47" s="3"/>
      <c r="H47" s="3"/>
      <c r="I47" s="3"/>
      <c r="J47" s="3"/>
    </row>
    <row r="48" spans="1:10" ht="11.25" x14ac:dyDescent="0.2">
      <c r="A48" s="347"/>
      <c r="B48" s="236"/>
      <c r="G48" s="3"/>
      <c r="H48" s="3"/>
      <c r="I48" s="3"/>
      <c r="J48" s="3"/>
    </row>
    <row r="49" spans="1:10" ht="11.25" x14ac:dyDescent="0.2">
      <c r="A49" s="347"/>
      <c r="B49" s="236"/>
      <c r="G49" s="3"/>
      <c r="H49" s="3"/>
      <c r="I49" s="3"/>
      <c r="J49" s="3"/>
    </row>
    <row r="50" spans="1:10" ht="11.25" x14ac:dyDescent="0.2">
      <c r="A50" s="347"/>
      <c r="B50" s="236"/>
      <c r="G50" s="3"/>
      <c r="H50" s="3"/>
      <c r="I50" s="3"/>
      <c r="J50" s="3"/>
    </row>
    <row r="51" spans="1:10" ht="11.25" x14ac:dyDescent="0.2">
      <c r="A51" s="347"/>
      <c r="B51" s="236"/>
      <c r="G51" s="3"/>
      <c r="H51" s="3"/>
      <c r="I51" s="3"/>
      <c r="J51" s="3"/>
    </row>
    <row r="52" spans="1:10" ht="11.25" x14ac:dyDescent="0.2">
      <c r="B52" s="236"/>
      <c r="G52" s="3"/>
      <c r="H52" s="3"/>
      <c r="I52" s="3"/>
      <c r="J52" s="3"/>
    </row>
    <row r="53" spans="1:10" ht="11.25" x14ac:dyDescent="0.2">
      <c r="B53" s="236"/>
      <c r="G53" s="3"/>
      <c r="H53" s="3"/>
      <c r="I53" s="3"/>
      <c r="J53" s="3"/>
    </row>
    <row r="54" spans="1:10" ht="11.25" x14ac:dyDescent="0.2">
      <c r="G54" s="3"/>
      <c r="H54" s="3"/>
      <c r="I54" s="3"/>
      <c r="J54" s="3"/>
    </row>
    <row r="55" spans="1:10" ht="11.25" x14ac:dyDescent="0.2">
      <c r="G55" s="3"/>
      <c r="H55" s="3"/>
      <c r="I55" s="3"/>
      <c r="J55" s="3"/>
    </row>
    <row r="56" spans="1:10" ht="11.25" x14ac:dyDescent="0.2">
      <c r="G56" s="3"/>
      <c r="H56" s="3"/>
      <c r="I56" s="3"/>
      <c r="J56" s="3"/>
    </row>
    <row r="57" spans="1:10" ht="11.25" x14ac:dyDescent="0.2">
      <c r="G57" s="3"/>
      <c r="H57" s="3"/>
      <c r="I57" s="3"/>
      <c r="J57" s="3"/>
    </row>
    <row r="58" spans="1:10" ht="11.25" x14ac:dyDescent="0.2">
      <c r="G58" s="3"/>
      <c r="H58" s="3"/>
      <c r="I58" s="3"/>
      <c r="J58" s="3"/>
    </row>
    <row r="59" spans="1:10" ht="11.25" x14ac:dyDescent="0.2">
      <c r="G59" s="3"/>
      <c r="H59" s="3"/>
      <c r="I59" s="3"/>
      <c r="J59" s="3"/>
    </row>
    <row r="60" spans="1:10" ht="11.25" x14ac:dyDescent="0.2">
      <c r="G60" s="3"/>
      <c r="H60" s="3"/>
      <c r="I60" s="3"/>
      <c r="J60" s="3"/>
    </row>
    <row r="61" spans="1:10" ht="11.25" x14ac:dyDescent="0.2">
      <c r="G61" s="3"/>
      <c r="H61" s="3"/>
      <c r="I61" s="3"/>
      <c r="J61" s="3"/>
    </row>
    <row r="62" spans="1:10" ht="11.25" x14ac:dyDescent="0.2">
      <c r="G62" s="3"/>
      <c r="H62" s="3"/>
      <c r="I62" s="3"/>
      <c r="J62" s="3"/>
    </row>
    <row r="63" spans="1:10" ht="11.25" x14ac:dyDescent="0.2">
      <c r="G63" s="3"/>
      <c r="H63" s="3"/>
      <c r="I63" s="3"/>
      <c r="J63" s="3"/>
    </row>
    <row r="64" spans="1:10" ht="11.25" x14ac:dyDescent="0.2">
      <c r="G64" s="3"/>
      <c r="H64" s="3"/>
      <c r="I64" s="3"/>
      <c r="J64" s="3"/>
    </row>
    <row r="65" spans="7:10" ht="11.25" x14ac:dyDescent="0.2">
      <c r="G65" s="3"/>
      <c r="H65" s="3"/>
      <c r="I65" s="3"/>
      <c r="J65" s="3"/>
    </row>
    <row r="66" spans="7:10" ht="11.25" x14ac:dyDescent="0.2">
      <c r="G66" s="3"/>
      <c r="H66" s="3"/>
      <c r="I66" s="3"/>
      <c r="J66" s="3"/>
    </row>
    <row r="67" spans="7:10" ht="11.25" x14ac:dyDescent="0.2">
      <c r="G67" s="3"/>
      <c r="H67" s="3"/>
      <c r="I67" s="3"/>
      <c r="J67" s="3"/>
    </row>
    <row r="68" spans="7:10" ht="11.25" x14ac:dyDescent="0.2">
      <c r="G68" s="3"/>
      <c r="H68" s="3"/>
      <c r="I68" s="3"/>
      <c r="J68" s="3"/>
    </row>
    <row r="69" spans="7:10" ht="11.25" x14ac:dyDescent="0.2">
      <c r="G69" s="3"/>
      <c r="H69" s="3"/>
      <c r="I69" s="3"/>
      <c r="J69" s="3"/>
    </row>
    <row r="70" spans="7:10" ht="11.25" x14ac:dyDescent="0.2">
      <c r="G70" s="3"/>
      <c r="H70" s="3"/>
      <c r="I70" s="3"/>
      <c r="J70" s="3"/>
    </row>
    <row r="71" spans="7:10" ht="11.25" x14ac:dyDescent="0.2">
      <c r="G71" s="3"/>
      <c r="H71" s="3"/>
      <c r="I71" s="3"/>
      <c r="J71" s="3"/>
    </row>
    <row r="72" spans="7:10" ht="11.25" x14ac:dyDescent="0.2">
      <c r="G72" s="3"/>
      <c r="H72" s="3"/>
      <c r="I72" s="3"/>
      <c r="J72" s="3"/>
    </row>
    <row r="73" spans="7:10" ht="11.25" x14ac:dyDescent="0.2">
      <c r="G73" s="3"/>
      <c r="H73" s="3"/>
      <c r="I73" s="3"/>
      <c r="J73" s="3"/>
    </row>
    <row r="74" spans="7:10" ht="11.25" x14ac:dyDescent="0.2">
      <c r="G74" s="3"/>
      <c r="H74" s="3"/>
      <c r="I74" s="3"/>
      <c r="J74" s="3"/>
    </row>
    <row r="75" spans="7:10" ht="11.25" x14ac:dyDescent="0.2">
      <c r="G75" s="3"/>
      <c r="H75" s="3"/>
      <c r="I75" s="3"/>
      <c r="J75" s="3"/>
    </row>
    <row r="76" spans="7:10" ht="11.25" x14ac:dyDescent="0.2">
      <c r="G76" s="3"/>
      <c r="H76" s="3"/>
      <c r="I76" s="3"/>
      <c r="J76" s="3"/>
    </row>
    <row r="77" spans="7:10" ht="11.25" x14ac:dyDescent="0.2">
      <c r="G77" s="3"/>
      <c r="H77" s="3"/>
      <c r="I77" s="3"/>
      <c r="J77" s="3"/>
    </row>
    <row r="78" spans="7:10" ht="11.25" x14ac:dyDescent="0.2">
      <c r="G78" s="3"/>
      <c r="H78" s="3"/>
      <c r="I78" s="3"/>
      <c r="J78" s="3"/>
    </row>
    <row r="79" spans="7:10" ht="11.25" x14ac:dyDescent="0.2">
      <c r="G79" s="3"/>
      <c r="H79" s="3"/>
      <c r="I79" s="3"/>
      <c r="J79" s="3"/>
    </row>
    <row r="80" spans="7:10" ht="11.25" x14ac:dyDescent="0.2">
      <c r="G80" s="3"/>
      <c r="H80" s="3"/>
      <c r="I80" s="3"/>
      <c r="J80" s="3"/>
    </row>
    <row r="81" spans="7:10" ht="11.25" x14ac:dyDescent="0.2">
      <c r="G81" s="3"/>
      <c r="H81" s="3"/>
      <c r="I81" s="3"/>
      <c r="J81" s="3"/>
    </row>
  </sheetData>
  <pageMargins left="0.45" right="0.45" top="0.5" bottom="0.25" header="0.3" footer="0.3"/>
  <pageSetup scale="93" orientation="portrait" verticalDpi="0" r:id="rId1"/>
  <colBreaks count="1" manualBreakCount="1">
    <brk id="6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zoomScaleNormal="100" workbookViewId="0">
      <selection activeCell="C39" sqref="C39"/>
    </sheetView>
  </sheetViews>
  <sheetFormatPr defaultRowHeight="10.5" x14ac:dyDescent="0.15"/>
  <cols>
    <col min="2" max="2" width="10" customWidth="1"/>
    <col min="3" max="3" width="39.83203125" customWidth="1"/>
    <col min="4" max="4" width="15.1640625" bestFit="1" customWidth="1"/>
    <col min="5" max="5" width="11.5" bestFit="1" customWidth="1"/>
    <col min="6" max="6" width="8.33203125" bestFit="1" customWidth="1"/>
    <col min="7" max="7" width="9" bestFit="1" customWidth="1"/>
    <col min="8" max="8" width="10.83203125" bestFit="1" customWidth="1"/>
    <col min="9" max="10" width="9.6640625" bestFit="1" customWidth="1"/>
    <col min="11" max="11" width="2.83203125" bestFit="1" customWidth="1"/>
    <col min="12" max="12" width="3.83203125" bestFit="1" customWidth="1"/>
    <col min="13" max="13" width="11.83203125" bestFit="1" customWidth="1"/>
    <col min="14" max="14" width="15.1640625" bestFit="1" customWidth="1"/>
    <col min="15" max="15" width="10" bestFit="1" customWidth="1"/>
    <col min="16" max="16" width="7.33203125" bestFit="1" customWidth="1"/>
    <col min="17" max="18" width="8.33203125" bestFit="1" customWidth="1"/>
    <col min="19" max="20" width="9.6640625" bestFit="1" customWidth="1"/>
  </cols>
  <sheetData>
    <row r="1" spans="1:21" ht="11.25" x14ac:dyDescent="0.2">
      <c r="B1" s="3">
        <v>1</v>
      </c>
      <c r="C1" s="3">
        <f>B1+1</f>
        <v>2</v>
      </c>
      <c r="D1" s="3">
        <f t="shared" ref="D1:T1" si="0">C1+1</f>
        <v>3</v>
      </c>
      <c r="E1" s="3">
        <f t="shared" si="0"/>
        <v>4</v>
      </c>
      <c r="F1" s="3">
        <f t="shared" si="0"/>
        <v>5</v>
      </c>
      <c r="G1" s="3">
        <f t="shared" si="0"/>
        <v>6</v>
      </c>
      <c r="H1" s="3">
        <f t="shared" si="0"/>
        <v>7</v>
      </c>
      <c r="I1" s="3">
        <f t="shared" si="0"/>
        <v>8</v>
      </c>
      <c r="J1" s="3">
        <f t="shared" si="0"/>
        <v>9</v>
      </c>
      <c r="K1" s="3">
        <f t="shared" si="0"/>
        <v>10</v>
      </c>
      <c r="L1" s="3">
        <f t="shared" si="0"/>
        <v>11</v>
      </c>
      <c r="M1" s="3">
        <f t="shared" si="0"/>
        <v>12</v>
      </c>
      <c r="N1" s="3">
        <f t="shared" si="0"/>
        <v>13</v>
      </c>
      <c r="O1" s="3">
        <f t="shared" si="0"/>
        <v>14</v>
      </c>
      <c r="P1" s="3">
        <f t="shared" si="0"/>
        <v>15</v>
      </c>
      <c r="Q1" s="3">
        <f t="shared" si="0"/>
        <v>16</v>
      </c>
      <c r="R1" s="3">
        <f t="shared" si="0"/>
        <v>17</v>
      </c>
      <c r="S1" s="3">
        <f t="shared" si="0"/>
        <v>18</v>
      </c>
      <c r="T1" s="3">
        <f t="shared" si="0"/>
        <v>19</v>
      </c>
    </row>
    <row r="2" spans="1:21" ht="11.25" x14ac:dyDescent="0.2">
      <c r="B2" s="16" t="s">
        <v>0</v>
      </c>
      <c r="C2" s="16" t="s">
        <v>0</v>
      </c>
      <c r="D2" s="3" t="s">
        <v>0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3"/>
      <c r="T2" s="43"/>
    </row>
    <row r="3" spans="1:21" ht="11.25" x14ac:dyDescent="0.2">
      <c r="B3" s="3" t="s">
        <v>1028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3"/>
      <c r="S3" s="43"/>
      <c r="T3" s="3"/>
    </row>
    <row r="4" spans="1:21" ht="11.25" x14ac:dyDescent="0.2">
      <c r="B4" s="16" t="s">
        <v>0</v>
      </c>
      <c r="C4" s="16" t="s">
        <v>0</v>
      </c>
      <c r="D4" s="3" t="s">
        <v>0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3"/>
      <c r="S4" s="43"/>
      <c r="T4" s="3"/>
    </row>
    <row r="5" spans="1:21" ht="11.25" x14ac:dyDescent="0.2">
      <c r="B5" s="241" t="s">
        <v>92</v>
      </c>
      <c r="C5" s="3"/>
      <c r="D5" s="3" t="str">
        <f>Input!$C$12</f>
        <v>GS-RESIDENTIAL</v>
      </c>
      <c r="E5" s="3" t="str">
        <f>Input!$C$13</f>
        <v>GS-OTHER</v>
      </c>
      <c r="F5" s="3" t="str">
        <f>Input!$C$14</f>
        <v>IUS</v>
      </c>
      <c r="G5" s="3" t="str">
        <f>Input!$C$15</f>
        <v>DS-ML</v>
      </c>
      <c r="H5" s="3" t="str">
        <f>Input!$C$16</f>
        <v>DS/IS</v>
      </c>
      <c r="I5" s="3" t="str">
        <f>Input!$C$17</f>
        <v>NOT USED</v>
      </c>
      <c r="J5" s="3" t="str">
        <f>Input!$C$18</f>
        <v>NOT USED</v>
      </c>
      <c r="K5" s="3"/>
      <c r="L5" s="3"/>
      <c r="M5" s="241" t="s">
        <v>8</v>
      </c>
      <c r="N5" s="3" t="str">
        <f>Input!$C$12</f>
        <v>GS-RESIDENTIAL</v>
      </c>
      <c r="O5" s="3" t="str">
        <f>Input!$C$13</f>
        <v>GS-OTHER</v>
      </c>
      <c r="P5" s="3" t="str">
        <f>Input!$C$14</f>
        <v>IUS</v>
      </c>
      <c r="Q5" s="3" t="str">
        <f>Input!$C$15</f>
        <v>DS-ML</v>
      </c>
      <c r="R5" s="3" t="str">
        <f>Input!$C$16</f>
        <v>DS/IS</v>
      </c>
      <c r="S5" s="3" t="str">
        <f>Input!$C$17</f>
        <v>NOT USED</v>
      </c>
      <c r="T5" s="3" t="str">
        <f>Input!$C$18</f>
        <v>NOT USED</v>
      </c>
    </row>
    <row r="6" spans="1:21" ht="11.25" x14ac:dyDescent="0.2">
      <c r="B6" s="241" t="s">
        <v>9</v>
      </c>
      <c r="C6" s="3" t="s">
        <v>24</v>
      </c>
      <c r="D6" s="241" t="s">
        <v>362</v>
      </c>
      <c r="E6" s="241" t="s">
        <v>362</v>
      </c>
      <c r="F6" s="241" t="s">
        <v>362</v>
      </c>
      <c r="G6" s="241" t="s">
        <v>362</v>
      </c>
      <c r="H6" s="241" t="s">
        <v>362</v>
      </c>
      <c r="I6" s="241" t="s">
        <v>362</v>
      </c>
      <c r="J6" s="241" t="s">
        <v>362</v>
      </c>
      <c r="K6" s="241"/>
      <c r="L6" s="241"/>
      <c r="M6" s="241" t="s">
        <v>362</v>
      </c>
      <c r="N6" s="241" t="s">
        <v>363</v>
      </c>
      <c r="O6" s="241" t="s">
        <v>363</v>
      </c>
      <c r="P6" s="241" t="s">
        <v>363</v>
      </c>
      <c r="Q6" s="241" t="s">
        <v>363</v>
      </c>
      <c r="R6" s="241" t="s">
        <v>363</v>
      </c>
      <c r="S6" s="241" t="s">
        <v>363</v>
      </c>
      <c r="T6" s="241" t="s">
        <v>363</v>
      </c>
    </row>
    <row r="7" spans="1:21" ht="11.25" x14ac:dyDescent="0.2">
      <c r="A7">
        <v>1</v>
      </c>
      <c r="B7" s="255">
        <v>1</v>
      </c>
      <c r="C7" s="5" t="s">
        <v>364</v>
      </c>
      <c r="D7" s="5">
        <f>Input!$E$58</f>
        <v>137300</v>
      </c>
      <c r="E7" s="5">
        <f>Input!$F$58</f>
        <v>88300</v>
      </c>
      <c r="F7" s="5">
        <f>Input!$G$58</f>
        <v>200</v>
      </c>
      <c r="G7" s="2">
        <f>Input!$H$58</f>
        <v>0</v>
      </c>
      <c r="H7" s="5">
        <f>Input!$I$58</f>
        <v>82400</v>
      </c>
      <c r="I7" s="5">
        <f>Input!$J$58</f>
        <v>0</v>
      </c>
      <c r="J7" s="5">
        <f>Input!$K$58</f>
        <v>0</v>
      </c>
      <c r="K7" s="5"/>
      <c r="L7" s="5"/>
      <c r="M7" s="3">
        <f t="shared" ref="M7:M27" si="1">SUM(D7:L7)</f>
        <v>308200</v>
      </c>
      <c r="N7" s="43">
        <f t="shared" ref="N7:N12" si="2">ROUND(1-SUM(O7:T7),5)</f>
        <v>0.44549</v>
      </c>
      <c r="O7" s="43">
        <f t="shared" ref="O7:T22" si="3">IF($M7=0,0,ROUND(E7/$M7,5))</f>
        <v>0.28649999999999998</v>
      </c>
      <c r="P7" s="43">
        <f t="shared" si="3"/>
        <v>6.4999999999999997E-4</v>
      </c>
      <c r="Q7" s="43">
        <f t="shared" si="3"/>
        <v>0</v>
      </c>
      <c r="R7" s="43">
        <f t="shared" si="3"/>
        <v>0.26735999999999999</v>
      </c>
      <c r="S7" s="43">
        <f t="shared" si="3"/>
        <v>0</v>
      </c>
      <c r="T7" s="43">
        <f t="shared" si="3"/>
        <v>0</v>
      </c>
      <c r="U7" s="251"/>
    </row>
    <row r="8" spans="1:21" ht="11.25" x14ac:dyDescent="0.2">
      <c r="A8">
        <f>A7+1</f>
        <v>2</v>
      </c>
      <c r="B8" s="255">
        <v>2</v>
      </c>
      <c r="C8" s="5" t="s">
        <v>1147</v>
      </c>
      <c r="D8" s="5">
        <f>Input!$E$59</f>
        <v>137300</v>
      </c>
      <c r="E8" s="5">
        <f>Input!$F$59</f>
        <v>83900</v>
      </c>
      <c r="F8" s="5">
        <f>Input!$G$59</f>
        <v>200</v>
      </c>
      <c r="G8" s="2">
        <f>Input!$H$59</f>
        <v>0</v>
      </c>
      <c r="H8" s="5">
        <f>Input!$I$59</f>
        <v>3900</v>
      </c>
      <c r="I8" s="5">
        <f>Input!$J$59</f>
        <v>0</v>
      </c>
      <c r="J8" s="5">
        <f>Input!$K$59</f>
        <v>0</v>
      </c>
      <c r="K8" s="5"/>
      <c r="L8" s="5"/>
      <c r="M8" s="3">
        <f t="shared" si="1"/>
        <v>225300</v>
      </c>
      <c r="N8" s="43">
        <f t="shared" si="2"/>
        <v>0.60941000000000001</v>
      </c>
      <c r="O8" s="43">
        <f t="shared" si="3"/>
        <v>0.37239</v>
      </c>
      <c r="P8" s="43">
        <f t="shared" si="3"/>
        <v>8.8999999999999995E-4</v>
      </c>
      <c r="Q8" s="43">
        <f t="shared" si="3"/>
        <v>0</v>
      </c>
      <c r="R8" s="43">
        <f t="shared" si="3"/>
        <v>1.7309999999999999E-2</v>
      </c>
      <c r="S8" s="43">
        <f t="shared" si="3"/>
        <v>0</v>
      </c>
      <c r="T8" s="43">
        <f t="shared" si="3"/>
        <v>0</v>
      </c>
      <c r="U8" s="251"/>
    </row>
    <row r="9" spans="1:21" ht="11.25" x14ac:dyDescent="0.2">
      <c r="A9">
        <f t="shared" ref="A9:A27" si="4">A8+1</f>
        <v>3</v>
      </c>
      <c r="B9" s="255">
        <v>3</v>
      </c>
      <c r="C9" s="5" t="s">
        <v>337</v>
      </c>
      <c r="D9" s="40">
        <f>Input!$E$595</f>
        <v>0.73792999999999997</v>
      </c>
      <c r="E9" s="40">
        <f>Input!$F$595</f>
        <v>0.16741</v>
      </c>
      <c r="F9" s="40">
        <f>Input!$G$595</f>
        <v>2.4000000000000001E-4</v>
      </c>
      <c r="G9" s="219">
        <f>Input!$H$595</f>
        <v>0</v>
      </c>
      <c r="H9" s="40">
        <f>Input!$I$595</f>
        <v>9.4420000000000004E-2</v>
      </c>
      <c r="I9" s="40">
        <f>Input!$J$595</f>
        <v>0</v>
      </c>
      <c r="J9" s="40">
        <f>Input!$K$595</f>
        <v>0</v>
      </c>
      <c r="K9" s="40"/>
      <c r="L9" s="40"/>
      <c r="M9" s="23">
        <f t="shared" si="1"/>
        <v>1</v>
      </c>
      <c r="N9" s="43">
        <f t="shared" si="2"/>
        <v>0.73792999999999997</v>
      </c>
      <c r="O9" s="43">
        <f t="shared" si="3"/>
        <v>0.16741</v>
      </c>
      <c r="P9" s="43">
        <f t="shared" si="3"/>
        <v>2.4000000000000001E-4</v>
      </c>
      <c r="Q9" s="43">
        <f t="shared" si="3"/>
        <v>0</v>
      </c>
      <c r="R9" s="43">
        <f t="shared" si="3"/>
        <v>9.4420000000000004E-2</v>
      </c>
      <c r="S9" s="43">
        <f t="shared" si="3"/>
        <v>0</v>
      </c>
      <c r="T9" s="43">
        <f t="shared" si="3"/>
        <v>0</v>
      </c>
      <c r="U9" s="251"/>
    </row>
    <row r="10" spans="1:21" ht="11.25" x14ac:dyDescent="0.2">
      <c r="A10">
        <f t="shared" si="4"/>
        <v>4</v>
      </c>
      <c r="B10" s="255">
        <v>4</v>
      </c>
      <c r="C10" s="5" t="s">
        <v>365</v>
      </c>
      <c r="D10" s="5">
        <f>Input!$E$57</f>
        <v>7960000.1000000006</v>
      </c>
      <c r="E10" s="5">
        <f>Input!$F$57</f>
        <v>5750963.4000000004</v>
      </c>
      <c r="F10" s="5">
        <f>Input!$G$57</f>
        <v>11320.699999999999</v>
      </c>
      <c r="G10" s="2">
        <f>Input!$H$57</f>
        <v>0</v>
      </c>
      <c r="H10" s="5">
        <f>Input!$I$57</f>
        <v>10094426.4</v>
      </c>
      <c r="I10" s="5">
        <f>Input!$J$57</f>
        <v>0</v>
      </c>
      <c r="J10" s="5">
        <f>Input!$K$57</f>
        <v>0</v>
      </c>
      <c r="K10" s="5"/>
      <c r="L10" s="5"/>
      <c r="M10" s="3">
        <f t="shared" si="1"/>
        <v>23816710.600000001</v>
      </c>
      <c r="N10" s="43">
        <f t="shared" si="2"/>
        <v>0.33421000000000001</v>
      </c>
      <c r="O10" s="43">
        <f t="shared" si="3"/>
        <v>0.24146999999999999</v>
      </c>
      <c r="P10" s="43">
        <f t="shared" si="3"/>
        <v>4.8000000000000001E-4</v>
      </c>
      <c r="Q10" s="43">
        <f t="shared" si="3"/>
        <v>0</v>
      </c>
      <c r="R10" s="43">
        <f t="shared" si="3"/>
        <v>0.42383999999999999</v>
      </c>
      <c r="S10" s="43">
        <f t="shared" si="3"/>
        <v>0</v>
      </c>
      <c r="T10" s="43">
        <f t="shared" si="3"/>
        <v>0</v>
      </c>
      <c r="U10" s="251"/>
    </row>
    <row r="11" spans="1:21" ht="11.25" x14ac:dyDescent="0.2">
      <c r="A11">
        <f t="shared" si="4"/>
        <v>5</v>
      </c>
      <c r="B11" s="255">
        <v>5</v>
      </c>
      <c r="C11" s="5" t="s">
        <v>366</v>
      </c>
      <c r="D11" s="40">
        <f t="shared" ref="D11:J11" si="5">ROUND((N7+N10)/2,5)</f>
        <v>0.38984999999999997</v>
      </c>
      <c r="E11" s="40">
        <f t="shared" si="5"/>
        <v>0.26399</v>
      </c>
      <c r="F11" s="40">
        <f t="shared" si="5"/>
        <v>5.6999999999999998E-4</v>
      </c>
      <c r="G11" s="219">
        <f t="shared" si="5"/>
        <v>0</v>
      </c>
      <c r="H11" s="40">
        <f t="shared" si="5"/>
        <v>0.34560000000000002</v>
      </c>
      <c r="I11" s="40">
        <f t="shared" si="5"/>
        <v>0</v>
      </c>
      <c r="J11" s="40">
        <f t="shared" si="5"/>
        <v>0</v>
      </c>
      <c r="K11" s="40"/>
      <c r="L11" s="40"/>
      <c r="M11" s="3">
        <f t="shared" si="1"/>
        <v>1.0000100000000001</v>
      </c>
      <c r="N11" s="43">
        <f t="shared" si="2"/>
        <v>0.38984000000000002</v>
      </c>
      <c r="O11" s="43">
        <f t="shared" si="3"/>
        <v>0.26399</v>
      </c>
      <c r="P11" s="43">
        <f t="shared" si="3"/>
        <v>5.6999999999999998E-4</v>
      </c>
      <c r="Q11" s="43">
        <f t="shared" si="3"/>
        <v>0</v>
      </c>
      <c r="R11" s="43">
        <f t="shared" si="3"/>
        <v>0.34560000000000002</v>
      </c>
      <c r="S11" s="43">
        <f t="shared" si="3"/>
        <v>0</v>
      </c>
      <c r="T11" s="43">
        <f t="shared" si="3"/>
        <v>0</v>
      </c>
      <c r="U11" s="251"/>
    </row>
    <row r="12" spans="1:21" ht="11.25" x14ac:dyDescent="0.2">
      <c r="A12">
        <f t="shared" si="4"/>
        <v>6</v>
      </c>
      <c r="B12" s="255">
        <v>6</v>
      </c>
      <c r="C12" s="5" t="s">
        <v>367</v>
      </c>
      <c r="D12" s="5">
        <f>Input!$E$60</f>
        <v>121915</v>
      </c>
      <c r="E12" s="5">
        <f>Input!$F$60</f>
        <v>13977</v>
      </c>
      <c r="F12" s="5">
        <f>Input!$G$60</f>
        <v>2</v>
      </c>
      <c r="G12" s="2">
        <f>Input!$H$60</f>
        <v>6</v>
      </c>
      <c r="H12" s="5">
        <f>Input!$I$60</f>
        <v>79</v>
      </c>
      <c r="I12" s="5">
        <f>Input!$J$60</f>
        <v>0</v>
      </c>
      <c r="J12" s="5">
        <f>Input!$K$60</f>
        <v>0</v>
      </c>
      <c r="K12" s="5"/>
      <c r="L12" s="5"/>
      <c r="M12" s="3">
        <f t="shared" si="1"/>
        <v>135979</v>
      </c>
      <c r="N12" s="43">
        <f t="shared" si="2"/>
        <v>0.89658000000000004</v>
      </c>
      <c r="O12" s="43">
        <f t="shared" si="3"/>
        <v>0.10279000000000001</v>
      </c>
      <c r="P12" s="43">
        <f t="shared" si="3"/>
        <v>1.0000000000000001E-5</v>
      </c>
      <c r="Q12" s="43">
        <f t="shared" si="3"/>
        <v>4.0000000000000003E-5</v>
      </c>
      <c r="R12" s="43">
        <f t="shared" si="3"/>
        <v>5.8E-4</v>
      </c>
      <c r="S12" s="43">
        <f t="shared" si="3"/>
        <v>0</v>
      </c>
      <c r="T12" s="43">
        <f t="shared" si="3"/>
        <v>0</v>
      </c>
      <c r="U12" s="251"/>
    </row>
    <row r="13" spans="1:21" ht="11.25" x14ac:dyDescent="0.2">
      <c r="A13">
        <f t="shared" si="4"/>
        <v>7</v>
      </c>
      <c r="B13" s="255" t="s">
        <v>1010</v>
      </c>
      <c r="C13" s="5" t="s">
        <v>368</v>
      </c>
      <c r="D13" s="5">
        <f ca="1">SUM(Customer!$F$149:$F$157)+SUM(Customer!$F$160:$F$167)+SUM(Customer!$F$175:$F$181)</f>
        <v>141439827</v>
      </c>
      <c r="E13" s="5">
        <f ca="1">SUM(Customer!$G$149:$G$157)+SUM(Customer!$G$160:$G$167)+SUM(Customer!$G$175:$G$181)</f>
        <v>26376963</v>
      </c>
      <c r="F13" s="5">
        <f ca="1">SUM(Customer!$H$149:$H$157)+SUM(Customer!$H$160:$H$167)+SUM(Customer!$H$175:$H$181)</f>
        <v>7293</v>
      </c>
      <c r="G13" s="2">
        <f ca="1">SUM(Customer!$I$149:$I$157)+SUM(Customer!$I$160:$I$167)+SUM(Customer!$I$175:$I$181)</f>
        <v>677829</v>
      </c>
      <c r="H13" s="5">
        <f ca="1">SUM(Customer!$J$149:$J$157)+SUM(Customer!$J$160:$J$167)+SUM(Customer!$J$175:$J$181)</f>
        <v>2620420</v>
      </c>
      <c r="I13" s="5">
        <f ca="1">SUM(Customer!$K$149:$K$157)+SUM(Customer!$K$160:$K$167)+SUM(Customer!$K$175:$K$181)</f>
        <v>0</v>
      </c>
      <c r="J13" s="5">
        <f ca="1">SUM(Customer!$L$149:$L$157)+SUM(Customer!$L$160:$L$167)+SUM(Customer!$L$175:$L$181)</f>
        <v>0</v>
      </c>
      <c r="K13" s="5"/>
      <c r="L13" s="5"/>
      <c r="M13" s="3">
        <f ca="1">SUM(D13:L13)</f>
        <v>171122332</v>
      </c>
      <c r="N13" s="43">
        <f ca="1">ROUND(1-SUM(O13:T13),5)</f>
        <v>0.82655000000000001</v>
      </c>
      <c r="O13" s="43">
        <f t="shared" ref="O13:T13" ca="1" si="6">IF($M13=0,0,ROUND(E13/$M13,5))</f>
        <v>0.15414</v>
      </c>
      <c r="P13" s="43">
        <f t="shared" ca="1" si="6"/>
        <v>4.0000000000000003E-5</v>
      </c>
      <c r="Q13" s="43">
        <f t="shared" ca="1" si="6"/>
        <v>3.96E-3</v>
      </c>
      <c r="R13" s="43">
        <f t="shared" ca="1" si="6"/>
        <v>1.5310000000000001E-2</v>
      </c>
      <c r="S13" s="43">
        <f t="shared" ca="1" si="6"/>
        <v>0</v>
      </c>
      <c r="T13" s="43">
        <f t="shared" ca="1" si="6"/>
        <v>0</v>
      </c>
      <c r="U13" s="251"/>
    </row>
    <row r="14" spans="1:21" ht="11.25" x14ac:dyDescent="0.2">
      <c r="A14">
        <f t="shared" si="4"/>
        <v>8</v>
      </c>
      <c r="B14" s="255">
        <v>8</v>
      </c>
      <c r="C14" s="5" t="s">
        <v>369</v>
      </c>
      <c r="D14" s="5">
        <f>Customer!$F$180+Customer!$F$181</f>
        <v>0</v>
      </c>
      <c r="E14" s="5">
        <f>Customer!$G$180+Customer!$G$181</f>
        <v>700742</v>
      </c>
      <c r="F14" s="5">
        <f>Customer!$H$180+Customer!$H$181</f>
        <v>782</v>
      </c>
      <c r="G14" s="2">
        <f>Customer!$I$180+Customer!$I$181</f>
        <v>677829</v>
      </c>
      <c r="H14" s="5">
        <f>Customer!$J$180+Customer!$J$181</f>
        <v>1996050</v>
      </c>
      <c r="I14" s="5">
        <f>Customer!$K$180+Customer!$K$181</f>
        <v>0</v>
      </c>
      <c r="J14" s="5">
        <f>Customer!$L$180+Customer!$L$181</f>
        <v>0</v>
      </c>
      <c r="K14" s="5"/>
      <c r="L14" s="5"/>
      <c r="M14" s="3">
        <f t="shared" si="1"/>
        <v>3375403</v>
      </c>
      <c r="N14" s="43">
        <f>IF($M14=0,0,ROUND(D14/$M14,5))</f>
        <v>0</v>
      </c>
      <c r="O14" s="43">
        <f>ROUND(1-SUM(P14:T14)-N14,5)</f>
        <v>0.20760999999999999</v>
      </c>
      <c r="P14" s="43">
        <f t="shared" si="3"/>
        <v>2.3000000000000001E-4</v>
      </c>
      <c r="Q14" s="43">
        <f t="shared" si="3"/>
        <v>0.20080999999999999</v>
      </c>
      <c r="R14" s="43">
        <f t="shared" si="3"/>
        <v>0.59135000000000004</v>
      </c>
      <c r="S14" s="43">
        <f t="shared" si="3"/>
        <v>0</v>
      </c>
      <c r="T14" s="43">
        <f t="shared" si="3"/>
        <v>0</v>
      </c>
      <c r="U14" s="251"/>
    </row>
    <row r="15" spans="1:21" ht="11.25" x14ac:dyDescent="0.2">
      <c r="A15">
        <f t="shared" si="4"/>
        <v>9</v>
      </c>
      <c r="B15" s="255">
        <v>9</v>
      </c>
      <c r="C15" s="5" t="s">
        <v>552</v>
      </c>
      <c r="D15" s="5">
        <f>Customer!F$427</f>
        <v>0</v>
      </c>
      <c r="E15" s="5">
        <f>Customer!G$427</f>
        <v>0</v>
      </c>
      <c r="F15" s="5">
        <f>Customer!H$427</f>
        <v>0</v>
      </c>
      <c r="G15" s="2">
        <f>Customer!I$427</f>
        <v>0</v>
      </c>
      <c r="H15" s="5">
        <f>Customer!J$427</f>
        <v>0</v>
      </c>
      <c r="I15" s="5">
        <f>Customer!K$427</f>
        <v>0</v>
      </c>
      <c r="J15" s="5">
        <f>Customer!L$427</f>
        <v>0</v>
      </c>
      <c r="K15" s="5"/>
      <c r="L15" s="5"/>
      <c r="M15" s="3">
        <f t="shared" si="1"/>
        <v>0</v>
      </c>
      <c r="N15" s="43">
        <f>ROUND(1-SUM(O15:T15),5)</f>
        <v>1</v>
      </c>
      <c r="O15" s="43">
        <f t="shared" ref="O15:T27" si="7">IF($M15=0,0,ROUND(E15/$M15,5))</f>
        <v>0</v>
      </c>
      <c r="P15" s="43">
        <f t="shared" si="3"/>
        <v>0</v>
      </c>
      <c r="Q15" s="43">
        <f t="shared" si="3"/>
        <v>0</v>
      </c>
      <c r="R15" s="43">
        <f t="shared" si="3"/>
        <v>0</v>
      </c>
      <c r="S15" s="43">
        <f t="shared" si="3"/>
        <v>0</v>
      </c>
      <c r="T15" s="43">
        <f t="shared" si="3"/>
        <v>0</v>
      </c>
      <c r="U15" s="251"/>
    </row>
    <row r="16" spans="1:21" ht="11.25" x14ac:dyDescent="0.2">
      <c r="A16">
        <f t="shared" si="4"/>
        <v>10</v>
      </c>
      <c r="B16" s="255" t="s">
        <v>1011</v>
      </c>
      <c r="C16" s="5" t="s">
        <v>371</v>
      </c>
      <c r="D16" s="5">
        <f ca="1">SUM(Customer!$F$444:$F$449)+SUM(Customer!$F$457:$F$462)</f>
        <v>2839750</v>
      </c>
      <c r="E16" s="5">
        <f ca="1">SUM(Customer!$G$444:$G$449)+SUM(Customer!$G$457:$G$462)</f>
        <v>893340</v>
      </c>
      <c r="F16" s="5">
        <f ca="1">SUM(Customer!$H$444:$H$449)+SUM(Customer!$H$457:$H$462)</f>
        <v>386</v>
      </c>
      <c r="G16" s="2">
        <f ca="1">SUM(Customer!$I$444:$I$449)+SUM(Customer!$I$457:$I$462)</f>
        <v>11679</v>
      </c>
      <c r="H16" s="5">
        <f ca="1">SUM(Customer!$J$444:$J$449)+SUM(Customer!$J$457:$J$462)</f>
        <v>49826</v>
      </c>
      <c r="I16" s="5">
        <f ca="1">SUM(Customer!$K$444:$K$449)+SUM(Customer!$K$457:$K$462)</f>
        <v>0</v>
      </c>
      <c r="J16" s="5">
        <f ca="1">SUM(Customer!$L$444:$L$449)+SUM(Customer!$L$457:$L$462)</f>
        <v>0</v>
      </c>
      <c r="K16" s="5"/>
      <c r="L16" s="5"/>
      <c r="M16" s="3">
        <f t="shared" ref="M16:M21" ca="1" si="8">SUM(D16:L16)</f>
        <v>3794981</v>
      </c>
      <c r="N16" s="43">
        <f ca="1">ROUND(1-SUM(O16:T16),5)</f>
        <v>0.74829000000000001</v>
      </c>
      <c r="O16" s="43">
        <f t="shared" ref="O16:T21" ca="1" si="9">IF($M16=0,0,ROUND(E16/$M16,5))</f>
        <v>0.2354</v>
      </c>
      <c r="P16" s="43">
        <f t="shared" ca="1" si="9"/>
        <v>1E-4</v>
      </c>
      <c r="Q16" s="43">
        <f t="shared" ca="1" si="9"/>
        <v>3.0799999999999998E-3</v>
      </c>
      <c r="R16" s="43">
        <f t="shared" ca="1" si="9"/>
        <v>1.3129999999999999E-2</v>
      </c>
      <c r="S16" s="43">
        <f t="shared" ca="1" si="9"/>
        <v>0</v>
      </c>
      <c r="T16" s="43">
        <f t="shared" ca="1" si="9"/>
        <v>0</v>
      </c>
      <c r="U16" s="251"/>
    </row>
    <row r="17" spans="1:21" ht="11.25" x14ac:dyDescent="0.2">
      <c r="A17">
        <f t="shared" si="4"/>
        <v>11</v>
      </c>
      <c r="B17" s="255" t="s">
        <v>1012</v>
      </c>
      <c r="C17" s="5" t="s">
        <v>372</v>
      </c>
      <c r="D17" s="5">
        <f ca="1">SUM(Customer!$F$543:$F$548)+SUM(Customer!$F$556:$F$561)</f>
        <v>2833335</v>
      </c>
      <c r="E17" s="5">
        <f ca="1">SUM(Customer!$G$543:$G$548)+SUM(Customer!$G$556:$G$561)</f>
        <v>614041</v>
      </c>
      <c r="F17" s="5">
        <f ca="1">SUM(Customer!$H$543:$H$548)+SUM(Customer!$H$556:$H$561)</f>
        <v>204</v>
      </c>
      <c r="G17" s="2">
        <f ca="1">SUM(Customer!$I$543:$I$548)+SUM(Customer!$I$556:$I$561)</f>
        <v>16362</v>
      </c>
      <c r="H17" s="5">
        <f ca="1">SUM(Customer!$J$543:$J$548)+SUM(Customer!$J$556:$J$561)</f>
        <v>61347</v>
      </c>
      <c r="I17" s="5">
        <f ca="1">SUM(Customer!$K$543:$K$548)+SUM(Customer!$K$556:$K$561)</f>
        <v>0</v>
      </c>
      <c r="J17" s="5">
        <f ca="1">SUM(Customer!$L$543:$L$548)+SUM(Customer!$L$556:$L$561)</f>
        <v>0</v>
      </c>
      <c r="K17" s="5"/>
      <c r="L17" s="5"/>
      <c r="M17" s="3">
        <f t="shared" ca="1" si="8"/>
        <v>3525289</v>
      </c>
      <c r="N17" s="43">
        <f ca="1">ROUND(1-SUM(O17:T17),5)</f>
        <v>0.80371999999999999</v>
      </c>
      <c r="O17" s="43">
        <f t="shared" ca="1" si="9"/>
        <v>0.17418</v>
      </c>
      <c r="P17" s="43">
        <f t="shared" ca="1" si="9"/>
        <v>6.0000000000000002E-5</v>
      </c>
      <c r="Q17" s="43">
        <f t="shared" ca="1" si="9"/>
        <v>4.64E-3</v>
      </c>
      <c r="R17" s="43">
        <f t="shared" ca="1" si="9"/>
        <v>1.7399999999999999E-2</v>
      </c>
      <c r="S17" s="43">
        <f t="shared" ca="1" si="9"/>
        <v>0</v>
      </c>
      <c r="T17" s="43">
        <f t="shared" ca="1" si="9"/>
        <v>0</v>
      </c>
      <c r="U17" s="251"/>
    </row>
    <row r="18" spans="1:21" ht="11.25" x14ac:dyDescent="0.2">
      <c r="A18">
        <f t="shared" si="4"/>
        <v>12</v>
      </c>
      <c r="B18" s="255" t="s">
        <v>1013</v>
      </c>
      <c r="C18" s="5" t="s">
        <v>373</v>
      </c>
      <c r="D18" s="5">
        <f ca="1">SUM(Customer!$F$643:$F$648)</f>
        <v>3982445</v>
      </c>
      <c r="E18" s="5">
        <f ca="1">SUM(Customer!$G$643:$G$648)</f>
        <v>1096701</v>
      </c>
      <c r="F18" s="5">
        <f ca="1">SUM(Customer!$H$643:$H$648)</f>
        <v>444</v>
      </c>
      <c r="G18" s="2">
        <f ca="1">SUM(Customer!$I$643:$I$648)</f>
        <v>13206</v>
      </c>
      <c r="H18" s="5">
        <f ca="1">SUM(Customer!$J$643:$J$648)</f>
        <v>56682</v>
      </c>
      <c r="I18" s="5">
        <f ca="1">SUM(Customer!$K$643:$K$648)</f>
        <v>0</v>
      </c>
      <c r="J18" s="5">
        <f ca="1">SUM(Customer!$L$643:$L$648)</f>
        <v>0</v>
      </c>
      <c r="K18" s="5"/>
      <c r="L18" s="5"/>
      <c r="M18" s="3">
        <f t="shared" ca="1" si="8"/>
        <v>5149478</v>
      </c>
      <c r="N18" s="43">
        <f ca="1">ROUND(1-SUM(O18:T18)+0.00000000001,5)</f>
        <v>0.77337</v>
      </c>
      <c r="O18" s="43">
        <f t="shared" ca="1" si="9"/>
        <v>0.21296999999999999</v>
      </c>
      <c r="P18" s="43">
        <f t="shared" ca="1" si="9"/>
        <v>9.0000000000000006E-5</v>
      </c>
      <c r="Q18" s="43">
        <f t="shared" ca="1" si="9"/>
        <v>2.5600000000000002E-3</v>
      </c>
      <c r="R18" s="43">
        <f t="shared" ca="1" si="9"/>
        <v>1.1010000000000001E-2</v>
      </c>
      <c r="S18" s="43">
        <f t="shared" ca="1" si="9"/>
        <v>0</v>
      </c>
      <c r="T18" s="43">
        <f t="shared" ca="1" si="9"/>
        <v>0</v>
      </c>
      <c r="U18" s="251"/>
    </row>
    <row r="19" spans="1:21" ht="11.25" x14ac:dyDescent="0.2">
      <c r="A19">
        <f t="shared" si="4"/>
        <v>13</v>
      </c>
      <c r="B19" s="255" t="s">
        <v>1014</v>
      </c>
      <c r="C19" s="5" t="s">
        <v>374</v>
      </c>
      <c r="D19" s="5">
        <f ca="1">SUM(Customer!$F$654:$F$659)-Customer!$F$576</f>
        <v>8336389</v>
      </c>
      <c r="E19" s="5">
        <f ca="1">SUM(Customer!$G$654:$G$659)-Customer!$G$576</f>
        <v>1315791</v>
      </c>
      <c r="F19" s="5">
        <f ca="1">SUM(Customer!$H$654:$H$659)-Customer!$H$576</f>
        <v>311</v>
      </c>
      <c r="G19" s="2">
        <f ca="1">SUM(Customer!$I$654:$I$659)-Customer!$I$576</f>
        <v>20584</v>
      </c>
      <c r="H19" s="5">
        <f ca="1">SUM(Customer!$J$654:$J$659)-Customer!$J$576</f>
        <v>79485</v>
      </c>
      <c r="I19" s="5">
        <f ca="1">SUM(Customer!$K$654:$K$659)-Customer!$K$576</f>
        <v>0</v>
      </c>
      <c r="J19" s="5">
        <f ca="1">SUM(Customer!$L$654:$L$659)-Customer!$L$576</f>
        <v>0</v>
      </c>
      <c r="K19" s="5"/>
      <c r="L19" s="5"/>
      <c r="M19" s="3">
        <f t="shared" ca="1" si="8"/>
        <v>9752560</v>
      </c>
      <c r="N19" s="43">
        <f ca="1">ROUND(1-SUM(O19:T19)+0.00000000001,5)</f>
        <v>0.85479000000000005</v>
      </c>
      <c r="O19" s="43">
        <f t="shared" ca="1" si="9"/>
        <v>0.13492000000000001</v>
      </c>
      <c r="P19" s="43">
        <f t="shared" ca="1" si="9"/>
        <v>3.0000000000000001E-5</v>
      </c>
      <c r="Q19" s="43">
        <f t="shared" ca="1" si="9"/>
        <v>2.1099999999999999E-3</v>
      </c>
      <c r="R19" s="43">
        <f t="shared" ca="1" si="9"/>
        <v>8.1499999999999993E-3</v>
      </c>
      <c r="S19" s="43">
        <f t="shared" ca="1" si="9"/>
        <v>0</v>
      </c>
      <c r="T19" s="43">
        <f t="shared" ca="1" si="9"/>
        <v>0</v>
      </c>
      <c r="U19" s="251"/>
    </row>
    <row r="20" spans="1:21" ht="11.25" x14ac:dyDescent="0.2">
      <c r="A20">
        <f t="shared" si="4"/>
        <v>14</v>
      </c>
      <c r="B20" s="255" t="s">
        <v>1015</v>
      </c>
      <c r="C20" s="5" t="s">
        <v>375</v>
      </c>
      <c r="D20" s="5">
        <f ca="1">Customer!$F$161+Customer!$F$162+Customer!$F$167+Customer!$F$175</f>
        <v>112461887</v>
      </c>
      <c r="E20" s="5">
        <f ca="1">Customer!$G$161+Customer!$G$162+Customer!$G$167+Customer!$G$175</f>
        <v>14554221</v>
      </c>
      <c r="F20" s="5">
        <f ca="1">Customer!$H$161+Customer!$H$162+Customer!$H$167+Customer!$H$175</f>
        <v>1275</v>
      </c>
      <c r="G20" s="2">
        <f ca="1">Customer!$I$161+Customer!$I$162+Customer!$I$167+Customer!$I$175</f>
        <v>0</v>
      </c>
      <c r="H20" s="5">
        <f ca="1">Customer!$J$161+Customer!$J$162+Customer!$J$167+Customer!$J$175</f>
        <v>449960</v>
      </c>
      <c r="I20" s="5">
        <f ca="1">Customer!$K$161+Customer!$K$162+Customer!$K$167+Customer!$K$175</f>
        <v>0</v>
      </c>
      <c r="J20" s="5">
        <f ca="1">Customer!$L$161+Customer!$L$162+Customer!$L$167+Customer!$L$175</f>
        <v>0</v>
      </c>
      <c r="K20" s="5"/>
      <c r="L20" s="5"/>
      <c r="M20" s="3">
        <f t="shared" ca="1" si="8"/>
        <v>127467343</v>
      </c>
      <c r="N20" s="43">
        <f ca="1">ROUND(1-SUM(O20:T20),5)</f>
        <v>0.88227999999999995</v>
      </c>
      <c r="O20" s="43">
        <f t="shared" ca="1" si="9"/>
        <v>0.11418</v>
      </c>
      <c r="P20" s="43">
        <f t="shared" ca="1" si="9"/>
        <v>1.0000000000000001E-5</v>
      </c>
      <c r="Q20" s="43">
        <f t="shared" ca="1" si="9"/>
        <v>0</v>
      </c>
      <c r="R20" s="43">
        <f t="shared" ca="1" si="9"/>
        <v>3.5300000000000002E-3</v>
      </c>
      <c r="S20" s="43">
        <f t="shared" ca="1" si="9"/>
        <v>0</v>
      </c>
      <c r="T20" s="43">
        <f t="shared" ca="1" si="9"/>
        <v>0</v>
      </c>
      <c r="U20" s="251"/>
    </row>
    <row r="21" spans="1:21" ht="11.25" x14ac:dyDescent="0.2">
      <c r="A21">
        <f t="shared" si="4"/>
        <v>15</v>
      </c>
      <c r="B21" s="255">
        <v>15</v>
      </c>
      <c r="C21" s="5" t="s">
        <v>376</v>
      </c>
      <c r="D21" s="40">
        <f ca="1">Input!$E$592</f>
        <v>0.88227999999999995</v>
      </c>
      <c r="E21" s="40">
        <f ca="1">Input!$F$592</f>
        <v>0.11418</v>
      </c>
      <c r="F21" s="40">
        <f ca="1">Input!$G$592</f>
        <v>1.0000000000000001E-5</v>
      </c>
      <c r="G21" s="219">
        <f>Input!$H$592</f>
        <v>0</v>
      </c>
      <c r="H21" s="40">
        <f ca="1">Input!$I$592</f>
        <v>3.5300000000000002E-3</v>
      </c>
      <c r="I21" s="40">
        <f ca="1">Input!$J$592</f>
        <v>0</v>
      </c>
      <c r="J21" s="40">
        <f ca="1">Input!$K$592</f>
        <v>0</v>
      </c>
      <c r="K21" s="40"/>
      <c r="L21" s="40"/>
      <c r="M21" s="3">
        <f t="shared" ca="1" si="8"/>
        <v>0.99999999999999989</v>
      </c>
      <c r="N21" s="43">
        <f ca="1">ROUND(1-SUM(O21:T21),5)</f>
        <v>0.88227999999999995</v>
      </c>
      <c r="O21" s="43">
        <f t="shared" ca="1" si="9"/>
        <v>0.11418</v>
      </c>
      <c r="P21" s="43">
        <f t="shared" ca="1" si="9"/>
        <v>1.0000000000000001E-5</v>
      </c>
      <c r="Q21" s="43">
        <f t="shared" ca="1" si="9"/>
        <v>0</v>
      </c>
      <c r="R21" s="43">
        <f t="shared" ca="1" si="9"/>
        <v>3.5300000000000002E-3</v>
      </c>
      <c r="S21" s="43">
        <f t="shared" ca="1" si="9"/>
        <v>0</v>
      </c>
      <c r="T21" s="43">
        <f t="shared" ca="1" si="9"/>
        <v>0</v>
      </c>
      <c r="U21" s="251"/>
    </row>
    <row r="22" spans="1:21" ht="11.25" x14ac:dyDescent="0.2">
      <c r="A22">
        <f t="shared" si="4"/>
        <v>16</v>
      </c>
      <c r="B22" s="255">
        <v>16</v>
      </c>
      <c r="C22" s="5" t="s">
        <v>377</v>
      </c>
      <c r="D22" s="40">
        <f>Input!$E$593</f>
        <v>0.71941662417005559</v>
      </c>
      <c r="E22" s="40">
        <f>Input!$F$593</f>
        <v>0.27612389659262171</v>
      </c>
      <c r="F22" s="40">
        <f>Input!$G$593</f>
        <v>1.3148477358315252E-4</v>
      </c>
      <c r="G22" s="219">
        <f>Input!$H$593</f>
        <v>0</v>
      </c>
      <c r="H22" s="40">
        <f>Input!$I$593</f>
        <v>4.3279944637395302E-3</v>
      </c>
      <c r="I22" s="40">
        <f>Input!$J$593</f>
        <v>0</v>
      </c>
      <c r="J22" s="40">
        <f>Input!$K$593</f>
        <v>0</v>
      </c>
      <c r="K22" s="40"/>
      <c r="L22" s="40"/>
      <c r="M22" s="3">
        <f t="shared" si="1"/>
        <v>1</v>
      </c>
      <c r="N22" s="43">
        <f t="shared" ref="N22" si="10">ROUND(1-SUM(O22:T22),5)</f>
        <v>0.71941999999999995</v>
      </c>
      <c r="O22" s="43">
        <f t="shared" si="7"/>
        <v>0.27611999999999998</v>
      </c>
      <c r="P22" s="43">
        <f t="shared" si="3"/>
        <v>1.2999999999999999E-4</v>
      </c>
      <c r="Q22" s="43">
        <f t="shared" si="3"/>
        <v>0</v>
      </c>
      <c r="R22" s="43">
        <f t="shared" si="3"/>
        <v>4.3299999999999996E-3</v>
      </c>
      <c r="S22" s="43">
        <f t="shared" si="3"/>
        <v>0</v>
      </c>
      <c r="T22" s="43">
        <f t="shared" si="3"/>
        <v>0</v>
      </c>
      <c r="U22" s="251"/>
    </row>
    <row r="23" spans="1:21" ht="11.25" x14ac:dyDescent="0.2">
      <c r="A23">
        <f t="shared" si="4"/>
        <v>17</v>
      </c>
      <c r="B23" s="255">
        <v>17</v>
      </c>
      <c r="C23" s="5" t="s">
        <v>378</v>
      </c>
      <c r="D23" s="40">
        <f>Input!$E$594</f>
        <v>0</v>
      </c>
      <c r="E23" s="40">
        <f>Input!$F$594</f>
        <v>0.25976700000000003</v>
      </c>
      <c r="F23" s="40">
        <f>Input!$G$594</f>
        <v>2.8699999999999998E-4</v>
      </c>
      <c r="G23" s="219">
        <f>Input!$H$594</f>
        <v>0</v>
      </c>
      <c r="H23" s="40">
        <f>Input!$I$594</f>
        <v>0.73994599999999999</v>
      </c>
      <c r="I23" s="40">
        <f>Input!$J$594</f>
        <v>0</v>
      </c>
      <c r="J23" s="40">
        <f>Input!$K$594</f>
        <v>0</v>
      </c>
      <c r="K23" s="40"/>
      <c r="L23" s="40"/>
      <c r="M23" s="3">
        <f>SUM(D23:J23)</f>
        <v>1</v>
      </c>
      <c r="N23" s="43">
        <f>ROUND(1-SUM(O23:T23)+0.00001,5)</f>
        <v>0</v>
      </c>
      <c r="O23" s="43">
        <f t="shared" si="7"/>
        <v>0.25977</v>
      </c>
      <c r="P23" s="43">
        <f t="shared" si="7"/>
        <v>2.9E-4</v>
      </c>
      <c r="Q23" s="43">
        <f t="shared" si="7"/>
        <v>0</v>
      </c>
      <c r="R23" s="43">
        <f t="shared" si="7"/>
        <v>0.73995</v>
      </c>
      <c r="S23" s="43">
        <f t="shared" si="7"/>
        <v>0</v>
      </c>
      <c r="T23" s="43">
        <f t="shared" si="7"/>
        <v>0</v>
      </c>
      <c r="U23" s="251"/>
    </row>
    <row r="24" spans="1:21" ht="11.25" x14ac:dyDescent="0.2">
      <c r="A24">
        <f t="shared" si="4"/>
        <v>18</v>
      </c>
      <c r="B24" s="255" t="s">
        <v>1016</v>
      </c>
      <c r="C24" s="5" t="s">
        <v>379</v>
      </c>
      <c r="D24" s="5">
        <f>Customer!$F$161+Customer!$F$162</f>
        <v>0</v>
      </c>
      <c r="E24" s="5">
        <f>Customer!$G$161+Customer!$G$162</f>
        <v>0</v>
      </c>
      <c r="F24" s="5">
        <f>Customer!$H$161+Customer!$H$162</f>
        <v>0</v>
      </c>
      <c r="G24" s="2">
        <f>Customer!$I$161+Customer!$I$162</f>
        <v>0</v>
      </c>
      <c r="H24" s="5">
        <f>Customer!$J$161+Customer!$J$162</f>
        <v>0</v>
      </c>
      <c r="I24" s="5">
        <f>Customer!$K$161+Customer!$K$162</f>
        <v>0</v>
      </c>
      <c r="J24" s="5">
        <f>Customer!$L$161+Customer!$L$162</f>
        <v>0</v>
      </c>
      <c r="K24" s="5"/>
      <c r="L24" s="5"/>
      <c r="M24" s="3">
        <f t="shared" si="1"/>
        <v>0</v>
      </c>
      <c r="N24" s="43">
        <f>ROUND(1-SUM(O24:T24),5)</f>
        <v>1</v>
      </c>
      <c r="O24" s="43">
        <f t="shared" si="7"/>
        <v>0</v>
      </c>
      <c r="P24" s="43">
        <f t="shared" si="7"/>
        <v>0</v>
      </c>
      <c r="Q24" s="43">
        <f t="shared" si="7"/>
        <v>0</v>
      </c>
      <c r="R24" s="43">
        <f t="shared" si="7"/>
        <v>0</v>
      </c>
      <c r="S24" s="43">
        <f t="shared" si="7"/>
        <v>0</v>
      </c>
      <c r="T24" s="43">
        <f t="shared" si="7"/>
        <v>0</v>
      </c>
      <c r="U24" s="251"/>
    </row>
    <row r="25" spans="1:21" ht="11.25" x14ac:dyDescent="0.2">
      <c r="A25">
        <f t="shared" si="4"/>
        <v>19</v>
      </c>
      <c r="B25" s="255" t="s">
        <v>1017</v>
      </c>
      <c r="C25" s="5" t="s">
        <v>154</v>
      </c>
      <c r="D25" s="5">
        <f ca="1">Customer!$F$205</f>
        <v>151459098</v>
      </c>
      <c r="E25" s="5">
        <f ca="1">Customer!$G$205</f>
        <v>28245419</v>
      </c>
      <c r="F25" s="5">
        <f ca="1">Customer!$H$205</f>
        <v>7776</v>
      </c>
      <c r="G25" s="2">
        <f ca="1">Customer!$I$205</f>
        <v>725830</v>
      </c>
      <c r="H25" s="5">
        <f ca="1">Customer!$J$205</f>
        <v>2806006</v>
      </c>
      <c r="I25" s="5">
        <f ca="1">Customer!$K$205</f>
        <v>0</v>
      </c>
      <c r="J25" s="5">
        <f ca="1">Customer!$L$205</f>
        <v>0</v>
      </c>
      <c r="K25" s="5"/>
      <c r="L25" s="5"/>
      <c r="M25" s="3">
        <f ca="1">SUM(D25:L25)</f>
        <v>183244129</v>
      </c>
      <c r="N25" s="43">
        <f ca="1">ROUND(1-SUM(O25:T25),5)</f>
        <v>0.82655000000000001</v>
      </c>
      <c r="O25" s="43">
        <f t="shared" ref="O25:T25" ca="1" si="11">IF($M25=0,0,ROUND(E25/$M25,5))</f>
        <v>0.15414</v>
      </c>
      <c r="P25" s="43">
        <f t="shared" ca="1" si="11"/>
        <v>4.0000000000000003E-5</v>
      </c>
      <c r="Q25" s="43">
        <f t="shared" ca="1" si="11"/>
        <v>3.96E-3</v>
      </c>
      <c r="R25" s="43">
        <f t="shared" ca="1" si="11"/>
        <v>1.5310000000000001E-2</v>
      </c>
      <c r="S25" s="43">
        <f t="shared" ca="1" si="11"/>
        <v>0</v>
      </c>
      <c r="T25" s="43">
        <f t="shared" ca="1" si="11"/>
        <v>0</v>
      </c>
      <c r="U25" s="251"/>
    </row>
    <row r="26" spans="1:21" ht="11.25" x14ac:dyDescent="0.2">
      <c r="A26">
        <f t="shared" si="4"/>
        <v>20</v>
      </c>
      <c r="B26" s="255">
        <v>20</v>
      </c>
      <c r="C26" s="5" t="s">
        <v>380</v>
      </c>
      <c r="D26" s="40">
        <f t="shared" ref="D26:J26" si="12">ROUND((N9+N11)/2,5)</f>
        <v>0.56389</v>
      </c>
      <c r="E26" s="40">
        <f t="shared" si="12"/>
        <v>0.2157</v>
      </c>
      <c r="F26" s="40">
        <f t="shared" si="12"/>
        <v>4.0999999999999999E-4</v>
      </c>
      <c r="G26" s="219">
        <f t="shared" si="12"/>
        <v>0</v>
      </c>
      <c r="H26" s="40">
        <f t="shared" si="12"/>
        <v>0.22001000000000001</v>
      </c>
      <c r="I26" s="40">
        <f t="shared" si="12"/>
        <v>0</v>
      </c>
      <c r="J26" s="40">
        <f t="shared" si="12"/>
        <v>0</v>
      </c>
      <c r="K26" s="40"/>
      <c r="L26" s="40"/>
      <c r="M26" s="23">
        <f t="shared" si="1"/>
        <v>1.0000100000000001</v>
      </c>
      <c r="N26" s="43">
        <f>1-SUM(O26:T26)</f>
        <v>0.56387999999999994</v>
      </c>
      <c r="O26" s="43">
        <f t="shared" si="7"/>
        <v>0.2157</v>
      </c>
      <c r="P26" s="43">
        <f t="shared" si="7"/>
        <v>4.0999999999999999E-4</v>
      </c>
      <c r="Q26" s="43">
        <f t="shared" si="7"/>
        <v>0</v>
      </c>
      <c r="R26" s="43">
        <f t="shared" si="7"/>
        <v>0.22001000000000001</v>
      </c>
      <c r="S26" s="43">
        <f t="shared" si="7"/>
        <v>0</v>
      </c>
      <c r="T26" s="43">
        <f t="shared" si="7"/>
        <v>0</v>
      </c>
      <c r="U26" s="251"/>
    </row>
    <row r="27" spans="1:21" ht="11.25" x14ac:dyDescent="0.2">
      <c r="A27">
        <f t="shared" si="4"/>
        <v>21</v>
      </c>
      <c r="B27" s="255">
        <v>21</v>
      </c>
      <c r="C27" s="5" t="s">
        <v>977</v>
      </c>
      <c r="D27" s="234">
        <f>Uncollectibles!$D$20</f>
        <v>1022789</v>
      </c>
      <c r="E27" s="234">
        <f>Uncollectibles!$E$20</f>
        <v>154887</v>
      </c>
      <c r="F27" s="234">
        <f>Uncollectibles!$F$20</f>
        <v>22</v>
      </c>
      <c r="G27" s="324">
        <f>Uncollectibles!$G$20</f>
        <v>66</v>
      </c>
      <c r="H27" s="234">
        <f>Uncollectibles!$H$20</f>
        <v>875</v>
      </c>
      <c r="I27" s="5">
        <v>0</v>
      </c>
      <c r="J27" s="5">
        <v>0</v>
      </c>
      <c r="K27" s="3"/>
      <c r="L27" s="3"/>
      <c r="M27" s="23">
        <f t="shared" si="1"/>
        <v>1178639</v>
      </c>
      <c r="N27" s="43">
        <f>1-SUM(O27:T27)</f>
        <v>0.86777000000000004</v>
      </c>
      <c r="O27" s="43">
        <f t="shared" si="7"/>
        <v>0.13141</v>
      </c>
      <c r="P27" s="43">
        <f t="shared" si="7"/>
        <v>2.0000000000000002E-5</v>
      </c>
      <c r="Q27" s="43">
        <f t="shared" si="7"/>
        <v>6.0000000000000002E-5</v>
      </c>
      <c r="R27" s="43">
        <f t="shared" si="7"/>
        <v>7.3999999999999999E-4</v>
      </c>
      <c r="S27" s="43">
        <f t="shared" si="7"/>
        <v>0</v>
      </c>
      <c r="T27" s="43">
        <f t="shared" si="7"/>
        <v>0</v>
      </c>
      <c r="U27" s="251"/>
    </row>
    <row r="28" spans="1:21" ht="11.25" x14ac:dyDescent="0.2">
      <c r="B28" s="255"/>
      <c r="C28" s="5"/>
      <c r="D28" s="234"/>
      <c r="E28" s="234"/>
      <c r="F28" s="234"/>
      <c r="G28" s="324"/>
      <c r="H28" s="234"/>
      <c r="I28" s="234"/>
      <c r="J28" s="234"/>
      <c r="K28" s="3"/>
      <c r="L28" s="3"/>
      <c r="M28" s="23"/>
      <c r="N28" s="43"/>
      <c r="O28" s="43"/>
      <c r="P28" s="43"/>
      <c r="Q28" s="43"/>
      <c r="R28" s="43"/>
      <c r="S28" s="43"/>
      <c r="T28" s="43"/>
      <c r="U28" s="251"/>
    </row>
    <row r="29" spans="1:21" ht="11.25" x14ac:dyDescent="0.2">
      <c r="A29" s="321"/>
      <c r="B29" s="322"/>
      <c r="C29" s="2"/>
      <c r="D29" s="2"/>
      <c r="E29" s="2"/>
      <c r="F29" s="2"/>
      <c r="G29" s="2"/>
      <c r="H29" s="2"/>
      <c r="I29" s="2"/>
      <c r="J29" s="2"/>
      <c r="K29" s="2"/>
      <c r="L29" s="1"/>
      <c r="M29" s="191"/>
      <c r="N29" s="323"/>
      <c r="O29" s="323"/>
      <c r="P29" s="323"/>
      <c r="Q29" s="323"/>
      <c r="R29" s="323"/>
      <c r="S29" s="323"/>
      <c r="T29" s="323"/>
    </row>
    <row r="30" spans="1:21" ht="11.25" x14ac:dyDescent="0.2">
      <c r="A30" s="321"/>
      <c r="B30" s="322"/>
      <c r="C30" s="2"/>
      <c r="D30" s="2"/>
      <c r="E30" s="2"/>
      <c r="F30" s="2"/>
      <c r="G30" s="2"/>
      <c r="H30" s="2"/>
      <c r="I30" s="2"/>
      <c r="J30" s="2"/>
      <c r="K30" s="2"/>
      <c r="L30" s="1"/>
      <c r="M30" s="191"/>
      <c r="N30" s="323"/>
      <c r="O30" s="323"/>
      <c r="P30" s="323"/>
      <c r="Q30" s="323"/>
      <c r="R30" s="323"/>
      <c r="S30" s="323"/>
      <c r="T30" s="323"/>
    </row>
    <row r="31" spans="1:21" ht="11.25" x14ac:dyDescent="0.2">
      <c r="A31" s="321"/>
      <c r="B31" s="322"/>
      <c r="C31" s="2"/>
      <c r="D31" s="2"/>
      <c r="E31" s="2"/>
      <c r="F31" s="2"/>
      <c r="G31" s="2"/>
      <c r="H31" s="2"/>
      <c r="I31" s="2"/>
      <c r="J31" s="2"/>
      <c r="K31" s="2"/>
      <c r="L31" s="1"/>
      <c r="M31" s="191"/>
      <c r="N31" s="323"/>
      <c r="O31" s="323"/>
      <c r="P31" s="323"/>
      <c r="Q31" s="323"/>
      <c r="R31" s="323"/>
      <c r="S31" s="323"/>
      <c r="T31" s="323"/>
    </row>
    <row r="32" spans="1:21" ht="11.25" x14ac:dyDescent="0.2">
      <c r="A32" s="321"/>
      <c r="B32" s="322"/>
      <c r="C32" s="2"/>
      <c r="D32" s="2"/>
      <c r="E32" s="2"/>
      <c r="F32" s="2"/>
      <c r="G32" s="2"/>
      <c r="H32" s="2"/>
      <c r="I32" s="2"/>
      <c r="J32" s="2"/>
      <c r="K32" s="1"/>
      <c r="L32" s="1"/>
      <c r="M32" s="191"/>
      <c r="N32" s="323"/>
      <c r="O32" s="323"/>
      <c r="P32" s="323"/>
      <c r="Q32" s="323"/>
      <c r="R32" s="323"/>
      <c r="S32" s="323"/>
      <c r="T32" s="323"/>
    </row>
    <row r="33" spans="1:20" ht="11.25" x14ac:dyDescent="0.2">
      <c r="A33" s="321"/>
      <c r="B33" s="322"/>
      <c r="C33" s="2"/>
      <c r="D33" s="2"/>
      <c r="E33" s="2"/>
      <c r="F33" s="2"/>
      <c r="G33" s="2"/>
      <c r="H33" s="2"/>
      <c r="I33" s="2"/>
      <c r="J33" s="2"/>
      <c r="K33" s="1"/>
      <c r="L33" s="1"/>
      <c r="M33" s="191"/>
      <c r="N33" s="323"/>
      <c r="O33" s="323"/>
      <c r="P33" s="323"/>
      <c r="Q33" s="323"/>
      <c r="R33" s="323"/>
      <c r="S33" s="323"/>
      <c r="T33" s="323"/>
    </row>
    <row r="34" spans="1:20" ht="11.25" x14ac:dyDescent="0.2">
      <c r="B34" s="255"/>
      <c r="C34" s="5" t="s">
        <v>2</v>
      </c>
      <c r="D34" s="5" t="s">
        <v>2</v>
      </c>
      <c r="E34" s="5" t="s">
        <v>2</v>
      </c>
      <c r="F34" s="5" t="s">
        <v>2</v>
      </c>
      <c r="G34" s="5" t="s">
        <v>2</v>
      </c>
      <c r="H34" s="5" t="s">
        <v>2</v>
      </c>
      <c r="I34" s="5" t="s">
        <v>2</v>
      </c>
      <c r="J34" s="5" t="s">
        <v>2</v>
      </c>
      <c r="K34" s="3"/>
      <c r="L34" s="3"/>
      <c r="M34" s="5" t="s">
        <v>2</v>
      </c>
      <c r="N34" s="242"/>
      <c r="O34" s="242"/>
      <c r="P34" s="242"/>
      <c r="Q34" s="242"/>
      <c r="R34" s="242"/>
      <c r="S34" s="242"/>
      <c r="T34" s="252"/>
    </row>
    <row r="35" spans="1:20" ht="11.25" x14ac:dyDescent="0.2">
      <c r="B35" s="29"/>
      <c r="C35" s="5" t="s">
        <v>2</v>
      </c>
      <c r="D35" s="5" t="s">
        <v>2</v>
      </c>
      <c r="E35" s="5" t="s">
        <v>2</v>
      </c>
      <c r="F35" s="5" t="s">
        <v>2</v>
      </c>
      <c r="G35" s="5" t="s">
        <v>2</v>
      </c>
      <c r="H35" s="5" t="s">
        <v>2</v>
      </c>
      <c r="I35" s="5"/>
      <c r="J35" s="5" t="s">
        <v>2</v>
      </c>
      <c r="K35" s="5" t="s">
        <v>2</v>
      </c>
      <c r="L35" s="3"/>
      <c r="M35" s="3"/>
      <c r="N35" s="242"/>
      <c r="O35" s="242"/>
      <c r="P35" s="242"/>
      <c r="Q35" s="242"/>
      <c r="R35" s="242"/>
      <c r="S35" s="242"/>
      <c r="T35" s="252"/>
    </row>
    <row r="36" spans="1:20" ht="11.25" x14ac:dyDescent="0.2">
      <c r="B36" s="255"/>
      <c r="C36" s="5" t="s">
        <v>2</v>
      </c>
      <c r="K36" s="5" t="s">
        <v>2</v>
      </c>
      <c r="L36" s="3"/>
      <c r="M36" s="3"/>
      <c r="N36" s="40"/>
      <c r="O36" s="40"/>
      <c r="P36" s="246"/>
      <c r="Q36" s="246"/>
      <c r="R36" s="247"/>
      <c r="S36" s="246"/>
      <c r="T36" s="253"/>
    </row>
    <row r="37" spans="1:20" ht="11.25" x14ac:dyDescent="0.2">
      <c r="B37" s="2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253"/>
    </row>
    <row r="38" spans="1:20" ht="11.25" x14ac:dyDescent="0.2">
      <c r="B38" s="255"/>
      <c r="C38" s="3"/>
      <c r="D38" s="3" t="s">
        <v>2</v>
      </c>
      <c r="E38" s="3"/>
      <c r="F38" s="3"/>
      <c r="G38" s="3"/>
      <c r="H38" s="3"/>
      <c r="I38" s="3"/>
      <c r="J38" s="3"/>
      <c r="K38" s="3"/>
      <c r="L38" s="3"/>
      <c r="M38" s="3"/>
      <c r="N38" s="250"/>
      <c r="O38" s="3"/>
      <c r="P38" s="3"/>
      <c r="Q38" s="3"/>
      <c r="R38" s="3"/>
      <c r="S38" s="3"/>
      <c r="T38" s="253"/>
    </row>
    <row r="39" spans="1:20" ht="11.25" x14ac:dyDescent="0.2">
      <c r="B39" s="2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253"/>
    </row>
    <row r="40" spans="1:20" ht="11.25" x14ac:dyDescent="0.2">
      <c r="B40" s="25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253"/>
    </row>
    <row r="41" spans="1:20" ht="11.25" x14ac:dyDescent="0.2">
      <c r="B41" s="2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253"/>
    </row>
    <row r="42" spans="1:20" ht="11.25" x14ac:dyDescent="0.2">
      <c r="B42" s="25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253"/>
    </row>
    <row r="43" spans="1:20" ht="11.25" x14ac:dyDescent="0.2">
      <c r="B43" s="2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253"/>
    </row>
    <row r="44" spans="1:20" ht="11.25" x14ac:dyDescent="0.2">
      <c r="B44" s="2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253"/>
    </row>
    <row r="45" spans="1:20" ht="11.25" x14ac:dyDescent="0.2">
      <c r="B45" s="2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253"/>
    </row>
    <row r="46" spans="1:20" ht="11.25" x14ac:dyDescent="0.2">
      <c r="B46" s="2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253"/>
    </row>
    <row r="47" spans="1:20" ht="11.25" x14ac:dyDescent="0.2">
      <c r="B47" s="29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1"/>
    </row>
    <row r="48" spans="1:20" ht="11.25" x14ac:dyDescent="0.2">
      <c r="B48" s="29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1"/>
    </row>
    <row r="49" spans="2:20" ht="11.25" x14ac:dyDescent="0.2">
      <c r="B49" s="29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1"/>
    </row>
    <row r="50" spans="2:20" ht="11.25" x14ac:dyDescent="0.2">
      <c r="B50" s="29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1"/>
    </row>
    <row r="51" spans="2:20" ht="11.25" x14ac:dyDescent="0.2">
      <c r="B51" s="2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1"/>
    </row>
    <row r="52" spans="2:20" ht="11.25" x14ac:dyDescent="0.2">
      <c r="B52" s="2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1"/>
    </row>
    <row r="53" spans="2:20" ht="11.25" x14ac:dyDescent="0.2">
      <c r="B53" s="2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253"/>
    </row>
    <row r="54" spans="2:20" ht="11.25" x14ac:dyDescent="0.2">
      <c r="B54" s="2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44"/>
    </row>
    <row r="55" spans="2:20" ht="11.25" x14ac:dyDescent="0.2">
      <c r="B55" s="29"/>
      <c r="C55" s="5"/>
      <c r="D55" s="5"/>
      <c r="E55" s="5"/>
      <c r="F55" s="5"/>
      <c r="G55" s="5"/>
      <c r="H55" s="3"/>
      <c r="I55" s="5"/>
      <c r="J55" s="3"/>
      <c r="K55" s="5"/>
      <c r="L55" s="3"/>
      <c r="M55" s="5"/>
      <c r="N55" s="5"/>
      <c r="O55" s="43"/>
      <c r="P55" s="3"/>
      <c r="Q55" s="3"/>
      <c r="R55" s="3"/>
      <c r="S55" s="3"/>
      <c r="T55" s="44"/>
    </row>
    <row r="56" spans="2:20" ht="11.25" x14ac:dyDescent="0.2">
      <c r="B56" s="29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2:20" ht="11.25" x14ac:dyDescent="0.2">
      <c r="B57" s="29"/>
      <c r="C57" s="5"/>
      <c r="D57" s="5"/>
      <c r="E57" s="5"/>
      <c r="F57" s="5"/>
      <c r="G57" s="5"/>
      <c r="H57" s="3"/>
      <c r="I57" s="5"/>
      <c r="J57" s="3"/>
      <c r="K57" s="5"/>
      <c r="L57" s="3"/>
      <c r="M57" s="5"/>
      <c r="N57" s="5"/>
      <c r="O57" s="43"/>
      <c r="P57" s="3"/>
      <c r="Q57" s="3"/>
      <c r="R57" s="3"/>
      <c r="S57" s="3"/>
      <c r="T57" s="3"/>
    </row>
    <row r="58" spans="2:20" ht="11.25" x14ac:dyDescent="0.2">
      <c r="B58" s="2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</sheetData>
  <pageMargins left="0" right="0" top="0" bottom="0" header="0.3" footer="0.3"/>
  <pageSetup scale="96" orientation="landscape" r:id="rId1"/>
  <colBreaks count="1" manualBreakCount="1">
    <brk id="10" max="29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selection activeCell="C39" sqref="C39"/>
    </sheetView>
  </sheetViews>
  <sheetFormatPr defaultRowHeight="10.5" x14ac:dyDescent="0.15"/>
  <cols>
    <col min="1" max="2" width="9.33203125" style="330"/>
    <col min="3" max="3" width="42.1640625" style="330" bestFit="1" customWidth="1"/>
    <col min="4" max="4" width="15.1640625" style="330" bestFit="1" customWidth="1"/>
    <col min="5" max="5" width="10.83203125" style="330" bestFit="1" customWidth="1"/>
    <col min="6" max="6" width="8.33203125" style="330" bestFit="1" customWidth="1"/>
    <col min="7" max="7" width="8.33203125" style="348" bestFit="1" customWidth="1"/>
    <col min="8" max="8" width="10.83203125" style="330" bestFit="1" customWidth="1"/>
    <col min="9" max="10" width="9.6640625" style="330" bestFit="1" customWidth="1"/>
    <col min="11" max="12" width="2.1640625" style="330" customWidth="1"/>
    <col min="13" max="13" width="10.83203125" style="330" bestFit="1" customWidth="1"/>
    <col min="14" max="14" width="15.1640625" style="330" bestFit="1" customWidth="1"/>
    <col min="15" max="15" width="10" style="330" bestFit="1" customWidth="1"/>
    <col min="16" max="16" width="7.33203125" style="330" bestFit="1" customWidth="1"/>
    <col min="17" max="18" width="8.33203125" style="330" bestFit="1" customWidth="1"/>
    <col min="19" max="20" width="9.6640625" style="330" bestFit="1" customWidth="1"/>
    <col min="21" max="16384" width="9.33203125" style="330"/>
  </cols>
  <sheetData>
    <row r="1" spans="1:20" ht="11.25" x14ac:dyDescent="0.2">
      <c r="B1" s="3">
        <v>1</v>
      </c>
      <c r="C1" s="3">
        <f>B1+1</f>
        <v>2</v>
      </c>
      <c r="D1" s="3">
        <f t="shared" ref="D1:T1" si="0">C1+1</f>
        <v>3</v>
      </c>
      <c r="E1" s="3">
        <f t="shared" si="0"/>
        <v>4</v>
      </c>
      <c r="F1" s="3">
        <f t="shared" si="0"/>
        <v>5</v>
      </c>
      <c r="G1" s="1">
        <f t="shared" si="0"/>
        <v>6</v>
      </c>
      <c r="H1" s="3">
        <f t="shared" si="0"/>
        <v>7</v>
      </c>
      <c r="I1" s="3">
        <f t="shared" si="0"/>
        <v>8</v>
      </c>
      <c r="J1" s="3">
        <f t="shared" si="0"/>
        <v>9</v>
      </c>
      <c r="K1" s="3">
        <f t="shared" si="0"/>
        <v>10</v>
      </c>
      <c r="L1" s="3">
        <f t="shared" si="0"/>
        <v>11</v>
      </c>
      <c r="M1" s="3">
        <f t="shared" si="0"/>
        <v>12</v>
      </c>
      <c r="N1" s="3">
        <f t="shared" si="0"/>
        <v>13</v>
      </c>
      <c r="O1" s="3">
        <f t="shared" si="0"/>
        <v>14</v>
      </c>
      <c r="P1" s="3">
        <f t="shared" si="0"/>
        <v>15</v>
      </c>
      <c r="Q1" s="3">
        <f t="shared" si="0"/>
        <v>16</v>
      </c>
      <c r="R1" s="3">
        <f t="shared" si="0"/>
        <v>17</v>
      </c>
      <c r="S1" s="3">
        <f t="shared" si="0"/>
        <v>18</v>
      </c>
      <c r="T1" s="3">
        <f t="shared" si="0"/>
        <v>19</v>
      </c>
    </row>
    <row r="2" spans="1:20" ht="11.25" x14ac:dyDescent="0.2">
      <c r="B2" s="16" t="s">
        <v>0</v>
      </c>
      <c r="C2" s="16" t="s">
        <v>0</v>
      </c>
      <c r="D2" s="3" t="s">
        <v>0</v>
      </c>
      <c r="E2" s="3"/>
      <c r="F2" s="3"/>
      <c r="G2" s="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3"/>
      <c r="T2" s="43"/>
    </row>
    <row r="3" spans="1:20" ht="11.25" x14ac:dyDescent="0.2">
      <c r="B3" s="3" t="s">
        <v>1026</v>
      </c>
      <c r="C3" s="3"/>
      <c r="D3" s="3"/>
      <c r="E3" s="3"/>
      <c r="F3" s="3"/>
      <c r="G3" s="1"/>
      <c r="H3" s="3"/>
      <c r="I3" s="3"/>
      <c r="J3" s="3"/>
      <c r="K3" s="3"/>
      <c r="L3" s="3"/>
      <c r="M3" s="3"/>
      <c r="N3" s="3"/>
      <c r="O3" s="3"/>
      <c r="P3" s="3"/>
      <c r="Q3" s="3"/>
      <c r="R3" s="43"/>
      <c r="S3" s="43"/>
      <c r="T3" s="3"/>
    </row>
    <row r="4" spans="1:20" ht="11.25" x14ac:dyDescent="0.2">
      <c r="B4" s="16" t="s">
        <v>0</v>
      </c>
      <c r="C4" s="16" t="s">
        <v>0</v>
      </c>
      <c r="D4" s="3" t="s">
        <v>0</v>
      </c>
      <c r="E4" s="3"/>
      <c r="F4" s="3"/>
      <c r="G4" s="1"/>
      <c r="H4" s="3"/>
      <c r="I4" s="3"/>
      <c r="J4" s="3"/>
      <c r="K4" s="3"/>
      <c r="L4" s="3"/>
      <c r="M4" s="3"/>
      <c r="N4" s="3"/>
      <c r="O4" s="3"/>
      <c r="P4" s="3"/>
      <c r="Q4" s="3"/>
      <c r="R4" s="43"/>
      <c r="S4" s="43"/>
      <c r="T4" s="3"/>
    </row>
    <row r="5" spans="1:20" ht="11.25" x14ac:dyDescent="0.2">
      <c r="B5" s="325" t="s">
        <v>92</v>
      </c>
      <c r="C5" s="3"/>
      <c r="D5" s="3" t="str">
        <f>Input!$C$12</f>
        <v>GS-RESIDENTIAL</v>
      </c>
      <c r="E5" s="3" t="str">
        <f>Input!$C$13</f>
        <v>GS-OTHER</v>
      </c>
      <c r="F5" s="3" t="str">
        <f>Input!$C$14</f>
        <v>IUS</v>
      </c>
      <c r="G5" s="1" t="str">
        <f>Input!$C$15</f>
        <v>DS-ML</v>
      </c>
      <c r="H5" s="3" t="str">
        <f>Input!$C$16</f>
        <v>DS/IS</v>
      </c>
      <c r="I5" s="3" t="str">
        <f>Input!$C$17</f>
        <v>NOT USED</v>
      </c>
      <c r="J5" s="3" t="str">
        <f>Input!$C$18</f>
        <v>NOT USED</v>
      </c>
      <c r="K5" s="3"/>
      <c r="L5" s="3"/>
      <c r="M5" s="325" t="s">
        <v>8</v>
      </c>
      <c r="N5" s="3" t="str">
        <f>Input!$C$12</f>
        <v>GS-RESIDENTIAL</v>
      </c>
      <c r="O5" s="3" t="str">
        <f>Input!$C$13</f>
        <v>GS-OTHER</v>
      </c>
      <c r="P5" s="3" t="str">
        <f>Input!$C$14</f>
        <v>IUS</v>
      </c>
      <c r="Q5" s="3" t="str">
        <f>Input!$C$15</f>
        <v>DS-ML</v>
      </c>
      <c r="R5" s="3" t="str">
        <f>Input!$C$16</f>
        <v>DS/IS</v>
      </c>
      <c r="S5" s="3" t="str">
        <f>Input!$C$17</f>
        <v>NOT USED</v>
      </c>
      <c r="T5" s="3" t="str">
        <f>Input!$C$18</f>
        <v>NOT USED</v>
      </c>
    </row>
    <row r="6" spans="1:20" ht="11.25" x14ac:dyDescent="0.2">
      <c r="B6" s="325" t="s">
        <v>9</v>
      </c>
      <c r="C6" s="3" t="s">
        <v>24</v>
      </c>
      <c r="D6" s="325" t="s">
        <v>362</v>
      </c>
      <c r="E6" s="325" t="s">
        <v>362</v>
      </c>
      <c r="F6" s="325" t="s">
        <v>362</v>
      </c>
      <c r="G6" s="118" t="s">
        <v>362</v>
      </c>
      <c r="H6" s="325" t="s">
        <v>362</v>
      </c>
      <c r="I6" s="325" t="s">
        <v>362</v>
      </c>
      <c r="J6" s="325" t="s">
        <v>362</v>
      </c>
      <c r="K6" s="325"/>
      <c r="L6" s="325"/>
      <c r="M6" s="325" t="s">
        <v>362</v>
      </c>
      <c r="N6" s="325" t="s">
        <v>363</v>
      </c>
      <c r="O6" s="325" t="s">
        <v>363</v>
      </c>
      <c r="P6" s="325" t="s">
        <v>363</v>
      </c>
      <c r="Q6" s="325" t="s">
        <v>363</v>
      </c>
      <c r="R6" s="325" t="s">
        <v>363</v>
      </c>
      <c r="S6" s="325" t="s">
        <v>363</v>
      </c>
      <c r="T6" s="325" t="s">
        <v>363</v>
      </c>
    </row>
    <row r="7" spans="1:20" ht="11.25" x14ac:dyDescent="0.2">
      <c r="A7" s="330">
        <v>1</v>
      </c>
      <c r="B7" s="255">
        <v>1</v>
      </c>
      <c r="C7" s="5" t="s">
        <v>364</v>
      </c>
      <c r="D7" s="5">
        <f>Input!$E$58</f>
        <v>137300</v>
      </c>
      <c r="E7" s="5">
        <f>Input!$F$58</f>
        <v>88300</v>
      </c>
      <c r="F7" s="5">
        <f>Input!$G$58</f>
        <v>200</v>
      </c>
      <c r="G7" s="2">
        <f>Input!$H$58</f>
        <v>0</v>
      </c>
      <c r="H7" s="5">
        <f>Input!$I$58</f>
        <v>82400</v>
      </c>
      <c r="I7" s="5">
        <f>Input!$J$58</f>
        <v>0</v>
      </c>
      <c r="J7" s="5">
        <f>Input!$K$58</f>
        <v>0</v>
      </c>
      <c r="K7" s="5"/>
      <c r="L7" s="5"/>
      <c r="M7" s="3">
        <f t="shared" ref="M7:M27" si="1">SUM(D7:L7)</f>
        <v>308200</v>
      </c>
      <c r="N7" s="43">
        <f t="shared" ref="N7:N13" si="2">ROUND(1-SUM(O7:T7),5)</f>
        <v>0.44549</v>
      </c>
      <c r="O7" s="43">
        <f t="shared" ref="O7:T22" si="3">IF($M7=0,0,ROUND(E7/$M7,5))</f>
        <v>0.28649999999999998</v>
      </c>
      <c r="P7" s="43">
        <f t="shared" si="3"/>
        <v>6.4999999999999997E-4</v>
      </c>
      <c r="Q7" s="43">
        <f t="shared" si="3"/>
        <v>0</v>
      </c>
      <c r="R7" s="43">
        <f t="shared" si="3"/>
        <v>0.26735999999999999</v>
      </c>
      <c r="S7" s="43">
        <f t="shared" si="3"/>
        <v>0</v>
      </c>
      <c r="T7" s="43">
        <f t="shared" si="3"/>
        <v>0</v>
      </c>
    </row>
    <row r="8" spans="1:20" ht="11.25" x14ac:dyDescent="0.2">
      <c r="A8" s="330">
        <f>A7+1</f>
        <v>2</v>
      </c>
      <c r="B8" s="255">
        <v>2</v>
      </c>
      <c r="C8" s="5" t="s">
        <v>1147</v>
      </c>
      <c r="D8" s="5">
        <f>Input!$E$59</f>
        <v>137300</v>
      </c>
      <c r="E8" s="5">
        <f>Input!$F$59</f>
        <v>83900</v>
      </c>
      <c r="F8" s="5">
        <f>Input!$G$59</f>
        <v>200</v>
      </c>
      <c r="G8" s="2">
        <f>Input!$H$59</f>
        <v>0</v>
      </c>
      <c r="H8" s="5">
        <f>Input!$I$59</f>
        <v>3900</v>
      </c>
      <c r="I8" s="5">
        <f>Input!$J$59</f>
        <v>0</v>
      </c>
      <c r="J8" s="5">
        <f>Input!$K$59</f>
        <v>0</v>
      </c>
      <c r="K8" s="5"/>
      <c r="L8" s="5"/>
      <c r="M8" s="3">
        <f t="shared" si="1"/>
        <v>225300</v>
      </c>
      <c r="N8" s="43">
        <f t="shared" si="2"/>
        <v>0.60941000000000001</v>
      </c>
      <c r="O8" s="43">
        <f t="shared" si="3"/>
        <v>0.37239</v>
      </c>
      <c r="P8" s="43">
        <f t="shared" si="3"/>
        <v>8.8999999999999995E-4</v>
      </c>
      <c r="Q8" s="43">
        <f t="shared" si="3"/>
        <v>0</v>
      </c>
      <c r="R8" s="43">
        <f t="shared" si="3"/>
        <v>1.7309999999999999E-2</v>
      </c>
      <c r="S8" s="43">
        <f t="shared" si="3"/>
        <v>0</v>
      </c>
      <c r="T8" s="43">
        <f t="shared" si="3"/>
        <v>0</v>
      </c>
    </row>
    <row r="9" spans="1:20" ht="11.25" x14ac:dyDescent="0.2">
      <c r="A9" s="330">
        <f t="shared" ref="A9:A27" si="4">A8+1</f>
        <v>3</v>
      </c>
      <c r="B9" s="255">
        <v>3</v>
      </c>
      <c r="C9" s="5" t="s">
        <v>337</v>
      </c>
      <c r="D9" s="40">
        <f>Input!$E$595</f>
        <v>0.73792999999999997</v>
      </c>
      <c r="E9" s="40">
        <f>Input!$F$595</f>
        <v>0.16741</v>
      </c>
      <c r="F9" s="40">
        <f>Input!$G$595</f>
        <v>2.4000000000000001E-4</v>
      </c>
      <c r="G9" s="219">
        <f>Input!$H$595</f>
        <v>0</v>
      </c>
      <c r="H9" s="40">
        <f>Input!$I$595</f>
        <v>9.4420000000000004E-2</v>
      </c>
      <c r="I9" s="40">
        <f>Input!$J$595</f>
        <v>0</v>
      </c>
      <c r="J9" s="40">
        <f>Input!$K$595</f>
        <v>0</v>
      </c>
      <c r="K9" s="40"/>
      <c r="L9" s="40"/>
      <c r="M9" s="23">
        <f t="shared" si="1"/>
        <v>1</v>
      </c>
      <c r="N9" s="43">
        <f t="shared" si="2"/>
        <v>0.73792999999999997</v>
      </c>
      <c r="O9" s="43">
        <f t="shared" si="3"/>
        <v>0.16741</v>
      </c>
      <c r="P9" s="43">
        <f t="shared" si="3"/>
        <v>2.4000000000000001E-4</v>
      </c>
      <c r="Q9" s="43">
        <f t="shared" si="3"/>
        <v>0</v>
      </c>
      <c r="R9" s="43">
        <f t="shared" si="3"/>
        <v>9.4420000000000004E-2</v>
      </c>
      <c r="S9" s="43">
        <f t="shared" si="3"/>
        <v>0</v>
      </c>
      <c r="T9" s="43">
        <f t="shared" si="3"/>
        <v>0</v>
      </c>
    </row>
    <row r="10" spans="1:20" ht="11.25" x14ac:dyDescent="0.2">
      <c r="A10" s="330">
        <f t="shared" si="4"/>
        <v>4</v>
      </c>
      <c r="B10" s="255">
        <v>4</v>
      </c>
      <c r="C10" s="5" t="s">
        <v>365</v>
      </c>
      <c r="D10" s="5">
        <f>Input!$E$57</f>
        <v>7960000.1000000006</v>
      </c>
      <c r="E10" s="5">
        <f>Input!$F$57</f>
        <v>5750963.4000000004</v>
      </c>
      <c r="F10" s="5">
        <f>Input!$G$57</f>
        <v>11320.699999999999</v>
      </c>
      <c r="G10" s="2">
        <f>Input!$H$57</f>
        <v>0</v>
      </c>
      <c r="H10" s="5">
        <f>Input!$I$57</f>
        <v>10094426.4</v>
      </c>
      <c r="I10" s="5">
        <f>Input!$J$57</f>
        <v>0</v>
      </c>
      <c r="J10" s="5">
        <f>Input!$K$57</f>
        <v>0</v>
      </c>
      <c r="K10" s="5"/>
      <c r="L10" s="5"/>
      <c r="M10" s="3">
        <f t="shared" si="1"/>
        <v>23816710.600000001</v>
      </c>
      <c r="N10" s="43">
        <f t="shared" si="2"/>
        <v>0.33421000000000001</v>
      </c>
      <c r="O10" s="43">
        <f t="shared" si="3"/>
        <v>0.24146999999999999</v>
      </c>
      <c r="P10" s="43">
        <f t="shared" si="3"/>
        <v>4.8000000000000001E-4</v>
      </c>
      <c r="Q10" s="43">
        <f t="shared" si="3"/>
        <v>0</v>
      </c>
      <c r="R10" s="43">
        <f t="shared" si="3"/>
        <v>0.42383999999999999</v>
      </c>
      <c r="S10" s="43">
        <f t="shared" si="3"/>
        <v>0</v>
      </c>
      <c r="T10" s="43">
        <f t="shared" si="3"/>
        <v>0</v>
      </c>
    </row>
    <row r="11" spans="1:20" ht="11.25" x14ac:dyDescent="0.2">
      <c r="A11" s="330">
        <f t="shared" si="4"/>
        <v>5</v>
      </c>
      <c r="B11" s="255">
        <v>5</v>
      </c>
      <c r="C11" s="5" t="s">
        <v>366</v>
      </c>
      <c r="D11" s="40">
        <f t="shared" ref="D11:J11" si="5">ROUND((N7+N10)/2,5)</f>
        <v>0.38984999999999997</v>
      </c>
      <c r="E11" s="40">
        <f t="shared" si="5"/>
        <v>0.26399</v>
      </c>
      <c r="F11" s="40">
        <f t="shared" si="5"/>
        <v>5.6999999999999998E-4</v>
      </c>
      <c r="G11" s="219">
        <f t="shared" si="5"/>
        <v>0</v>
      </c>
      <c r="H11" s="40">
        <f t="shared" si="5"/>
        <v>0.34560000000000002</v>
      </c>
      <c r="I11" s="40">
        <f t="shared" si="5"/>
        <v>0</v>
      </c>
      <c r="J11" s="40">
        <f t="shared" si="5"/>
        <v>0</v>
      </c>
      <c r="K11" s="40"/>
      <c r="L11" s="40"/>
      <c r="M11" s="3">
        <f t="shared" si="1"/>
        <v>1.0000100000000001</v>
      </c>
      <c r="N11" s="43">
        <f t="shared" si="2"/>
        <v>0.38984000000000002</v>
      </c>
      <c r="O11" s="43">
        <f t="shared" si="3"/>
        <v>0.26399</v>
      </c>
      <c r="P11" s="43">
        <f t="shared" si="3"/>
        <v>5.6999999999999998E-4</v>
      </c>
      <c r="Q11" s="43">
        <f t="shared" si="3"/>
        <v>0</v>
      </c>
      <c r="R11" s="43">
        <f t="shared" si="3"/>
        <v>0.34560000000000002</v>
      </c>
      <c r="S11" s="43">
        <f t="shared" si="3"/>
        <v>0</v>
      </c>
      <c r="T11" s="43">
        <f t="shared" si="3"/>
        <v>0</v>
      </c>
    </row>
    <row r="12" spans="1:20" ht="11.25" x14ac:dyDescent="0.2">
      <c r="A12" s="330">
        <f t="shared" si="4"/>
        <v>6</v>
      </c>
      <c r="B12" s="255">
        <v>6</v>
      </c>
      <c r="C12" s="5" t="s">
        <v>367</v>
      </c>
      <c r="D12" s="5">
        <f>Input!$E$60</f>
        <v>121915</v>
      </c>
      <c r="E12" s="5">
        <f>Input!$F$60</f>
        <v>13977</v>
      </c>
      <c r="F12" s="5">
        <f>Input!$G$60</f>
        <v>2</v>
      </c>
      <c r="G12" s="2">
        <f>Input!$H$60</f>
        <v>6</v>
      </c>
      <c r="H12" s="5">
        <f>Input!$I$60</f>
        <v>79</v>
      </c>
      <c r="I12" s="5">
        <f>Input!$J$60</f>
        <v>0</v>
      </c>
      <c r="J12" s="5">
        <f>Input!$K$60</f>
        <v>0</v>
      </c>
      <c r="K12" s="5"/>
      <c r="L12" s="5"/>
      <c r="M12" s="3">
        <f t="shared" si="1"/>
        <v>135979</v>
      </c>
      <c r="N12" s="43">
        <f t="shared" si="2"/>
        <v>0.89658000000000004</v>
      </c>
      <c r="O12" s="43">
        <f t="shared" si="3"/>
        <v>0.10279000000000001</v>
      </c>
      <c r="P12" s="43">
        <f t="shared" si="3"/>
        <v>1.0000000000000001E-5</v>
      </c>
      <c r="Q12" s="43">
        <f t="shared" si="3"/>
        <v>4.0000000000000003E-5</v>
      </c>
      <c r="R12" s="43">
        <f t="shared" si="3"/>
        <v>5.8E-4</v>
      </c>
      <c r="S12" s="43">
        <f t="shared" si="3"/>
        <v>0</v>
      </c>
      <c r="T12" s="43">
        <f t="shared" si="3"/>
        <v>0</v>
      </c>
    </row>
    <row r="13" spans="1:20" ht="11.25" x14ac:dyDescent="0.2">
      <c r="A13" s="330">
        <f t="shared" si="4"/>
        <v>7</v>
      </c>
      <c r="B13" s="255" t="s">
        <v>1029</v>
      </c>
      <c r="C13" s="5" t="s">
        <v>368</v>
      </c>
      <c r="D13" s="5">
        <f ca="1">SUM(Demand!F$149:F$157)+SUM(Demand!F$160:F$167)+SUM(Demand!F$175:F$181)</f>
        <v>46340808</v>
      </c>
      <c r="E13" s="5">
        <f ca="1">SUM(Demand!G$149:G$157)+SUM(Demand!G$160:G$167)+SUM(Demand!G$175:G$181)</f>
        <v>31380847</v>
      </c>
      <c r="F13" s="5">
        <f ca="1">SUM(Demand!H$149:H$157)+SUM(Demand!H$160:H$167)+SUM(Demand!H$175:H$181)</f>
        <v>67757</v>
      </c>
      <c r="G13" s="2">
        <f ca="1">SUM(Demand!I$149:I$157)+SUM(Demand!I$160:I$167)+SUM(Demand!I$175:I$181)</f>
        <v>28946.550000000003</v>
      </c>
      <c r="H13" s="5">
        <f ca="1">SUM(Demand!J$149:J$157)+SUM(Demand!J$160:J$167)+SUM(Demand!J$175:J$181)</f>
        <v>41081938</v>
      </c>
      <c r="I13" s="5">
        <f ca="1">SUM(Demand!K$149:K$157)+SUM(Demand!K$160:K$167)+SUM(Demand!K$175:K$181)</f>
        <v>0</v>
      </c>
      <c r="J13" s="5">
        <f ca="1">SUM(Demand!L$149:L$157)+SUM(Demand!L$160:L$167)+SUM(Demand!L$175:L$181)</f>
        <v>0</v>
      </c>
      <c r="K13" s="5"/>
      <c r="L13" s="5"/>
      <c r="M13" s="3">
        <f t="shared" ca="1" si="1"/>
        <v>118900296.55</v>
      </c>
      <c r="N13" s="43">
        <f t="shared" ca="1" si="2"/>
        <v>0.38973999999999998</v>
      </c>
      <c r="O13" s="43">
        <f t="shared" ca="1" si="3"/>
        <v>0.26393</v>
      </c>
      <c r="P13" s="43">
        <f t="shared" ca="1" si="3"/>
        <v>5.6999999999999998E-4</v>
      </c>
      <c r="Q13" s="43">
        <f t="shared" ca="1" si="3"/>
        <v>2.4000000000000001E-4</v>
      </c>
      <c r="R13" s="43">
        <f t="shared" ca="1" si="3"/>
        <v>0.34551999999999999</v>
      </c>
      <c r="S13" s="43">
        <f t="shared" ca="1" si="3"/>
        <v>0</v>
      </c>
      <c r="T13" s="43">
        <f t="shared" ca="1" si="3"/>
        <v>0</v>
      </c>
    </row>
    <row r="14" spans="1:20" ht="11.25" x14ac:dyDescent="0.2">
      <c r="A14" s="330">
        <f t="shared" si="4"/>
        <v>8</v>
      </c>
      <c r="B14" s="255">
        <v>8</v>
      </c>
      <c r="C14" s="5" t="s">
        <v>369</v>
      </c>
      <c r="D14" s="5">
        <f>Demand!F$180+Demand!F$181</f>
        <v>0</v>
      </c>
      <c r="E14" s="5">
        <f>Demand!G$180+Demand!G$181</f>
        <v>0</v>
      </c>
      <c r="F14" s="5">
        <f>Demand!H$180+Demand!H$181</f>
        <v>0</v>
      </c>
      <c r="G14" s="2">
        <f>Demand!I$180+Demand!I$181</f>
        <v>0</v>
      </c>
      <c r="H14" s="5">
        <f>Demand!J$180+Demand!J$181</f>
        <v>0</v>
      </c>
      <c r="I14" s="5">
        <f>Demand!K$180+Demand!K$181</f>
        <v>0</v>
      </c>
      <c r="J14" s="5">
        <f>Demand!L$180+Demand!L$181</f>
        <v>0</v>
      </c>
      <c r="K14" s="5"/>
      <c r="L14" s="5"/>
      <c r="M14" s="3">
        <f t="shared" si="1"/>
        <v>0</v>
      </c>
      <c r="N14" s="43">
        <f>IF($M14=0,0,ROUND(D14/$M14,5))</f>
        <v>0</v>
      </c>
      <c r="O14" s="43">
        <f>ROUND(1-SUM(P14:T14)-N14,5)</f>
        <v>1</v>
      </c>
      <c r="P14" s="43">
        <f t="shared" si="3"/>
        <v>0</v>
      </c>
      <c r="Q14" s="43">
        <f t="shared" si="3"/>
        <v>0</v>
      </c>
      <c r="R14" s="43">
        <f t="shared" si="3"/>
        <v>0</v>
      </c>
      <c r="S14" s="43">
        <f t="shared" si="3"/>
        <v>0</v>
      </c>
      <c r="T14" s="43">
        <f t="shared" si="3"/>
        <v>0</v>
      </c>
    </row>
    <row r="15" spans="1:20" ht="11.25" x14ac:dyDescent="0.2">
      <c r="A15" s="330">
        <f t="shared" si="4"/>
        <v>9</v>
      </c>
      <c r="B15" s="255">
        <v>9</v>
      </c>
      <c r="C15" s="5" t="s">
        <v>552</v>
      </c>
      <c r="D15" s="5">
        <f>Demand!F$427</f>
        <v>0</v>
      </c>
      <c r="E15" s="5">
        <f>Demand!G$427</f>
        <v>0</v>
      </c>
      <c r="F15" s="5">
        <f>Demand!H$427</f>
        <v>0</v>
      </c>
      <c r="G15" s="2">
        <f>Demand!I$427</f>
        <v>0</v>
      </c>
      <c r="H15" s="5">
        <f>Demand!J$427</f>
        <v>0</v>
      </c>
      <c r="I15" s="5">
        <f>Demand!K$427</f>
        <v>0</v>
      </c>
      <c r="J15" s="5">
        <f>Demand!L$427</f>
        <v>0</v>
      </c>
      <c r="K15" s="5"/>
      <c r="L15" s="5"/>
      <c r="M15" s="3">
        <f t="shared" si="1"/>
        <v>0</v>
      </c>
      <c r="N15" s="43">
        <f>ROUND(1-SUM(O15:T15),5)</f>
        <v>1</v>
      </c>
      <c r="O15" s="43">
        <f t="shared" ref="O15:T27" si="6">IF($M15=0,0,ROUND(E15/$M15,5))</f>
        <v>0</v>
      </c>
      <c r="P15" s="43">
        <f t="shared" si="3"/>
        <v>0</v>
      </c>
      <c r="Q15" s="43">
        <f t="shared" si="3"/>
        <v>0</v>
      </c>
      <c r="R15" s="43">
        <f t="shared" si="3"/>
        <v>0</v>
      </c>
      <c r="S15" s="43">
        <f t="shared" si="3"/>
        <v>0</v>
      </c>
      <c r="T15" s="43">
        <f t="shared" si="3"/>
        <v>0</v>
      </c>
    </row>
    <row r="16" spans="1:20" ht="11.25" x14ac:dyDescent="0.2">
      <c r="A16" s="330">
        <f t="shared" si="4"/>
        <v>10</v>
      </c>
      <c r="B16" s="255" t="s">
        <v>1030</v>
      </c>
      <c r="C16" s="5" t="s">
        <v>371</v>
      </c>
      <c r="D16" s="5">
        <f ca="1">SUM(Demand!F$444:F$449)+SUM(Demand!F$457:F$462)</f>
        <v>437640</v>
      </c>
      <c r="E16" s="5">
        <f ca="1">SUM(Demand!G$444:G$449)+SUM(Demand!G$457:G$462)</f>
        <v>296363</v>
      </c>
      <c r="F16" s="5">
        <f ca="1">SUM(Demand!H$444:H$449)+SUM(Demand!H$457:H$462)</f>
        <v>639</v>
      </c>
      <c r="G16" s="2">
        <f ca="1">SUM(Demand!I$444:I$449)+SUM(Demand!I$457:I$462)</f>
        <v>55</v>
      </c>
      <c r="H16" s="5">
        <f ca="1">SUM(Demand!J$444:J$449)+SUM(Demand!J$457:J$462)</f>
        <v>387974</v>
      </c>
      <c r="I16" s="5">
        <f ca="1">SUM(Demand!K$444:K$449)+SUM(Demand!K$457:K$462)</f>
        <v>0</v>
      </c>
      <c r="J16" s="5">
        <f ca="1">SUM(Demand!L$444:L$449)+SUM(Demand!L$457:L$462)</f>
        <v>0</v>
      </c>
      <c r="K16" s="5"/>
      <c r="L16" s="5"/>
      <c r="M16" s="3">
        <f t="shared" ca="1" si="1"/>
        <v>1122671</v>
      </c>
      <c r="N16" s="43">
        <f ca="1">ROUND(1-SUM(O16:T16),5)</f>
        <v>0.38982</v>
      </c>
      <c r="O16" s="43">
        <f t="shared" ca="1" si="6"/>
        <v>0.26397999999999999</v>
      </c>
      <c r="P16" s="43">
        <f t="shared" ca="1" si="3"/>
        <v>5.6999999999999998E-4</v>
      </c>
      <c r="Q16" s="43">
        <f t="shared" ca="1" si="3"/>
        <v>5.0000000000000002E-5</v>
      </c>
      <c r="R16" s="43">
        <f t="shared" ca="1" si="3"/>
        <v>0.34558</v>
      </c>
      <c r="S16" s="43">
        <f t="shared" ca="1" si="3"/>
        <v>0</v>
      </c>
      <c r="T16" s="43">
        <f t="shared" ca="1" si="3"/>
        <v>0</v>
      </c>
    </row>
    <row r="17" spans="1:20" ht="11.25" x14ac:dyDescent="0.2">
      <c r="A17" s="330">
        <f t="shared" si="4"/>
        <v>11</v>
      </c>
      <c r="B17" s="255" t="s">
        <v>1031</v>
      </c>
      <c r="C17" s="5" t="s">
        <v>372</v>
      </c>
      <c r="D17" s="5">
        <f ca="1">SUM(Demand!F$543:F$548)+SUM(Demand!F$556:F$561)</f>
        <v>1122936</v>
      </c>
      <c r="E17" s="5">
        <f ca="1">SUM(Demand!G$543:G$548)+SUM(Demand!G$556:G$561)</f>
        <v>760435</v>
      </c>
      <c r="F17" s="5">
        <f ca="1">SUM(Demand!H$543:H$548)+SUM(Demand!H$556:H$561)</f>
        <v>1643</v>
      </c>
      <c r="G17" s="2">
        <f ca="1">SUM(Demand!I$543:I$548)+SUM(Demand!I$556:I$561)</f>
        <v>144</v>
      </c>
      <c r="H17" s="5">
        <f ca="1">SUM(Demand!J$543:J$548)+SUM(Demand!J$556:J$561)</f>
        <v>995496</v>
      </c>
      <c r="I17" s="5">
        <f ca="1">SUM(Demand!K$543:K$548)+SUM(Demand!K$556:K$561)</f>
        <v>0</v>
      </c>
      <c r="J17" s="5">
        <f ca="1">SUM(Demand!L$543:L$548)+SUM(Demand!L$556:L$561)</f>
        <v>0</v>
      </c>
      <c r="K17" s="5"/>
      <c r="L17" s="5"/>
      <c r="M17" s="3">
        <f t="shared" ca="1" si="1"/>
        <v>2880654</v>
      </c>
      <c r="N17" s="43">
        <f ca="1">ROUND(1-SUM(O17:T17),5)</f>
        <v>0.38982</v>
      </c>
      <c r="O17" s="43">
        <f t="shared" ca="1" si="6"/>
        <v>0.26397999999999999</v>
      </c>
      <c r="P17" s="43">
        <f t="shared" ca="1" si="3"/>
        <v>5.6999999999999998E-4</v>
      </c>
      <c r="Q17" s="43">
        <f t="shared" ca="1" si="3"/>
        <v>5.0000000000000002E-5</v>
      </c>
      <c r="R17" s="43">
        <f t="shared" ca="1" si="3"/>
        <v>0.34558</v>
      </c>
      <c r="S17" s="43">
        <f t="shared" ca="1" si="3"/>
        <v>0</v>
      </c>
      <c r="T17" s="43">
        <f t="shared" ca="1" si="3"/>
        <v>0</v>
      </c>
    </row>
    <row r="18" spans="1:20" ht="11.25" x14ac:dyDescent="0.2">
      <c r="A18" s="330">
        <f t="shared" si="4"/>
        <v>12</v>
      </c>
      <c r="B18" s="255" t="s">
        <v>1032</v>
      </c>
      <c r="C18" s="5" t="s">
        <v>373</v>
      </c>
      <c r="D18" s="5">
        <f ca="1">SUM(Demand!F$643:F$648)</f>
        <v>493412</v>
      </c>
      <c r="E18" s="5">
        <f ca="1">SUM(Demand!G$643:G$648)</f>
        <v>334132</v>
      </c>
      <c r="F18" s="5">
        <f ca="1">SUM(Demand!H$643:H$648)</f>
        <v>720</v>
      </c>
      <c r="G18" s="2">
        <f ca="1">SUM(Demand!I$643:I$648)</f>
        <v>62</v>
      </c>
      <c r="H18" s="5">
        <f ca="1">SUM(Demand!J$643:J$648)</f>
        <v>437417</v>
      </c>
      <c r="I18" s="5">
        <f ca="1">SUM(Demand!K$643:K$648)</f>
        <v>0</v>
      </c>
      <c r="J18" s="5">
        <f ca="1">SUM(Demand!L$643:L$648)</f>
        <v>0</v>
      </c>
      <c r="K18" s="5"/>
      <c r="L18" s="5"/>
      <c r="M18" s="3">
        <f t="shared" ca="1" si="1"/>
        <v>1265743</v>
      </c>
      <c r="N18" s="43">
        <f t="shared" ref="N18:N19" ca="1" si="7">ROUND(1-SUM(O18:T18)+0.00000000001,5)</f>
        <v>0.38982</v>
      </c>
      <c r="O18" s="43">
        <f t="shared" ca="1" si="6"/>
        <v>0.26397999999999999</v>
      </c>
      <c r="P18" s="43">
        <f t="shared" ca="1" si="3"/>
        <v>5.6999999999999998E-4</v>
      </c>
      <c r="Q18" s="43">
        <f t="shared" ca="1" si="3"/>
        <v>5.0000000000000002E-5</v>
      </c>
      <c r="R18" s="43">
        <f t="shared" ca="1" si="3"/>
        <v>0.34558</v>
      </c>
      <c r="S18" s="43">
        <f t="shared" ca="1" si="3"/>
        <v>0</v>
      </c>
      <c r="T18" s="43">
        <f t="shared" ca="1" si="3"/>
        <v>0</v>
      </c>
    </row>
    <row r="19" spans="1:20" ht="11.25" x14ac:dyDescent="0.2">
      <c r="A19" s="330">
        <f t="shared" si="4"/>
        <v>13</v>
      </c>
      <c r="B19" s="255" t="s">
        <v>1033</v>
      </c>
      <c r="C19" s="5" t="s">
        <v>374</v>
      </c>
      <c r="D19" s="5">
        <f ca="1">SUM(Demand!F$654:F$659)-Demand!F$576</f>
        <v>1399318</v>
      </c>
      <c r="E19" s="5">
        <f ca="1">SUM(Demand!G$654:G$659)-Demand!G$576</f>
        <v>947510</v>
      </c>
      <c r="F19" s="5">
        <f ca="1">SUM(Demand!H$654:H$659)-Demand!H$576</f>
        <v>2046</v>
      </c>
      <c r="G19" s="2">
        <f ca="1">SUM(Demand!I$654:I$659)-Demand!I$576</f>
        <v>179</v>
      </c>
      <c r="H19" s="5">
        <f ca="1">SUM(Demand!J$654:J$659)-Demand!J$576</f>
        <v>1239393</v>
      </c>
      <c r="I19" s="5">
        <f ca="1">SUM(Demand!K$654:K$659)-Demand!K$576</f>
        <v>0</v>
      </c>
      <c r="J19" s="5">
        <f ca="1">SUM(Demand!L$654:L$659)-Demand!L$576</f>
        <v>0</v>
      </c>
      <c r="K19" s="5"/>
      <c r="L19" s="5"/>
      <c r="M19" s="3">
        <f t="shared" ca="1" si="1"/>
        <v>3588446</v>
      </c>
      <c r="N19" s="43">
        <f t="shared" ca="1" si="7"/>
        <v>0.38995999999999997</v>
      </c>
      <c r="O19" s="43">
        <f t="shared" ca="1" si="6"/>
        <v>0.26404</v>
      </c>
      <c r="P19" s="43">
        <f t="shared" ca="1" si="3"/>
        <v>5.6999999999999998E-4</v>
      </c>
      <c r="Q19" s="43">
        <f t="shared" ca="1" si="3"/>
        <v>5.0000000000000002E-5</v>
      </c>
      <c r="R19" s="43">
        <f t="shared" ca="1" si="3"/>
        <v>0.34538000000000002</v>
      </c>
      <c r="S19" s="43">
        <f t="shared" ca="1" si="3"/>
        <v>0</v>
      </c>
      <c r="T19" s="43">
        <f t="shared" ca="1" si="3"/>
        <v>0</v>
      </c>
    </row>
    <row r="20" spans="1:20" ht="11.25" x14ac:dyDescent="0.2">
      <c r="A20" s="330">
        <f t="shared" si="4"/>
        <v>14</v>
      </c>
      <c r="B20" s="255" t="s">
        <v>1034</v>
      </c>
      <c r="C20" s="5" t="s">
        <v>375</v>
      </c>
      <c r="D20" s="5">
        <f ca="1">Demand!F$161+Demand!F$162+Demand!F$167+Demand!F$175</f>
        <v>43135963</v>
      </c>
      <c r="E20" s="5">
        <f ca="1">Demand!G$161+Demand!G$162+Demand!G$167+Demand!G$175</f>
        <v>29210606</v>
      </c>
      <c r="F20" s="5">
        <f ca="1">Demand!H$161+Demand!H$162+Demand!H$167+Demand!H$175</f>
        <v>63071</v>
      </c>
      <c r="G20" s="2">
        <f ca="1">Demand!I$161+Demand!I$162+Demand!I$167+Demand!I$175</f>
        <v>5840.7900000000009</v>
      </c>
      <c r="H20" s="5">
        <f ca="1">Demand!J$161+Demand!J$162+Demand!J$167+Demand!J$175</f>
        <v>38240788</v>
      </c>
      <c r="I20" s="5">
        <f ca="1">Demand!K$161+Demand!K$162+Demand!K$167+Demand!K$175</f>
        <v>0</v>
      </c>
      <c r="J20" s="5">
        <f ca="1">Demand!L$161+Demand!L$162+Demand!L$167+Demand!L$175</f>
        <v>0</v>
      </c>
      <c r="K20" s="5"/>
      <c r="L20" s="5"/>
      <c r="M20" s="3">
        <f t="shared" ca="1" si="1"/>
        <v>110656268.79000001</v>
      </c>
      <c r="N20" s="43">
        <f ca="1">ROUND(1-SUM(O20:T20),5)</f>
        <v>0.38982</v>
      </c>
      <c r="O20" s="43">
        <f t="shared" ca="1" si="6"/>
        <v>0.26397999999999999</v>
      </c>
      <c r="P20" s="43">
        <f t="shared" ca="1" si="3"/>
        <v>5.6999999999999998E-4</v>
      </c>
      <c r="Q20" s="43">
        <f t="shared" ca="1" si="3"/>
        <v>5.0000000000000002E-5</v>
      </c>
      <c r="R20" s="43">
        <f t="shared" ca="1" si="3"/>
        <v>0.34558</v>
      </c>
      <c r="S20" s="43">
        <f t="shared" ca="1" si="3"/>
        <v>0</v>
      </c>
      <c r="T20" s="43">
        <f t="shared" ca="1" si="3"/>
        <v>0</v>
      </c>
    </row>
    <row r="21" spans="1:20" ht="11.25" x14ac:dyDescent="0.2">
      <c r="A21" s="330">
        <f t="shared" si="4"/>
        <v>15</v>
      </c>
      <c r="B21" s="255">
        <v>15</v>
      </c>
      <c r="C21" s="5" t="s">
        <v>376</v>
      </c>
      <c r="D21" s="40">
        <f ca="1">Input!$E$592</f>
        <v>0.88227999999999995</v>
      </c>
      <c r="E21" s="40">
        <f ca="1">Input!$F$592</f>
        <v>0.11418</v>
      </c>
      <c r="F21" s="40">
        <f ca="1">Input!$G$592</f>
        <v>1.0000000000000001E-5</v>
      </c>
      <c r="G21" s="219">
        <f>Input!$H$592</f>
        <v>0</v>
      </c>
      <c r="H21" s="40">
        <f ca="1">Input!$I$592</f>
        <v>3.5300000000000002E-3</v>
      </c>
      <c r="I21" s="40">
        <f ca="1">Input!$J$592</f>
        <v>0</v>
      </c>
      <c r="J21" s="40">
        <f ca="1">Input!$K$592</f>
        <v>0</v>
      </c>
      <c r="K21" s="40"/>
      <c r="L21" s="40"/>
      <c r="M21" s="3">
        <f t="shared" ca="1" si="1"/>
        <v>0.99999999999999989</v>
      </c>
      <c r="N21" s="43">
        <f t="shared" ref="N21:N22" ca="1" si="8">ROUND(1-SUM(O21:T21),5)</f>
        <v>0.88227999999999995</v>
      </c>
      <c r="O21" s="43">
        <f t="shared" ca="1" si="6"/>
        <v>0.11418</v>
      </c>
      <c r="P21" s="43">
        <f t="shared" ca="1" si="3"/>
        <v>1.0000000000000001E-5</v>
      </c>
      <c r="Q21" s="43">
        <f t="shared" ca="1" si="3"/>
        <v>0</v>
      </c>
      <c r="R21" s="43">
        <f t="shared" ca="1" si="3"/>
        <v>3.5300000000000002E-3</v>
      </c>
      <c r="S21" s="43">
        <f t="shared" ca="1" si="3"/>
        <v>0</v>
      </c>
      <c r="T21" s="43">
        <f t="shared" ca="1" si="3"/>
        <v>0</v>
      </c>
    </row>
    <row r="22" spans="1:20" ht="11.25" x14ac:dyDescent="0.2">
      <c r="A22" s="330">
        <f t="shared" si="4"/>
        <v>16</v>
      </c>
      <c r="B22" s="255">
        <v>16</v>
      </c>
      <c r="C22" s="5" t="s">
        <v>377</v>
      </c>
      <c r="D22" s="40">
        <f>Input!$E$593</f>
        <v>0.71941662417005559</v>
      </c>
      <c r="E22" s="40">
        <f>Input!$F$593</f>
        <v>0.27612389659262171</v>
      </c>
      <c r="F22" s="40">
        <f>Input!$G$593</f>
        <v>1.3148477358315252E-4</v>
      </c>
      <c r="G22" s="219">
        <f>Input!$H$593</f>
        <v>0</v>
      </c>
      <c r="H22" s="40">
        <f>Input!$I$593</f>
        <v>4.3279944637395302E-3</v>
      </c>
      <c r="I22" s="40">
        <f>Input!$J$593</f>
        <v>0</v>
      </c>
      <c r="J22" s="40">
        <f>Input!$K$593</f>
        <v>0</v>
      </c>
      <c r="K22" s="40"/>
      <c r="L22" s="40"/>
      <c r="M22" s="3">
        <f t="shared" si="1"/>
        <v>1</v>
      </c>
      <c r="N22" s="43">
        <f t="shared" si="8"/>
        <v>0.71941999999999995</v>
      </c>
      <c r="O22" s="43">
        <f t="shared" si="6"/>
        <v>0.27611999999999998</v>
      </c>
      <c r="P22" s="43">
        <f t="shared" si="3"/>
        <v>1.2999999999999999E-4</v>
      </c>
      <c r="Q22" s="43">
        <f t="shared" si="3"/>
        <v>0</v>
      </c>
      <c r="R22" s="43">
        <f t="shared" si="3"/>
        <v>4.3299999999999996E-3</v>
      </c>
      <c r="S22" s="43">
        <f t="shared" si="3"/>
        <v>0</v>
      </c>
      <c r="T22" s="43">
        <f t="shared" si="3"/>
        <v>0</v>
      </c>
    </row>
    <row r="23" spans="1:20" ht="11.25" x14ac:dyDescent="0.2">
      <c r="A23" s="330">
        <f t="shared" si="4"/>
        <v>17</v>
      </c>
      <c r="B23" s="255">
        <v>17</v>
      </c>
      <c r="C23" s="5" t="s">
        <v>378</v>
      </c>
      <c r="D23" s="40">
        <f>Input!$E$594</f>
        <v>0</v>
      </c>
      <c r="E23" s="40">
        <f>Input!$F$594</f>
        <v>0.25976700000000003</v>
      </c>
      <c r="F23" s="40">
        <f>Input!$G$594</f>
        <v>2.8699999999999998E-4</v>
      </c>
      <c r="G23" s="219">
        <f>Input!$H$594</f>
        <v>0</v>
      </c>
      <c r="H23" s="40">
        <f>Input!$I$594</f>
        <v>0.73994599999999999</v>
      </c>
      <c r="I23" s="40">
        <f>Input!$J$594</f>
        <v>0</v>
      </c>
      <c r="J23" s="40">
        <f>Input!$K$594</f>
        <v>0</v>
      </c>
      <c r="K23" s="40"/>
      <c r="L23" s="40"/>
      <c r="M23" s="3">
        <f t="shared" si="1"/>
        <v>1</v>
      </c>
      <c r="N23" s="43">
        <f>ROUND(1-SUM(O23:T23)+0.00001,5)</f>
        <v>0</v>
      </c>
      <c r="O23" s="43">
        <f t="shared" si="6"/>
        <v>0.25977</v>
      </c>
      <c r="P23" s="43">
        <f t="shared" si="6"/>
        <v>2.9E-4</v>
      </c>
      <c r="Q23" s="43">
        <f t="shared" si="6"/>
        <v>0</v>
      </c>
      <c r="R23" s="43">
        <f t="shared" si="6"/>
        <v>0.73995</v>
      </c>
      <c r="S23" s="43">
        <f t="shared" si="6"/>
        <v>0</v>
      </c>
      <c r="T23" s="43">
        <f t="shared" si="6"/>
        <v>0</v>
      </c>
    </row>
    <row r="24" spans="1:20" ht="11.25" x14ac:dyDescent="0.2">
      <c r="A24" s="330">
        <f t="shared" si="4"/>
        <v>18</v>
      </c>
      <c r="B24" s="255" t="s">
        <v>1035</v>
      </c>
      <c r="C24" s="5" t="s">
        <v>379</v>
      </c>
      <c r="D24" s="5">
        <f>Demand!F$161+Demand!F$162</f>
        <v>43135963</v>
      </c>
      <c r="E24" s="5">
        <f>Demand!G$161+Demand!G$162</f>
        <v>29210606</v>
      </c>
      <c r="F24" s="5">
        <f>Demand!H$161+Demand!H$162</f>
        <v>63071</v>
      </c>
      <c r="G24" s="2">
        <f>Demand!I$161+Demand!I$162</f>
        <v>5840.7900000000009</v>
      </c>
      <c r="H24" s="5">
        <f>Demand!J$161+Demand!J$162</f>
        <v>38240788</v>
      </c>
      <c r="I24" s="5">
        <f>Demand!K$161+Demand!K$162</f>
        <v>0</v>
      </c>
      <c r="J24" s="5">
        <f>Demand!L$161+Demand!L$162</f>
        <v>0</v>
      </c>
      <c r="K24" s="5"/>
      <c r="L24" s="5"/>
      <c r="M24" s="3">
        <f t="shared" si="1"/>
        <v>110656268.79000001</v>
      </c>
      <c r="N24" s="43">
        <f>ROUND(1-SUM(O24:T24),5)</f>
        <v>0.38982</v>
      </c>
      <c r="O24" s="43">
        <f t="shared" si="6"/>
        <v>0.26397999999999999</v>
      </c>
      <c r="P24" s="43">
        <f t="shared" si="6"/>
        <v>5.6999999999999998E-4</v>
      </c>
      <c r="Q24" s="43">
        <f t="shared" si="6"/>
        <v>5.0000000000000002E-5</v>
      </c>
      <c r="R24" s="43">
        <f t="shared" si="6"/>
        <v>0.34558</v>
      </c>
      <c r="S24" s="43">
        <f t="shared" si="6"/>
        <v>0</v>
      </c>
      <c r="T24" s="43">
        <f t="shared" si="6"/>
        <v>0</v>
      </c>
    </row>
    <row r="25" spans="1:20" ht="11.25" x14ac:dyDescent="0.2">
      <c r="A25" s="330">
        <f t="shared" si="4"/>
        <v>19</v>
      </c>
      <c r="B25" s="255" t="s">
        <v>1036</v>
      </c>
      <c r="C25" s="5" t="s">
        <v>154</v>
      </c>
      <c r="D25" s="5">
        <f ca="1">Demand!F$205</f>
        <v>49623411</v>
      </c>
      <c r="E25" s="5">
        <f ca="1">Demand!G$205</f>
        <v>33603809</v>
      </c>
      <c r="F25" s="5">
        <f ca="1">Demand!H$205</f>
        <v>72557</v>
      </c>
      <c r="G25" s="2">
        <f ca="1">Demand!I$205</f>
        <v>30967.550000000003</v>
      </c>
      <c r="H25" s="5">
        <f ca="1">Demand!J$205</f>
        <v>43992095</v>
      </c>
      <c r="I25" s="5">
        <f ca="1">Demand!K$205</f>
        <v>0</v>
      </c>
      <c r="J25" s="5">
        <f ca="1">Demand!L$205</f>
        <v>0</v>
      </c>
      <c r="K25" s="5"/>
      <c r="L25" s="5"/>
      <c r="M25" s="3">
        <f t="shared" ca="1" si="1"/>
        <v>127322839.55</v>
      </c>
      <c r="N25" s="43">
        <f ca="1">ROUND(1-SUM(O25:T25),5)</f>
        <v>0.38973999999999998</v>
      </c>
      <c r="O25" s="43">
        <f t="shared" ca="1" si="6"/>
        <v>0.26393</v>
      </c>
      <c r="P25" s="43">
        <f t="shared" ca="1" si="6"/>
        <v>5.6999999999999998E-4</v>
      </c>
      <c r="Q25" s="43">
        <f t="shared" ca="1" si="6"/>
        <v>2.4000000000000001E-4</v>
      </c>
      <c r="R25" s="43">
        <f t="shared" ca="1" si="6"/>
        <v>0.34551999999999999</v>
      </c>
      <c r="S25" s="43">
        <f t="shared" ca="1" si="6"/>
        <v>0</v>
      </c>
      <c r="T25" s="43">
        <f t="shared" ca="1" si="6"/>
        <v>0</v>
      </c>
    </row>
    <row r="26" spans="1:20" ht="11.25" x14ac:dyDescent="0.2">
      <c r="A26" s="330">
        <f t="shared" si="4"/>
        <v>20</v>
      </c>
      <c r="B26" s="255">
        <v>20</v>
      </c>
      <c r="C26" s="5" t="s">
        <v>380</v>
      </c>
      <c r="D26" s="40">
        <f t="shared" ref="D26:J26" si="9">ROUND((N9+N11)/2,5)</f>
        <v>0.56389</v>
      </c>
      <c r="E26" s="40">
        <f t="shared" si="9"/>
        <v>0.2157</v>
      </c>
      <c r="F26" s="40">
        <f t="shared" si="9"/>
        <v>4.0999999999999999E-4</v>
      </c>
      <c r="G26" s="219">
        <f t="shared" si="9"/>
        <v>0</v>
      </c>
      <c r="H26" s="40">
        <f t="shared" si="9"/>
        <v>0.22001000000000001</v>
      </c>
      <c r="I26" s="40">
        <f t="shared" si="9"/>
        <v>0</v>
      </c>
      <c r="J26" s="40">
        <f t="shared" si="9"/>
        <v>0</v>
      </c>
      <c r="K26" s="40"/>
      <c r="L26" s="40"/>
      <c r="M26" s="23">
        <f t="shared" si="1"/>
        <v>1.0000100000000001</v>
      </c>
      <c r="N26" s="43">
        <f>1-SUM(O26:T26)</f>
        <v>0.56387999999999994</v>
      </c>
      <c r="O26" s="43">
        <f t="shared" si="6"/>
        <v>0.2157</v>
      </c>
      <c r="P26" s="43">
        <f t="shared" si="6"/>
        <v>4.0999999999999999E-4</v>
      </c>
      <c r="Q26" s="43">
        <f t="shared" si="6"/>
        <v>0</v>
      </c>
      <c r="R26" s="43">
        <f t="shared" si="6"/>
        <v>0.22001000000000001</v>
      </c>
      <c r="S26" s="43">
        <f t="shared" si="6"/>
        <v>0</v>
      </c>
      <c r="T26" s="43">
        <f t="shared" si="6"/>
        <v>0</v>
      </c>
    </row>
    <row r="27" spans="1:20" ht="11.25" x14ac:dyDescent="0.2">
      <c r="A27" s="348">
        <f t="shared" si="4"/>
        <v>21</v>
      </c>
      <c r="B27" s="322">
        <v>21</v>
      </c>
      <c r="C27" s="2" t="s">
        <v>977</v>
      </c>
      <c r="D27" s="324">
        <f>Uncollectibles!$D$20</f>
        <v>1022789</v>
      </c>
      <c r="E27" s="324">
        <f>Uncollectibles!$E$20</f>
        <v>154887</v>
      </c>
      <c r="F27" s="324">
        <f>Uncollectibles!$F$20</f>
        <v>22</v>
      </c>
      <c r="G27" s="324">
        <f>Uncollectibles!$G$20</f>
        <v>66</v>
      </c>
      <c r="H27" s="324">
        <f>Uncollectibles!$H$20</f>
        <v>875</v>
      </c>
      <c r="I27" s="2">
        <v>0</v>
      </c>
      <c r="J27" s="2">
        <v>0</v>
      </c>
      <c r="K27" s="1"/>
      <c r="L27" s="1"/>
      <c r="M27" s="191">
        <f t="shared" si="1"/>
        <v>1178639</v>
      </c>
      <c r="N27" s="323">
        <f>1-SUM(O27:T27)</f>
        <v>0.86777000000000004</v>
      </c>
      <c r="O27" s="43">
        <f t="shared" si="6"/>
        <v>0.13141</v>
      </c>
      <c r="P27" s="43">
        <f t="shared" si="6"/>
        <v>2.0000000000000002E-5</v>
      </c>
      <c r="Q27" s="43">
        <f t="shared" si="6"/>
        <v>6.0000000000000002E-5</v>
      </c>
      <c r="R27" s="43">
        <f t="shared" si="6"/>
        <v>7.3999999999999999E-4</v>
      </c>
      <c r="S27" s="43">
        <f t="shared" si="6"/>
        <v>0</v>
      </c>
      <c r="T27" s="43">
        <f t="shared" si="6"/>
        <v>0</v>
      </c>
    </row>
    <row r="28" spans="1:20" ht="11.25" x14ac:dyDescent="0.2">
      <c r="A28" s="348"/>
      <c r="B28" s="322"/>
      <c r="C28" s="2"/>
      <c r="D28" s="324"/>
      <c r="E28" s="324"/>
      <c r="F28" s="324"/>
      <c r="G28" s="324"/>
      <c r="H28" s="324"/>
      <c r="I28" s="324"/>
      <c r="J28" s="324"/>
      <c r="K28" s="1"/>
      <c r="L28" s="1"/>
      <c r="M28" s="191"/>
      <c r="N28" s="323"/>
      <c r="O28" s="43"/>
      <c r="P28" s="43"/>
      <c r="Q28" s="43"/>
      <c r="R28" s="43"/>
      <c r="S28" s="43"/>
      <c r="T28" s="43"/>
    </row>
    <row r="29" spans="1:20" ht="11.25" x14ac:dyDescent="0.2">
      <c r="A29" s="348"/>
      <c r="B29" s="322"/>
      <c r="C29" s="2"/>
      <c r="D29" s="2"/>
      <c r="E29" s="2"/>
      <c r="F29" s="2"/>
      <c r="G29" s="2"/>
      <c r="H29" s="2"/>
      <c r="I29" s="2"/>
      <c r="J29" s="2"/>
      <c r="K29" s="2"/>
      <c r="L29" s="1"/>
      <c r="M29" s="191"/>
      <c r="N29" s="323"/>
      <c r="O29" s="43"/>
      <c r="P29" s="43"/>
      <c r="Q29" s="43"/>
      <c r="R29" s="43"/>
      <c r="S29" s="43"/>
      <c r="T29" s="43"/>
    </row>
    <row r="30" spans="1:20" ht="11.25" x14ac:dyDescent="0.2">
      <c r="A30" s="348"/>
      <c r="B30" s="322"/>
      <c r="C30" s="2"/>
      <c r="D30" s="2"/>
      <c r="E30" s="2"/>
      <c r="F30" s="2"/>
      <c r="G30" s="2"/>
      <c r="H30" s="2"/>
      <c r="I30" s="2"/>
      <c r="J30" s="2"/>
      <c r="K30" s="1"/>
      <c r="L30" s="1"/>
      <c r="M30" s="191"/>
      <c r="N30" s="323"/>
      <c r="O30" s="43"/>
      <c r="P30" s="43"/>
      <c r="Q30" s="43"/>
      <c r="R30" s="43"/>
      <c r="S30" s="43"/>
      <c r="T30" s="43"/>
    </row>
    <row r="31" spans="1:20" ht="11.25" x14ac:dyDescent="0.2">
      <c r="A31" s="348"/>
      <c r="B31" s="322"/>
      <c r="C31" s="2"/>
      <c r="D31" s="2"/>
      <c r="E31" s="2"/>
      <c r="F31" s="2"/>
      <c r="G31" s="2"/>
      <c r="H31" s="2"/>
      <c r="I31" s="2"/>
      <c r="J31" s="2"/>
      <c r="K31" s="348"/>
      <c r="L31" s="348"/>
      <c r="M31" s="191"/>
      <c r="N31" s="323"/>
      <c r="O31" s="43"/>
      <c r="P31" s="43"/>
      <c r="Q31" s="43"/>
      <c r="R31" s="43"/>
      <c r="S31" s="43"/>
      <c r="T31" s="43"/>
    </row>
    <row r="32" spans="1:20" ht="11.25" x14ac:dyDescent="0.2">
      <c r="A32" s="348"/>
      <c r="B32" s="322"/>
      <c r="C32" s="2"/>
      <c r="D32" s="2"/>
      <c r="E32" s="2"/>
      <c r="F32" s="2"/>
      <c r="G32" s="2"/>
      <c r="H32" s="2"/>
      <c r="I32" s="2"/>
      <c r="J32" s="2"/>
      <c r="K32" s="348"/>
      <c r="L32" s="348"/>
      <c r="M32" s="191"/>
      <c r="N32" s="323"/>
      <c r="O32" s="43"/>
      <c r="P32" s="43"/>
      <c r="Q32" s="43"/>
      <c r="R32" s="43"/>
      <c r="S32" s="43"/>
      <c r="T32" s="43"/>
    </row>
    <row r="33" spans="1:20" ht="11.25" x14ac:dyDescent="0.2">
      <c r="A33" s="348"/>
      <c r="B33" s="322"/>
      <c r="C33" s="2"/>
      <c r="D33" s="2"/>
      <c r="E33" s="2"/>
      <c r="F33" s="2"/>
      <c r="G33" s="2"/>
      <c r="H33" s="2"/>
      <c r="I33" s="2"/>
      <c r="J33" s="2"/>
      <c r="K33" s="348"/>
      <c r="L33" s="348"/>
      <c r="M33" s="191"/>
      <c r="N33" s="323"/>
      <c r="O33" s="43"/>
      <c r="P33" s="43"/>
      <c r="Q33" s="43"/>
      <c r="R33" s="43"/>
      <c r="S33" s="43"/>
      <c r="T33" s="43"/>
    </row>
    <row r="34" spans="1:20" x14ac:dyDescent="0.15">
      <c r="A34" s="348"/>
      <c r="B34" s="348"/>
      <c r="C34" s="348"/>
      <c r="D34" s="348"/>
      <c r="E34" s="348"/>
      <c r="F34" s="348"/>
      <c r="H34" s="348"/>
      <c r="I34" s="348"/>
      <c r="J34" s="348"/>
      <c r="K34" s="348"/>
      <c r="L34" s="348"/>
      <c r="M34" s="348"/>
      <c r="N34" s="348"/>
    </row>
    <row r="35" spans="1:20" x14ac:dyDescent="0.15">
      <c r="A35" s="348"/>
      <c r="B35" s="348"/>
      <c r="C35" s="348"/>
      <c r="D35" s="348"/>
      <c r="E35" s="348"/>
      <c r="F35" s="348"/>
      <c r="H35" s="348"/>
      <c r="I35" s="348"/>
      <c r="J35" s="348"/>
      <c r="K35" s="348"/>
      <c r="L35" s="348"/>
      <c r="M35" s="348"/>
      <c r="N35" s="348"/>
    </row>
    <row r="36" spans="1:20" x14ac:dyDescent="0.15">
      <c r="A36" s="348"/>
      <c r="B36" s="348"/>
      <c r="C36" s="348"/>
      <c r="D36" s="348"/>
      <c r="E36" s="348"/>
      <c r="F36" s="348"/>
      <c r="H36" s="348"/>
      <c r="I36" s="348"/>
      <c r="J36" s="348"/>
      <c r="K36" s="348"/>
      <c r="L36" s="348"/>
      <c r="M36" s="348"/>
      <c r="N36" s="348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5"/>
  <sheetViews>
    <sheetView workbookViewId="0">
      <selection activeCell="C39" sqref="C39"/>
    </sheetView>
  </sheetViews>
  <sheetFormatPr defaultRowHeight="10.5" x14ac:dyDescent="0.15"/>
  <cols>
    <col min="1" max="2" width="9.33203125" style="330"/>
    <col min="3" max="3" width="42.1640625" style="330" bestFit="1" customWidth="1"/>
    <col min="4" max="4" width="15.1640625" style="330" bestFit="1" customWidth="1"/>
    <col min="5" max="5" width="10.83203125" style="330" bestFit="1" customWidth="1"/>
    <col min="6" max="6" width="9.33203125" style="330"/>
    <col min="7" max="7" width="8.33203125" style="348" bestFit="1" customWidth="1"/>
    <col min="8" max="8" width="10.83203125" style="330" bestFit="1" customWidth="1"/>
    <col min="9" max="12" width="9.33203125" style="330"/>
    <col min="13" max="13" width="11.83203125" style="330" bestFit="1" customWidth="1"/>
    <col min="14" max="16384" width="9.33203125" style="330"/>
  </cols>
  <sheetData>
    <row r="1" spans="1:20" ht="11.25" x14ac:dyDescent="0.2">
      <c r="B1" s="3">
        <v>1</v>
      </c>
      <c r="C1" s="3">
        <f>B1+1</f>
        <v>2</v>
      </c>
      <c r="D1" s="3">
        <f t="shared" ref="D1:T1" si="0">C1+1</f>
        <v>3</v>
      </c>
      <c r="E1" s="3">
        <f t="shared" si="0"/>
        <v>4</v>
      </c>
      <c r="F1" s="3">
        <f t="shared" si="0"/>
        <v>5</v>
      </c>
      <c r="G1" s="1">
        <f t="shared" si="0"/>
        <v>6</v>
      </c>
      <c r="H1" s="3">
        <f t="shared" si="0"/>
        <v>7</v>
      </c>
      <c r="I1" s="3">
        <f t="shared" si="0"/>
        <v>8</v>
      </c>
      <c r="J1" s="3">
        <f t="shared" si="0"/>
        <v>9</v>
      </c>
      <c r="K1" s="3">
        <f t="shared" si="0"/>
        <v>10</v>
      </c>
      <c r="L1" s="3">
        <f t="shared" si="0"/>
        <v>11</v>
      </c>
      <c r="M1" s="3">
        <f t="shared" si="0"/>
        <v>12</v>
      </c>
      <c r="N1" s="3">
        <f t="shared" si="0"/>
        <v>13</v>
      </c>
      <c r="O1" s="3">
        <f t="shared" si="0"/>
        <v>14</v>
      </c>
      <c r="P1" s="3">
        <f t="shared" si="0"/>
        <v>15</v>
      </c>
      <c r="Q1" s="3">
        <f t="shared" si="0"/>
        <v>16</v>
      </c>
      <c r="R1" s="3">
        <f t="shared" si="0"/>
        <v>17</v>
      </c>
      <c r="S1" s="3">
        <f t="shared" si="0"/>
        <v>18</v>
      </c>
      <c r="T1" s="3">
        <f t="shared" si="0"/>
        <v>19</v>
      </c>
    </row>
    <row r="2" spans="1:20" ht="11.25" x14ac:dyDescent="0.2">
      <c r="B2" s="16" t="s">
        <v>0</v>
      </c>
      <c r="C2" s="16" t="s">
        <v>0</v>
      </c>
      <c r="D2" s="3" t="s">
        <v>0</v>
      </c>
      <c r="E2" s="3"/>
      <c r="F2" s="3"/>
      <c r="G2" s="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3"/>
      <c r="T2" s="43"/>
    </row>
    <row r="3" spans="1:20" ht="11.25" x14ac:dyDescent="0.2">
      <c r="B3" s="3" t="s">
        <v>1027</v>
      </c>
      <c r="C3" s="3"/>
      <c r="D3" s="3"/>
      <c r="E3" s="3"/>
      <c r="F3" s="3"/>
      <c r="G3" s="1"/>
      <c r="H3" s="3"/>
      <c r="I3" s="3"/>
      <c r="J3" s="3"/>
      <c r="K3" s="3"/>
      <c r="L3" s="3"/>
      <c r="M3" s="3"/>
      <c r="N3" s="3"/>
      <c r="O3" s="3"/>
      <c r="P3" s="3"/>
      <c r="Q3" s="3"/>
      <c r="R3" s="43"/>
      <c r="S3" s="43"/>
      <c r="T3" s="3"/>
    </row>
    <row r="4" spans="1:20" ht="11.25" x14ac:dyDescent="0.2">
      <c r="B4" s="16" t="s">
        <v>0</v>
      </c>
      <c r="C4" s="16" t="s">
        <v>0</v>
      </c>
      <c r="D4" s="3" t="s">
        <v>0</v>
      </c>
      <c r="E4" s="3"/>
      <c r="F4" s="3"/>
      <c r="G4" s="1"/>
      <c r="H4" s="3"/>
      <c r="I4" s="3"/>
      <c r="J4" s="3"/>
      <c r="K4" s="3"/>
      <c r="L4" s="3"/>
      <c r="M4" s="3"/>
      <c r="N4" s="3"/>
      <c r="O4" s="3"/>
      <c r="P4" s="3"/>
      <c r="Q4" s="3"/>
      <c r="R4" s="43"/>
      <c r="S4" s="43"/>
      <c r="T4" s="3"/>
    </row>
    <row r="5" spans="1:20" ht="11.25" x14ac:dyDescent="0.2">
      <c r="B5" s="325" t="s">
        <v>92</v>
      </c>
      <c r="C5" s="3"/>
      <c r="D5" s="3" t="str">
        <f>Input!$C$12</f>
        <v>GS-RESIDENTIAL</v>
      </c>
      <c r="E5" s="3" t="str">
        <f>Input!$C$13</f>
        <v>GS-OTHER</v>
      </c>
      <c r="F5" s="3" t="str">
        <f>Input!$C$14</f>
        <v>IUS</v>
      </c>
      <c r="G5" s="1" t="str">
        <f>Input!$C$15</f>
        <v>DS-ML</v>
      </c>
      <c r="H5" s="3" t="str">
        <f>Input!$C$16</f>
        <v>DS/IS</v>
      </c>
      <c r="I5" s="3" t="str">
        <f>Input!$C$17</f>
        <v>NOT USED</v>
      </c>
      <c r="J5" s="3" t="str">
        <f>Input!$C$18</f>
        <v>NOT USED</v>
      </c>
      <c r="K5" s="3"/>
      <c r="L5" s="3"/>
      <c r="M5" s="325" t="s">
        <v>8</v>
      </c>
      <c r="N5" s="3" t="str">
        <f>Input!$C$12</f>
        <v>GS-RESIDENTIAL</v>
      </c>
      <c r="O5" s="3" t="str">
        <f>Input!$C$13</f>
        <v>GS-OTHER</v>
      </c>
      <c r="P5" s="3" t="str">
        <f>Input!$C$14</f>
        <v>IUS</v>
      </c>
      <c r="Q5" s="3" t="str">
        <f>Input!$C$15</f>
        <v>DS-ML</v>
      </c>
      <c r="R5" s="3" t="str">
        <f>Input!$C$16</f>
        <v>DS/IS</v>
      </c>
      <c r="S5" s="3" t="str">
        <f>Input!$C$17</f>
        <v>NOT USED</v>
      </c>
      <c r="T5" s="3" t="str">
        <f>Input!$C$18</f>
        <v>NOT USED</v>
      </c>
    </row>
    <row r="6" spans="1:20" ht="11.25" x14ac:dyDescent="0.2">
      <c r="B6" s="325" t="s">
        <v>9</v>
      </c>
      <c r="C6" s="3" t="s">
        <v>24</v>
      </c>
      <c r="D6" s="325" t="s">
        <v>362</v>
      </c>
      <c r="E6" s="325" t="s">
        <v>362</v>
      </c>
      <c r="F6" s="325" t="s">
        <v>362</v>
      </c>
      <c r="G6" s="118" t="s">
        <v>362</v>
      </c>
      <c r="H6" s="325" t="s">
        <v>362</v>
      </c>
      <c r="I6" s="325" t="s">
        <v>362</v>
      </c>
      <c r="J6" s="325" t="s">
        <v>362</v>
      </c>
      <c r="K6" s="325"/>
      <c r="L6" s="325"/>
      <c r="M6" s="325" t="s">
        <v>362</v>
      </c>
      <c r="N6" s="325" t="s">
        <v>363</v>
      </c>
      <c r="O6" s="325" t="s">
        <v>363</v>
      </c>
      <c r="P6" s="325" t="s">
        <v>363</v>
      </c>
      <c r="Q6" s="325" t="s">
        <v>363</v>
      </c>
      <c r="R6" s="325" t="s">
        <v>363</v>
      </c>
      <c r="S6" s="325" t="s">
        <v>363</v>
      </c>
      <c r="T6" s="325" t="s">
        <v>363</v>
      </c>
    </row>
    <row r="7" spans="1:20" ht="11.25" x14ac:dyDescent="0.2">
      <c r="A7" s="330">
        <v>1</v>
      </c>
      <c r="B7" s="255">
        <v>1</v>
      </c>
      <c r="C7" s="5" t="s">
        <v>364</v>
      </c>
      <c r="D7" s="5">
        <f>Input!$E$58</f>
        <v>137300</v>
      </c>
      <c r="E7" s="5">
        <f>Input!$F$58</f>
        <v>88300</v>
      </c>
      <c r="F7" s="5">
        <f>Input!$G$58</f>
        <v>200</v>
      </c>
      <c r="G7" s="2">
        <f>Input!$H$58</f>
        <v>0</v>
      </c>
      <c r="H7" s="5">
        <f>Input!$I$58</f>
        <v>82400</v>
      </c>
      <c r="I7" s="5">
        <f>Input!$J$58</f>
        <v>0</v>
      </c>
      <c r="J7" s="5">
        <f>Input!$K$58</f>
        <v>0</v>
      </c>
      <c r="K7" s="5"/>
      <c r="L7" s="5"/>
      <c r="M7" s="3">
        <f t="shared" ref="M7:M27" si="1">SUM(D7:L7)</f>
        <v>308200</v>
      </c>
      <c r="N7" s="43">
        <f t="shared" ref="N7:N13" si="2">ROUND(1-SUM(O7:T7),5)</f>
        <v>0.44549</v>
      </c>
      <c r="O7" s="43">
        <f t="shared" ref="O7:T22" si="3">IF($M7=0,0,ROUND(E7/$M7,5))</f>
        <v>0.28649999999999998</v>
      </c>
      <c r="P7" s="43">
        <f t="shared" si="3"/>
        <v>6.4999999999999997E-4</v>
      </c>
      <c r="Q7" s="43">
        <f t="shared" si="3"/>
        <v>0</v>
      </c>
      <c r="R7" s="43">
        <f t="shared" si="3"/>
        <v>0.26735999999999999</v>
      </c>
      <c r="S7" s="43">
        <f t="shared" si="3"/>
        <v>0</v>
      </c>
      <c r="T7" s="43">
        <f t="shared" si="3"/>
        <v>0</v>
      </c>
    </row>
    <row r="8" spans="1:20" ht="11.25" x14ac:dyDescent="0.2">
      <c r="A8" s="330">
        <f>A7+1</f>
        <v>2</v>
      </c>
      <c r="B8" s="255">
        <v>2</v>
      </c>
      <c r="C8" s="5" t="s">
        <v>1147</v>
      </c>
      <c r="D8" s="5">
        <f>Input!$E$59</f>
        <v>137300</v>
      </c>
      <c r="E8" s="5">
        <f>Input!$F$59</f>
        <v>83900</v>
      </c>
      <c r="F8" s="5">
        <f>Input!$G$59</f>
        <v>200</v>
      </c>
      <c r="G8" s="2">
        <f>Input!$H$59</f>
        <v>0</v>
      </c>
      <c r="H8" s="5">
        <f>Input!$I$59</f>
        <v>3900</v>
      </c>
      <c r="I8" s="5">
        <f>Input!$J$59</f>
        <v>0</v>
      </c>
      <c r="J8" s="5">
        <f>Input!$K$59</f>
        <v>0</v>
      </c>
      <c r="K8" s="5"/>
      <c r="L8" s="5"/>
      <c r="M8" s="3">
        <f t="shared" si="1"/>
        <v>225300</v>
      </c>
      <c r="N8" s="43">
        <f t="shared" si="2"/>
        <v>0.60941000000000001</v>
      </c>
      <c r="O8" s="43">
        <f t="shared" si="3"/>
        <v>0.37239</v>
      </c>
      <c r="P8" s="43">
        <f t="shared" si="3"/>
        <v>8.8999999999999995E-4</v>
      </c>
      <c r="Q8" s="43">
        <f t="shared" si="3"/>
        <v>0</v>
      </c>
      <c r="R8" s="43">
        <f t="shared" si="3"/>
        <v>1.7309999999999999E-2</v>
      </c>
      <c r="S8" s="43">
        <f t="shared" si="3"/>
        <v>0</v>
      </c>
      <c r="T8" s="43">
        <f t="shared" si="3"/>
        <v>0</v>
      </c>
    </row>
    <row r="9" spans="1:20" ht="11.25" x14ac:dyDescent="0.2">
      <c r="A9" s="330">
        <f t="shared" ref="A9:A27" si="4">A8+1</f>
        <v>3</v>
      </c>
      <c r="B9" s="255">
        <v>3</v>
      </c>
      <c r="C9" s="5" t="s">
        <v>337</v>
      </c>
      <c r="D9" s="40">
        <f>Input!$E$595</f>
        <v>0.73792999999999997</v>
      </c>
      <c r="E9" s="40">
        <f>Input!$F$595</f>
        <v>0.16741</v>
      </c>
      <c r="F9" s="40">
        <f>Input!$G$595</f>
        <v>2.4000000000000001E-4</v>
      </c>
      <c r="G9" s="219">
        <f>Input!$H$595</f>
        <v>0</v>
      </c>
      <c r="H9" s="40">
        <f>Input!$I$595</f>
        <v>9.4420000000000004E-2</v>
      </c>
      <c r="I9" s="40">
        <f>Input!$J$595</f>
        <v>0</v>
      </c>
      <c r="J9" s="40">
        <f>Input!$K$595</f>
        <v>0</v>
      </c>
      <c r="K9" s="40"/>
      <c r="L9" s="40"/>
      <c r="M9" s="23">
        <f t="shared" si="1"/>
        <v>1</v>
      </c>
      <c r="N9" s="43">
        <f t="shared" si="2"/>
        <v>0.73792999999999997</v>
      </c>
      <c r="O9" s="43">
        <f t="shared" si="3"/>
        <v>0.16741</v>
      </c>
      <c r="P9" s="43">
        <f t="shared" si="3"/>
        <v>2.4000000000000001E-4</v>
      </c>
      <c r="Q9" s="43">
        <f t="shared" si="3"/>
        <v>0</v>
      </c>
      <c r="R9" s="43">
        <f t="shared" si="3"/>
        <v>9.4420000000000004E-2</v>
      </c>
      <c r="S9" s="43">
        <f t="shared" si="3"/>
        <v>0</v>
      </c>
      <c r="T9" s="43">
        <f t="shared" si="3"/>
        <v>0</v>
      </c>
    </row>
    <row r="10" spans="1:20" ht="11.25" x14ac:dyDescent="0.2">
      <c r="A10" s="330">
        <f t="shared" si="4"/>
        <v>4</v>
      </c>
      <c r="B10" s="255">
        <v>4</v>
      </c>
      <c r="C10" s="5" t="s">
        <v>365</v>
      </c>
      <c r="D10" s="5">
        <f>Input!$E$57</f>
        <v>7960000.1000000006</v>
      </c>
      <c r="E10" s="5">
        <f>Input!$F$57</f>
        <v>5750963.4000000004</v>
      </c>
      <c r="F10" s="5">
        <f>Input!$G$57</f>
        <v>11320.699999999999</v>
      </c>
      <c r="G10" s="2">
        <f>Input!$H$57</f>
        <v>0</v>
      </c>
      <c r="H10" s="5">
        <f>Input!$I$57</f>
        <v>10094426.4</v>
      </c>
      <c r="I10" s="5">
        <f>Input!$J$57</f>
        <v>0</v>
      </c>
      <c r="J10" s="5">
        <f>Input!$K$57</f>
        <v>0</v>
      </c>
      <c r="K10" s="5"/>
      <c r="L10" s="5"/>
      <c r="M10" s="3">
        <f t="shared" si="1"/>
        <v>23816710.600000001</v>
      </c>
      <c r="N10" s="43">
        <f t="shared" si="2"/>
        <v>0.33421000000000001</v>
      </c>
      <c r="O10" s="43">
        <f t="shared" si="3"/>
        <v>0.24146999999999999</v>
      </c>
      <c r="P10" s="43">
        <f t="shared" si="3"/>
        <v>4.8000000000000001E-4</v>
      </c>
      <c r="Q10" s="43">
        <f t="shared" si="3"/>
        <v>0</v>
      </c>
      <c r="R10" s="43">
        <f t="shared" si="3"/>
        <v>0.42383999999999999</v>
      </c>
      <c r="S10" s="43">
        <f t="shared" si="3"/>
        <v>0</v>
      </c>
      <c r="T10" s="43">
        <f t="shared" si="3"/>
        <v>0</v>
      </c>
    </row>
    <row r="11" spans="1:20" ht="11.25" x14ac:dyDescent="0.2">
      <c r="A11" s="330">
        <f t="shared" si="4"/>
        <v>5</v>
      </c>
      <c r="B11" s="255">
        <v>5</v>
      </c>
      <c r="C11" s="5" t="s">
        <v>366</v>
      </c>
      <c r="D11" s="40">
        <f t="shared" ref="D11:J11" si="5">ROUND((N7+N10)/2,5)</f>
        <v>0.38984999999999997</v>
      </c>
      <c r="E11" s="40">
        <f t="shared" si="5"/>
        <v>0.26399</v>
      </c>
      <c r="F11" s="40">
        <f t="shared" si="5"/>
        <v>5.6999999999999998E-4</v>
      </c>
      <c r="G11" s="219">
        <f t="shared" si="5"/>
        <v>0</v>
      </c>
      <c r="H11" s="40">
        <f t="shared" si="5"/>
        <v>0.34560000000000002</v>
      </c>
      <c r="I11" s="40">
        <f t="shared" si="5"/>
        <v>0</v>
      </c>
      <c r="J11" s="40">
        <f t="shared" si="5"/>
        <v>0</v>
      </c>
      <c r="K11" s="40"/>
      <c r="L11" s="40"/>
      <c r="M11" s="3">
        <f t="shared" si="1"/>
        <v>1.0000100000000001</v>
      </c>
      <c r="N11" s="43">
        <f t="shared" si="2"/>
        <v>0.38984000000000002</v>
      </c>
      <c r="O11" s="43">
        <f t="shared" si="3"/>
        <v>0.26399</v>
      </c>
      <c r="P11" s="43">
        <f t="shared" si="3"/>
        <v>5.6999999999999998E-4</v>
      </c>
      <c r="Q11" s="43">
        <f t="shared" si="3"/>
        <v>0</v>
      </c>
      <c r="R11" s="43">
        <f t="shared" si="3"/>
        <v>0.34560000000000002</v>
      </c>
      <c r="S11" s="43">
        <f t="shared" si="3"/>
        <v>0</v>
      </c>
      <c r="T11" s="43">
        <f t="shared" si="3"/>
        <v>0</v>
      </c>
    </row>
    <row r="12" spans="1:20" ht="11.25" x14ac:dyDescent="0.2">
      <c r="A12" s="330">
        <f t="shared" si="4"/>
        <v>6</v>
      </c>
      <c r="B12" s="255">
        <v>6</v>
      </c>
      <c r="C12" s="5" t="s">
        <v>367</v>
      </c>
      <c r="D12" s="5">
        <f>Input!$E$60</f>
        <v>121915</v>
      </c>
      <c r="E12" s="5">
        <f>Input!$F$60</f>
        <v>13977</v>
      </c>
      <c r="F12" s="5">
        <f>Input!$G$60</f>
        <v>2</v>
      </c>
      <c r="G12" s="2">
        <f>Input!$H$60</f>
        <v>6</v>
      </c>
      <c r="H12" s="5">
        <f>Input!$I$60</f>
        <v>79</v>
      </c>
      <c r="I12" s="5">
        <f>Input!$J$60</f>
        <v>0</v>
      </c>
      <c r="J12" s="5">
        <f>Input!$K$60</f>
        <v>0</v>
      </c>
      <c r="K12" s="5"/>
      <c r="L12" s="5"/>
      <c r="M12" s="3">
        <f t="shared" si="1"/>
        <v>135979</v>
      </c>
      <c r="N12" s="43">
        <f t="shared" si="2"/>
        <v>0.89658000000000004</v>
      </c>
      <c r="O12" s="43">
        <f t="shared" si="3"/>
        <v>0.10279000000000001</v>
      </c>
      <c r="P12" s="43">
        <f t="shared" si="3"/>
        <v>1.0000000000000001E-5</v>
      </c>
      <c r="Q12" s="43">
        <f t="shared" si="3"/>
        <v>4.0000000000000003E-5</v>
      </c>
      <c r="R12" s="43">
        <f t="shared" si="3"/>
        <v>5.8E-4</v>
      </c>
      <c r="S12" s="43">
        <f t="shared" si="3"/>
        <v>0</v>
      </c>
      <c r="T12" s="43">
        <f t="shared" si="3"/>
        <v>0</v>
      </c>
    </row>
    <row r="13" spans="1:20" ht="11.25" x14ac:dyDescent="0.2">
      <c r="A13" s="330">
        <f t="shared" si="4"/>
        <v>7</v>
      </c>
      <c r="B13" s="255" t="s">
        <v>1018</v>
      </c>
      <c r="C13" s="5" t="s">
        <v>368</v>
      </c>
      <c r="D13" s="5">
        <f ca="1">SUM(Commodity!$F$149:$F$157)+SUM(Commodity!$F$160:$F$167)+SUM(Commodity!$F$175:$F$181)</f>
        <v>46340807</v>
      </c>
      <c r="E13" s="5">
        <f ca="1">SUM(Commodity!$G$149:$G$157)+SUM(Commodity!$G$160:$G$167)+SUM(Commodity!$G$175:$G$181)</f>
        <v>31380848</v>
      </c>
      <c r="F13" s="5">
        <f ca="1">SUM(Commodity!$H$149:$H$157)+SUM(Commodity!$H$160:$H$167)+SUM(Commodity!$H$175:$H$181)</f>
        <v>67757</v>
      </c>
      <c r="G13" s="2">
        <f ca="1">SUM(Commodity!$I$149:$I$157)+SUM(Commodity!$I$160:$I$167)+SUM(Commodity!$I$175:$I$181)</f>
        <v>28946</v>
      </c>
      <c r="H13" s="5">
        <f ca="1">SUM(Commodity!$J$149:$J$157)+SUM(Commodity!$J$160:$J$167)+SUM(Commodity!$J$175:$J$181)</f>
        <v>41081939</v>
      </c>
      <c r="I13" s="5">
        <f ca="1">SUM(Commodity!$K$149:$K$157)+SUM(Commodity!$K$160:$K$167)+SUM(Commodity!$K$175:$K$181)</f>
        <v>0</v>
      </c>
      <c r="J13" s="5">
        <f ca="1">SUM(Commodity!$L$149:$L$157)+SUM(Commodity!$L$160:$L$167)+SUM(Commodity!$L$175:$L$181)</f>
        <v>0</v>
      </c>
      <c r="K13" s="5"/>
      <c r="L13" s="5"/>
      <c r="M13" s="3">
        <f t="shared" ca="1" si="1"/>
        <v>118900297</v>
      </c>
      <c r="N13" s="43">
        <f t="shared" ca="1" si="2"/>
        <v>0.38973999999999998</v>
      </c>
      <c r="O13" s="43">
        <f t="shared" ca="1" si="3"/>
        <v>0.26393</v>
      </c>
      <c r="P13" s="43">
        <f t="shared" ca="1" si="3"/>
        <v>5.6999999999999998E-4</v>
      </c>
      <c r="Q13" s="43">
        <f t="shared" ca="1" si="3"/>
        <v>2.4000000000000001E-4</v>
      </c>
      <c r="R13" s="43">
        <f t="shared" ca="1" si="3"/>
        <v>0.34551999999999999</v>
      </c>
      <c r="S13" s="43">
        <f t="shared" ca="1" si="3"/>
        <v>0</v>
      </c>
      <c r="T13" s="43">
        <f t="shared" ca="1" si="3"/>
        <v>0</v>
      </c>
    </row>
    <row r="14" spans="1:20" ht="11.25" x14ac:dyDescent="0.2">
      <c r="A14" s="330">
        <f t="shared" si="4"/>
        <v>8</v>
      </c>
      <c r="B14" s="255">
        <v>8</v>
      </c>
      <c r="C14" s="5" t="s">
        <v>369</v>
      </c>
      <c r="D14" s="5">
        <f>Commodity!F$180+Commodity!F$181</f>
        <v>0</v>
      </c>
      <c r="E14" s="5">
        <f>Commodity!G$180+Commodity!G$181</f>
        <v>0</v>
      </c>
      <c r="F14" s="5">
        <f>Commodity!H$180+Commodity!H$181</f>
        <v>0</v>
      </c>
      <c r="G14" s="2">
        <f>Commodity!I$180+Commodity!I$181</f>
        <v>0</v>
      </c>
      <c r="H14" s="5">
        <f>Commodity!J$180+Commodity!J$181</f>
        <v>0</v>
      </c>
      <c r="I14" s="5">
        <f>Commodity!K$180+Commodity!K$181</f>
        <v>0</v>
      </c>
      <c r="J14" s="5">
        <f>Commodity!L$180+Commodity!L$181</f>
        <v>0</v>
      </c>
      <c r="K14" s="5"/>
      <c r="L14" s="5"/>
      <c r="M14" s="3">
        <f t="shared" si="1"/>
        <v>0</v>
      </c>
      <c r="N14" s="43">
        <f>IF($M14=0,0,ROUND(D14/$M14,5))</f>
        <v>0</v>
      </c>
      <c r="O14" s="43">
        <f>ROUND(1-SUM(P14:T14)-N14,5)</f>
        <v>1</v>
      </c>
      <c r="P14" s="43">
        <f t="shared" si="3"/>
        <v>0</v>
      </c>
      <c r="Q14" s="43">
        <f t="shared" si="3"/>
        <v>0</v>
      </c>
      <c r="R14" s="43">
        <f t="shared" si="3"/>
        <v>0</v>
      </c>
      <c r="S14" s="43">
        <f t="shared" si="3"/>
        <v>0</v>
      </c>
      <c r="T14" s="43">
        <f t="shared" si="3"/>
        <v>0</v>
      </c>
    </row>
    <row r="15" spans="1:20" ht="11.25" x14ac:dyDescent="0.2">
      <c r="A15" s="330">
        <f t="shared" si="4"/>
        <v>9</v>
      </c>
      <c r="B15" s="255">
        <v>9</v>
      </c>
      <c r="C15" s="5" t="s">
        <v>552</v>
      </c>
      <c r="D15" s="5">
        <f>'Total Co'!$F$427</f>
        <v>13807094.589999998</v>
      </c>
      <c r="E15" s="5">
        <f>'Total Co'!$G$427</f>
        <v>7643846.9600000009</v>
      </c>
      <c r="F15" s="5">
        <f>'Total Co'!$H$427</f>
        <v>25008.560000000001</v>
      </c>
      <c r="G15" s="2">
        <f>'Total Co'!$I$427</f>
        <v>0</v>
      </c>
      <c r="H15" s="5">
        <f>'Total Co'!$J$427</f>
        <v>0</v>
      </c>
      <c r="I15" s="5">
        <f>'Total Co'!$K$427</f>
        <v>0</v>
      </c>
      <c r="J15" s="5">
        <f>'Total Co'!$L$427</f>
        <v>0</v>
      </c>
      <c r="K15" s="5"/>
      <c r="L15" s="5"/>
      <c r="M15" s="3">
        <f t="shared" si="1"/>
        <v>21475950.109999996</v>
      </c>
      <c r="N15" s="43">
        <f>ROUND(1-SUM(O15:T15),5)</f>
        <v>0.64290999999999998</v>
      </c>
      <c r="O15" s="43">
        <f t="shared" ref="O15:T27" si="6">IF($M15=0,0,ROUND(E15/$M15,5))</f>
        <v>0.35593000000000002</v>
      </c>
      <c r="P15" s="43">
        <f t="shared" si="3"/>
        <v>1.16E-3</v>
      </c>
      <c r="Q15" s="43">
        <f t="shared" si="3"/>
        <v>0</v>
      </c>
      <c r="R15" s="43">
        <f t="shared" si="3"/>
        <v>0</v>
      </c>
      <c r="S15" s="43">
        <f t="shared" si="3"/>
        <v>0</v>
      </c>
      <c r="T15" s="43">
        <f t="shared" si="3"/>
        <v>0</v>
      </c>
    </row>
    <row r="16" spans="1:20" ht="11.25" x14ac:dyDescent="0.2">
      <c r="A16" s="330">
        <f t="shared" si="4"/>
        <v>10</v>
      </c>
      <c r="B16" s="255" t="s">
        <v>1019</v>
      </c>
      <c r="C16" s="5" t="s">
        <v>371</v>
      </c>
      <c r="D16" s="5">
        <f ca="1">SUM(Commodity!$F$444:$F$449)+SUM(Commodity!$F$457:$F$462)</f>
        <v>459914</v>
      </c>
      <c r="E16" s="5">
        <f ca="1">SUM(Commodity!$G$444:$G$449)+SUM(Commodity!$G$457:$G$462)</f>
        <v>312456</v>
      </c>
      <c r="F16" s="5">
        <f ca="1">SUM(Commodity!$H$444:$H$449)+SUM(Commodity!$H$457:$H$462)</f>
        <v>671</v>
      </c>
      <c r="G16" s="2">
        <f ca="1">SUM(Commodity!$I$444:$I$449)+SUM(Commodity!$I$457:$I$462)</f>
        <v>55</v>
      </c>
      <c r="H16" s="5">
        <f ca="1">SUM(Commodity!$J$444:$J$449)+SUM(Commodity!$J$457:$J$462)</f>
        <v>416221</v>
      </c>
      <c r="I16" s="5">
        <f ca="1">SUM(Commodity!$K$444:$K$449)+SUM(Commodity!$K$457:$K$462)</f>
        <v>0</v>
      </c>
      <c r="J16" s="5">
        <f ca="1">SUM(Commodity!$L$444:$L$449)+SUM(Commodity!$L$457:$L$462)</f>
        <v>0</v>
      </c>
      <c r="K16" s="5"/>
      <c r="L16" s="5"/>
      <c r="M16" s="3">
        <f t="shared" ca="1" si="1"/>
        <v>1189317</v>
      </c>
      <c r="N16" s="43">
        <f ca="1">ROUND(1-SUM(O16:T16),5)</f>
        <v>0.38669999999999999</v>
      </c>
      <c r="O16" s="43">
        <f t="shared" ca="1" si="6"/>
        <v>0.26272000000000001</v>
      </c>
      <c r="P16" s="43">
        <f t="shared" ca="1" si="3"/>
        <v>5.5999999999999995E-4</v>
      </c>
      <c r="Q16" s="43">
        <f t="shared" ca="1" si="3"/>
        <v>5.0000000000000002E-5</v>
      </c>
      <c r="R16" s="43">
        <f t="shared" ca="1" si="3"/>
        <v>0.34997</v>
      </c>
      <c r="S16" s="43">
        <f t="shared" ca="1" si="3"/>
        <v>0</v>
      </c>
      <c r="T16" s="43">
        <f t="shared" ca="1" si="3"/>
        <v>0</v>
      </c>
    </row>
    <row r="17" spans="1:28" ht="11.25" x14ac:dyDescent="0.2">
      <c r="A17" s="330">
        <f t="shared" si="4"/>
        <v>11</v>
      </c>
      <c r="B17" s="255" t="s">
        <v>1020</v>
      </c>
      <c r="C17" s="5" t="s">
        <v>372</v>
      </c>
      <c r="D17" s="5">
        <f ca="1">SUM(Commodity!$F$543:$F$548)+SUM(Commodity!$F$556:$F$561)</f>
        <v>1128913</v>
      </c>
      <c r="E17" s="5">
        <f ca="1">SUM(Commodity!$G$543:$G$548)+SUM(Commodity!$G$556:$G$561)</f>
        <v>764754</v>
      </c>
      <c r="F17" s="5">
        <f ca="1">SUM(Commodity!$H$543:$H$548)+SUM(Commodity!$H$556:$H$561)</f>
        <v>1652</v>
      </c>
      <c r="G17" s="2">
        <f ca="1">SUM(Commodity!$I$543:$I$548)+SUM(Commodity!$I$556:$I$561)</f>
        <v>144</v>
      </c>
      <c r="H17" s="5">
        <f ca="1">SUM(Commodity!$J$543:$J$548)+SUM(Commodity!$J$556:$J$561)</f>
        <v>1003076</v>
      </c>
      <c r="I17" s="5">
        <f ca="1">SUM(Commodity!$K$543:$K$548)+SUM(Commodity!$K$556:$K$561)</f>
        <v>0</v>
      </c>
      <c r="J17" s="5">
        <f ca="1">SUM(Commodity!$L$543:$L$548)+SUM(Commodity!$L$556:$L$561)</f>
        <v>0</v>
      </c>
      <c r="K17" s="5"/>
      <c r="L17" s="5"/>
      <c r="M17" s="3">
        <f t="shared" ca="1" si="1"/>
        <v>2898539</v>
      </c>
      <c r="N17" s="43">
        <f ca="1">ROUND(1-SUM(O17:T17),5)</f>
        <v>0.38947999999999999</v>
      </c>
      <c r="O17" s="43">
        <f t="shared" ca="1" si="6"/>
        <v>0.26384000000000002</v>
      </c>
      <c r="P17" s="43">
        <f t="shared" ca="1" si="3"/>
        <v>5.6999999999999998E-4</v>
      </c>
      <c r="Q17" s="43">
        <f t="shared" ca="1" si="3"/>
        <v>5.0000000000000002E-5</v>
      </c>
      <c r="R17" s="43">
        <f t="shared" ca="1" si="3"/>
        <v>0.34605999999999998</v>
      </c>
      <c r="S17" s="43">
        <f t="shared" ca="1" si="3"/>
        <v>0</v>
      </c>
      <c r="T17" s="43">
        <f t="shared" ca="1" si="3"/>
        <v>0</v>
      </c>
    </row>
    <row r="18" spans="1:28" ht="11.25" x14ac:dyDescent="0.2">
      <c r="A18" s="330">
        <f t="shared" si="4"/>
        <v>12</v>
      </c>
      <c r="B18" s="255" t="s">
        <v>1021</v>
      </c>
      <c r="C18" s="5" t="s">
        <v>373</v>
      </c>
      <c r="D18" s="5">
        <f ca="1">SUM(Commodity!$F$643:$F$648)</f>
        <v>518524</v>
      </c>
      <c r="E18" s="5">
        <f ca="1">SUM(Commodity!$G$643:$G$648)</f>
        <v>352274</v>
      </c>
      <c r="F18" s="5">
        <f ca="1">SUM(Commodity!$H$643:$H$648)</f>
        <v>757</v>
      </c>
      <c r="G18" s="2">
        <f ca="1">SUM(Commodity!$I$643:$I$648)</f>
        <v>62</v>
      </c>
      <c r="H18" s="5">
        <f ca="1">SUM(Commodity!$J$643:$J$648)</f>
        <v>469263</v>
      </c>
      <c r="I18" s="5">
        <f ca="1">SUM(Commodity!$K$643:$K$648)</f>
        <v>0</v>
      </c>
      <c r="J18" s="5">
        <f ca="1">SUM(Commodity!$L$643:$L$648)</f>
        <v>0</v>
      </c>
      <c r="K18" s="5"/>
      <c r="L18" s="5"/>
      <c r="M18" s="3">
        <f t="shared" ca="1" si="1"/>
        <v>1340880</v>
      </c>
      <c r="N18" s="43">
        <f t="shared" ref="N18:N19" ca="1" si="7">ROUND(1-SUM(O18:T18)+0.00000000001,5)</f>
        <v>0.38669999999999999</v>
      </c>
      <c r="O18" s="43">
        <f t="shared" ca="1" si="6"/>
        <v>0.26272000000000001</v>
      </c>
      <c r="P18" s="43">
        <f t="shared" ca="1" si="3"/>
        <v>5.5999999999999995E-4</v>
      </c>
      <c r="Q18" s="43">
        <f t="shared" ca="1" si="3"/>
        <v>5.0000000000000002E-5</v>
      </c>
      <c r="R18" s="43">
        <f t="shared" ca="1" si="3"/>
        <v>0.34997</v>
      </c>
      <c r="S18" s="43">
        <f t="shared" ca="1" si="3"/>
        <v>0</v>
      </c>
      <c r="T18" s="43">
        <f t="shared" ca="1" si="3"/>
        <v>0</v>
      </c>
    </row>
    <row r="19" spans="1:28" ht="11.25" x14ac:dyDescent="0.2">
      <c r="A19" s="330">
        <f t="shared" si="4"/>
        <v>13</v>
      </c>
      <c r="B19" s="255" t="s">
        <v>1022</v>
      </c>
      <c r="C19" s="5" t="s">
        <v>374</v>
      </c>
      <c r="D19" s="5">
        <f ca="1">SUM(Commodity!$F$654:$F$659)-Commodity!$F$576</f>
        <v>1625047</v>
      </c>
      <c r="E19" s="5">
        <f ca="1">SUM(Commodity!$G$654:$G$659)-Commodity!$G$576</f>
        <v>1073660</v>
      </c>
      <c r="F19" s="5">
        <f ca="1">SUM(Commodity!$H$654:$H$659)-Commodity!$H$576</f>
        <v>2452</v>
      </c>
      <c r="G19" s="2">
        <f ca="1">SUM(Commodity!$I$654:$I$659)-Commodity!$I$576</f>
        <v>179</v>
      </c>
      <c r="H19" s="5">
        <f ca="1">SUM(Commodity!$J$654:$J$659)-Commodity!$J$576</f>
        <v>1248791</v>
      </c>
      <c r="I19" s="5">
        <f ca="1">SUM(Commodity!$K$654:$K$659)-Commodity!$K$576</f>
        <v>0</v>
      </c>
      <c r="J19" s="5">
        <f ca="1">SUM(Commodity!$L$654:$L$659)-Commodity!$L$576</f>
        <v>0</v>
      </c>
      <c r="K19" s="5"/>
      <c r="L19" s="5"/>
      <c r="M19" s="3">
        <f t="shared" ca="1" si="1"/>
        <v>3950129</v>
      </c>
      <c r="N19" s="43">
        <f t="shared" ca="1" si="7"/>
        <v>0.41138999999999998</v>
      </c>
      <c r="O19" s="43">
        <f t="shared" ca="1" si="6"/>
        <v>0.27179999999999999</v>
      </c>
      <c r="P19" s="43">
        <f t="shared" ca="1" si="3"/>
        <v>6.2E-4</v>
      </c>
      <c r="Q19" s="43">
        <f t="shared" ca="1" si="3"/>
        <v>5.0000000000000002E-5</v>
      </c>
      <c r="R19" s="43">
        <f t="shared" ca="1" si="3"/>
        <v>0.31613999999999998</v>
      </c>
      <c r="S19" s="43">
        <f t="shared" ca="1" si="3"/>
        <v>0</v>
      </c>
      <c r="T19" s="43">
        <f t="shared" ca="1" si="3"/>
        <v>0</v>
      </c>
    </row>
    <row r="20" spans="1:28" ht="11.25" x14ac:dyDescent="0.2">
      <c r="A20" s="330">
        <f t="shared" si="4"/>
        <v>14</v>
      </c>
      <c r="B20" s="255" t="s">
        <v>1023</v>
      </c>
      <c r="C20" s="5" t="s">
        <v>375</v>
      </c>
      <c r="D20" s="5">
        <f ca="1">Commodity!$F$161+Commodity!$F$162+Commodity!$F$167+Commodity!$F$175</f>
        <v>43135962</v>
      </c>
      <c r="E20" s="5">
        <f ca="1">Commodity!$G$161+Commodity!$G$162+Commodity!$G$167+Commodity!$G$175</f>
        <v>29210606</v>
      </c>
      <c r="F20" s="5">
        <f ca="1">Commodity!$H$161+Commodity!$H$162+Commodity!$H$167+Commodity!$H$175</f>
        <v>63071</v>
      </c>
      <c r="G20" s="2">
        <f ca="1">Commodity!$I$161+Commodity!$I$162+Commodity!$I$167+Commodity!$I$175</f>
        <v>5841</v>
      </c>
      <c r="H20" s="5">
        <f ca="1">Commodity!$J$161+Commodity!$J$162+Commodity!$J$167+Commodity!$J$175</f>
        <v>38240788</v>
      </c>
      <c r="I20" s="5">
        <f ca="1">Commodity!$K$161+Commodity!$K$162+Commodity!$K$167+Commodity!$K$175</f>
        <v>0</v>
      </c>
      <c r="J20" s="5">
        <f ca="1">Commodity!$L$161+Commodity!$L$162+Commodity!$L$167+Commodity!$L$175</f>
        <v>0</v>
      </c>
      <c r="K20" s="5"/>
      <c r="L20" s="5"/>
      <c r="M20" s="3">
        <f t="shared" ca="1" si="1"/>
        <v>110656268</v>
      </c>
      <c r="N20" s="43">
        <f ca="1">ROUND(1-SUM(O20:T20),5)</f>
        <v>0.38982</v>
      </c>
      <c r="O20" s="43">
        <f t="shared" ca="1" si="6"/>
        <v>0.26397999999999999</v>
      </c>
      <c r="P20" s="43">
        <f t="shared" ca="1" si="3"/>
        <v>5.6999999999999998E-4</v>
      </c>
      <c r="Q20" s="43">
        <f t="shared" ca="1" si="3"/>
        <v>5.0000000000000002E-5</v>
      </c>
      <c r="R20" s="43">
        <f t="shared" ca="1" si="3"/>
        <v>0.34558</v>
      </c>
      <c r="S20" s="43">
        <f t="shared" ca="1" si="3"/>
        <v>0</v>
      </c>
      <c r="T20" s="43">
        <f t="shared" ca="1" si="3"/>
        <v>0</v>
      </c>
    </row>
    <row r="21" spans="1:28" ht="11.25" x14ac:dyDescent="0.2">
      <c r="A21" s="330">
        <f t="shared" si="4"/>
        <v>15</v>
      </c>
      <c r="B21" s="255">
        <v>15</v>
      </c>
      <c r="C21" s="5" t="s">
        <v>376</v>
      </c>
      <c r="D21" s="40">
        <f ca="1">Input!$E$592</f>
        <v>0.88227999999999995</v>
      </c>
      <c r="E21" s="40">
        <f ca="1">Input!$F$592</f>
        <v>0.11418</v>
      </c>
      <c r="F21" s="40">
        <f ca="1">Input!$G$592</f>
        <v>1.0000000000000001E-5</v>
      </c>
      <c r="G21" s="219">
        <f>Input!$H$592</f>
        <v>0</v>
      </c>
      <c r="H21" s="40">
        <f ca="1">Input!$I$592</f>
        <v>3.5300000000000002E-3</v>
      </c>
      <c r="I21" s="40">
        <f ca="1">Input!$J$592</f>
        <v>0</v>
      </c>
      <c r="J21" s="40">
        <f ca="1">Input!$K$592</f>
        <v>0</v>
      </c>
      <c r="K21" s="40"/>
      <c r="L21" s="40"/>
      <c r="M21" s="3">
        <f t="shared" ca="1" si="1"/>
        <v>0.99999999999999989</v>
      </c>
      <c r="N21" s="43">
        <f t="shared" ref="N21:N22" ca="1" si="8">ROUND(1-SUM(O21:T21),5)</f>
        <v>0.88227999999999995</v>
      </c>
      <c r="O21" s="43">
        <f t="shared" ca="1" si="6"/>
        <v>0.11418</v>
      </c>
      <c r="P21" s="43">
        <f t="shared" ca="1" si="3"/>
        <v>1.0000000000000001E-5</v>
      </c>
      <c r="Q21" s="43">
        <f t="shared" ca="1" si="3"/>
        <v>0</v>
      </c>
      <c r="R21" s="43">
        <f t="shared" ca="1" si="3"/>
        <v>3.5300000000000002E-3</v>
      </c>
      <c r="S21" s="43">
        <f t="shared" ca="1" si="3"/>
        <v>0</v>
      </c>
      <c r="T21" s="43">
        <f t="shared" ca="1" si="3"/>
        <v>0</v>
      </c>
    </row>
    <row r="22" spans="1:28" ht="11.25" x14ac:dyDescent="0.2">
      <c r="A22" s="330">
        <f t="shared" si="4"/>
        <v>16</v>
      </c>
      <c r="B22" s="255">
        <v>16</v>
      </c>
      <c r="C22" s="5" t="s">
        <v>377</v>
      </c>
      <c r="D22" s="40">
        <f>Input!$E$593</f>
        <v>0.71941662417005559</v>
      </c>
      <c r="E22" s="40">
        <f>Input!$F$593</f>
        <v>0.27612389659262171</v>
      </c>
      <c r="F22" s="40">
        <f>Input!$G$593</f>
        <v>1.3148477358315252E-4</v>
      </c>
      <c r="G22" s="219">
        <f>Input!$H$593</f>
        <v>0</v>
      </c>
      <c r="H22" s="40">
        <f>Input!$I$593</f>
        <v>4.3279944637395302E-3</v>
      </c>
      <c r="I22" s="40">
        <f>Input!$J$593</f>
        <v>0</v>
      </c>
      <c r="J22" s="40">
        <f>Input!$K$593</f>
        <v>0</v>
      </c>
      <c r="K22" s="40"/>
      <c r="L22" s="40"/>
      <c r="M22" s="3">
        <f t="shared" si="1"/>
        <v>1</v>
      </c>
      <c r="N22" s="43">
        <f t="shared" si="8"/>
        <v>0.71941999999999995</v>
      </c>
      <c r="O22" s="43">
        <f t="shared" si="6"/>
        <v>0.27611999999999998</v>
      </c>
      <c r="P22" s="43">
        <f t="shared" si="3"/>
        <v>1.2999999999999999E-4</v>
      </c>
      <c r="Q22" s="43">
        <f t="shared" si="3"/>
        <v>0</v>
      </c>
      <c r="R22" s="43">
        <f t="shared" si="3"/>
        <v>4.3299999999999996E-3</v>
      </c>
      <c r="S22" s="43">
        <f t="shared" si="3"/>
        <v>0</v>
      </c>
      <c r="T22" s="43">
        <f t="shared" si="3"/>
        <v>0</v>
      </c>
    </row>
    <row r="23" spans="1:28" ht="11.25" x14ac:dyDescent="0.2">
      <c r="A23" s="330">
        <f t="shared" si="4"/>
        <v>17</v>
      </c>
      <c r="B23" s="255">
        <v>17</v>
      </c>
      <c r="C23" s="5" t="s">
        <v>378</v>
      </c>
      <c r="D23" s="40">
        <f>Input!$E$594</f>
        <v>0</v>
      </c>
      <c r="E23" s="40">
        <f>Input!$F$594</f>
        <v>0.25976700000000003</v>
      </c>
      <c r="F23" s="40">
        <f>Input!$G$594</f>
        <v>2.8699999999999998E-4</v>
      </c>
      <c r="G23" s="219">
        <f>Input!$H$594</f>
        <v>0</v>
      </c>
      <c r="H23" s="40">
        <f>Input!$I$594</f>
        <v>0.73994599999999999</v>
      </c>
      <c r="I23" s="40">
        <f>Input!$J$594</f>
        <v>0</v>
      </c>
      <c r="J23" s="40">
        <f>Input!$K$594</f>
        <v>0</v>
      </c>
      <c r="K23" s="40"/>
      <c r="L23" s="40"/>
      <c r="M23" s="3">
        <f t="shared" si="1"/>
        <v>1</v>
      </c>
      <c r="N23" s="43">
        <f>ROUND(1-SUM(O23:T23)+0.00001,5)</f>
        <v>0</v>
      </c>
      <c r="O23" s="43">
        <f t="shared" si="6"/>
        <v>0.25977</v>
      </c>
      <c r="P23" s="43">
        <f t="shared" si="6"/>
        <v>2.9E-4</v>
      </c>
      <c r="Q23" s="43">
        <f t="shared" si="6"/>
        <v>0</v>
      </c>
      <c r="R23" s="43">
        <f t="shared" si="6"/>
        <v>0.73995</v>
      </c>
      <c r="S23" s="43">
        <f t="shared" si="6"/>
        <v>0</v>
      </c>
      <c r="T23" s="43">
        <f t="shared" si="6"/>
        <v>0</v>
      </c>
    </row>
    <row r="24" spans="1:28" ht="11.25" x14ac:dyDescent="0.2">
      <c r="A24" s="330">
        <f t="shared" si="4"/>
        <v>18</v>
      </c>
      <c r="B24" s="255" t="s">
        <v>1024</v>
      </c>
      <c r="C24" s="5" t="s">
        <v>379</v>
      </c>
      <c r="D24" s="5">
        <f>Commodity!$F$161+Commodity!$F$162</f>
        <v>43135962</v>
      </c>
      <c r="E24" s="5">
        <f>Commodity!$G$161+Commodity!$G$162</f>
        <v>29210606</v>
      </c>
      <c r="F24" s="5">
        <f>Commodity!$H$161+Commodity!$H$162</f>
        <v>63071</v>
      </c>
      <c r="G24" s="2">
        <f>Commodity!$I$161+Commodity!$I$162</f>
        <v>5841</v>
      </c>
      <c r="H24" s="5">
        <f>Commodity!$J$161+Commodity!$J$162</f>
        <v>38240788</v>
      </c>
      <c r="I24" s="5">
        <f>Commodity!$K$161+Commodity!$K$162</f>
        <v>0</v>
      </c>
      <c r="J24" s="5">
        <f>Customer!$L$161+Customer!$L$162</f>
        <v>0</v>
      </c>
      <c r="K24" s="5"/>
      <c r="L24" s="5"/>
      <c r="M24" s="3">
        <f t="shared" si="1"/>
        <v>110656268</v>
      </c>
      <c r="N24" s="43">
        <f>ROUND(1-SUM(O24:T24),5)</f>
        <v>0.38982</v>
      </c>
      <c r="O24" s="43">
        <f t="shared" si="6"/>
        <v>0.26397999999999999</v>
      </c>
      <c r="P24" s="43">
        <f t="shared" si="6"/>
        <v>5.6999999999999998E-4</v>
      </c>
      <c r="Q24" s="43">
        <f t="shared" si="6"/>
        <v>5.0000000000000002E-5</v>
      </c>
      <c r="R24" s="43">
        <f t="shared" si="6"/>
        <v>0.34558</v>
      </c>
      <c r="S24" s="43">
        <f t="shared" si="6"/>
        <v>0</v>
      </c>
      <c r="T24" s="43">
        <f t="shared" si="6"/>
        <v>0</v>
      </c>
    </row>
    <row r="25" spans="1:28" ht="11.25" x14ac:dyDescent="0.2">
      <c r="A25" s="330">
        <f t="shared" si="4"/>
        <v>19</v>
      </c>
      <c r="B25" s="255" t="s">
        <v>1025</v>
      </c>
      <c r="C25" s="5" t="s">
        <v>154</v>
      </c>
      <c r="D25" s="5">
        <f ca="1">Commodity!$F$205</f>
        <v>49623412</v>
      </c>
      <c r="E25" s="5">
        <f ca="1">Commodity!$G$205</f>
        <v>33603809</v>
      </c>
      <c r="F25" s="5">
        <f ca="1">Commodity!$H$205</f>
        <v>72557</v>
      </c>
      <c r="G25" s="2">
        <f ca="1">Commodity!$I$205</f>
        <v>30967</v>
      </c>
      <c r="H25" s="5">
        <f ca="1">Commodity!$J$205</f>
        <v>43992096</v>
      </c>
      <c r="I25" s="5">
        <f ca="1">Commodity!$K$205</f>
        <v>0</v>
      </c>
      <c r="J25" s="5">
        <f ca="1">Commodity!$L$205</f>
        <v>0</v>
      </c>
      <c r="K25" s="5"/>
      <c r="L25" s="5"/>
      <c r="M25" s="3">
        <f t="shared" ca="1" si="1"/>
        <v>127322841</v>
      </c>
      <c r="N25" s="43">
        <f ca="1">ROUND(1-SUM(O25:T25),5)</f>
        <v>0.38973999999999998</v>
      </c>
      <c r="O25" s="43">
        <f t="shared" ca="1" si="6"/>
        <v>0.26393</v>
      </c>
      <c r="P25" s="43">
        <f t="shared" ca="1" si="6"/>
        <v>5.6999999999999998E-4</v>
      </c>
      <c r="Q25" s="43">
        <f t="shared" ca="1" si="6"/>
        <v>2.4000000000000001E-4</v>
      </c>
      <c r="R25" s="43">
        <f t="shared" ca="1" si="6"/>
        <v>0.34551999999999999</v>
      </c>
      <c r="S25" s="43">
        <f t="shared" ca="1" si="6"/>
        <v>0</v>
      </c>
      <c r="T25" s="43">
        <f t="shared" ca="1" si="6"/>
        <v>0</v>
      </c>
    </row>
    <row r="26" spans="1:28" ht="11.25" x14ac:dyDescent="0.2">
      <c r="A26" s="330">
        <f t="shared" si="4"/>
        <v>20</v>
      </c>
      <c r="B26" s="255">
        <v>20</v>
      </c>
      <c r="C26" s="5" t="s">
        <v>380</v>
      </c>
      <c r="D26" s="40">
        <f t="shared" ref="D26:J26" si="9">ROUND((N9+N11)/2,5)</f>
        <v>0.56389</v>
      </c>
      <c r="E26" s="40">
        <f t="shared" si="9"/>
        <v>0.2157</v>
      </c>
      <c r="F26" s="40">
        <f t="shared" si="9"/>
        <v>4.0999999999999999E-4</v>
      </c>
      <c r="G26" s="219">
        <f t="shared" si="9"/>
        <v>0</v>
      </c>
      <c r="H26" s="40">
        <f t="shared" si="9"/>
        <v>0.22001000000000001</v>
      </c>
      <c r="I26" s="40">
        <f t="shared" si="9"/>
        <v>0</v>
      </c>
      <c r="J26" s="40">
        <f t="shared" si="9"/>
        <v>0</v>
      </c>
      <c r="K26" s="40"/>
      <c r="L26" s="40"/>
      <c r="M26" s="23">
        <f t="shared" si="1"/>
        <v>1.0000100000000001</v>
      </c>
      <c r="N26" s="43">
        <f>1-SUM(O26:T26)</f>
        <v>0.56387999999999994</v>
      </c>
      <c r="O26" s="43">
        <f t="shared" si="6"/>
        <v>0.2157</v>
      </c>
      <c r="P26" s="43">
        <f t="shared" si="6"/>
        <v>4.0999999999999999E-4</v>
      </c>
      <c r="Q26" s="43">
        <f t="shared" si="6"/>
        <v>0</v>
      </c>
      <c r="R26" s="43">
        <f t="shared" si="6"/>
        <v>0.22001000000000001</v>
      </c>
      <c r="S26" s="43">
        <f t="shared" si="6"/>
        <v>0</v>
      </c>
      <c r="T26" s="43">
        <f t="shared" si="6"/>
        <v>0</v>
      </c>
    </row>
    <row r="27" spans="1:28" ht="11.25" x14ac:dyDescent="0.2">
      <c r="A27" s="330">
        <f t="shared" si="4"/>
        <v>21</v>
      </c>
      <c r="B27" s="255">
        <v>21</v>
      </c>
      <c r="C27" s="5" t="s">
        <v>977</v>
      </c>
      <c r="D27" s="234">
        <f>Uncollectibles!$D$20</f>
        <v>1022789</v>
      </c>
      <c r="E27" s="234">
        <f>Uncollectibles!$E$20</f>
        <v>154887</v>
      </c>
      <c r="F27" s="234">
        <f>Uncollectibles!$F$20</f>
        <v>22</v>
      </c>
      <c r="G27" s="324">
        <f>Uncollectibles!$G$20</f>
        <v>66</v>
      </c>
      <c r="H27" s="234">
        <f>Uncollectibles!$H$20</f>
        <v>875</v>
      </c>
      <c r="I27" s="5">
        <v>0</v>
      </c>
      <c r="J27" s="5">
        <v>0</v>
      </c>
      <c r="K27" s="3"/>
      <c r="L27" s="3"/>
      <c r="M27" s="23">
        <f t="shared" si="1"/>
        <v>1178639</v>
      </c>
      <c r="N27" s="43">
        <f>1-SUM(O27:T27)</f>
        <v>0.86777000000000004</v>
      </c>
      <c r="O27" s="43">
        <f t="shared" si="6"/>
        <v>0.13141</v>
      </c>
      <c r="P27" s="43">
        <f t="shared" si="6"/>
        <v>2.0000000000000002E-5</v>
      </c>
      <c r="Q27" s="43">
        <f t="shared" si="6"/>
        <v>6.0000000000000002E-5</v>
      </c>
      <c r="R27" s="43">
        <f t="shared" si="6"/>
        <v>7.3999999999999999E-4</v>
      </c>
      <c r="S27" s="43">
        <f t="shared" si="6"/>
        <v>0</v>
      </c>
      <c r="T27" s="43">
        <f t="shared" si="6"/>
        <v>0</v>
      </c>
    </row>
    <row r="28" spans="1:28" ht="11.25" x14ac:dyDescent="0.2">
      <c r="A28" s="348"/>
      <c r="B28" s="322"/>
      <c r="C28" s="2"/>
      <c r="D28" s="324"/>
      <c r="E28" s="324"/>
      <c r="F28" s="324"/>
      <c r="G28" s="324"/>
      <c r="H28" s="324"/>
      <c r="I28" s="324"/>
      <c r="J28" s="324"/>
      <c r="K28" s="1"/>
      <c r="L28" s="1"/>
      <c r="M28" s="191"/>
      <c r="N28" s="323"/>
      <c r="O28" s="323"/>
      <c r="P28" s="323"/>
      <c r="Q28" s="323"/>
      <c r="R28" s="323"/>
      <c r="S28" s="323"/>
      <c r="T28" s="323"/>
      <c r="U28" s="348"/>
      <c r="V28" s="348"/>
      <c r="W28" s="348"/>
      <c r="X28" s="348"/>
      <c r="Y28" s="348"/>
      <c r="Z28" s="348"/>
      <c r="AA28" s="348"/>
      <c r="AB28" s="348"/>
    </row>
    <row r="29" spans="1:28" ht="11.25" x14ac:dyDescent="0.2">
      <c r="A29" s="348"/>
      <c r="B29" s="322"/>
      <c r="C29" s="2"/>
      <c r="D29" s="2"/>
      <c r="E29" s="2"/>
      <c r="F29" s="2"/>
      <c r="G29" s="2"/>
      <c r="H29" s="2"/>
      <c r="I29" s="2"/>
      <c r="J29" s="2"/>
      <c r="K29" s="2"/>
      <c r="L29" s="1"/>
      <c r="M29" s="191"/>
      <c r="N29" s="323"/>
      <c r="O29" s="323"/>
      <c r="P29" s="323"/>
      <c r="Q29" s="323"/>
      <c r="R29" s="323"/>
      <c r="S29" s="323"/>
      <c r="T29" s="323"/>
      <c r="U29" s="348"/>
      <c r="V29" s="348"/>
      <c r="W29" s="348"/>
      <c r="X29" s="348"/>
      <c r="Y29" s="348"/>
      <c r="Z29" s="348"/>
      <c r="AA29" s="348"/>
      <c r="AB29" s="348"/>
    </row>
    <row r="30" spans="1:28" ht="11.25" x14ac:dyDescent="0.2">
      <c r="A30" s="348"/>
      <c r="B30" s="322"/>
      <c r="C30" s="2"/>
      <c r="D30" s="2"/>
      <c r="E30" s="2"/>
      <c r="F30" s="2"/>
      <c r="G30" s="2"/>
      <c r="H30" s="2"/>
      <c r="I30" s="2"/>
      <c r="J30" s="2"/>
      <c r="K30" s="1"/>
      <c r="L30" s="1"/>
      <c r="M30" s="191"/>
      <c r="N30" s="323"/>
      <c r="O30" s="323"/>
      <c r="P30" s="323"/>
      <c r="Q30" s="323"/>
      <c r="R30" s="323"/>
      <c r="S30" s="323"/>
      <c r="T30" s="323"/>
      <c r="U30" s="348"/>
      <c r="V30" s="348"/>
      <c r="W30" s="348"/>
      <c r="X30" s="348"/>
      <c r="Y30" s="348"/>
      <c r="Z30" s="348"/>
      <c r="AA30" s="348"/>
      <c r="AB30" s="348"/>
    </row>
    <row r="31" spans="1:28" ht="11.25" x14ac:dyDescent="0.2">
      <c r="A31" s="348"/>
      <c r="B31" s="322"/>
      <c r="C31" s="2"/>
      <c r="D31" s="2"/>
      <c r="E31" s="2"/>
      <c r="F31" s="2"/>
      <c r="G31" s="2"/>
      <c r="H31" s="2"/>
      <c r="I31" s="2"/>
      <c r="J31" s="2"/>
      <c r="K31" s="348"/>
      <c r="L31" s="348"/>
      <c r="M31" s="191"/>
      <c r="N31" s="323"/>
      <c r="O31" s="323"/>
      <c r="P31" s="323"/>
      <c r="Q31" s="323"/>
      <c r="R31" s="323"/>
      <c r="S31" s="323"/>
      <c r="T31" s="323"/>
      <c r="U31" s="348"/>
      <c r="V31" s="348"/>
      <c r="W31" s="348"/>
      <c r="X31" s="348"/>
      <c r="Y31" s="348"/>
      <c r="Z31" s="348"/>
      <c r="AA31" s="348"/>
      <c r="AB31" s="348"/>
    </row>
    <row r="32" spans="1:28" ht="11.25" x14ac:dyDescent="0.2">
      <c r="A32" s="348"/>
      <c r="B32" s="322"/>
      <c r="C32" s="2"/>
      <c r="D32" s="2"/>
      <c r="E32" s="2"/>
      <c r="F32" s="2"/>
      <c r="G32" s="2"/>
      <c r="H32" s="2"/>
      <c r="I32" s="2"/>
      <c r="J32" s="2"/>
      <c r="K32" s="348"/>
      <c r="L32" s="348"/>
      <c r="M32" s="191"/>
      <c r="N32" s="323"/>
      <c r="O32" s="323"/>
      <c r="P32" s="323"/>
      <c r="Q32" s="323"/>
      <c r="R32" s="323"/>
      <c r="S32" s="323"/>
      <c r="T32" s="323"/>
      <c r="U32" s="348"/>
      <c r="V32" s="348"/>
      <c r="W32" s="348"/>
      <c r="X32" s="348"/>
      <c r="Y32" s="348"/>
      <c r="Z32" s="348"/>
      <c r="AA32" s="348"/>
      <c r="AB32" s="348"/>
    </row>
    <row r="33" spans="1:28" ht="11.25" x14ac:dyDescent="0.2">
      <c r="A33" s="348"/>
      <c r="B33" s="322"/>
      <c r="C33" s="2"/>
      <c r="D33" s="2"/>
      <c r="E33" s="2"/>
      <c r="F33" s="2"/>
      <c r="G33" s="2"/>
      <c r="H33" s="2"/>
      <c r="I33" s="2"/>
      <c r="J33" s="2"/>
      <c r="K33" s="1"/>
      <c r="L33" s="1"/>
      <c r="M33" s="191"/>
      <c r="N33" s="323"/>
      <c r="O33" s="323"/>
      <c r="P33" s="323"/>
      <c r="Q33" s="323"/>
      <c r="R33" s="323"/>
      <c r="S33" s="323"/>
      <c r="T33" s="323"/>
      <c r="U33" s="348"/>
      <c r="V33" s="348"/>
      <c r="W33" s="348"/>
      <c r="X33" s="348"/>
      <c r="Y33" s="348"/>
      <c r="Z33" s="348"/>
      <c r="AA33" s="348"/>
      <c r="AB33" s="348"/>
    </row>
    <row r="34" spans="1:28" ht="11.25" x14ac:dyDescent="0.2">
      <c r="A34" s="348"/>
      <c r="B34" s="348"/>
      <c r="C34" s="348"/>
      <c r="D34" s="348"/>
      <c r="E34" s="348"/>
      <c r="F34" s="348"/>
      <c r="H34" s="348"/>
      <c r="I34" s="348"/>
      <c r="J34" s="348"/>
      <c r="K34" s="348"/>
      <c r="L34" s="348"/>
      <c r="M34" s="348"/>
      <c r="N34" s="323"/>
      <c r="O34" s="323"/>
      <c r="P34" s="323"/>
      <c r="Q34" s="323"/>
      <c r="R34" s="323"/>
      <c r="S34" s="323"/>
      <c r="T34" s="323"/>
      <c r="U34" s="348"/>
      <c r="V34" s="348"/>
      <c r="W34" s="348"/>
      <c r="X34" s="348"/>
      <c r="Y34" s="348"/>
      <c r="Z34" s="348"/>
      <c r="AA34" s="348"/>
      <c r="AB34" s="348"/>
    </row>
    <row r="35" spans="1:28" ht="11.25" x14ac:dyDescent="0.2">
      <c r="A35" s="348"/>
      <c r="B35" s="348"/>
      <c r="C35" s="348"/>
      <c r="D35" s="348"/>
      <c r="E35" s="348"/>
      <c r="F35" s="348"/>
      <c r="H35" s="348"/>
      <c r="I35" s="348"/>
      <c r="J35" s="348"/>
      <c r="K35" s="348"/>
      <c r="L35" s="348"/>
      <c r="M35" s="348"/>
      <c r="N35" s="323"/>
      <c r="O35" s="323"/>
      <c r="P35" s="323"/>
      <c r="Q35" s="323"/>
      <c r="R35" s="323"/>
      <c r="S35" s="323"/>
      <c r="T35" s="323"/>
      <c r="U35" s="348"/>
      <c r="V35" s="348"/>
      <c r="W35" s="348"/>
      <c r="X35" s="348"/>
      <c r="Y35" s="348"/>
      <c r="Z35" s="348"/>
      <c r="AA35" s="348"/>
      <c r="AB35" s="348"/>
    </row>
    <row r="36" spans="1:28" ht="11.25" x14ac:dyDescent="0.2">
      <c r="A36" s="348"/>
      <c r="B36" s="348"/>
      <c r="C36" s="348"/>
      <c r="D36" s="348"/>
      <c r="E36" s="348"/>
      <c r="F36" s="348"/>
      <c r="H36" s="348"/>
      <c r="I36" s="348"/>
      <c r="J36" s="348"/>
      <c r="K36" s="348"/>
      <c r="L36" s="348"/>
      <c r="M36" s="348"/>
      <c r="N36" s="323"/>
      <c r="O36" s="323"/>
      <c r="P36" s="323"/>
      <c r="Q36" s="323"/>
      <c r="R36" s="323"/>
      <c r="S36" s="323"/>
      <c r="T36" s="323"/>
      <c r="U36" s="348"/>
      <c r="V36" s="348"/>
      <c r="W36" s="348"/>
      <c r="X36" s="348"/>
      <c r="Y36" s="348"/>
      <c r="Z36" s="348"/>
      <c r="AA36" s="348"/>
      <c r="AB36" s="348"/>
    </row>
    <row r="37" spans="1:28" ht="11.25" x14ac:dyDescent="0.2">
      <c r="N37" s="43"/>
      <c r="O37" s="43"/>
      <c r="P37" s="43"/>
      <c r="Q37" s="43"/>
      <c r="R37" s="43"/>
      <c r="S37" s="43"/>
      <c r="T37" s="43"/>
    </row>
    <row r="38" spans="1:28" ht="11.25" x14ac:dyDescent="0.2">
      <c r="N38" s="43"/>
      <c r="O38" s="43"/>
      <c r="P38" s="43"/>
      <c r="Q38" s="43"/>
      <c r="R38" s="43"/>
      <c r="S38" s="43"/>
      <c r="T38" s="43"/>
    </row>
    <row r="39" spans="1:28" ht="11.25" x14ac:dyDescent="0.2">
      <c r="N39" s="43"/>
      <c r="O39" s="43"/>
      <c r="P39" s="43"/>
      <c r="Q39" s="43"/>
      <c r="R39" s="43"/>
      <c r="S39" s="43"/>
      <c r="T39" s="43"/>
    </row>
    <row r="40" spans="1:28" ht="11.25" x14ac:dyDescent="0.2">
      <c r="N40" s="43"/>
      <c r="O40" s="43"/>
      <c r="P40" s="43"/>
      <c r="Q40" s="43"/>
      <c r="R40" s="43"/>
      <c r="S40" s="43"/>
      <c r="T40" s="43"/>
    </row>
    <row r="41" spans="1:28" ht="11.25" x14ac:dyDescent="0.2">
      <c r="N41" s="43"/>
      <c r="O41" s="43"/>
      <c r="P41" s="43"/>
      <c r="Q41" s="43"/>
      <c r="R41" s="43"/>
      <c r="S41" s="43"/>
      <c r="T41" s="43"/>
    </row>
    <row r="42" spans="1:28" ht="11.25" x14ac:dyDescent="0.2">
      <c r="N42" s="43"/>
      <c r="O42" s="43"/>
      <c r="P42" s="43"/>
      <c r="Q42" s="43"/>
      <c r="R42" s="43"/>
      <c r="S42" s="43"/>
      <c r="T42" s="43"/>
    </row>
    <row r="43" spans="1:28" ht="11.25" x14ac:dyDescent="0.2">
      <c r="N43" s="43"/>
      <c r="O43" s="43"/>
      <c r="P43" s="43"/>
      <c r="Q43" s="43"/>
      <c r="R43" s="43"/>
      <c r="S43" s="43"/>
      <c r="T43" s="43"/>
    </row>
    <row r="44" spans="1:28" ht="11.25" x14ac:dyDescent="0.2">
      <c r="N44" s="43"/>
      <c r="O44" s="43"/>
      <c r="P44" s="43"/>
      <c r="Q44" s="43"/>
      <c r="R44" s="43"/>
      <c r="S44" s="43"/>
      <c r="T44" s="43"/>
    </row>
    <row r="45" spans="1:28" ht="11.25" x14ac:dyDescent="0.2">
      <c r="N45" s="43"/>
      <c r="O45" s="43"/>
      <c r="P45" s="43"/>
      <c r="Q45" s="43"/>
      <c r="R45" s="43"/>
      <c r="S45" s="43"/>
      <c r="T45" s="43"/>
    </row>
    <row r="46" spans="1:28" ht="11.25" x14ac:dyDescent="0.2">
      <c r="N46" s="43"/>
      <c r="O46" s="43"/>
      <c r="P46" s="43"/>
      <c r="Q46" s="43"/>
      <c r="R46" s="43"/>
      <c r="S46" s="43"/>
      <c r="T46" s="43"/>
    </row>
    <row r="47" spans="1:28" ht="11.25" x14ac:dyDescent="0.2">
      <c r="N47" s="43"/>
      <c r="O47" s="43"/>
      <c r="P47" s="43"/>
      <c r="Q47" s="43"/>
      <c r="R47" s="43"/>
      <c r="S47" s="43"/>
      <c r="T47" s="43"/>
    </row>
    <row r="48" spans="1:28" ht="11.25" x14ac:dyDescent="0.2">
      <c r="N48" s="43"/>
      <c r="O48" s="43"/>
      <c r="P48" s="43"/>
      <c r="Q48" s="43"/>
      <c r="R48" s="43"/>
      <c r="S48" s="43"/>
      <c r="T48" s="43"/>
    </row>
    <row r="49" spans="14:21" ht="11.25" x14ac:dyDescent="0.2">
      <c r="N49" s="43"/>
      <c r="O49" s="43"/>
      <c r="P49" s="43"/>
      <c r="Q49" s="43"/>
      <c r="R49" s="43"/>
      <c r="S49" s="43"/>
      <c r="T49" s="43"/>
    </row>
    <row r="50" spans="14:21" ht="11.25" x14ac:dyDescent="0.2">
      <c r="N50" s="43"/>
      <c r="O50" s="43"/>
      <c r="P50" s="43"/>
      <c r="Q50" s="43"/>
      <c r="R50" s="43"/>
      <c r="S50" s="43"/>
      <c r="T50" s="43"/>
    </row>
    <row r="52" spans="14:21" ht="11.25" x14ac:dyDescent="0.2">
      <c r="N52" s="43"/>
      <c r="O52" s="43"/>
      <c r="P52" s="43"/>
      <c r="Q52" s="43"/>
      <c r="R52" s="43"/>
      <c r="S52" s="43"/>
      <c r="T52" s="43"/>
      <c r="U52" s="43"/>
    </row>
    <row r="53" spans="14:21" ht="11.25" x14ac:dyDescent="0.2">
      <c r="N53" s="43"/>
      <c r="O53" s="43"/>
      <c r="P53" s="43"/>
      <c r="Q53" s="43"/>
      <c r="R53" s="43"/>
      <c r="S53" s="43"/>
      <c r="T53" s="43"/>
      <c r="U53" s="43"/>
    </row>
    <row r="54" spans="14:21" ht="11.25" x14ac:dyDescent="0.2">
      <c r="N54" s="43"/>
      <c r="O54" s="43"/>
      <c r="P54" s="43"/>
      <c r="Q54" s="43"/>
      <c r="R54" s="43"/>
      <c r="S54" s="43"/>
      <c r="T54" s="43"/>
      <c r="U54" s="43"/>
    </row>
    <row r="55" spans="14:21" ht="11.25" x14ac:dyDescent="0.2">
      <c r="N55" s="43"/>
      <c r="O55" s="43"/>
      <c r="P55" s="43"/>
      <c r="Q55" s="43"/>
      <c r="R55" s="43"/>
      <c r="S55" s="43"/>
      <c r="T55" s="43"/>
      <c r="U55" s="43"/>
    </row>
    <row r="56" spans="14:21" ht="11.25" x14ac:dyDescent="0.2">
      <c r="N56" s="43"/>
      <c r="O56" s="43"/>
      <c r="P56" s="43"/>
      <c r="Q56" s="43"/>
      <c r="R56" s="43"/>
      <c r="S56" s="43"/>
      <c r="T56" s="43"/>
      <c r="U56" s="43"/>
    </row>
    <row r="57" spans="14:21" ht="11.25" x14ac:dyDescent="0.2">
      <c r="N57" s="43"/>
      <c r="O57" s="43"/>
      <c r="P57" s="43"/>
      <c r="Q57" s="43"/>
      <c r="R57" s="43"/>
      <c r="S57" s="43"/>
      <c r="T57" s="43"/>
      <c r="U57" s="43"/>
    </row>
    <row r="58" spans="14:21" ht="11.25" x14ac:dyDescent="0.2">
      <c r="N58" s="43"/>
      <c r="O58" s="43"/>
      <c r="P58" s="43"/>
      <c r="Q58" s="43"/>
      <c r="R58" s="43"/>
      <c r="S58" s="43"/>
      <c r="T58" s="43"/>
      <c r="U58" s="43"/>
    </row>
    <row r="59" spans="14:21" ht="11.25" x14ac:dyDescent="0.2">
      <c r="N59" s="43"/>
      <c r="O59" s="43"/>
      <c r="P59" s="43"/>
      <c r="Q59" s="43"/>
      <c r="R59" s="43"/>
      <c r="S59" s="43"/>
      <c r="T59" s="43"/>
      <c r="U59" s="43"/>
    </row>
    <row r="60" spans="14:21" ht="11.25" x14ac:dyDescent="0.2">
      <c r="N60" s="43"/>
      <c r="O60" s="43"/>
      <c r="P60" s="43"/>
      <c r="Q60" s="43"/>
      <c r="R60" s="43"/>
      <c r="S60" s="43"/>
      <c r="T60" s="43"/>
      <c r="U60" s="43"/>
    </row>
    <row r="61" spans="14:21" ht="11.25" x14ac:dyDescent="0.2">
      <c r="N61" s="43"/>
      <c r="O61" s="43"/>
      <c r="P61" s="43"/>
      <c r="Q61" s="43"/>
      <c r="R61" s="43"/>
      <c r="S61" s="43"/>
      <c r="T61" s="43"/>
      <c r="U61" s="43"/>
    </row>
    <row r="62" spans="14:21" ht="11.25" x14ac:dyDescent="0.2">
      <c r="N62" s="43"/>
      <c r="O62" s="43"/>
      <c r="P62" s="43"/>
      <c r="Q62" s="43"/>
      <c r="R62" s="43"/>
      <c r="S62" s="43"/>
      <c r="T62" s="43"/>
      <c r="U62" s="43"/>
    </row>
    <row r="63" spans="14:21" ht="11.25" x14ac:dyDescent="0.2">
      <c r="N63" s="43"/>
      <c r="O63" s="43"/>
      <c r="P63" s="43"/>
      <c r="Q63" s="43"/>
      <c r="R63" s="43"/>
      <c r="S63" s="43"/>
      <c r="T63" s="43"/>
      <c r="U63" s="43"/>
    </row>
    <row r="64" spans="14:21" ht="11.25" x14ac:dyDescent="0.2">
      <c r="N64" s="43"/>
      <c r="O64" s="43"/>
      <c r="P64" s="43"/>
      <c r="Q64" s="43"/>
      <c r="R64" s="43"/>
      <c r="S64" s="43"/>
      <c r="T64" s="43"/>
      <c r="U64" s="43"/>
    </row>
    <row r="65" spans="14:21" ht="11.25" x14ac:dyDescent="0.2">
      <c r="N65" s="43"/>
      <c r="O65" s="43"/>
      <c r="P65" s="43"/>
      <c r="Q65" s="43"/>
      <c r="R65" s="43"/>
      <c r="S65" s="43"/>
      <c r="T65" s="43"/>
      <c r="U65" s="43"/>
    </row>
    <row r="66" spans="14:21" ht="11.25" x14ac:dyDescent="0.2">
      <c r="N66" s="43"/>
      <c r="O66" s="43"/>
      <c r="P66" s="43"/>
      <c r="Q66" s="43"/>
      <c r="R66" s="43"/>
      <c r="S66" s="43"/>
      <c r="T66" s="43"/>
      <c r="U66" s="43"/>
    </row>
    <row r="67" spans="14:21" ht="11.25" x14ac:dyDescent="0.2">
      <c r="N67" s="43"/>
      <c r="O67" s="43"/>
      <c r="P67" s="43"/>
      <c r="Q67" s="43"/>
      <c r="R67" s="43"/>
      <c r="S67" s="43"/>
      <c r="T67" s="43"/>
      <c r="U67" s="43"/>
    </row>
    <row r="68" spans="14:21" ht="11.25" x14ac:dyDescent="0.2">
      <c r="N68" s="43"/>
      <c r="O68" s="43"/>
      <c r="P68" s="43"/>
      <c r="Q68" s="43"/>
      <c r="R68" s="43"/>
      <c r="S68" s="43"/>
      <c r="T68" s="43"/>
      <c r="U68" s="43"/>
    </row>
    <row r="69" spans="14:21" ht="11.25" x14ac:dyDescent="0.2">
      <c r="N69" s="43"/>
      <c r="O69" s="43"/>
      <c r="P69" s="43"/>
      <c r="Q69" s="43"/>
      <c r="R69" s="43"/>
      <c r="S69" s="43"/>
      <c r="T69" s="43"/>
      <c r="U69" s="43"/>
    </row>
    <row r="70" spans="14:21" ht="11.25" x14ac:dyDescent="0.2">
      <c r="N70" s="43"/>
      <c r="O70" s="43"/>
      <c r="P70" s="43"/>
      <c r="Q70" s="43"/>
      <c r="R70" s="43"/>
      <c r="S70" s="43"/>
      <c r="T70" s="43"/>
      <c r="U70" s="43"/>
    </row>
    <row r="71" spans="14:21" ht="11.25" x14ac:dyDescent="0.2">
      <c r="N71" s="43"/>
      <c r="O71" s="43"/>
      <c r="P71" s="43"/>
      <c r="Q71" s="43"/>
      <c r="R71" s="43"/>
      <c r="S71" s="43"/>
      <c r="T71" s="43"/>
      <c r="U71" s="43"/>
    </row>
    <row r="72" spans="14:21" ht="11.25" x14ac:dyDescent="0.2">
      <c r="N72" s="43"/>
      <c r="O72" s="43"/>
      <c r="P72" s="43"/>
      <c r="Q72" s="43"/>
      <c r="R72" s="43"/>
      <c r="S72" s="43"/>
      <c r="T72" s="43"/>
      <c r="U72" s="43"/>
    </row>
    <row r="73" spans="14:21" ht="11.25" x14ac:dyDescent="0.2">
      <c r="N73" s="43"/>
      <c r="O73" s="43"/>
      <c r="P73" s="43"/>
      <c r="Q73" s="43"/>
      <c r="R73" s="43"/>
      <c r="S73" s="43"/>
      <c r="T73" s="43"/>
      <c r="U73" s="43"/>
    </row>
    <row r="74" spans="14:21" ht="11.25" x14ac:dyDescent="0.2">
      <c r="N74" s="43"/>
    </row>
    <row r="75" spans="14:21" ht="11.25" x14ac:dyDescent="0.2">
      <c r="N75" s="43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workbookViewId="0">
      <selection activeCell="C39" sqref="C39"/>
    </sheetView>
  </sheetViews>
  <sheetFormatPr defaultRowHeight="11.25" x14ac:dyDescent="0.2"/>
  <cols>
    <col min="1" max="1" width="7.1640625" style="3" customWidth="1"/>
    <col min="2" max="2" width="33.6640625" style="3" customWidth="1"/>
    <col min="3" max="3" width="12.5" style="3" bestFit="1" customWidth="1"/>
    <col min="4" max="4" width="16.1640625" style="3" bestFit="1" customWidth="1"/>
    <col min="5" max="5" width="12.1640625" style="3" bestFit="1" customWidth="1"/>
    <col min="6" max="6" width="11.6640625" style="3" customWidth="1"/>
    <col min="7" max="7" width="9.33203125" style="3"/>
    <col min="8" max="8" width="9.83203125" style="3" bestFit="1" customWidth="1"/>
    <col min="9" max="9" width="9.6640625" style="3" bestFit="1" customWidth="1"/>
    <col min="10" max="11" width="9.33203125" style="3"/>
    <col min="12" max="12" width="9.83203125" style="3" bestFit="1" customWidth="1"/>
    <col min="13" max="16384" width="9.33203125" style="3"/>
  </cols>
  <sheetData>
    <row r="1" spans="1:6" x14ac:dyDescent="0.2">
      <c r="A1" s="3" t="s">
        <v>580</v>
      </c>
    </row>
    <row r="2" spans="1:6" x14ac:dyDescent="0.2">
      <c r="A2" s="3" t="s">
        <v>1091</v>
      </c>
    </row>
    <row r="3" spans="1:6" x14ac:dyDescent="0.2">
      <c r="A3" s="3" t="s">
        <v>1087</v>
      </c>
    </row>
    <row r="5" spans="1:6" x14ac:dyDescent="0.2">
      <c r="C5" s="325" t="s">
        <v>12</v>
      </c>
      <c r="D5" s="325"/>
      <c r="E5" s="325"/>
      <c r="F5" s="325"/>
    </row>
    <row r="6" spans="1:6" x14ac:dyDescent="0.2">
      <c r="A6" s="341" t="s">
        <v>648</v>
      </c>
      <c r="C6" s="341" t="s">
        <v>25</v>
      </c>
      <c r="D6" s="341" t="s">
        <v>527</v>
      </c>
      <c r="E6" s="341" t="s">
        <v>978</v>
      </c>
      <c r="F6" s="341" t="s">
        <v>537</v>
      </c>
    </row>
    <row r="9" spans="1:6" x14ac:dyDescent="0.2">
      <c r="A9" s="3">
        <f>A8+1</f>
        <v>1</v>
      </c>
      <c r="B9" s="3" t="str">
        <f>Classification!B643</f>
        <v xml:space="preserve">  PRODUCTION</v>
      </c>
      <c r="C9" s="3">
        <f>Classification!E643+Classification!E654</f>
        <v>343696</v>
      </c>
      <c r="D9" s="3">
        <f>Classification!F643+Classification!F654</f>
        <v>0</v>
      </c>
      <c r="E9" s="3">
        <f>Classification!G643+Classification!G654</f>
        <v>341557</v>
      </c>
      <c r="F9" s="3">
        <f>Classification!H643+Classification!H654</f>
        <v>2139</v>
      </c>
    </row>
    <row r="10" spans="1:6" x14ac:dyDescent="0.2">
      <c r="A10" s="3">
        <f t="shared" ref="A10:A17" si="0">A9+1</f>
        <v>2</v>
      </c>
      <c r="B10" s="3" t="str">
        <f>Classification!B644</f>
        <v xml:space="preserve">  DISTRIBUTION - O&amp;M OPERATION</v>
      </c>
      <c r="C10" s="3">
        <f>Classification!E644+Classification!E655</f>
        <v>13521662.1</v>
      </c>
      <c r="D10" s="3">
        <f>Classification!F644+Classification!F655</f>
        <v>7562101</v>
      </c>
      <c r="E10" s="3">
        <f>Classification!G644+Classification!G655</f>
        <v>3027564</v>
      </c>
      <c r="F10" s="3">
        <f>Classification!H644+Classification!H655</f>
        <v>2932000</v>
      </c>
    </row>
    <row r="11" spans="1:6" x14ac:dyDescent="0.2">
      <c r="A11" s="3">
        <f t="shared" si="0"/>
        <v>3</v>
      </c>
      <c r="B11" s="3" t="str">
        <f>Classification!B645</f>
        <v xml:space="preserve">  DISTRIBUTION - O&amp;M MAINT.</v>
      </c>
      <c r="C11" s="3">
        <f>Classification!E645+Classification!E656</f>
        <v>4947314.07</v>
      </c>
      <c r="D11" s="3">
        <f>Classification!F645+Classification!F656</f>
        <v>1105365</v>
      </c>
      <c r="E11" s="3">
        <f>Classification!G645+Classification!G656</f>
        <v>1921894</v>
      </c>
      <c r="F11" s="3">
        <f>Classification!H645+Classification!H656</f>
        <v>1920057</v>
      </c>
    </row>
    <row r="12" spans="1:6" x14ac:dyDescent="0.2">
      <c r="A12" s="3">
        <f t="shared" si="0"/>
        <v>4</v>
      </c>
      <c r="B12" s="3" t="str">
        <f>Classification!B646</f>
        <v xml:space="preserve">  CUSTOMER ACCOUNTS</v>
      </c>
      <c r="C12" s="3">
        <f>Classification!E646+Classification!E657</f>
        <v>5539212</v>
      </c>
      <c r="D12" s="3">
        <f>Classification!F646+Classification!F657</f>
        <v>5539212</v>
      </c>
      <c r="E12" s="3">
        <f>Classification!G646+Classification!G657</f>
        <v>0</v>
      </c>
      <c r="F12" s="3">
        <f>Classification!H646+Classification!H657</f>
        <v>0</v>
      </c>
    </row>
    <row r="13" spans="1:6" x14ac:dyDescent="0.2">
      <c r="A13" s="3">
        <f t="shared" si="0"/>
        <v>5</v>
      </c>
      <c r="B13" s="3" t="str">
        <f>Classification!B647</f>
        <v xml:space="preserve">  CUSTOMER SERVICE &amp; INFOR.</v>
      </c>
      <c r="C13" s="3">
        <f>Classification!E647+Classification!E658</f>
        <v>1546760.9999999995</v>
      </c>
      <c r="D13" s="3">
        <f>Classification!F647+Classification!F658</f>
        <v>1546761</v>
      </c>
      <c r="E13" s="3">
        <f>Classification!G647+Classification!G658</f>
        <v>0</v>
      </c>
      <c r="F13" s="3">
        <f>Classification!H647+Classification!H658</f>
        <v>0</v>
      </c>
    </row>
    <row r="14" spans="1:6" x14ac:dyDescent="0.2">
      <c r="A14" s="3">
        <f t="shared" si="0"/>
        <v>6</v>
      </c>
      <c r="B14" s="3" t="str">
        <f>Classification!B648</f>
        <v xml:space="preserve">  SALES</v>
      </c>
      <c r="C14" s="3">
        <f>Classification!E648+Classification!E659</f>
        <v>176183</v>
      </c>
      <c r="D14" s="3">
        <f>Classification!F648+Classification!F659</f>
        <v>176183</v>
      </c>
      <c r="E14" s="3">
        <f>Classification!G648+Classification!G659</f>
        <v>0</v>
      </c>
      <c r="F14" s="3">
        <f>Classification!H648+Classification!H659</f>
        <v>0</v>
      </c>
    </row>
    <row r="15" spans="1:6" x14ac:dyDescent="0.2">
      <c r="A15" s="3">
        <f t="shared" si="0"/>
        <v>7</v>
      </c>
      <c r="B15" s="3" t="s">
        <v>1096</v>
      </c>
      <c r="C15" s="3">
        <f ca="1">SUM(Classification!E614:E622)+Classification!E649+SUM(Classification!E624:E630)</f>
        <v>18844010.419960003</v>
      </c>
      <c r="D15" s="3">
        <f ca="1">SUM(Classification!F614:F622)+Classification!F649+SUM(Classification!F624:F630)</f>
        <v>10788523</v>
      </c>
      <c r="E15" s="3">
        <f ca="1">SUM(Classification!G614:G622)+Classification!G649+SUM(Classification!G624:G630)</f>
        <v>3875253</v>
      </c>
      <c r="F15" s="3">
        <f ca="1">SUM(Classification!H614:H622)+Classification!H649+SUM(Classification!H624:H630)</f>
        <v>4180234</v>
      </c>
    </row>
    <row r="16" spans="1:6" x14ac:dyDescent="0.2">
      <c r="A16" s="3">
        <f t="shared" si="0"/>
        <v>8</v>
      </c>
      <c r="B16" s="3" t="s">
        <v>423</v>
      </c>
      <c r="C16" s="3">
        <f>Classification!E14</f>
        <v>15939786.563350823</v>
      </c>
      <c r="D16" s="3">
        <f>Classification!F14</f>
        <v>9155554</v>
      </c>
      <c r="E16" s="3">
        <f>Classification!G14</f>
        <v>3392118</v>
      </c>
      <c r="F16" s="3">
        <f>Classification!H14</f>
        <v>3392118</v>
      </c>
    </row>
    <row r="17" spans="1:11" x14ac:dyDescent="0.2">
      <c r="A17" s="3">
        <f t="shared" si="0"/>
        <v>9</v>
      </c>
      <c r="B17" s="3" t="s">
        <v>426</v>
      </c>
      <c r="C17" s="26">
        <f>Classification!E17</f>
        <v>4790881</v>
      </c>
      <c r="D17" s="26">
        <f>Classification!F17</f>
        <v>2165396</v>
      </c>
      <c r="E17" s="26">
        <f>Classification!G17</f>
        <v>1315911</v>
      </c>
      <c r="F17" s="26">
        <f>Classification!H17</f>
        <v>1309574</v>
      </c>
    </row>
    <row r="18" spans="1:11" x14ac:dyDescent="0.2">
      <c r="A18" s="3">
        <f t="shared" ref="A18" si="1">A17+1</f>
        <v>10</v>
      </c>
      <c r="B18" s="3" t="s">
        <v>1088</v>
      </c>
      <c r="C18" s="3">
        <f ca="1">SUM(C8:C17)</f>
        <v>65649506.153310835</v>
      </c>
      <c r="D18" s="3">
        <f ca="1">SUM(D8:D17)</f>
        <v>38039095</v>
      </c>
      <c r="E18" s="3">
        <f ca="1">SUM(E8:E17)</f>
        <v>13874297</v>
      </c>
      <c r="F18" s="3">
        <f ca="1">SUM(F8:F17)</f>
        <v>13736122</v>
      </c>
    </row>
    <row r="20" spans="1:11" x14ac:dyDescent="0.2">
      <c r="A20" s="3">
        <f>A18+1</f>
        <v>11</v>
      </c>
      <c r="B20" s="3" t="s">
        <v>407</v>
      </c>
      <c r="C20" s="3">
        <f ca="1">Classification!E25</f>
        <v>253360779.86538461</v>
      </c>
      <c r="D20" s="3">
        <f ca="1">Classification!F25</f>
        <v>72360386</v>
      </c>
      <c r="E20" s="3">
        <f ca="1">Classification!G25</f>
        <v>69617593</v>
      </c>
      <c r="F20" s="3">
        <f ca="1">Classification!H25</f>
        <v>111382801</v>
      </c>
    </row>
    <row r="22" spans="1:11" x14ac:dyDescent="0.2">
      <c r="A22" s="3">
        <f>A20+1</f>
        <v>12</v>
      </c>
      <c r="B22" s="3" t="str">
        <f>"INCOME TAX @ "&amp;Return!$D$14</f>
        <v>INCOME TAX @ 0.0360350126</v>
      </c>
      <c r="C22" s="3">
        <f ca="1">ROUND(C20*Return!D14,0)</f>
        <v>9129859</v>
      </c>
      <c r="D22" s="3">
        <f ca="1">ROUND(D20*Return!D14,0)</f>
        <v>2607507</v>
      </c>
      <c r="E22" s="3">
        <f ca="1">ROUND(E20*Return!D14,0)</f>
        <v>2508671</v>
      </c>
      <c r="F22" s="3">
        <f ca="1">ROUND(F20*Return!D14,0)</f>
        <v>4013681</v>
      </c>
    </row>
    <row r="23" spans="1:11" x14ac:dyDescent="0.2">
      <c r="A23" s="3">
        <f>A22+1</f>
        <v>13</v>
      </c>
      <c r="B23" s="3" t="str">
        <f>"RETURN @ "&amp;'Capital Structure'!$M$22</f>
        <v>RETURN @ 0.0824</v>
      </c>
      <c r="C23" s="3">
        <f ca="1">ROUND(C20*'Capital Structure'!M22,0)</f>
        <v>20876928</v>
      </c>
      <c r="D23" s="3">
        <f ca="1">ROUND(D20*'Capital Structure'!M22,0)</f>
        <v>5962496</v>
      </c>
      <c r="E23" s="3">
        <f ca="1">ROUND(E20*'Capital Structure'!M22,0)</f>
        <v>5736490</v>
      </c>
      <c r="F23" s="3">
        <f ca="1">ROUND(F20*'Capital Structure'!M22,0)</f>
        <v>9177943</v>
      </c>
    </row>
    <row r="25" spans="1:11" x14ac:dyDescent="0.2">
      <c r="A25" s="3">
        <f>A23+1</f>
        <v>14</v>
      </c>
      <c r="B25" s="3" t="s">
        <v>1089</v>
      </c>
      <c r="C25" s="3">
        <f ca="1">C18+C22+C23</f>
        <v>95656293.153310835</v>
      </c>
      <c r="D25" s="3">
        <f t="shared" ref="D25:F25" ca="1" si="2">D18+D22+D23</f>
        <v>46609098</v>
      </c>
      <c r="E25" s="3">
        <f t="shared" ca="1" si="2"/>
        <v>22119458</v>
      </c>
      <c r="F25" s="3">
        <f t="shared" ca="1" si="2"/>
        <v>26927746</v>
      </c>
    </row>
    <row r="27" spans="1:11" x14ac:dyDescent="0.2">
      <c r="A27" s="4">
        <f>A25+1</f>
        <v>15</v>
      </c>
      <c r="B27" s="4" t="s">
        <v>1101</v>
      </c>
      <c r="C27" s="318">
        <f ca="1">SUM(D27:F27)</f>
        <v>1</v>
      </c>
      <c r="D27" s="318">
        <f ca="1">1-E27-F27</f>
        <v>0.48725000000000002</v>
      </c>
      <c r="E27" s="318">
        <f ca="1">ROUND(E25/C25,5)</f>
        <v>0.23124</v>
      </c>
      <c r="F27" s="318">
        <f ca="1">ROUND(F25/C25,5)</f>
        <v>0.28150999999999998</v>
      </c>
      <c r="K27" s="331"/>
    </row>
    <row r="28" spans="1:11" x14ac:dyDescent="0.2">
      <c r="A28" s="4"/>
      <c r="B28" s="4"/>
      <c r="C28" s="318"/>
      <c r="D28" s="318"/>
      <c r="E28" s="318"/>
      <c r="F28" s="318"/>
    </row>
    <row r="29" spans="1:11" x14ac:dyDescent="0.2">
      <c r="A29" s="319" t="s">
        <v>1097</v>
      </c>
      <c r="B29" s="4"/>
      <c r="C29" s="318"/>
      <c r="D29" s="318"/>
      <c r="E29" s="318"/>
      <c r="F29" s="318"/>
    </row>
    <row r="30" spans="1:11" x14ac:dyDescent="0.2">
      <c r="A30" s="4"/>
      <c r="B30" s="4"/>
      <c r="C30" s="318"/>
      <c r="D30" s="318"/>
      <c r="E30" s="318"/>
      <c r="F30" s="318"/>
    </row>
    <row r="31" spans="1:11" x14ac:dyDescent="0.2">
      <c r="A31" s="3" t="s">
        <v>580</v>
      </c>
    </row>
    <row r="32" spans="1:11" x14ac:dyDescent="0.2">
      <c r="A32" s="3" t="s">
        <v>1092</v>
      </c>
    </row>
    <row r="33" spans="1:10" x14ac:dyDescent="0.2">
      <c r="A33" s="3" t="s">
        <v>1087</v>
      </c>
    </row>
    <row r="35" spans="1:10" x14ac:dyDescent="0.2">
      <c r="C35" s="325" t="s">
        <v>804</v>
      </c>
      <c r="D35" s="325"/>
      <c r="E35" s="325"/>
      <c r="F35" s="325"/>
    </row>
    <row r="36" spans="1:10" x14ac:dyDescent="0.2">
      <c r="A36" s="341" t="s">
        <v>648</v>
      </c>
      <c r="C36" s="341" t="s">
        <v>1090</v>
      </c>
      <c r="D36" s="341" t="str">
        <f>"  "&amp;+Input!$C$12</f>
        <v xml:space="preserve">  GS-RESIDENTIAL</v>
      </c>
      <c r="E36" s="341" t="str">
        <f>Input!$C$13</f>
        <v>GS-OTHER</v>
      </c>
      <c r="F36" s="341" t="str">
        <f>Input!$C$14</f>
        <v>IUS</v>
      </c>
      <c r="G36" s="341" t="str">
        <f>Input!$C$15</f>
        <v>DS-ML</v>
      </c>
      <c r="H36" s="341" t="str">
        <f>Input!$C$16</f>
        <v>DS/IS</v>
      </c>
      <c r="I36" s="341" t="str">
        <f>Input!$C$17</f>
        <v>NOT USED</v>
      </c>
      <c r="J36" s="341" t="str">
        <f>Input!$C$18</f>
        <v>NOT USED</v>
      </c>
    </row>
    <row r="37" spans="1:10" x14ac:dyDescent="0.2">
      <c r="A37" s="4"/>
      <c r="B37" s="4"/>
      <c r="C37" s="318"/>
      <c r="D37" s="318"/>
      <c r="E37" s="318"/>
      <c r="F37" s="318"/>
    </row>
    <row r="40" spans="1:10" x14ac:dyDescent="0.2">
      <c r="A40" s="3">
        <f>A39+1</f>
        <v>1</v>
      </c>
      <c r="B40" s="3" t="s">
        <v>343</v>
      </c>
      <c r="C40" s="3">
        <f>D9</f>
        <v>0</v>
      </c>
      <c r="D40" s="3">
        <f>Customer!F643+Customer!F654</f>
        <v>0</v>
      </c>
      <c r="E40" s="3">
        <f>Customer!G643+Customer!G654</f>
        <v>0</v>
      </c>
      <c r="F40" s="3">
        <f>Customer!H643+Customer!H654</f>
        <v>0</v>
      </c>
      <c r="G40" s="3">
        <f>Customer!I643+Customer!I654</f>
        <v>0</v>
      </c>
      <c r="H40" s="3">
        <f>Customer!J643+Customer!J654</f>
        <v>0</v>
      </c>
      <c r="I40" s="3">
        <f>Customer!K643+Customer!K654</f>
        <v>0</v>
      </c>
      <c r="J40" s="3">
        <f>Customer!L643+Customer!L654</f>
        <v>0</v>
      </c>
    </row>
    <row r="41" spans="1:10" x14ac:dyDescent="0.2">
      <c r="A41" s="3">
        <f t="shared" ref="A41:A47" si="3">A40+1</f>
        <v>2</v>
      </c>
      <c r="B41" s="3" t="s">
        <v>345</v>
      </c>
      <c r="C41" s="3">
        <f t="shared" ref="C41:C46" si="4">D10</f>
        <v>7562101</v>
      </c>
      <c r="D41" s="3">
        <f ca="1">Customer!F644+Customer!F655</f>
        <v>5857404</v>
      </c>
      <c r="E41" s="3">
        <f ca="1">Customer!G644+Customer!G655</f>
        <v>1600683</v>
      </c>
      <c r="F41" s="3">
        <f ca="1">Customer!H644+Customer!H655</f>
        <v>637</v>
      </c>
      <c r="G41" s="3">
        <f ca="1">Customer!I644+Customer!I655</f>
        <v>18610</v>
      </c>
      <c r="H41" s="3">
        <f ca="1">Customer!J644+Customer!J655</f>
        <v>84767</v>
      </c>
      <c r="I41" s="3">
        <f ca="1">Customer!K644+Customer!K655</f>
        <v>0</v>
      </c>
      <c r="J41" s="3">
        <f ca="1">Customer!L644+Customer!L655</f>
        <v>0</v>
      </c>
    </row>
    <row r="42" spans="1:10" x14ac:dyDescent="0.2">
      <c r="A42" s="3">
        <f t="shared" si="3"/>
        <v>3</v>
      </c>
      <c r="B42" s="3" t="s">
        <v>347</v>
      </c>
      <c r="C42" s="3">
        <f t="shared" si="4"/>
        <v>1105365</v>
      </c>
      <c r="D42" s="3">
        <f ca="1">Customer!F645+Customer!F656</f>
        <v>871639</v>
      </c>
      <c r="E42" s="3">
        <f ca="1">Customer!G645+Customer!G656</f>
        <v>170959</v>
      </c>
      <c r="F42" s="3">
        <f ca="1">Customer!H645+Customer!H656</f>
        <v>55</v>
      </c>
      <c r="G42" s="3">
        <f ca="1">Customer!I645+Customer!I656</f>
        <v>14929</v>
      </c>
      <c r="H42" s="3">
        <f ca="1">Customer!J645+Customer!J656</f>
        <v>47783</v>
      </c>
      <c r="I42" s="3">
        <f ca="1">Customer!K645+Customer!K656</f>
        <v>0</v>
      </c>
      <c r="J42" s="3">
        <f ca="1">Customer!L645+Customer!L656</f>
        <v>0</v>
      </c>
    </row>
    <row r="43" spans="1:10" x14ac:dyDescent="0.2">
      <c r="A43" s="3">
        <f t="shared" si="3"/>
        <v>4</v>
      </c>
      <c r="B43" s="3" t="s">
        <v>348</v>
      </c>
      <c r="C43" s="3">
        <f t="shared" si="4"/>
        <v>5539212</v>
      </c>
      <c r="D43" s="3">
        <f>Customer!F646+Customer!F657</f>
        <v>4936742</v>
      </c>
      <c r="E43" s="3">
        <f>Customer!G646+Customer!G657</f>
        <v>598785</v>
      </c>
      <c r="F43" s="3">
        <f>Customer!H646+Customer!H657</f>
        <v>67</v>
      </c>
      <c r="G43" s="3">
        <f>Customer!I646+Customer!I657</f>
        <v>243</v>
      </c>
      <c r="H43" s="3">
        <f>Customer!J646+Customer!J657</f>
        <v>3378</v>
      </c>
      <c r="I43" s="3">
        <f>Customer!K646+Customer!K657</f>
        <v>0</v>
      </c>
      <c r="J43" s="3">
        <f>Customer!L646+Customer!L657</f>
        <v>0</v>
      </c>
    </row>
    <row r="44" spans="1:10" x14ac:dyDescent="0.2">
      <c r="A44" s="3">
        <f t="shared" si="3"/>
        <v>5</v>
      </c>
      <c r="B44" s="3" t="s">
        <v>350</v>
      </c>
      <c r="C44" s="3">
        <f t="shared" si="4"/>
        <v>1546761</v>
      </c>
      <c r="D44" s="3">
        <f>Customer!F647+Customer!F658</f>
        <v>1386794</v>
      </c>
      <c r="E44" s="3">
        <f>Customer!G647+Customer!G658</f>
        <v>158990</v>
      </c>
      <c r="F44" s="3">
        <f>Customer!H647+Customer!H658</f>
        <v>16</v>
      </c>
      <c r="G44" s="3">
        <f>Customer!I647+Customer!I658</f>
        <v>63</v>
      </c>
      <c r="H44" s="3">
        <f>Customer!J647+Customer!J658</f>
        <v>897</v>
      </c>
      <c r="I44" s="3">
        <f>Customer!K647+Customer!K658</f>
        <v>0</v>
      </c>
      <c r="J44" s="3">
        <f>Customer!L647+Customer!L658</f>
        <v>0</v>
      </c>
    </row>
    <row r="45" spans="1:10" x14ac:dyDescent="0.2">
      <c r="A45" s="3">
        <f t="shared" si="3"/>
        <v>6</v>
      </c>
      <c r="B45" s="3" t="s">
        <v>351</v>
      </c>
      <c r="C45" s="3">
        <f t="shared" si="4"/>
        <v>176183</v>
      </c>
      <c r="D45" s="3">
        <f>Customer!F648+Customer!F659</f>
        <v>157962</v>
      </c>
      <c r="E45" s="3">
        <f>Customer!G648+Customer!G659</f>
        <v>18110</v>
      </c>
      <c r="F45" s="3">
        <f>Customer!H648+Customer!H659</f>
        <v>1</v>
      </c>
      <c r="G45" s="3">
        <f>Customer!I648+Customer!I659</f>
        <v>7</v>
      </c>
      <c r="H45" s="3">
        <f>Customer!J648+Customer!J659</f>
        <v>102</v>
      </c>
      <c r="I45" s="3">
        <f>Customer!K648+Customer!K659</f>
        <v>0</v>
      </c>
      <c r="J45" s="3">
        <f>Customer!L648+Customer!L659</f>
        <v>0</v>
      </c>
    </row>
    <row r="46" spans="1:10" x14ac:dyDescent="0.2">
      <c r="A46" s="3">
        <f t="shared" si="3"/>
        <v>7</v>
      </c>
      <c r="B46" s="3" t="s">
        <v>1096</v>
      </c>
      <c r="C46" s="3">
        <f t="shared" ca="1" si="4"/>
        <v>10788523</v>
      </c>
      <c r="D46" s="3">
        <f ca="1">Customer!F649+SUM(Customer!F614:F622)+SUM(Customer!F624:F630)</f>
        <v>8933442</v>
      </c>
      <c r="E46" s="3">
        <f ca="1">Customer!G649+SUM(Customer!G614:G622)+SUM(Customer!G624:G630)</f>
        <v>1732129</v>
      </c>
      <c r="F46" s="3">
        <f ca="1">Customer!H649+SUM(Customer!H614:H622)+SUM(Customer!H624:H630)</f>
        <v>534</v>
      </c>
      <c r="G46" s="3">
        <f ca="1">Customer!I649+SUM(Customer!I614:I622)+SUM(Customer!I624:I630)</f>
        <v>24357</v>
      </c>
      <c r="H46" s="3">
        <f ca="1">Customer!J649+SUM(Customer!J614:J622)+SUM(Customer!J624:J630)</f>
        <v>98061</v>
      </c>
      <c r="I46" s="3">
        <f ca="1">Customer!K649+SUM(Customer!K614:K622)+SUM(Customer!K624:K630)</f>
        <v>0</v>
      </c>
      <c r="J46" s="3">
        <f ca="1">Customer!L649+SUM(Customer!L614:L622)+SUM(Customer!L624:L630)</f>
        <v>0</v>
      </c>
    </row>
    <row r="47" spans="1:10" x14ac:dyDescent="0.2">
      <c r="A47" s="3">
        <f t="shared" si="3"/>
        <v>8</v>
      </c>
      <c r="B47" s="3" t="s">
        <v>423</v>
      </c>
      <c r="C47" s="3">
        <f>D16</f>
        <v>9155554</v>
      </c>
      <c r="D47" s="3">
        <f ca="1">Customer!F14</f>
        <v>7618315</v>
      </c>
      <c r="E47" s="3">
        <f ca="1">Customer!G14</f>
        <v>1359472</v>
      </c>
      <c r="F47" s="3">
        <f ca="1">Customer!H14</f>
        <v>350</v>
      </c>
      <c r="G47" s="3">
        <f ca="1">Customer!I14</f>
        <v>16645</v>
      </c>
      <c r="H47" s="3">
        <f ca="1">Customer!J14</f>
        <v>160772</v>
      </c>
      <c r="I47" s="3">
        <f ca="1">Customer!K14</f>
        <v>0</v>
      </c>
      <c r="J47" s="3">
        <f ca="1">Customer!L14</f>
        <v>0</v>
      </c>
    </row>
    <row r="48" spans="1:10" x14ac:dyDescent="0.2">
      <c r="A48" s="3">
        <f t="shared" ref="A48:A49" si="5">A47+1</f>
        <v>9</v>
      </c>
      <c r="B48" s="3" t="s">
        <v>426</v>
      </c>
      <c r="C48" s="26">
        <f>D17</f>
        <v>2165396</v>
      </c>
      <c r="D48" s="26">
        <f ca="1">Customer!F17</f>
        <v>1766713</v>
      </c>
      <c r="E48" s="26">
        <f ca="1">Customer!G17</f>
        <v>359323</v>
      </c>
      <c r="F48" s="26">
        <f ca="1">Customer!H17</f>
        <v>108</v>
      </c>
      <c r="G48" s="26">
        <f ca="1">Customer!I17</f>
        <v>7967</v>
      </c>
      <c r="H48" s="26">
        <f ca="1">Customer!J17</f>
        <v>31284</v>
      </c>
      <c r="I48" s="26">
        <f ca="1">Customer!K17</f>
        <v>0</v>
      </c>
      <c r="J48" s="26">
        <f ca="1">Customer!L17</f>
        <v>0</v>
      </c>
    </row>
    <row r="49" spans="1:10" x14ac:dyDescent="0.2">
      <c r="A49" s="3">
        <f t="shared" si="5"/>
        <v>10</v>
      </c>
      <c r="B49" s="3" t="s">
        <v>1088</v>
      </c>
      <c r="C49" s="3">
        <f t="shared" ref="C49:J49" ca="1" si="6">SUM(C39:C48)</f>
        <v>38039095</v>
      </c>
      <c r="D49" s="3">
        <f t="shared" ca="1" si="6"/>
        <v>31529011</v>
      </c>
      <c r="E49" s="3">
        <f t="shared" ca="1" si="6"/>
        <v>5998451</v>
      </c>
      <c r="F49" s="3">
        <f t="shared" ca="1" si="6"/>
        <v>1768</v>
      </c>
      <c r="G49" s="3">
        <f t="shared" ca="1" si="6"/>
        <v>82821</v>
      </c>
      <c r="H49" s="3">
        <f t="shared" ca="1" si="6"/>
        <v>427044</v>
      </c>
      <c r="I49" s="3">
        <f t="shared" ca="1" si="6"/>
        <v>0</v>
      </c>
      <c r="J49" s="3">
        <f t="shared" ca="1" si="6"/>
        <v>0</v>
      </c>
    </row>
    <row r="51" spans="1:10" x14ac:dyDescent="0.2">
      <c r="A51" s="3">
        <f>A49+1</f>
        <v>11</v>
      </c>
      <c r="B51" s="3" t="s">
        <v>407</v>
      </c>
      <c r="C51" s="3">
        <f ca="1">D20</f>
        <v>72360386</v>
      </c>
      <c r="D51" s="3">
        <f ca="1">Customer!F25</f>
        <v>58719448</v>
      </c>
      <c r="E51" s="3">
        <f ca="1">Customer!G25</f>
        <v>11824755</v>
      </c>
      <c r="F51" s="3">
        <f ca="1">Customer!H25</f>
        <v>3734</v>
      </c>
      <c r="G51" s="3">
        <f ca="1">Customer!I25</f>
        <v>447979</v>
      </c>
      <c r="H51" s="3">
        <f ca="1">Customer!J25</f>
        <v>1364492</v>
      </c>
      <c r="I51" s="3">
        <f ca="1">Customer!K25</f>
        <v>0</v>
      </c>
      <c r="J51" s="3">
        <f ca="1">Customer!L25</f>
        <v>0</v>
      </c>
    </row>
    <row r="53" spans="1:10" x14ac:dyDescent="0.2">
      <c r="A53" s="3">
        <f>A51+1</f>
        <v>12</v>
      </c>
      <c r="B53" s="3" t="str">
        <f>"INCOME TAX @ "&amp;Return!$D$14</f>
        <v>INCOME TAX @ 0.0360350126</v>
      </c>
      <c r="C53" s="3">
        <f ca="1">ROUND(C51*Return!$D$14,0)</f>
        <v>2607507</v>
      </c>
      <c r="D53" s="3">
        <f ca="1">ROUND(D51*Return!$D$14,0)</f>
        <v>2115956</v>
      </c>
      <c r="E53" s="3">
        <f ca="1">ROUND(E51*Return!$D$14,0)</f>
        <v>426105</v>
      </c>
      <c r="F53" s="3">
        <f ca="1">ROUND(F51*Return!$D$14,0)</f>
        <v>135</v>
      </c>
      <c r="G53" s="3">
        <f ca="1">ROUND(G51*Return!$D$14,0)</f>
        <v>16143</v>
      </c>
      <c r="H53" s="3">
        <f ca="1">ROUND(H51*Return!$D$14,0)</f>
        <v>49169</v>
      </c>
      <c r="I53" s="3">
        <f ca="1">ROUND(I51*Return!$D$14,0)</f>
        <v>0</v>
      </c>
      <c r="J53" s="3">
        <f ca="1">ROUND(J51*Return!$D$14,0)</f>
        <v>0</v>
      </c>
    </row>
    <row r="54" spans="1:10" x14ac:dyDescent="0.2">
      <c r="A54" s="3">
        <f>A53+1</f>
        <v>13</v>
      </c>
      <c r="B54" s="3" t="str">
        <f>"RETURN @ "&amp;'Capital Structure'!$M$22</f>
        <v>RETURN @ 0.0824</v>
      </c>
      <c r="C54" s="3">
        <f ca="1">ROUND(C51*'Capital Structure'!$M$22,0)</f>
        <v>5962496</v>
      </c>
      <c r="D54" s="3">
        <f ca="1">ROUND(D51*'Capital Structure'!$M$22,0)</f>
        <v>4838483</v>
      </c>
      <c r="E54" s="3">
        <f ca="1">ROUND(E51*'Capital Structure'!$M$22,0)</f>
        <v>974360</v>
      </c>
      <c r="F54" s="3">
        <f ca="1">ROUND(F51*'Capital Structure'!$M$22,0)</f>
        <v>308</v>
      </c>
      <c r="G54" s="3">
        <f ca="1">ROUND(G51*'Capital Structure'!$M$22,0)</f>
        <v>36913</v>
      </c>
      <c r="H54" s="3">
        <f ca="1">ROUND(H51*'Capital Structure'!$M$22,0)</f>
        <v>112434</v>
      </c>
      <c r="I54" s="3">
        <f ca="1">ROUND(I51*'Capital Structure'!$M$22,0)</f>
        <v>0</v>
      </c>
      <c r="J54" s="3">
        <f ca="1">ROUND(J51*'Capital Structure'!$M$22,0)</f>
        <v>0</v>
      </c>
    </row>
    <row r="56" spans="1:10" x14ac:dyDescent="0.2">
      <c r="A56" s="3">
        <f>A54+1</f>
        <v>14</v>
      </c>
      <c r="B56" s="3" t="s">
        <v>1089</v>
      </c>
      <c r="C56" s="3">
        <f ca="1">C49+C53+C54</f>
        <v>46609098</v>
      </c>
      <c r="D56" s="3">
        <f t="shared" ref="D56:J56" ca="1" si="7">D49+D53+D54</f>
        <v>38483450</v>
      </c>
      <c r="E56" s="3">
        <f t="shared" ca="1" si="7"/>
        <v>7398916</v>
      </c>
      <c r="F56" s="3">
        <f t="shared" ca="1" si="7"/>
        <v>2211</v>
      </c>
      <c r="G56" s="3">
        <f t="shared" ca="1" si="7"/>
        <v>135877</v>
      </c>
      <c r="H56" s="3">
        <f t="shared" ca="1" si="7"/>
        <v>588647</v>
      </c>
      <c r="I56" s="3">
        <f t="shared" ca="1" si="7"/>
        <v>0</v>
      </c>
      <c r="J56" s="3">
        <f t="shared" ca="1" si="7"/>
        <v>0</v>
      </c>
    </row>
    <row r="58" spans="1:10" x14ac:dyDescent="0.2">
      <c r="A58" s="4">
        <f>A56+1</f>
        <v>15</v>
      </c>
      <c r="B58" s="4" t="s">
        <v>1100</v>
      </c>
      <c r="C58" s="318">
        <f ca="1">SUM(D58:J58)</f>
        <v>1</v>
      </c>
      <c r="D58" s="318">
        <f ca="1">1-SUM(E58:J58)</f>
        <v>0.82566000000000006</v>
      </c>
      <c r="E58" s="318">
        <f ca="1">ROUND(E56/C56,5)</f>
        <v>0.15873999999999999</v>
      </c>
      <c r="F58" s="318">
        <f ca="1">ROUND(F56/C56,5)</f>
        <v>5.0000000000000002E-5</v>
      </c>
      <c r="G58" s="318">
        <f ca="1">ROUND(G56/C56,5)</f>
        <v>2.9199999999999999E-3</v>
      </c>
      <c r="H58" s="318">
        <f ca="1">ROUND(H56/C56,5)</f>
        <v>1.2630000000000001E-2</v>
      </c>
      <c r="I58" s="318">
        <f ca="1">ROUND(I56/C56,5)</f>
        <v>0</v>
      </c>
      <c r="J58" s="318">
        <f ca="1">ROUND(J56/C56,5)</f>
        <v>0</v>
      </c>
    </row>
    <row r="59" spans="1:10" x14ac:dyDescent="0.2">
      <c r="A59" s="4"/>
      <c r="B59" s="4"/>
      <c r="C59" s="318"/>
      <c r="D59" s="318"/>
      <c r="E59" s="318"/>
      <c r="F59" s="318"/>
      <c r="G59" s="318"/>
      <c r="H59" s="318"/>
      <c r="I59" s="318"/>
      <c r="J59" s="318"/>
    </row>
    <row r="60" spans="1:10" x14ac:dyDescent="0.2">
      <c r="A60" s="319" t="s">
        <v>1097</v>
      </c>
      <c r="B60" s="4"/>
      <c r="C60" s="318"/>
      <c r="D60" s="318"/>
      <c r="E60" s="318"/>
      <c r="F60" s="318"/>
      <c r="G60" s="318"/>
      <c r="H60" s="318"/>
      <c r="I60" s="318"/>
      <c r="J60" s="318"/>
    </row>
    <row r="62" spans="1:10" x14ac:dyDescent="0.2">
      <c r="A62" s="3" t="s">
        <v>580</v>
      </c>
    </row>
    <row r="63" spans="1:10" x14ac:dyDescent="0.2">
      <c r="A63" s="3" t="s">
        <v>1093</v>
      </c>
    </row>
    <row r="64" spans="1:10" x14ac:dyDescent="0.2">
      <c r="A64" s="3" t="s">
        <v>1087</v>
      </c>
    </row>
    <row r="66" spans="1:10" x14ac:dyDescent="0.2">
      <c r="C66" s="325" t="s">
        <v>812</v>
      </c>
      <c r="D66" s="325"/>
      <c r="E66" s="325"/>
      <c r="F66" s="325"/>
    </row>
    <row r="67" spans="1:10" x14ac:dyDescent="0.2">
      <c r="A67" s="341" t="s">
        <v>648</v>
      </c>
      <c r="C67" s="341" t="s">
        <v>1090</v>
      </c>
      <c r="D67" s="341" t="str">
        <f>"  "&amp;+Input!$C$12</f>
        <v xml:space="preserve">  GS-RESIDENTIAL</v>
      </c>
      <c r="E67" s="341" t="str">
        <f>Input!$C$13</f>
        <v>GS-OTHER</v>
      </c>
      <c r="F67" s="341" t="str">
        <f>Input!$C$14</f>
        <v>IUS</v>
      </c>
      <c r="G67" s="341" t="str">
        <f>Input!$C$15</f>
        <v>DS-ML</v>
      </c>
      <c r="H67" s="341" t="str">
        <f>Input!$C$16</f>
        <v>DS/IS</v>
      </c>
      <c r="I67" s="341" t="str">
        <f>Input!$C$17</f>
        <v>NOT USED</v>
      </c>
      <c r="J67" s="341" t="str">
        <f>Input!$C$18</f>
        <v>NOT USED</v>
      </c>
    </row>
    <row r="68" spans="1:10" x14ac:dyDescent="0.2">
      <c r="A68" s="4"/>
      <c r="B68" s="4"/>
      <c r="C68" s="318"/>
      <c r="D68" s="318"/>
      <c r="E68" s="318"/>
      <c r="F68" s="318"/>
    </row>
    <row r="71" spans="1:10" x14ac:dyDescent="0.2">
      <c r="A71" s="3">
        <f>A70+1</f>
        <v>1</v>
      </c>
      <c r="B71" s="3" t="s">
        <v>343</v>
      </c>
      <c r="C71" s="3">
        <f t="shared" ref="C71:C79" si="8">E9</f>
        <v>341557</v>
      </c>
      <c r="D71" s="3">
        <f>Commodity!F643+Commodity!F654</f>
        <v>219590</v>
      </c>
      <c r="E71" s="3">
        <f>Commodity!G643+Commodity!G654</f>
        <v>121570</v>
      </c>
      <c r="F71" s="3">
        <f>Commodity!H643+Commodity!H654</f>
        <v>396</v>
      </c>
      <c r="G71" s="3">
        <f>Commodity!I643+Commodity!I654</f>
        <v>0</v>
      </c>
      <c r="H71" s="3">
        <f>Commodity!J643+Commodity!J654</f>
        <v>0</v>
      </c>
      <c r="I71" s="3">
        <f>Commodity!K643+Commodity!K654</f>
        <v>0</v>
      </c>
      <c r="J71" s="3">
        <f>Commodity!L643+Commodity!L654</f>
        <v>0</v>
      </c>
    </row>
    <row r="72" spans="1:10" x14ac:dyDescent="0.2">
      <c r="A72" s="3">
        <f t="shared" ref="A72:A78" si="9">A71+1</f>
        <v>2</v>
      </c>
      <c r="B72" s="3" t="s">
        <v>345</v>
      </c>
      <c r="C72" s="3">
        <f t="shared" si="8"/>
        <v>3027564</v>
      </c>
      <c r="D72" s="3">
        <f ca="1">Commodity!F644+Commodity!F655</f>
        <v>1174891</v>
      </c>
      <c r="E72" s="3">
        <f ca="1">Commodity!G644+Commodity!G655</f>
        <v>797065</v>
      </c>
      <c r="F72" s="3">
        <f ca="1">Commodity!H644+Commodity!H655</f>
        <v>1718</v>
      </c>
      <c r="G72" s="3">
        <f ca="1">Commodity!I644+Commodity!I655</f>
        <v>146</v>
      </c>
      <c r="H72" s="3">
        <f ca="1">Commodity!J644+Commodity!J655</f>
        <v>1053741</v>
      </c>
      <c r="I72" s="3">
        <f ca="1">Commodity!K644+Commodity!K655</f>
        <v>0</v>
      </c>
      <c r="J72" s="3">
        <f ca="1">Commodity!L644+Commodity!L655</f>
        <v>0</v>
      </c>
    </row>
    <row r="73" spans="1:10" x14ac:dyDescent="0.2">
      <c r="A73" s="3">
        <f t="shared" si="9"/>
        <v>3</v>
      </c>
      <c r="B73" s="3" t="s">
        <v>347</v>
      </c>
      <c r="C73" s="3">
        <f t="shared" si="8"/>
        <v>1921894</v>
      </c>
      <c r="D73" s="3">
        <f ca="1">Commodity!F645+Commodity!F656</f>
        <v>749090</v>
      </c>
      <c r="E73" s="3">
        <f ca="1">Commodity!G645+Commodity!G656</f>
        <v>507299</v>
      </c>
      <c r="F73" s="3">
        <f ca="1">Commodity!H645+Commodity!H656</f>
        <v>1095</v>
      </c>
      <c r="G73" s="3">
        <f ca="1">Commodity!I645+Commodity!I656</f>
        <v>95</v>
      </c>
      <c r="H73" s="3">
        <f ca="1">Commodity!J645+Commodity!J656</f>
        <v>664313</v>
      </c>
      <c r="I73" s="3">
        <f ca="1">Commodity!K645+Commodity!K656</f>
        <v>0</v>
      </c>
      <c r="J73" s="3">
        <f ca="1">Commodity!L645+Commodity!L656</f>
        <v>0</v>
      </c>
    </row>
    <row r="74" spans="1:10" x14ac:dyDescent="0.2">
      <c r="A74" s="3">
        <f t="shared" si="9"/>
        <v>4</v>
      </c>
      <c r="B74" s="3" t="s">
        <v>348</v>
      </c>
      <c r="C74" s="3">
        <f t="shared" si="8"/>
        <v>0</v>
      </c>
      <c r="D74" s="3">
        <f>Commodity!F646+Commodity!F657</f>
        <v>0</v>
      </c>
      <c r="E74" s="3">
        <f>Commodity!G646+Commodity!G657</f>
        <v>0</v>
      </c>
      <c r="F74" s="3">
        <f>Commodity!H646+Commodity!H657</f>
        <v>0</v>
      </c>
      <c r="G74" s="3">
        <f>Commodity!I646+Commodity!I657</f>
        <v>0</v>
      </c>
      <c r="H74" s="3">
        <f>Commodity!J646+Commodity!J657</f>
        <v>0</v>
      </c>
      <c r="I74" s="3">
        <f>Commodity!K646+Commodity!K657</f>
        <v>0</v>
      </c>
      <c r="J74" s="3">
        <f>Commodity!L646+Commodity!L657</f>
        <v>0</v>
      </c>
    </row>
    <row r="75" spans="1:10" x14ac:dyDescent="0.2">
      <c r="A75" s="3">
        <f t="shared" si="9"/>
        <v>5</v>
      </c>
      <c r="B75" s="3" t="s">
        <v>350</v>
      </c>
      <c r="C75" s="3">
        <f t="shared" si="8"/>
        <v>0</v>
      </c>
      <c r="D75" s="3">
        <f>Commodity!F647+Commodity!F658</f>
        <v>0</v>
      </c>
      <c r="E75" s="3">
        <f>Commodity!G647+Commodity!G658</f>
        <v>0</v>
      </c>
      <c r="F75" s="3">
        <f>Commodity!H647+Commodity!H658</f>
        <v>0</v>
      </c>
      <c r="G75" s="3">
        <f>Commodity!I647+Commodity!I658</f>
        <v>0</v>
      </c>
      <c r="H75" s="3">
        <f>Commodity!J647+Commodity!J658</f>
        <v>0</v>
      </c>
      <c r="I75" s="3">
        <f>Commodity!K647+Commodity!K658</f>
        <v>0</v>
      </c>
      <c r="J75" s="3">
        <f>Commodity!L647+Commodity!L658</f>
        <v>0</v>
      </c>
    </row>
    <row r="76" spans="1:10" x14ac:dyDescent="0.2">
      <c r="A76" s="3">
        <f t="shared" si="9"/>
        <v>6</v>
      </c>
      <c r="B76" s="3" t="s">
        <v>351</v>
      </c>
      <c r="C76" s="3">
        <f t="shared" si="8"/>
        <v>0</v>
      </c>
      <c r="D76" s="3">
        <f>Commodity!F648+Commodity!F659</f>
        <v>0</v>
      </c>
      <c r="E76" s="3">
        <f>Commodity!G648+Commodity!G659</f>
        <v>0</v>
      </c>
      <c r="F76" s="3">
        <f>Commodity!H648+Commodity!H659</f>
        <v>0</v>
      </c>
      <c r="G76" s="3">
        <f>Commodity!I648+Commodity!I659</f>
        <v>0</v>
      </c>
      <c r="H76" s="3">
        <f>Commodity!J648+Commodity!J659</f>
        <v>0</v>
      </c>
      <c r="I76" s="3">
        <f>Commodity!K648+Commodity!K659</f>
        <v>0</v>
      </c>
      <c r="J76" s="3">
        <f>Commodity!L648+Commodity!L659</f>
        <v>0</v>
      </c>
    </row>
    <row r="77" spans="1:10" x14ac:dyDescent="0.2">
      <c r="A77" s="3">
        <f t="shared" si="9"/>
        <v>7</v>
      </c>
      <c r="B77" s="3" t="s">
        <v>1096</v>
      </c>
      <c r="C77" s="3">
        <f t="shared" ca="1" si="8"/>
        <v>3875253</v>
      </c>
      <c r="D77" s="3">
        <f ca="1">Commodity!F649+SUM(Commodity!F614:F622)+SUM(Commodity!F624:F630)</f>
        <v>1564751</v>
      </c>
      <c r="E77" s="3">
        <f ca="1">Commodity!G649+SUM(Commodity!G614:G622)+SUM(Commodity!G624:G630)</f>
        <v>1042447</v>
      </c>
      <c r="F77" s="3">
        <f ca="1">Commodity!H649+SUM(Commodity!H614:H622)+SUM(Commodity!H624:H630)</f>
        <v>2332</v>
      </c>
      <c r="G77" s="3">
        <f ca="1">Commodity!I649+SUM(Commodity!I614:I622)+SUM(Commodity!I624:I630)</f>
        <v>194</v>
      </c>
      <c r="H77" s="3">
        <f ca="1">Commodity!J649+SUM(Commodity!J614:J622)+SUM(Commodity!J624:J630)</f>
        <v>1265529</v>
      </c>
      <c r="I77" s="3">
        <f ca="1">Commodity!K649+SUM(Commodity!K614:K622)+SUM(Commodity!K624:K630)</f>
        <v>0</v>
      </c>
      <c r="J77" s="3">
        <f ca="1">Commodity!L649+SUM(Commodity!L614:L622)+SUM(Commodity!L624:L630)</f>
        <v>0</v>
      </c>
    </row>
    <row r="78" spans="1:10" x14ac:dyDescent="0.2">
      <c r="A78" s="3">
        <f t="shared" si="9"/>
        <v>8</v>
      </c>
      <c r="B78" s="3" t="s">
        <v>423</v>
      </c>
      <c r="C78" s="3">
        <f t="shared" si="8"/>
        <v>3392118</v>
      </c>
      <c r="D78" s="3">
        <f ca="1">Commodity!F14</f>
        <v>1322148</v>
      </c>
      <c r="E78" s="3">
        <f ca="1">Commodity!G14</f>
        <v>895331</v>
      </c>
      <c r="F78" s="3">
        <f ca="1">Commodity!H14</f>
        <v>1931</v>
      </c>
      <c r="G78" s="3">
        <f ca="1">Commodity!I14</f>
        <v>597</v>
      </c>
      <c r="H78" s="3">
        <f ca="1">Commodity!J14</f>
        <v>1172110</v>
      </c>
      <c r="I78" s="3">
        <f ca="1">Commodity!K14</f>
        <v>0</v>
      </c>
      <c r="J78" s="3">
        <f ca="1">Commodity!L14</f>
        <v>0</v>
      </c>
    </row>
    <row r="79" spans="1:10" x14ac:dyDescent="0.2">
      <c r="A79" s="3">
        <f t="shared" ref="A79:A80" si="10">A78+1</f>
        <v>9</v>
      </c>
      <c r="B79" s="3" t="s">
        <v>426</v>
      </c>
      <c r="C79" s="26">
        <f t="shared" si="8"/>
        <v>1315911</v>
      </c>
      <c r="D79" s="26">
        <f ca="1">Commodity!F17</f>
        <v>512520</v>
      </c>
      <c r="E79" s="26">
        <f ca="1">Commodity!G17</f>
        <v>347172</v>
      </c>
      <c r="F79" s="26">
        <f ca="1">Commodity!H17</f>
        <v>749</v>
      </c>
      <c r="G79" s="26">
        <f ca="1">Commodity!I17</f>
        <v>295</v>
      </c>
      <c r="H79" s="26">
        <f ca="1">Commodity!J17</f>
        <v>455176</v>
      </c>
      <c r="I79" s="26">
        <f ca="1">Commodity!K17</f>
        <v>0</v>
      </c>
      <c r="J79" s="26">
        <f ca="1">Commodity!L17</f>
        <v>0</v>
      </c>
    </row>
    <row r="80" spans="1:10" x14ac:dyDescent="0.2">
      <c r="A80" s="3">
        <f t="shared" si="10"/>
        <v>10</v>
      </c>
      <c r="B80" s="3" t="s">
        <v>1088</v>
      </c>
      <c r="C80" s="3">
        <f t="shared" ref="C80:J80" ca="1" si="11">SUM(C70:C79)</f>
        <v>13874297</v>
      </c>
      <c r="D80" s="3">
        <f t="shared" ca="1" si="11"/>
        <v>5542990</v>
      </c>
      <c r="E80" s="3">
        <f t="shared" ca="1" si="11"/>
        <v>3710884</v>
      </c>
      <c r="F80" s="3">
        <f t="shared" ca="1" si="11"/>
        <v>8221</v>
      </c>
      <c r="G80" s="3">
        <f t="shared" ca="1" si="11"/>
        <v>1327</v>
      </c>
      <c r="H80" s="3">
        <f t="shared" ca="1" si="11"/>
        <v>4610869</v>
      </c>
      <c r="I80" s="3">
        <f t="shared" ca="1" si="11"/>
        <v>0</v>
      </c>
      <c r="J80" s="3">
        <f t="shared" ca="1" si="11"/>
        <v>0</v>
      </c>
    </row>
    <row r="82" spans="1:10" x14ac:dyDescent="0.2">
      <c r="A82" s="3">
        <f>A80+1</f>
        <v>11</v>
      </c>
      <c r="B82" s="3" t="s">
        <v>407</v>
      </c>
      <c r="C82" s="3">
        <f ca="1">E20</f>
        <v>69617593</v>
      </c>
      <c r="D82" s="3">
        <f ca="1">Commodity!F25</f>
        <v>27151627</v>
      </c>
      <c r="E82" s="3">
        <f ca="1">Commodity!G25</f>
        <v>18380223</v>
      </c>
      <c r="F82" s="3">
        <f ca="1">Commodity!H25</f>
        <v>39716</v>
      </c>
      <c r="G82" s="3">
        <f ca="1">Commodity!I25</f>
        <v>18762</v>
      </c>
      <c r="H82" s="3">
        <f ca="1">Commodity!J25</f>
        <v>24027267</v>
      </c>
      <c r="I82" s="3">
        <f ca="1">Commodity!K25</f>
        <v>0</v>
      </c>
      <c r="J82" s="3">
        <f ca="1">Commodity!L25</f>
        <v>0</v>
      </c>
    </row>
    <row r="84" spans="1:10" x14ac:dyDescent="0.2">
      <c r="A84" s="3">
        <f>A82+1</f>
        <v>12</v>
      </c>
      <c r="B84" s="3" t="str">
        <f>"INCOME TAX @ "&amp;Return!$D$14</f>
        <v>INCOME TAX @ 0.0360350126</v>
      </c>
      <c r="C84" s="3">
        <f ca="1">ROUND(C82*Return!$D$14,0)</f>
        <v>2508671</v>
      </c>
      <c r="D84" s="3">
        <f ca="1">ROUND(D82*Return!$D$14,0)</f>
        <v>978409</v>
      </c>
      <c r="E84" s="3">
        <f ca="1">ROUND(E82*Return!$D$14,0)</f>
        <v>662332</v>
      </c>
      <c r="F84" s="3">
        <f ca="1">ROUND(F82*Return!$D$14,0)</f>
        <v>1431</v>
      </c>
      <c r="G84" s="3">
        <f ca="1">ROUND(G82*Return!$D$14,0)</f>
        <v>676</v>
      </c>
      <c r="H84" s="3">
        <f ca="1">ROUND(H82*Return!$D$14,0)</f>
        <v>865823</v>
      </c>
      <c r="I84" s="3">
        <f ca="1">ROUND(I82*Return!$D$14,0)</f>
        <v>0</v>
      </c>
      <c r="J84" s="3">
        <f ca="1">ROUND(J82*Return!$D$14,0)</f>
        <v>0</v>
      </c>
    </row>
    <row r="85" spans="1:10" x14ac:dyDescent="0.2">
      <c r="A85" s="3">
        <f>A84+1</f>
        <v>13</v>
      </c>
      <c r="B85" s="3" t="str">
        <f>"RETURN @ "&amp;'Capital Structure'!$M$22</f>
        <v>RETURN @ 0.0824</v>
      </c>
      <c r="C85" s="3">
        <f ca="1">ROUND(C82*'Capital Structure'!$M$22,0)</f>
        <v>5736490</v>
      </c>
      <c r="D85" s="3">
        <f ca="1">ROUND(D82*'Capital Structure'!$M$22,0)</f>
        <v>2237294</v>
      </c>
      <c r="E85" s="3">
        <f ca="1">ROUND(E82*'Capital Structure'!$M$22,0)</f>
        <v>1514530</v>
      </c>
      <c r="F85" s="3">
        <f ca="1">ROUND(F82*'Capital Structure'!$M$22,0)</f>
        <v>3273</v>
      </c>
      <c r="G85" s="3">
        <f ca="1">ROUND(G82*'Capital Structure'!$M$22,0)</f>
        <v>1546</v>
      </c>
      <c r="H85" s="3">
        <f ca="1">ROUND(H82*'Capital Structure'!$M$22,0)</f>
        <v>1979847</v>
      </c>
      <c r="I85" s="3">
        <f ca="1">ROUND(I82*'Capital Structure'!$M$22,0)</f>
        <v>0</v>
      </c>
      <c r="J85" s="3">
        <f ca="1">ROUND(J82*'Capital Structure'!$M$22,0)</f>
        <v>0</v>
      </c>
    </row>
    <row r="87" spans="1:10" x14ac:dyDescent="0.2">
      <c r="A87" s="3">
        <f>A85+1</f>
        <v>14</v>
      </c>
      <c r="B87" s="3" t="s">
        <v>1089</v>
      </c>
      <c r="C87" s="3">
        <f ca="1">C80+C84+C85</f>
        <v>22119458</v>
      </c>
      <c r="D87" s="3">
        <f t="shared" ref="D87:J87" ca="1" si="12">D80+D84+D85</f>
        <v>8758693</v>
      </c>
      <c r="E87" s="3">
        <f t="shared" ca="1" si="12"/>
        <v>5887746</v>
      </c>
      <c r="F87" s="3">
        <f t="shared" ca="1" si="12"/>
        <v>12925</v>
      </c>
      <c r="G87" s="3">
        <f t="shared" ca="1" si="12"/>
        <v>3549</v>
      </c>
      <c r="H87" s="3">
        <f t="shared" ca="1" si="12"/>
        <v>7456539</v>
      </c>
      <c r="I87" s="3">
        <f t="shared" ca="1" si="12"/>
        <v>0</v>
      </c>
      <c r="J87" s="3">
        <f t="shared" ca="1" si="12"/>
        <v>0</v>
      </c>
    </row>
    <row r="89" spans="1:10" x14ac:dyDescent="0.2">
      <c r="A89" s="4">
        <f>A87+1</f>
        <v>15</v>
      </c>
      <c r="B89" s="4" t="s">
        <v>1099</v>
      </c>
      <c r="C89" s="318">
        <f ca="1">SUM(D89:J89)</f>
        <v>1.0000000000000002</v>
      </c>
      <c r="D89" s="318">
        <f ca="1">1-SUM(E89:J89)</f>
        <v>0.39598</v>
      </c>
      <c r="E89" s="318">
        <f ca="1">ROUND(E87/C87,5)</f>
        <v>0.26618000000000003</v>
      </c>
      <c r="F89" s="318">
        <f ca="1">ROUND(F87/C87,5)</f>
        <v>5.8E-4</v>
      </c>
      <c r="G89" s="318">
        <f ca="1">ROUND(G87/C87,5)</f>
        <v>1.6000000000000001E-4</v>
      </c>
      <c r="H89" s="318">
        <f ca="1">ROUND(H87/C87,5)</f>
        <v>0.33710000000000001</v>
      </c>
      <c r="I89" s="318">
        <f ca="1">ROUND(I87/C87,5)</f>
        <v>0</v>
      </c>
      <c r="J89" s="318">
        <f ca="1">ROUND(J87/C87,5)</f>
        <v>0</v>
      </c>
    </row>
    <row r="90" spans="1:10" x14ac:dyDescent="0.2">
      <c r="A90" s="4"/>
      <c r="B90" s="4"/>
      <c r="C90" s="318"/>
      <c r="D90" s="318"/>
      <c r="E90" s="318"/>
      <c r="F90" s="318"/>
      <c r="G90" s="318"/>
      <c r="H90" s="318"/>
      <c r="I90" s="318"/>
      <c r="J90" s="318"/>
    </row>
    <row r="91" spans="1:10" x14ac:dyDescent="0.2">
      <c r="A91" s="319" t="s">
        <v>1097</v>
      </c>
      <c r="B91" s="4"/>
      <c r="C91" s="318"/>
      <c r="D91" s="318"/>
      <c r="E91" s="318"/>
      <c r="F91" s="318"/>
      <c r="G91" s="318"/>
      <c r="H91" s="318"/>
      <c r="I91" s="318"/>
      <c r="J91" s="318"/>
    </row>
    <row r="93" spans="1:10" x14ac:dyDescent="0.2">
      <c r="A93" s="3" t="s">
        <v>580</v>
      </c>
    </row>
    <row r="94" spans="1:10" x14ac:dyDescent="0.2">
      <c r="A94" s="3" t="s">
        <v>1094</v>
      </c>
    </row>
    <row r="95" spans="1:10" x14ac:dyDescent="0.2">
      <c r="A95" s="3" t="s">
        <v>1087</v>
      </c>
    </row>
    <row r="97" spans="1:10" x14ac:dyDescent="0.2">
      <c r="C97" s="325" t="s">
        <v>813</v>
      </c>
      <c r="D97" s="325"/>
      <c r="E97" s="325"/>
      <c r="F97" s="325"/>
    </row>
    <row r="98" spans="1:10" x14ac:dyDescent="0.2">
      <c r="A98" s="341" t="s">
        <v>648</v>
      </c>
      <c r="C98" s="341" t="s">
        <v>1090</v>
      </c>
      <c r="D98" s="341" t="str">
        <f>"  "&amp;+Input!$C$12</f>
        <v xml:space="preserve">  GS-RESIDENTIAL</v>
      </c>
      <c r="E98" s="341" t="str">
        <f>Input!$C$13</f>
        <v>GS-OTHER</v>
      </c>
      <c r="F98" s="341" t="str">
        <f>Input!$C$14</f>
        <v>IUS</v>
      </c>
      <c r="G98" s="341" t="str">
        <f>Input!$C$15</f>
        <v>DS-ML</v>
      </c>
      <c r="H98" s="341" t="str">
        <f>Input!$C$16</f>
        <v>DS/IS</v>
      </c>
      <c r="I98" s="341" t="str">
        <f>Input!$C$17</f>
        <v>NOT USED</v>
      </c>
      <c r="J98" s="341" t="str">
        <f>Input!$C$18</f>
        <v>NOT USED</v>
      </c>
    </row>
    <row r="99" spans="1:10" x14ac:dyDescent="0.2">
      <c r="A99" s="4"/>
      <c r="B99" s="4"/>
      <c r="C99" s="318"/>
      <c r="D99" s="318"/>
      <c r="E99" s="318"/>
      <c r="F99" s="318"/>
    </row>
    <row r="102" spans="1:10" x14ac:dyDescent="0.2">
      <c r="A102" s="3">
        <f>A101+1</f>
        <v>1</v>
      </c>
      <c r="B102" s="3" t="s">
        <v>343</v>
      </c>
      <c r="C102" s="3">
        <f t="shared" ref="C102:C110" si="13">F9</f>
        <v>2139</v>
      </c>
      <c r="D102" s="3">
        <f>Demand!F643+Demand!F654</f>
        <v>1304</v>
      </c>
      <c r="E102" s="3">
        <f>Demand!G643+Demand!G654</f>
        <v>797</v>
      </c>
      <c r="F102" s="3">
        <f>Demand!H643+Demand!H654</f>
        <v>2</v>
      </c>
      <c r="G102" s="3">
        <f>Demand!I643+Demand!I654</f>
        <v>0</v>
      </c>
      <c r="H102" s="3">
        <f>Demand!J643+Demand!J654</f>
        <v>37</v>
      </c>
      <c r="I102" s="3">
        <f>Demand!K643+Demand!K654</f>
        <v>0</v>
      </c>
      <c r="J102" s="3">
        <f>Demand!L643+Demand!L654</f>
        <v>0</v>
      </c>
    </row>
    <row r="103" spans="1:10" x14ac:dyDescent="0.2">
      <c r="A103" s="3">
        <f t="shared" ref="A103:A110" si="14">A102+1</f>
        <v>2</v>
      </c>
      <c r="B103" s="3" t="s">
        <v>345</v>
      </c>
      <c r="C103" s="3">
        <f t="shared" si="13"/>
        <v>2932000</v>
      </c>
      <c r="D103" s="3">
        <f ca="1">Demand!F644+Demand!F655</f>
        <v>1142950</v>
      </c>
      <c r="E103" s="3">
        <f ca="1">Demand!G644+Demand!G655</f>
        <v>773989</v>
      </c>
      <c r="F103" s="3">
        <f ca="1">Demand!H644+Demand!H655</f>
        <v>1670</v>
      </c>
      <c r="G103" s="3">
        <f ca="1">Demand!I644+Demand!I655</f>
        <v>146</v>
      </c>
      <c r="H103" s="3">
        <f ca="1">Demand!J644+Demand!J655</f>
        <v>1013240</v>
      </c>
      <c r="I103" s="3">
        <f ca="1">Demand!K644+Demand!K655</f>
        <v>0</v>
      </c>
      <c r="J103" s="3">
        <f ca="1">Demand!L644+Demand!L655</f>
        <v>0</v>
      </c>
    </row>
    <row r="104" spans="1:10" x14ac:dyDescent="0.2">
      <c r="A104" s="3">
        <f t="shared" si="14"/>
        <v>3</v>
      </c>
      <c r="B104" s="3" t="s">
        <v>347</v>
      </c>
      <c r="C104" s="3">
        <f t="shared" si="13"/>
        <v>1920057</v>
      </c>
      <c r="D104" s="3">
        <f ca="1">Demand!F645+Demand!F656</f>
        <v>748476</v>
      </c>
      <c r="E104" s="3">
        <f ca="1">Demand!G645+Demand!G656</f>
        <v>506856</v>
      </c>
      <c r="F104" s="3">
        <f ca="1">Demand!H645+Demand!H656</f>
        <v>1094</v>
      </c>
      <c r="G104" s="3">
        <f ca="1">Demand!I645+Demand!I656</f>
        <v>95</v>
      </c>
      <c r="H104" s="3">
        <f ca="1">Demand!J645+Demand!J656</f>
        <v>663533</v>
      </c>
      <c r="I104" s="3">
        <f ca="1">Demand!K645+Demand!K656</f>
        <v>0</v>
      </c>
      <c r="J104" s="3">
        <f ca="1">Demand!L645+Demand!L656</f>
        <v>0</v>
      </c>
    </row>
    <row r="105" spans="1:10" x14ac:dyDescent="0.2">
      <c r="A105" s="3">
        <f t="shared" si="14"/>
        <v>4</v>
      </c>
      <c r="B105" s="3" t="s">
        <v>348</v>
      </c>
      <c r="C105" s="3">
        <f t="shared" si="13"/>
        <v>0</v>
      </c>
      <c r="D105" s="3">
        <f>Demand!F646+Demand!F657</f>
        <v>0</v>
      </c>
      <c r="E105" s="3">
        <f>Demand!G646+Demand!G657</f>
        <v>0</v>
      </c>
      <c r="F105" s="3">
        <f>Demand!H646+Demand!H657</f>
        <v>0</v>
      </c>
      <c r="G105" s="3">
        <f>Demand!I646+Demand!I657</f>
        <v>0</v>
      </c>
      <c r="H105" s="3">
        <f>Demand!J646+Demand!J657</f>
        <v>0</v>
      </c>
      <c r="I105" s="3">
        <f>Demand!K646+Demand!K657</f>
        <v>0</v>
      </c>
      <c r="J105" s="3">
        <f>Demand!L646+Demand!L657</f>
        <v>0</v>
      </c>
    </row>
    <row r="106" spans="1:10" x14ac:dyDescent="0.2">
      <c r="A106" s="3">
        <f t="shared" si="14"/>
        <v>5</v>
      </c>
      <c r="B106" s="3" t="s">
        <v>350</v>
      </c>
      <c r="C106" s="3">
        <f t="shared" si="13"/>
        <v>0</v>
      </c>
      <c r="D106" s="3">
        <f>Demand!F647+Demand!F658</f>
        <v>0</v>
      </c>
      <c r="E106" s="3">
        <f>Demand!G647+Demand!G658</f>
        <v>0</v>
      </c>
      <c r="F106" s="3">
        <f>Demand!H647+Demand!H658</f>
        <v>0</v>
      </c>
      <c r="G106" s="3">
        <f>Demand!I647+Demand!I658</f>
        <v>0</v>
      </c>
      <c r="H106" s="3">
        <f>Demand!J647+Demand!J658</f>
        <v>0</v>
      </c>
      <c r="I106" s="3">
        <f>Demand!K647+Demand!K658</f>
        <v>0</v>
      </c>
      <c r="J106" s="3">
        <f>Demand!L647+Demand!L658</f>
        <v>0</v>
      </c>
    </row>
    <row r="107" spans="1:10" x14ac:dyDescent="0.2">
      <c r="A107" s="3">
        <f t="shared" si="14"/>
        <v>6</v>
      </c>
      <c r="B107" s="3" t="s">
        <v>351</v>
      </c>
      <c r="C107" s="3">
        <f t="shared" si="13"/>
        <v>0</v>
      </c>
      <c r="D107" s="3">
        <f>Demand!F648+Demand!F659</f>
        <v>0</v>
      </c>
      <c r="E107" s="3">
        <f>Demand!G648+Demand!G659</f>
        <v>0</v>
      </c>
      <c r="F107" s="3">
        <f>Demand!H648+Demand!H659</f>
        <v>0</v>
      </c>
      <c r="G107" s="3">
        <f>Demand!I648+Demand!I659</f>
        <v>0</v>
      </c>
      <c r="H107" s="3">
        <f>Demand!J648+Demand!J659</f>
        <v>0</v>
      </c>
      <c r="I107" s="3">
        <f>Demand!K648+Demand!K659</f>
        <v>0</v>
      </c>
      <c r="J107" s="3">
        <f>Demand!L648+Demand!L659</f>
        <v>0</v>
      </c>
    </row>
    <row r="108" spans="1:10" x14ac:dyDescent="0.2">
      <c r="A108" s="3">
        <f t="shared" si="14"/>
        <v>7</v>
      </c>
      <c r="B108" s="3" t="s">
        <v>1096</v>
      </c>
      <c r="C108" s="3">
        <f t="shared" ca="1" si="13"/>
        <v>4180234</v>
      </c>
      <c r="D108" s="3">
        <f ca="1">Demand!F649+SUM(Demand!F614:F622)+SUM(Demand!F624:F630)</f>
        <v>1629948</v>
      </c>
      <c r="E108" s="3">
        <f ca="1">Demand!G649+SUM(Demand!G614:G622)+SUM(Demand!G624:G630)</f>
        <v>1103674</v>
      </c>
      <c r="F108" s="3">
        <f ca="1">Demand!H649+SUM(Demand!H614:H622)+SUM(Demand!H624:H630)</f>
        <v>2384</v>
      </c>
      <c r="G108" s="3">
        <f ca="1">Demand!I649+SUM(Demand!I614:I622)+SUM(Demand!I624:I630)</f>
        <v>208</v>
      </c>
      <c r="H108" s="3">
        <f ca="1">Demand!J649+SUM(Demand!J614:J622)+SUM(Demand!J624:J630)</f>
        <v>1444021</v>
      </c>
      <c r="I108" s="3">
        <f ca="1">Demand!K649+SUM(Demand!K614:K622)+SUM(Demand!K624:K630)</f>
        <v>0</v>
      </c>
      <c r="J108" s="3">
        <f ca="1">Demand!L649+SUM(Demand!L614:L622)+SUM(Demand!L624:L630)</f>
        <v>0</v>
      </c>
    </row>
    <row r="109" spans="1:10" x14ac:dyDescent="0.2">
      <c r="A109" s="3">
        <f t="shared" si="14"/>
        <v>8</v>
      </c>
      <c r="B109" s="3" t="s">
        <v>423</v>
      </c>
      <c r="C109" s="3">
        <f t="shared" si="13"/>
        <v>3392118</v>
      </c>
      <c r="D109" s="3">
        <f ca="1">Demand!F14</f>
        <v>1322146</v>
      </c>
      <c r="E109" s="3">
        <f ca="1">Demand!G14</f>
        <v>895328</v>
      </c>
      <c r="F109" s="3">
        <f ca="1">Demand!H14</f>
        <v>1931</v>
      </c>
      <c r="G109" s="3">
        <f ca="1">Demand!I14</f>
        <v>597.86000000000013</v>
      </c>
      <c r="H109" s="3">
        <f ca="1">Demand!J14</f>
        <v>1172110</v>
      </c>
      <c r="I109" s="3">
        <f ca="1">Demand!K14</f>
        <v>0</v>
      </c>
      <c r="J109" s="3">
        <f ca="1">Demand!L14</f>
        <v>0</v>
      </c>
    </row>
    <row r="110" spans="1:10" x14ac:dyDescent="0.2">
      <c r="A110" s="3">
        <f t="shared" si="14"/>
        <v>9</v>
      </c>
      <c r="B110" s="3" t="s">
        <v>426</v>
      </c>
      <c r="C110" s="26">
        <f t="shared" si="13"/>
        <v>1309574</v>
      </c>
      <c r="D110" s="26">
        <f ca="1">Demand!F17</f>
        <v>510402</v>
      </c>
      <c r="E110" s="26">
        <f ca="1">Demand!G17</f>
        <v>345642</v>
      </c>
      <c r="F110" s="26">
        <f ca="1">Demand!H17</f>
        <v>747</v>
      </c>
      <c r="G110" s="26">
        <f ca="1">Demand!I17</f>
        <v>294</v>
      </c>
      <c r="H110" s="26">
        <f ca="1">Demand!J17</f>
        <v>452490</v>
      </c>
      <c r="I110" s="26">
        <f ca="1">Demand!K17</f>
        <v>0</v>
      </c>
      <c r="J110" s="26">
        <f ca="1">Demand!L17</f>
        <v>0</v>
      </c>
    </row>
    <row r="111" spans="1:10" x14ac:dyDescent="0.2">
      <c r="A111" s="3">
        <f t="shared" ref="A111" si="15">A110+1</f>
        <v>10</v>
      </c>
      <c r="B111" s="3" t="s">
        <v>1088</v>
      </c>
      <c r="C111" s="3">
        <f t="shared" ref="C111:J111" ca="1" si="16">SUM(C101:C110)</f>
        <v>13736122</v>
      </c>
      <c r="D111" s="3">
        <f t="shared" ca="1" si="16"/>
        <v>5355226</v>
      </c>
      <c r="E111" s="3">
        <f t="shared" ca="1" si="16"/>
        <v>3626286</v>
      </c>
      <c r="F111" s="3">
        <f t="shared" ca="1" si="16"/>
        <v>7828</v>
      </c>
      <c r="G111" s="3">
        <f t="shared" ca="1" si="16"/>
        <v>1340.8600000000001</v>
      </c>
      <c r="H111" s="3">
        <f t="shared" ca="1" si="16"/>
        <v>4745431</v>
      </c>
      <c r="I111" s="3">
        <f t="shared" ca="1" si="16"/>
        <v>0</v>
      </c>
      <c r="J111" s="3">
        <f t="shared" ca="1" si="16"/>
        <v>0</v>
      </c>
    </row>
    <row r="113" spans="1:10" x14ac:dyDescent="0.2">
      <c r="A113" s="3">
        <f>A111+1</f>
        <v>11</v>
      </c>
      <c r="B113" s="3" t="s">
        <v>407</v>
      </c>
      <c r="C113" s="3">
        <f ca="1">F20</f>
        <v>111382801</v>
      </c>
      <c r="D113" s="3">
        <f ca="1">Demand!F25</f>
        <v>52586401</v>
      </c>
      <c r="E113" s="3">
        <f ca="1">Demand!G25</f>
        <v>33927136</v>
      </c>
      <c r="F113" s="3">
        <f ca="1">Demand!H25</f>
        <v>76845</v>
      </c>
      <c r="G113" s="3">
        <f ca="1">Demand!I25</f>
        <v>18764.449999999997</v>
      </c>
      <c r="H113" s="3">
        <f ca="1">Demand!J25</f>
        <v>24773661</v>
      </c>
      <c r="I113" s="3">
        <f ca="1">Demand!K25</f>
        <v>0</v>
      </c>
      <c r="J113" s="3">
        <f ca="1">Demand!L25</f>
        <v>0</v>
      </c>
    </row>
    <row r="115" spans="1:10" x14ac:dyDescent="0.2">
      <c r="A115" s="3">
        <f>A113+1</f>
        <v>12</v>
      </c>
      <c r="B115" s="3" t="str">
        <f>"INCOME TAX @ "&amp;Return!$D$14</f>
        <v>INCOME TAX @ 0.0360350126</v>
      </c>
      <c r="C115" s="3">
        <f ca="1">ROUND(C113*Return!$D$14,0)</f>
        <v>4013681</v>
      </c>
      <c r="D115" s="3">
        <f ca="1">ROUND(D113*Return!$D$14,0)</f>
        <v>1894952</v>
      </c>
      <c r="E115" s="3">
        <f ca="1">ROUND(E113*Return!$D$14,0)</f>
        <v>1222565</v>
      </c>
      <c r="F115" s="3">
        <f ca="1">ROUND(F113*Return!$D$14,0)</f>
        <v>2769</v>
      </c>
      <c r="G115" s="3">
        <f ca="1">ROUND(G113*Return!$D$14,0)</f>
        <v>676</v>
      </c>
      <c r="H115" s="3">
        <f ca="1">ROUND(H113*Return!$D$14,0)</f>
        <v>892719</v>
      </c>
      <c r="I115" s="3">
        <f ca="1">ROUND(I113*Return!$D$14,0)</f>
        <v>0</v>
      </c>
      <c r="J115" s="3">
        <f ca="1">ROUND(J113*Return!$D$14,0)</f>
        <v>0</v>
      </c>
    </row>
    <row r="116" spans="1:10" x14ac:dyDescent="0.2">
      <c r="A116" s="3">
        <f>A115+1</f>
        <v>13</v>
      </c>
      <c r="B116" s="3" t="str">
        <f>"RETURN @ "&amp;'Capital Structure'!$M$22</f>
        <v>RETURN @ 0.0824</v>
      </c>
      <c r="C116" s="3">
        <f ca="1">ROUND(C113*'Capital Structure'!$M$22,0)</f>
        <v>9177943</v>
      </c>
      <c r="D116" s="3">
        <f ca="1">ROUND(D113*'Capital Structure'!$M$22,0)</f>
        <v>4333119</v>
      </c>
      <c r="E116" s="3">
        <f ca="1">ROUND(E113*'Capital Structure'!$M$22,0)</f>
        <v>2795596</v>
      </c>
      <c r="F116" s="3">
        <f ca="1">ROUND(F113*'Capital Structure'!$M$22,0)</f>
        <v>6332</v>
      </c>
      <c r="G116" s="3">
        <f ca="1">ROUND(G113*'Capital Structure'!$M$22,0)</f>
        <v>1546</v>
      </c>
      <c r="H116" s="3">
        <f ca="1">ROUND(H113*'Capital Structure'!$M$22,0)</f>
        <v>2041350</v>
      </c>
      <c r="I116" s="3">
        <f ca="1">ROUND(I113*'Capital Structure'!$M$22,0)</f>
        <v>0</v>
      </c>
      <c r="J116" s="3">
        <f ca="1">ROUND(J113*'Capital Structure'!$M$22,0)</f>
        <v>0</v>
      </c>
    </row>
    <row r="118" spans="1:10" x14ac:dyDescent="0.2">
      <c r="A118" s="3">
        <f>A116+1</f>
        <v>14</v>
      </c>
      <c r="B118" s="3" t="s">
        <v>1089</v>
      </c>
      <c r="C118" s="3">
        <f ca="1">C111+C115+C116</f>
        <v>26927746</v>
      </c>
      <c r="D118" s="3">
        <f t="shared" ref="D118:J118" ca="1" si="17">D111+D115+D116</f>
        <v>11583297</v>
      </c>
      <c r="E118" s="3">
        <f t="shared" ca="1" si="17"/>
        <v>7644447</v>
      </c>
      <c r="F118" s="3">
        <f t="shared" ca="1" si="17"/>
        <v>16929</v>
      </c>
      <c r="G118" s="3">
        <f t="shared" ca="1" si="17"/>
        <v>3562.86</v>
      </c>
      <c r="H118" s="3">
        <f t="shared" ca="1" si="17"/>
        <v>7679500</v>
      </c>
      <c r="I118" s="3">
        <f t="shared" ca="1" si="17"/>
        <v>0</v>
      </c>
      <c r="J118" s="3">
        <f t="shared" ca="1" si="17"/>
        <v>0</v>
      </c>
    </row>
    <row r="120" spans="1:10" x14ac:dyDescent="0.2">
      <c r="A120" s="4">
        <f>A118+1</f>
        <v>15</v>
      </c>
      <c r="B120" s="4" t="s">
        <v>1098</v>
      </c>
      <c r="C120" s="318">
        <f ca="1">SUM(D120:J120)</f>
        <v>1</v>
      </c>
      <c r="D120" s="318">
        <f ca="1">1-SUM(E120:J120)</f>
        <v>0.43015999999999999</v>
      </c>
      <c r="E120" s="318">
        <f ca="1">ROUND(E118/C118,5)</f>
        <v>0.28388999999999998</v>
      </c>
      <c r="F120" s="318">
        <f ca="1">ROUND(F118/C118,5)</f>
        <v>6.3000000000000003E-4</v>
      </c>
      <c r="G120" s="318">
        <f ca="1">ROUND(G118/C118,5)</f>
        <v>1.2999999999999999E-4</v>
      </c>
      <c r="H120" s="318">
        <f ca="1">ROUND(H118/C118,5)</f>
        <v>0.28519</v>
      </c>
      <c r="I120" s="318">
        <f ca="1">ROUND(I118/C118,5)</f>
        <v>0</v>
      </c>
      <c r="J120" s="318">
        <f ca="1">ROUND(J118/C118,5)</f>
        <v>0</v>
      </c>
    </row>
    <row r="122" spans="1:10" x14ac:dyDescent="0.2">
      <c r="A122" s="319" t="s">
        <v>1097</v>
      </c>
    </row>
  </sheetData>
  <pageMargins left="0.7" right="0.7" top="0.75" bottom="0.75" header="0.3" footer="0.3"/>
  <pageSetup orientation="landscape" r:id="rId1"/>
  <rowBreaks count="3" manualBreakCount="3">
    <brk id="30" max="9" man="1"/>
    <brk id="61" max="9" man="1"/>
    <brk id="92" max="9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zoomScaleNormal="100" workbookViewId="0">
      <selection activeCell="C12" sqref="C12"/>
    </sheetView>
  </sheetViews>
  <sheetFormatPr defaultRowHeight="10.5" x14ac:dyDescent="0.15"/>
  <cols>
    <col min="1" max="1" width="6.83203125" customWidth="1"/>
    <col min="2" max="2" width="39.83203125" customWidth="1"/>
    <col min="3" max="3" width="18.83203125" customWidth="1"/>
    <col min="4" max="9" width="14.83203125" customWidth="1"/>
    <col min="10" max="10" width="2.83203125" bestFit="1" customWidth="1"/>
    <col min="11" max="11" width="3.83203125" bestFit="1" customWidth="1"/>
    <col min="12" max="14" width="14.83203125" customWidth="1"/>
    <col min="15" max="16" width="9.83203125" customWidth="1"/>
    <col min="17" max="17" width="10.83203125" customWidth="1"/>
    <col min="18" max="18" width="7.83203125" customWidth="1"/>
    <col min="19" max="19" width="9.6640625" bestFit="1" customWidth="1"/>
  </cols>
  <sheetData>
    <row r="1" spans="1:19" ht="11.25" x14ac:dyDescent="0.2">
      <c r="A1" s="3">
        <v>1</v>
      </c>
      <c r="B1" s="3">
        <f>A1+1</f>
        <v>2</v>
      </c>
      <c r="C1" s="3">
        <f t="shared" ref="C1:S1" si="0">B1+1</f>
        <v>3</v>
      </c>
      <c r="D1" s="3">
        <f t="shared" si="0"/>
        <v>4</v>
      </c>
      <c r="E1" s="3">
        <f t="shared" si="0"/>
        <v>5</v>
      </c>
      <c r="F1" s="3">
        <f t="shared" si="0"/>
        <v>6</v>
      </c>
      <c r="G1" s="3">
        <f t="shared" si="0"/>
        <v>7</v>
      </c>
      <c r="H1" s="3">
        <f t="shared" si="0"/>
        <v>8</v>
      </c>
      <c r="I1" s="3">
        <f t="shared" si="0"/>
        <v>9</v>
      </c>
      <c r="J1" s="3">
        <f t="shared" si="0"/>
        <v>10</v>
      </c>
      <c r="K1" s="3">
        <f t="shared" si="0"/>
        <v>11</v>
      </c>
      <c r="L1" s="3">
        <f t="shared" si="0"/>
        <v>12</v>
      </c>
      <c r="M1" s="3">
        <f t="shared" si="0"/>
        <v>13</v>
      </c>
      <c r="N1" s="3">
        <f t="shared" si="0"/>
        <v>14</v>
      </c>
      <c r="O1" s="3">
        <f t="shared" si="0"/>
        <v>15</v>
      </c>
      <c r="P1" s="3">
        <f t="shared" si="0"/>
        <v>16</v>
      </c>
      <c r="Q1" s="3">
        <f t="shared" si="0"/>
        <v>17</v>
      </c>
      <c r="R1" s="3">
        <f t="shared" si="0"/>
        <v>18</v>
      </c>
      <c r="S1" s="3">
        <f t="shared" si="0"/>
        <v>19</v>
      </c>
    </row>
    <row r="2" spans="1:19" ht="11.25" x14ac:dyDescent="0.2">
      <c r="A2" s="16" t="s">
        <v>0</v>
      </c>
      <c r="B2" s="16" t="s">
        <v>0</v>
      </c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3"/>
      <c r="S2" s="43"/>
    </row>
    <row r="3" spans="1:19" ht="11.25" x14ac:dyDescent="0.2">
      <c r="A3" s="3" t="s">
        <v>361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3"/>
      <c r="R3" s="43"/>
      <c r="S3" s="3"/>
    </row>
    <row r="4" spans="1:19" ht="11.25" x14ac:dyDescent="0.2">
      <c r="A4" s="16" t="s">
        <v>0</v>
      </c>
      <c r="B4" s="16" t="s">
        <v>0</v>
      </c>
      <c r="C4" s="3" t="s">
        <v>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3"/>
      <c r="R4" s="43"/>
      <c r="S4" s="3"/>
    </row>
    <row r="5" spans="1:19" ht="11.25" x14ac:dyDescent="0.2">
      <c r="A5" s="6" t="s">
        <v>92</v>
      </c>
      <c r="B5" s="3"/>
      <c r="C5" s="3" t="str">
        <f>Input!$C$12</f>
        <v>GS-RESIDENTIAL</v>
      </c>
      <c r="D5" s="3" t="str">
        <f>Input!$C$13</f>
        <v>GS-OTHER</v>
      </c>
      <c r="E5" s="3" t="str">
        <f>Input!$C$14</f>
        <v>IUS</v>
      </c>
      <c r="F5" s="3" t="str">
        <f>Input!$C$15</f>
        <v>DS-ML</v>
      </c>
      <c r="G5" s="3" t="str">
        <f>Input!$C$16</f>
        <v>DS/IS</v>
      </c>
      <c r="H5" s="3" t="str">
        <f>Input!$C$17</f>
        <v>NOT USED</v>
      </c>
      <c r="I5" s="3" t="str">
        <f>Input!$C$18</f>
        <v>NOT USED</v>
      </c>
      <c r="J5" s="3"/>
      <c r="K5" s="3"/>
      <c r="L5" s="6" t="s">
        <v>8</v>
      </c>
      <c r="M5" s="3" t="str">
        <f>Input!$C$12</f>
        <v>GS-RESIDENTIAL</v>
      </c>
      <c r="N5" s="3" t="str">
        <f>Input!$C$13</f>
        <v>GS-OTHER</v>
      </c>
      <c r="O5" s="3" t="str">
        <f>Input!$C$14</f>
        <v>IUS</v>
      </c>
      <c r="P5" s="3" t="str">
        <f>Input!$C$15</f>
        <v>DS-ML</v>
      </c>
      <c r="Q5" s="3" t="str">
        <f>Input!$C$16</f>
        <v>DS/IS</v>
      </c>
      <c r="R5" s="3" t="str">
        <f>Input!$C$17</f>
        <v>NOT USED</v>
      </c>
      <c r="S5" s="3" t="str">
        <f>Input!$C$18</f>
        <v>NOT USED</v>
      </c>
    </row>
    <row r="6" spans="1:19" ht="11.25" x14ac:dyDescent="0.2">
      <c r="A6" s="6" t="s">
        <v>9</v>
      </c>
      <c r="B6" s="3" t="s">
        <v>24</v>
      </c>
      <c r="C6" s="6" t="s">
        <v>362</v>
      </c>
      <c r="D6" s="6" t="s">
        <v>362</v>
      </c>
      <c r="E6" s="6" t="s">
        <v>362</v>
      </c>
      <c r="F6" s="118" t="s">
        <v>362</v>
      </c>
      <c r="G6" s="6" t="s">
        <v>362</v>
      </c>
      <c r="H6" s="6" t="s">
        <v>362</v>
      </c>
      <c r="I6" s="6" t="s">
        <v>362</v>
      </c>
      <c r="J6" s="6"/>
      <c r="K6" s="6"/>
      <c r="L6" s="6" t="s">
        <v>362</v>
      </c>
      <c r="M6" s="6" t="s">
        <v>363</v>
      </c>
      <c r="N6" s="6" t="s">
        <v>363</v>
      </c>
      <c r="O6" s="6" t="s">
        <v>363</v>
      </c>
      <c r="P6" s="6" t="s">
        <v>363</v>
      </c>
      <c r="Q6" s="6" t="s">
        <v>363</v>
      </c>
      <c r="R6" s="6" t="s">
        <v>363</v>
      </c>
      <c r="S6" s="6" t="s">
        <v>363</v>
      </c>
    </row>
    <row r="7" spans="1:19" ht="11.25" x14ac:dyDescent="0.2">
      <c r="A7" s="29">
        <v>1</v>
      </c>
      <c r="B7" s="5" t="s">
        <v>364</v>
      </c>
      <c r="C7" s="5">
        <f>Input!E58</f>
        <v>137300</v>
      </c>
      <c r="D7" s="5">
        <f>Input!F58</f>
        <v>88300</v>
      </c>
      <c r="E7" s="5">
        <f>Input!G58</f>
        <v>200</v>
      </c>
      <c r="F7" s="2">
        <f>Input!H58</f>
        <v>0</v>
      </c>
      <c r="G7" s="5">
        <f>Input!I58</f>
        <v>82400</v>
      </c>
      <c r="H7" s="5">
        <f>Input!J58</f>
        <v>0</v>
      </c>
      <c r="I7" s="5">
        <f>Input!K58</f>
        <v>0</v>
      </c>
      <c r="J7" s="5"/>
      <c r="K7" s="5"/>
      <c r="L7" s="3">
        <f t="shared" ref="L7:L27" si="1">SUM(C7:K7)</f>
        <v>308200</v>
      </c>
      <c r="M7" s="43">
        <f t="shared" ref="M7:M13" si="2">ROUND(1-SUM(N7:S7)+0.00000000001,5)</f>
        <v>0.44549</v>
      </c>
      <c r="N7" s="43">
        <f t="shared" ref="N7:S13" si="3">IF($L7=0,0,ROUND(D7/$L7,5))</f>
        <v>0.28649999999999998</v>
      </c>
      <c r="O7" s="43">
        <f t="shared" si="3"/>
        <v>6.4999999999999997E-4</v>
      </c>
      <c r="P7" s="43">
        <f t="shared" si="3"/>
        <v>0</v>
      </c>
      <c r="Q7" s="43">
        <f t="shared" si="3"/>
        <v>0.26735999999999999</v>
      </c>
      <c r="R7" s="43">
        <f t="shared" si="3"/>
        <v>0</v>
      </c>
      <c r="S7" s="43">
        <f t="shared" si="3"/>
        <v>0</v>
      </c>
    </row>
    <row r="8" spans="1:19" ht="11.25" x14ac:dyDescent="0.2">
      <c r="A8" s="29">
        <v>2</v>
      </c>
      <c r="B8" s="5" t="s">
        <v>1147</v>
      </c>
      <c r="C8" s="5">
        <f>Input!E59</f>
        <v>137300</v>
      </c>
      <c r="D8" s="5">
        <f>Input!F59</f>
        <v>83900</v>
      </c>
      <c r="E8" s="5">
        <f>Input!G59</f>
        <v>200</v>
      </c>
      <c r="F8" s="2">
        <f>Input!H59</f>
        <v>0</v>
      </c>
      <c r="G8" s="5">
        <f>Input!I59</f>
        <v>3900</v>
      </c>
      <c r="H8" s="5">
        <f>Input!J59</f>
        <v>0</v>
      </c>
      <c r="I8" s="5">
        <f>Input!K59</f>
        <v>0</v>
      </c>
      <c r="J8" s="5"/>
      <c r="K8" s="5"/>
      <c r="L8" s="3">
        <f t="shared" si="1"/>
        <v>225300</v>
      </c>
      <c r="M8" s="43">
        <f t="shared" si="2"/>
        <v>0.60941000000000001</v>
      </c>
      <c r="N8" s="43">
        <f t="shared" si="3"/>
        <v>0.37239</v>
      </c>
      <c r="O8" s="43">
        <f t="shared" si="3"/>
        <v>8.8999999999999995E-4</v>
      </c>
      <c r="P8" s="43">
        <f t="shared" si="3"/>
        <v>0</v>
      </c>
      <c r="Q8" s="43">
        <f t="shared" si="3"/>
        <v>1.7309999999999999E-2</v>
      </c>
      <c r="R8" s="43">
        <f t="shared" si="3"/>
        <v>0</v>
      </c>
      <c r="S8" s="43">
        <f t="shared" si="3"/>
        <v>0</v>
      </c>
    </row>
    <row r="9" spans="1:19" ht="11.25" x14ac:dyDescent="0.2">
      <c r="A9" s="29">
        <v>3</v>
      </c>
      <c r="B9" s="5" t="s">
        <v>337</v>
      </c>
      <c r="C9" s="40">
        <f>Input!E595</f>
        <v>0.73792999999999997</v>
      </c>
      <c r="D9" s="40">
        <f>Input!F595</f>
        <v>0.16741</v>
      </c>
      <c r="E9" s="40">
        <f>Input!G595</f>
        <v>2.4000000000000001E-4</v>
      </c>
      <c r="F9" s="219">
        <f>Input!H595</f>
        <v>0</v>
      </c>
      <c r="G9" s="40">
        <f>Input!I595</f>
        <v>9.4420000000000004E-2</v>
      </c>
      <c r="H9" s="40">
        <f>Input!J595</f>
        <v>0</v>
      </c>
      <c r="I9" s="40">
        <f>Input!K595</f>
        <v>0</v>
      </c>
      <c r="J9" s="40"/>
      <c r="K9" s="40"/>
      <c r="L9" s="23">
        <f t="shared" si="1"/>
        <v>1</v>
      </c>
      <c r="M9" s="43">
        <f>ROUND(1-SUM(N9:S9),5)</f>
        <v>0.73792999999999997</v>
      </c>
      <c r="N9" s="43">
        <f t="shared" si="3"/>
        <v>0.16741</v>
      </c>
      <c r="O9" s="43">
        <f t="shared" si="3"/>
        <v>2.4000000000000001E-4</v>
      </c>
      <c r="P9" s="43">
        <f t="shared" si="3"/>
        <v>0</v>
      </c>
      <c r="Q9" s="43">
        <f t="shared" si="3"/>
        <v>9.4420000000000004E-2</v>
      </c>
      <c r="R9" s="43">
        <f t="shared" si="3"/>
        <v>0</v>
      </c>
      <c r="S9" s="43">
        <f t="shared" si="3"/>
        <v>0</v>
      </c>
    </row>
    <row r="10" spans="1:19" ht="11.25" x14ac:dyDescent="0.2">
      <c r="A10" s="29">
        <v>4</v>
      </c>
      <c r="B10" s="5" t="s">
        <v>365</v>
      </c>
      <c r="C10" s="5">
        <f>Input!E57</f>
        <v>7960000.1000000006</v>
      </c>
      <c r="D10" s="5">
        <f>Input!F57</f>
        <v>5750963.4000000004</v>
      </c>
      <c r="E10" s="5">
        <f>Input!G57</f>
        <v>11320.699999999999</v>
      </c>
      <c r="F10" s="2">
        <f>Input!H57</f>
        <v>0</v>
      </c>
      <c r="G10" s="5">
        <f>Input!I57</f>
        <v>10094426.4</v>
      </c>
      <c r="H10" s="5">
        <f>Input!J57</f>
        <v>0</v>
      </c>
      <c r="I10" s="5">
        <f>Input!K57</f>
        <v>0</v>
      </c>
      <c r="J10" s="5"/>
      <c r="K10" s="5"/>
      <c r="L10" s="3">
        <f t="shared" si="1"/>
        <v>23816710.600000001</v>
      </c>
      <c r="M10" s="43">
        <f t="shared" si="2"/>
        <v>0.33421000000000001</v>
      </c>
      <c r="N10" s="43">
        <f t="shared" si="3"/>
        <v>0.24146999999999999</v>
      </c>
      <c r="O10" s="43">
        <f t="shared" si="3"/>
        <v>4.8000000000000001E-4</v>
      </c>
      <c r="P10" s="43">
        <f t="shared" si="3"/>
        <v>0</v>
      </c>
      <c r="Q10" s="43">
        <f t="shared" si="3"/>
        <v>0.42383999999999999</v>
      </c>
      <c r="R10" s="43">
        <f t="shared" si="3"/>
        <v>0</v>
      </c>
      <c r="S10" s="43">
        <f t="shared" si="3"/>
        <v>0</v>
      </c>
    </row>
    <row r="11" spans="1:19" ht="11.25" x14ac:dyDescent="0.2">
      <c r="A11" s="29">
        <v>5</v>
      </c>
      <c r="B11" s="5" t="s">
        <v>366</v>
      </c>
      <c r="C11" s="40">
        <f t="shared" ref="C11:I11" si="4">ROUND((M7+M10)/2,5)</f>
        <v>0.38984999999999997</v>
      </c>
      <c r="D11" s="40">
        <f t="shared" si="4"/>
        <v>0.26399</v>
      </c>
      <c r="E11" s="40">
        <f t="shared" si="4"/>
        <v>5.6999999999999998E-4</v>
      </c>
      <c r="F11" s="219">
        <f t="shared" si="4"/>
        <v>0</v>
      </c>
      <c r="G11" s="40">
        <f t="shared" si="4"/>
        <v>0.34560000000000002</v>
      </c>
      <c r="H11" s="40">
        <f t="shared" si="4"/>
        <v>0</v>
      </c>
      <c r="I11" s="40">
        <f t="shared" si="4"/>
        <v>0</v>
      </c>
      <c r="J11" s="40"/>
      <c r="K11" s="40"/>
      <c r="L11" s="3">
        <f t="shared" si="1"/>
        <v>1.0000100000000001</v>
      </c>
      <c r="M11" s="43">
        <f t="shared" si="2"/>
        <v>0.38984000000000002</v>
      </c>
      <c r="N11" s="43">
        <f t="shared" si="3"/>
        <v>0.26399</v>
      </c>
      <c r="O11" s="43">
        <f t="shared" si="3"/>
        <v>5.6999999999999998E-4</v>
      </c>
      <c r="P11" s="43">
        <f t="shared" si="3"/>
        <v>0</v>
      </c>
      <c r="Q11" s="43">
        <f t="shared" si="3"/>
        <v>0.34560000000000002</v>
      </c>
      <c r="R11" s="43">
        <f t="shared" si="3"/>
        <v>0</v>
      </c>
      <c r="S11" s="43">
        <f t="shared" si="3"/>
        <v>0</v>
      </c>
    </row>
    <row r="12" spans="1:19" ht="11.25" x14ac:dyDescent="0.2">
      <c r="A12" s="29">
        <v>6</v>
      </c>
      <c r="B12" s="5" t="s">
        <v>367</v>
      </c>
      <c r="C12" s="5">
        <f>Input!E60</f>
        <v>121915</v>
      </c>
      <c r="D12" s="5">
        <f>Input!F60</f>
        <v>13977</v>
      </c>
      <c r="E12" s="5">
        <f>Input!G60</f>
        <v>2</v>
      </c>
      <c r="F12" s="2">
        <f>Input!H60</f>
        <v>6</v>
      </c>
      <c r="G12" s="5">
        <f>Input!I60</f>
        <v>79</v>
      </c>
      <c r="H12" s="5">
        <f>Input!J60</f>
        <v>0</v>
      </c>
      <c r="I12" s="5">
        <f>Input!K60</f>
        <v>0</v>
      </c>
      <c r="J12" s="5"/>
      <c r="K12" s="5"/>
      <c r="L12" s="3">
        <f t="shared" si="1"/>
        <v>135979</v>
      </c>
      <c r="M12" s="43">
        <f t="shared" si="2"/>
        <v>0.89658000000000004</v>
      </c>
      <c r="N12" s="43">
        <f t="shared" si="3"/>
        <v>0.10279000000000001</v>
      </c>
      <c r="O12" s="43">
        <f t="shared" si="3"/>
        <v>1.0000000000000001E-5</v>
      </c>
      <c r="P12" s="43">
        <f t="shared" si="3"/>
        <v>4.0000000000000003E-5</v>
      </c>
      <c r="Q12" s="43">
        <f t="shared" si="3"/>
        <v>5.8E-4</v>
      </c>
      <c r="R12" s="43">
        <f t="shared" si="3"/>
        <v>0</v>
      </c>
      <c r="S12" s="43">
        <f t="shared" si="3"/>
        <v>0</v>
      </c>
    </row>
    <row r="13" spans="1:19" ht="11.25" x14ac:dyDescent="0.2">
      <c r="A13" s="29">
        <v>7</v>
      </c>
      <c r="B13" s="5" t="s">
        <v>368</v>
      </c>
      <c r="C13" s="5">
        <f ca="1">SUM('Total Co'!F$149:F$157)+SUM('Total Co'!F$160:F$167)+SUM('Total Co'!F$175:F$181)</f>
        <v>234121442</v>
      </c>
      <c r="D13" s="5">
        <f ca="1">SUM('Total Co'!G$149:G$157)+SUM('Total Co'!G$160:G$167)+SUM('Total Co'!G$175:G$181)</f>
        <v>89138658</v>
      </c>
      <c r="E13" s="5">
        <f ca="1">SUM('Total Co'!H$149:H$157)+SUM('Total Co'!H$160:H$167)+SUM('Total Co'!H$175:H$181)</f>
        <v>142807</v>
      </c>
      <c r="F13" s="2">
        <f ca="1">SUM('Total Co'!I$149:I$157)+SUM('Total Co'!I$160:I$167)+SUM('Total Co'!I$175:I$181)</f>
        <v>735721.55</v>
      </c>
      <c r="G13" s="5">
        <f ca="1">SUM('Total Co'!J$149:J$157)+SUM('Total Co'!J$160:J$167)+SUM('Total Co'!J$175:J$181)</f>
        <v>84784297</v>
      </c>
      <c r="H13" s="5">
        <f ca="1">SUM('Total Co'!K$149:K$157)+SUM('Total Co'!K$160:K$167)+SUM('Total Co'!K$175:K$181)</f>
        <v>0</v>
      </c>
      <c r="I13" s="5">
        <f ca="1">SUM('Total Co'!L$149:L$157)+SUM('Total Co'!L$160:L$167)+SUM('Total Co'!L$175:L$181)</f>
        <v>0</v>
      </c>
      <c r="J13" s="5"/>
      <c r="K13" s="5"/>
      <c r="L13" s="3">
        <f t="shared" ca="1" si="1"/>
        <v>408922925.55000001</v>
      </c>
      <c r="M13" s="43">
        <f t="shared" ca="1" si="2"/>
        <v>0.57252999999999998</v>
      </c>
      <c r="N13" s="43">
        <f t="shared" ca="1" si="3"/>
        <v>0.21798000000000001</v>
      </c>
      <c r="O13" s="43">
        <f t="shared" ca="1" si="3"/>
        <v>3.5E-4</v>
      </c>
      <c r="P13" s="43">
        <f t="shared" ca="1" si="3"/>
        <v>1.8E-3</v>
      </c>
      <c r="Q13" s="43">
        <f t="shared" ca="1" si="3"/>
        <v>0.20734</v>
      </c>
      <c r="R13" s="43">
        <f t="shared" ca="1" si="3"/>
        <v>0</v>
      </c>
      <c r="S13" s="43">
        <f t="shared" ca="1" si="3"/>
        <v>0</v>
      </c>
    </row>
    <row r="14" spans="1:19" ht="11.25" x14ac:dyDescent="0.2">
      <c r="A14" s="29">
        <v>8</v>
      </c>
      <c r="B14" s="5" t="s">
        <v>369</v>
      </c>
      <c r="C14" s="5">
        <f>'Total Co'!F180+'Total Co'!F181</f>
        <v>0</v>
      </c>
      <c r="D14" s="5">
        <f>'Total Co'!G180+'Total Co'!G181</f>
        <v>700742</v>
      </c>
      <c r="E14" s="5">
        <f>'Total Co'!H180+'Total Co'!H181</f>
        <v>782</v>
      </c>
      <c r="F14" s="2">
        <f>'Total Co'!I180+'Total Co'!I181</f>
        <v>677829</v>
      </c>
      <c r="G14" s="5">
        <f>'Total Co'!J180+'Total Co'!J181</f>
        <v>1996050</v>
      </c>
      <c r="H14" s="5">
        <f>'Total Co'!K180+'Total Co'!K181</f>
        <v>0</v>
      </c>
      <c r="I14" s="5">
        <f>'Total Co'!L180+'Total Co'!L181</f>
        <v>0</v>
      </c>
      <c r="J14" s="5"/>
      <c r="K14" s="5"/>
      <c r="L14" s="3">
        <f t="shared" si="1"/>
        <v>3375403</v>
      </c>
      <c r="M14" s="43">
        <f>IF($L14=0,0,ROUND(C14/$L14,5))</f>
        <v>0</v>
      </c>
      <c r="N14" s="43">
        <f>ROUND(1-SUM(O14:S14)-M14+0.00000000001,5)</f>
        <v>0.20760999999999999</v>
      </c>
      <c r="O14" s="43">
        <f t="shared" ref="O14:O26" si="5">IF($L14=0,0,ROUND(E14/$L14,5))</f>
        <v>2.3000000000000001E-4</v>
      </c>
      <c r="P14" s="43">
        <f t="shared" ref="P14:P26" si="6">IF($L14=0,0,ROUND(F14/$L14,5))</f>
        <v>0.20080999999999999</v>
      </c>
      <c r="Q14" s="43">
        <f t="shared" ref="Q14:Q26" si="7">IF($L14=0,0,ROUND(G14/$L14,5))</f>
        <v>0.59135000000000004</v>
      </c>
      <c r="R14" s="43">
        <f t="shared" ref="R14:R26" si="8">IF($L14=0,0,ROUND(H14/$L14,5))</f>
        <v>0</v>
      </c>
      <c r="S14" s="43">
        <f t="shared" ref="S14:S26" si="9">IF($L14=0,0,ROUND(I14/$L14,5))</f>
        <v>0</v>
      </c>
    </row>
    <row r="15" spans="1:19" ht="11.25" x14ac:dyDescent="0.2">
      <c r="A15" s="29">
        <v>9</v>
      </c>
      <c r="B15" s="5" t="s">
        <v>552</v>
      </c>
      <c r="C15" s="5">
        <f>'Total Co'!F427</f>
        <v>13807094.589999998</v>
      </c>
      <c r="D15" s="5">
        <f>'Total Co'!G427</f>
        <v>7643846.9600000009</v>
      </c>
      <c r="E15" s="5">
        <f>'Total Co'!H427</f>
        <v>25008.560000000001</v>
      </c>
      <c r="F15" s="2">
        <f>'Total Co'!I427</f>
        <v>0</v>
      </c>
      <c r="G15" s="5">
        <f>'Total Co'!J427</f>
        <v>0</v>
      </c>
      <c r="H15" s="5">
        <v>0</v>
      </c>
      <c r="I15" s="5">
        <f>'Total Co'!L427</f>
        <v>0</v>
      </c>
      <c r="J15" s="5"/>
      <c r="K15" s="5"/>
      <c r="L15" s="3">
        <f t="shared" si="1"/>
        <v>21475950.109999996</v>
      </c>
      <c r="M15" s="43">
        <f t="shared" ref="M15:M25" si="10">ROUND(1-SUM(N15:S15)+0.00000000001,5)</f>
        <v>0.64290999999999998</v>
      </c>
      <c r="N15" s="43">
        <f t="shared" ref="N15:N26" si="11">IF($L15=0,0,ROUND(D15/$L15,5))</f>
        <v>0.35593000000000002</v>
      </c>
      <c r="O15" s="43">
        <f t="shared" si="5"/>
        <v>1.16E-3</v>
      </c>
      <c r="P15" s="43">
        <f t="shared" si="6"/>
        <v>0</v>
      </c>
      <c r="Q15" s="43">
        <f t="shared" si="7"/>
        <v>0</v>
      </c>
      <c r="R15" s="43">
        <f t="shared" si="8"/>
        <v>0</v>
      </c>
      <c r="S15" s="43">
        <f t="shared" si="9"/>
        <v>0</v>
      </c>
    </row>
    <row r="16" spans="1:19" ht="11.25" x14ac:dyDescent="0.2">
      <c r="A16" s="29">
        <v>10</v>
      </c>
      <c r="B16" s="5" t="s">
        <v>371</v>
      </c>
      <c r="C16" s="5">
        <f ca="1">SUM('Total Co'!F444:F449)+SUM('Total Co'!F457:F462)</f>
        <v>3737304</v>
      </c>
      <c r="D16" s="5">
        <f ca="1">SUM('Total Co'!G444:G449)+SUM('Total Co'!G457:G462)</f>
        <v>1502159</v>
      </c>
      <c r="E16" s="5">
        <f ca="1">SUM('Total Co'!H444:H449)+SUM('Total Co'!H457:H462)</f>
        <v>1696</v>
      </c>
      <c r="F16" s="2">
        <f ca="1">SUM('Total Co'!I444:I449)+SUM('Total Co'!I457:I462)</f>
        <v>11789</v>
      </c>
      <c r="G16" s="5">
        <f ca="1">SUM('Total Co'!J444:J449)+SUM('Total Co'!J457:J462)</f>
        <v>854021</v>
      </c>
      <c r="H16" s="5">
        <f ca="1">SUM('Total Co'!K444:K449)+SUM('Total Co'!K457:K462)</f>
        <v>0</v>
      </c>
      <c r="I16" s="5">
        <f ca="1">SUM('Total Co'!L444:L449)+SUM('Total Co'!L457:L462)</f>
        <v>0</v>
      </c>
      <c r="J16" s="5"/>
      <c r="K16" s="5"/>
      <c r="L16" s="3">
        <f t="shared" ca="1" si="1"/>
        <v>6106969</v>
      </c>
      <c r="M16" s="43">
        <f t="shared" ca="1" si="10"/>
        <v>0.61197999999999997</v>
      </c>
      <c r="N16" s="43">
        <f t="shared" ca="1" si="11"/>
        <v>0.24596999999999999</v>
      </c>
      <c r="O16" s="43">
        <f t="shared" ca="1" si="5"/>
        <v>2.7999999999999998E-4</v>
      </c>
      <c r="P16" s="43">
        <f t="shared" ca="1" si="6"/>
        <v>1.9300000000000001E-3</v>
      </c>
      <c r="Q16" s="43">
        <f t="shared" ca="1" si="7"/>
        <v>0.13983999999999999</v>
      </c>
      <c r="R16" s="43">
        <f t="shared" ca="1" si="8"/>
        <v>0</v>
      </c>
      <c r="S16" s="43">
        <f t="shared" ca="1" si="9"/>
        <v>0</v>
      </c>
    </row>
    <row r="17" spans="1:19" ht="11.25" x14ac:dyDescent="0.2">
      <c r="A17" s="29">
        <v>11</v>
      </c>
      <c r="B17" s="5" t="s">
        <v>372</v>
      </c>
      <c r="C17" s="5">
        <f ca="1">SUM('Total Co'!F543:F548)+SUM('Total Co'!F556:F561)</f>
        <v>5085184</v>
      </c>
      <c r="D17" s="5">
        <f ca="1">SUM('Total Co'!G543:G548)+SUM('Total Co'!G556:G561)</f>
        <v>2139230</v>
      </c>
      <c r="E17" s="5">
        <f ca="1">SUM('Total Co'!H543:H548)+SUM('Total Co'!H556:H561)</f>
        <v>3499</v>
      </c>
      <c r="F17" s="2">
        <f ca="1">SUM('Total Co'!I543:I548)+SUM('Total Co'!I556:I561)</f>
        <v>16650</v>
      </c>
      <c r="G17" s="5">
        <f ca="1">SUM('Total Co'!J543:J548)+SUM('Total Co'!J556:J561)</f>
        <v>2059919</v>
      </c>
      <c r="H17" s="5">
        <f ca="1">SUM('Total Co'!K543:K548)+SUM('Total Co'!K556:K561)</f>
        <v>0</v>
      </c>
      <c r="I17" s="5">
        <f ca="1">SUM('Total Co'!L543:L548)+SUM('Total Co'!L556:L561)</f>
        <v>0</v>
      </c>
      <c r="J17" s="5"/>
      <c r="K17" s="5"/>
      <c r="L17" s="3">
        <f t="shared" ca="1" si="1"/>
        <v>9304482</v>
      </c>
      <c r="M17" s="43">
        <f t="shared" ca="1" si="10"/>
        <v>0.54652999999999996</v>
      </c>
      <c r="N17" s="43">
        <f t="shared" ca="1" si="11"/>
        <v>0.22991</v>
      </c>
      <c r="O17" s="43">
        <f t="shared" ca="1" si="5"/>
        <v>3.8000000000000002E-4</v>
      </c>
      <c r="P17" s="43">
        <f t="shared" ca="1" si="6"/>
        <v>1.7899999999999999E-3</v>
      </c>
      <c r="Q17" s="43">
        <f t="shared" ca="1" si="7"/>
        <v>0.22139</v>
      </c>
      <c r="R17" s="43">
        <f t="shared" ca="1" si="8"/>
        <v>0</v>
      </c>
      <c r="S17" s="43">
        <f t="shared" ca="1" si="9"/>
        <v>0</v>
      </c>
    </row>
    <row r="18" spans="1:19" ht="11.25" x14ac:dyDescent="0.2">
      <c r="A18" s="29">
        <v>12</v>
      </c>
      <c r="B18" s="5" t="s">
        <v>373</v>
      </c>
      <c r="C18" s="5">
        <f ca="1">SUM('Total Co'!F643:F648)</f>
        <v>4994381</v>
      </c>
      <c r="D18" s="5">
        <f ca="1">SUM('Total Co'!G643:G648)</f>
        <v>1783107</v>
      </c>
      <c r="E18" s="5">
        <f ca="1">SUM('Total Co'!H643:H648)</f>
        <v>1921</v>
      </c>
      <c r="F18" s="2">
        <f ca="1">SUM('Total Co'!I643:I648)</f>
        <v>13330</v>
      </c>
      <c r="G18" s="5">
        <f ca="1">SUM('Total Co'!J643:J648)</f>
        <v>963362</v>
      </c>
      <c r="H18" s="5">
        <f ca="1">SUM('Total Co'!K643:K648)</f>
        <v>0</v>
      </c>
      <c r="I18" s="5">
        <f ca="1">SUM('Total Co'!L643:L648)</f>
        <v>0</v>
      </c>
      <c r="J18" s="5"/>
      <c r="K18" s="5"/>
      <c r="L18" s="3">
        <f t="shared" ca="1" si="1"/>
        <v>7756101</v>
      </c>
      <c r="M18" s="43">
        <f t="shared" ca="1" si="10"/>
        <v>0.64392000000000005</v>
      </c>
      <c r="N18" s="43">
        <f t="shared" ca="1" si="11"/>
        <v>0.22989999999999999</v>
      </c>
      <c r="O18" s="43">
        <f t="shared" ca="1" si="5"/>
        <v>2.5000000000000001E-4</v>
      </c>
      <c r="P18" s="43">
        <f t="shared" ca="1" si="6"/>
        <v>1.72E-3</v>
      </c>
      <c r="Q18" s="43">
        <f t="shared" ca="1" si="7"/>
        <v>0.12421</v>
      </c>
      <c r="R18" s="43">
        <f t="shared" ca="1" si="8"/>
        <v>0</v>
      </c>
      <c r="S18" s="43">
        <f t="shared" ca="1" si="9"/>
        <v>0</v>
      </c>
    </row>
    <row r="19" spans="1:19" ht="11.25" x14ac:dyDescent="0.2">
      <c r="A19" s="29">
        <v>13</v>
      </c>
      <c r="B19" s="5" t="s">
        <v>374</v>
      </c>
      <c r="C19" s="5">
        <f ca="1">SUM('Total Co'!F654:F659)-'Total Co'!F576</f>
        <v>11360754</v>
      </c>
      <c r="D19" s="5">
        <f ca="1">SUM('Total Co'!G654:G659)-'Total Co'!G576</f>
        <v>3336961</v>
      </c>
      <c r="E19" s="5">
        <f ca="1">SUM('Total Co'!H654:H659)-'Total Co'!H576</f>
        <v>4809</v>
      </c>
      <c r="F19" s="2">
        <f ca="1">SUM('Total Co'!I654:I659)-'Total Co'!I576</f>
        <v>20942</v>
      </c>
      <c r="G19" s="5">
        <f ca="1">SUM('Total Co'!J654:J659)-'Total Co'!J576</f>
        <v>2567669</v>
      </c>
      <c r="H19" s="5">
        <f ca="1">SUM('Total Co'!K654:K659)-'Total Co'!K576</f>
        <v>0</v>
      </c>
      <c r="I19" s="5">
        <f ca="1">SUM('Total Co'!L654:L659)-'Total Co'!L576</f>
        <v>0</v>
      </c>
      <c r="J19" s="5"/>
      <c r="K19" s="5"/>
      <c r="L19" s="3">
        <f t="shared" ca="1" si="1"/>
        <v>17291135</v>
      </c>
      <c r="M19" s="43">
        <f t="shared" ca="1" si="10"/>
        <v>0.65702000000000005</v>
      </c>
      <c r="N19" s="43">
        <f t="shared" ca="1" si="11"/>
        <v>0.19298999999999999</v>
      </c>
      <c r="O19" s="43">
        <f t="shared" ca="1" si="5"/>
        <v>2.7999999999999998E-4</v>
      </c>
      <c r="P19" s="43">
        <f t="shared" ca="1" si="6"/>
        <v>1.2099999999999999E-3</v>
      </c>
      <c r="Q19" s="43">
        <f t="shared" ca="1" si="7"/>
        <v>0.14849999999999999</v>
      </c>
      <c r="R19" s="43">
        <f t="shared" ca="1" si="8"/>
        <v>0</v>
      </c>
      <c r="S19" s="43">
        <f t="shared" ca="1" si="9"/>
        <v>0</v>
      </c>
    </row>
    <row r="20" spans="1:19" ht="11.25" x14ac:dyDescent="0.2">
      <c r="A20" s="29">
        <v>14</v>
      </c>
      <c r="B20" s="5" t="s">
        <v>375</v>
      </c>
      <c r="C20" s="5">
        <f ca="1">'Total Co'!F161+'Total Co'!F162+'Total Co'!F167+'Total Co'!F175</f>
        <v>198733812</v>
      </c>
      <c r="D20" s="5">
        <f ca="1">'Total Co'!G161+'Total Co'!G162+'Total Co'!G167+'Total Co'!G175</f>
        <v>72975433</v>
      </c>
      <c r="E20" s="5">
        <f ca="1">'Total Co'!H161+'Total Co'!H162+'Total Co'!H167+'Total Co'!H175</f>
        <v>127417</v>
      </c>
      <c r="F20" s="2">
        <f ca="1">'Total Co'!I161+'Total Co'!I162+'Total Co'!I167+'Total Co'!I175</f>
        <v>11681.79</v>
      </c>
      <c r="G20" s="5">
        <f ca="1">'Total Co'!J161+'Total Co'!J162+'Total Co'!J167+'Total Co'!J175</f>
        <v>76931536</v>
      </c>
      <c r="H20" s="5">
        <f ca="1">'Total Co'!K161+'Total Co'!K162+'Total Co'!K167+'Total Co'!K175</f>
        <v>0</v>
      </c>
      <c r="I20" s="5">
        <f ca="1">'Total Co'!L161+'Total Co'!L162+'Total Co'!L167+'Total Co'!L175</f>
        <v>0</v>
      </c>
      <c r="J20" s="5"/>
      <c r="K20" s="5"/>
      <c r="L20" s="3">
        <f t="shared" ca="1" si="1"/>
        <v>348779879.79000002</v>
      </c>
      <c r="M20" s="43">
        <f t="shared" ca="1" si="10"/>
        <v>0.56979999999999997</v>
      </c>
      <c r="N20" s="43">
        <f t="shared" ca="1" si="11"/>
        <v>0.20923</v>
      </c>
      <c r="O20" s="43">
        <f t="shared" ca="1" si="5"/>
        <v>3.6999999999999999E-4</v>
      </c>
      <c r="P20" s="43">
        <f t="shared" ca="1" si="6"/>
        <v>3.0000000000000001E-5</v>
      </c>
      <c r="Q20" s="43">
        <f t="shared" ca="1" si="7"/>
        <v>0.22056999999999999</v>
      </c>
      <c r="R20" s="43">
        <f t="shared" ca="1" si="8"/>
        <v>0</v>
      </c>
      <c r="S20" s="43">
        <f t="shared" ca="1" si="9"/>
        <v>0</v>
      </c>
    </row>
    <row r="21" spans="1:19" ht="11.25" x14ac:dyDescent="0.2">
      <c r="A21" s="29">
        <v>15</v>
      </c>
      <c r="B21" s="5" t="s">
        <v>376</v>
      </c>
      <c r="C21" s="40">
        <f ca="1">Input!E592</f>
        <v>0.88227999999999995</v>
      </c>
      <c r="D21" s="40">
        <f ca="1">Input!F592</f>
        <v>0.11418</v>
      </c>
      <c r="E21" s="40">
        <f ca="1">Input!G592</f>
        <v>1.0000000000000001E-5</v>
      </c>
      <c r="F21" s="219">
        <f>Input!H592</f>
        <v>0</v>
      </c>
      <c r="G21" s="40">
        <f ca="1">Input!I592</f>
        <v>3.5300000000000002E-3</v>
      </c>
      <c r="H21" s="40">
        <f ca="1">Input!J592</f>
        <v>0</v>
      </c>
      <c r="I21" s="40">
        <f ca="1">Input!K592</f>
        <v>0</v>
      </c>
      <c r="J21" s="40"/>
      <c r="K21" s="40"/>
      <c r="L21" s="3">
        <f t="shared" ca="1" si="1"/>
        <v>0.99999999999999989</v>
      </c>
      <c r="M21" s="43">
        <f t="shared" ca="1" si="10"/>
        <v>0.88227999999999995</v>
      </c>
      <c r="N21" s="43">
        <f t="shared" ca="1" si="11"/>
        <v>0.11418</v>
      </c>
      <c r="O21" s="43">
        <f t="shared" ca="1" si="5"/>
        <v>1.0000000000000001E-5</v>
      </c>
      <c r="P21" s="43">
        <f t="shared" ca="1" si="6"/>
        <v>0</v>
      </c>
      <c r="Q21" s="43">
        <f t="shared" ca="1" si="7"/>
        <v>3.5300000000000002E-3</v>
      </c>
      <c r="R21" s="43">
        <f t="shared" ca="1" si="8"/>
        <v>0</v>
      </c>
      <c r="S21" s="43">
        <f t="shared" ca="1" si="9"/>
        <v>0</v>
      </c>
    </row>
    <row r="22" spans="1:19" ht="11.25" x14ac:dyDescent="0.2">
      <c r="A22" s="29">
        <v>16</v>
      </c>
      <c r="B22" s="5" t="s">
        <v>377</v>
      </c>
      <c r="C22" s="40">
        <f>Input!E593</f>
        <v>0.71941662417005559</v>
      </c>
      <c r="D22" s="40">
        <f>Input!F593</f>
        <v>0.27612389659262171</v>
      </c>
      <c r="E22" s="40">
        <f>Input!G593</f>
        <v>1.3148477358315252E-4</v>
      </c>
      <c r="F22" s="219">
        <f>Input!H593</f>
        <v>0</v>
      </c>
      <c r="G22" s="40">
        <f>Input!I593</f>
        <v>4.3279944637395302E-3</v>
      </c>
      <c r="H22" s="40">
        <f>Input!J593</f>
        <v>0</v>
      </c>
      <c r="I22" s="40">
        <f>Input!K593</f>
        <v>0</v>
      </c>
      <c r="J22" s="40"/>
      <c r="K22" s="40"/>
      <c r="L22" s="3">
        <f t="shared" si="1"/>
        <v>1</v>
      </c>
      <c r="M22" s="43">
        <f t="shared" si="10"/>
        <v>0.71941999999999995</v>
      </c>
      <c r="N22" s="43">
        <f t="shared" si="11"/>
        <v>0.27611999999999998</v>
      </c>
      <c r="O22" s="43">
        <f t="shared" si="5"/>
        <v>1.2999999999999999E-4</v>
      </c>
      <c r="P22" s="43">
        <f t="shared" si="6"/>
        <v>0</v>
      </c>
      <c r="Q22" s="43">
        <f t="shared" si="7"/>
        <v>4.3299999999999996E-3</v>
      </c>
      <c r="R22" s="43">
        <f t="shared" si="8"/>
        <v>0</v>
      </c>
      <c r="S22" s="43">
        <f t="shared" si="9"/>
        <v>0</v>
      </c>
    </row>
    <row r="23" spans="1:19" ht="11.25" x14ac:dyDescent="0.2">
      <c r="A23" s="29">
        <v>17</v>
      </c>
      <c r="B23" s="5" t="s">
        <v>378</v>
      </c>
      <c r="C23" s="40">
        <f>Input!E594</f>
        <v>0</v>
      </c>
      <c r="D23" s="40">
        <f>Input!F594</f>
        <v>0.25976700000000003</v>
      </c>
      <c r="E23" s="40">
        <f>Input!G594</f>
        <v>2.8699999999999998E-4</v>
      </c>
      <c r="F23" s="219">
        <f>Input!H594</f>
        <v>0</v>
      </c>
      <c r="G23" s="40">
        <f>Input!I594</f>
        <v>0.73994599999999999</v>
      </c>
      <c r="H23" s="40">
        <f>Input!J594</f>
        <v>0</v>
      </c>
      <c r="I23" s="40">
        <f>Input!K594</f>
        <v>0</v>
      </c>
      <c r="J23" s="40"/>
      <c r="K23" s="40"/>
      <c r="L23" s="3">
        <f t="shared" si="1"/>
        <v>1</v>
      </c>
      <c r="M23" s="43">
        <f>ROUND(1-SUM(N23:S23)+0.00001,5)</f>
        <v>0</v>
      </c>
      <c r="N23" s="43">
        <f t="shared" si="11"/>
        <v>0.25977</v>
      </c>
      <c r="O23" s="43">
        <f t="shared" si="5"/>
        <v>2.9E-4</v>
      </c>
      <c r="P23" s="43">
        <f t="shared" si="6"/>
        <v>0</v>
      </c>
      <c r="Q23" s="43">
        <f t="shared" si="7"/>
        <v>0.73995</v>
      </c>
      <c r="R23" s="43">
        <f t="shared" si="8"/>
        <v>0</v>
      </c>
      <c r="S23" s="43">
        <f t="shared" si="9"/>
        <v>0</v>
      </c>
    </row>
    <row r="24" spans="1:19" ht="11.25" x14ac:dyDescent="0.2">
      <c r="A24" s="29">
        <v>18</v>
      </c>
      <c r="B24" s="5" t="s">
        <v>379</v>
      </c>
      <c r="C24" s="5">
        <f>'Total Co'!F161+'Total Co'!F162</f>
        <v>86271925</v>
      </c>
      <c r="D24" s="5">
        <f>'Total Co'!G161+'Total Co'!G162</f>
        <v>58421212</v>
      </c>
      <c r="E24" s="5">
        <f>'Total Co'!H161+'Total Co'!H162</f>
        <v>126142</v>
      </c>
      <c r="F24" s="2">
        <f>'Total Co'!I161+'Total Co'!I162</f>
        <v>11681.79</v>
      </c>
      <c r="G24" s="5">
        <f>'Total Co'!J161+'Total Co'!J162</f>
        <v>76481576</v>
      </c>
      <c r="H24" s="5">
        <f>'Total Co'!K161+'Total Co'!K162</f>
        <v>0</v>
      </c>
      <c r="I24" s="5">
        <f>'Total Co'!L161+'Total Co'!L162</f>
        <v>0</v>
      </c>
      <c r="J24" s="5"/>
      <c r="K24" s="5"/>
      <c r="L24" s="3">
        <f t="shared" si="1"/>
        <v>221312536.78999999</v>
      </c>
      <c r="M24" s="43">
        <f>ROUND(1-SUM(N24:S24),5)</f>
        <v>0.38982</v>
      </c>
      <c r="N24" s="43">
        <f t="shared" si="11"/>
        <v>0.26397999999999999</v>
      </c>
      <c r="O24" s="43">
        <f t="shared" si="5"/>
        <v>5.6999999999999998E-4</v>
      </c>
      <c r="P24" s="43">
        <f t="shared" si="6"/>
        <v>5.0000000000000002E-5</v>
      </c>
      <c r="Q24" s="43">
        <f t="shared" si="7"/>
        <v>0.34558</v>
      </c>
      <c r="R24" s="43">
        <f t="shared" si="8"/>
        <v>0</v>
      </c>
      <c r="S24" s="43">
        <f t="shared" si="9"/>
        <v>0</v>
      </c>
    </row>
    <row r="25" spans="1:19" ht="11.25" x14ac:dyDescent="0.2">
      <c r="A25" s="29">
        <v>19</v>
      </c>
      <c r="B25" s="5" t="s">
        <v>154</v>
      </c>
      <c r="C25" s="5">
        <f ca="1">'Total Co'!F205</f>
        <v>250705921</v>
      </c>
      <c r="D25" s="5">
        <f ca="1">'Total Co'!G205</f>
        <v>95453037</v>
      </c>
      <c r="E25" s="5">
        <f ca="1">'Total Co'!H205</f>
        <v>152890</v>
      </c>
      <c r="F25" s="2">
        <f ca="1">'Total Co'!I205</f>
        <v>787764.55</v>
      </c>
      <c r="G25" s="5">
        <f ca="1">'Total Co'!J205</f>
        <v>90790197</v>
      </c>
      <c r="H25" s="5">
        <f ca="1">'Total Co'!K205</f>
        <v>0</v>
      </c>
      <c r="I25" s="5">
        <f ca="1">'Total Co'!L205</f>
        <v>0</v>
      </c>
      <c r="J25" s="5"/>
      <c r="K25" s="5"/>
      <c r="L25" s="3">
        <f t="shared" ca="1" si="1"/>
        <v>437889809.55000001</v>
      </c>
      <c r="M25" s="43">
        <f t="shared" ca="1" si="10"/>
        <v>0.57252999999999998</v>
      </c>
      <c r="N25" s="43">
        <f t="shared" ca="1" si="11"/>
        <v>0.21798000000000001</v>
      </c>
      <c r="O25" s="43">
        <f t="shared" ca="1" si="5"/>
        <v>3.5E-4</v>
      </c>
      <c r="P25" s="43">
        <f t="shared" ca="1" si="6"/>
        <v>1.8E-3</v>
      </c>
      <c r="Q25" s="43">
        <f t="shared" ca="1" si="7"/>
        <v>0.20734</v>
      </c>
      <c r="R25" s="43">
        <f t="shared" ca="1" si="8"/>
        <v>0</v>
      </c>
      <c r="S25" s="43">
        <f t="shared" ca="1" si="9"/>
        <v>0</v>
      </c>
    </row>
    <row r="26" spans="1:19" ht="11.25" x14ac:dyDescent="0.2">
      <c r="A26" s="29">
        <v>20</v>
      </c>
      <c r="B26" s="5" t="s">
        <v>380</v>
      </c>
      <c r="C26" s="40">
        <f t="shared" ref="C26:I26" si="12">ROUND((M9+M11)/2,5)</f>
        <v>0.56389</v>
      </c>
      <c r="D26" s="40">
        <f t="shared" si="12"/>
        <v>0.2157</v>
      </c>
      <c r="E26" s="40">
        <f t="shared" si="12"/>
        <v>4.0999999999999999E-4</v>
      </c>
      <c r="F26" s="219">
        <f t="shared" si="12"/>
        <v>0</v>
      </c>
      <c r="G26" s="40">
        <f t="shared" si="12"/>
        <v>0.22001000000000001</v>
      </c>
      <c r="H26" s="40">
        <f t="shared" si="12"/>
        <v>0</v>
      </c>
      <c r="I26" s="40">
        <f t="shared" si="12"/>
        <v>0</v>
      </c>
      <c r="J26" s="40"/>
      <c r="K26" s="40"/>
      <c r="L26" s="23">
        <f t="shared" si="1"/>
        <v>1.0000100000000001</v>
      </c>
      <c r="M26" s="43">
        <f>1-SUM(N26:S26)</f>
        <v>0.56387999999999994</v>
      </c>
      <c r="N26" s="43">
        <f t="shared" si="11"/>
        <v>0.2157</v>
      </c>
      <c r="O26" s="43">
        <f t="shared" si="5"/>
        <v>4.0999999999999999E-4</v>
      </c>
      <c r="P26" s="43">
        <f t="shared" si="6"/>
        <v>0</v>
      </c>
      <c r="Q26" s="43">
        <f t="shared" si="7"/>
        <v>0.22001000000000001</v>
      </c>
      <c r="R26" s="43">
        <f t="shared" si="8"/>
        <v>0</v>
      </c>
      <c r="S26" s="43">
        <f t="shared" si="9"/>
        <v>0</v>
      </c>
    </row>
    <row r="27" spans="1:19" ht="11.25" x14ac:dyDescent="0.2">
      <c r="A27" s="29">
        <v>21</v>
      </c>
      <c r="B27" s="5" t="s">
        <v>977</v>
      </c>
      <c r="C27" s="234">
        <f>Uncollectibles!D20</f>
        <v>1022789</v>
      </c>
      <c r="D27" s="234">
        <f>Uncollectibles!E20</f>
        <v>154887</v>
      </c>
      <c r="E27" s="234">
        <f>Uncollectibles!F20</f>
        <v>22</v>
      </c>
      <c r="F27" s="324">
        <f>Uncollectibles!G20</f>
        <v>66</v>
      </c>
      <c r="G27" s="234">
        <f>Uncollectibles!H20</f>
        <v>875</v>
      </c>
      <c r="H27" s="5">
        <v>0</v>
      </c>
      <c r="I27" s="5">
        <v>0</v>
      </c>
      <c r="J27" s="3"/>
      <c r="K27" s="3"/>
      <c r="L27" s="23">
        <f t="shared" si="1"/>
        <v>1178639</v>
      </c>
      <c r="M27" s="43">
        <f>1-SUM(N27:S27)</f>
        <v>0.86777000000000004</v>
      </c>
      <c r="N27" s="43">
        <f t="shared" ref="N27" si="13">IF($L27=0,0,ROUND(D27/$L27,5))</f>
        <v>0.13141</v>
      </c>
      <c r="O27" s="43">
        <f t="shared" ref="O27" si="14">IF($L27=0,0,ROUND(E27/$L27,5))</f>
        <v>2.0000000000000002E-5</v>
      </c>
      <c r="P27" s="43">
        <f t="shared" ref="P27" si="15">IF($L27=0,0,ROUND(F27/$L27,5))</f>
        <v>6.0000000000000002E-5</v>
      </c>
      <c r="Q27" s="43">
        <f t="shared" ref="Q27" si="16">IF($L27=0,0,ROUND(G27/$L27,5))</f>
        <v>7.3999999999999999E-4</v>
      </c>
      <c r="R27" s="43">
        <f t="shared" ref="R27" si="17">IF($L27=0,0,ROUND(H27/$L27,5))</f>
        <v>0</v>
      </c>
      <c r="S27" s="43">
        <f t="shared" ref="S27" si="18">IF($L27=0,0,ROUND(I27/$L27,5))</f>
        <v>0</v>
      </c>
    </row>
    <row r="28" spans="1:19" s="321" customFormat="1" ht="11.25" x14ac:dyDescent="0.2">
      <c r="A28" s="327">
        <v>22</v>
      </c>
      <c r="B28" s="2"/>
      <c r="C28" s="2"/>
      <c r="D28" s="2"/>
      <c r="E28" s="2"/>
      <c r="F28" s="2"/>
      <c r="G28" s="2"/>
      <c r="H28" s="2"/>
      <c r="I28" s="2"/>
      <c r="J28" s="2"/>
      <c r="K28" s="1"/>
      <c r="L28" s="191"/>
      <c r="M28" s="323"/>
      <c r="N28" s="323"/>
      <c r="O28" s="323"/>
      <c r="P28" s="323"/>
      <c r="Q28" s="323"/>
      <c r="R28" s="323"/>
      <c r="S28" s="323"/>
    </row>
    <row r="29" spans="1:19" s="321" customFormat="1" ht="11.25" x14ac:dyDescent="0.2">
      <c r="A29" s="327">
        <v>23</v>
      </c>
      <c r="B29" s="2"/>
      <c r="C29" s="2"/>
      <c r="D29" s="2"/>
      <c r="E29" s="2"/>
      <c r="F29" s="2"/>
      <c r="G29" s="2"/>
      <c r="H29" s="2"/>
      <c r="I29" s="2"/>
      <c r="J29" s="1"/>
      <c r="K29" s="1"/>
      <c r="L29" s="191"/>
      <c r="M29" s="323"/>
      <c r="N29" s="323"/>
      <c r="O29" s="323"/>
      <c r="P29" s="323"/>
      <c r="Q29" s="323"/>
      <c r="R29" s="323"/>
      <c r="S29" s="323"/>
    </row>
    <row r="30" spans="1:19" ht="11.25" x14ac:dyDescent="0.2">
      <c r="A30" s="29">
        <v>24</v>
      </c>
      <c r="B30" s="5" t="s">
        <v>2</v>
      </c>
      <c r="C30" s="5"/>
      <c r="D30" s="5"/>
      <c r="E30" s="5"/>
      <c r="F30" s="5"/>
      <c r="G30" s="5"/>
      <c r="H30" s="5"/>
      <c r="I30" s="5"/>
      <c r="J30" s="3"/>
      <c r="K30" s="3"/>
      <c r="L30" s="5" t="s">
        <v>2</v>
      </c>
      <c r="M30" s="242"/>
      <c r="N30" s="243"/>
      <c r="O30" s="243"/>
      <c r="P30" s="242"/>
      <c r="Q30" s="243"/>
      <c r="R30" s="243"/>
      <c r="S30" s="243"/>
    </row>
    <row r="31" spans="1:19" ht="11.25" x14ac:dyDescent="0.2">
      <c r="A31" s="29">
        <v>25</v>
      </c>
      <c r="B31" s="5" t="s">
        <v>2</v>
      </c>
      <c r="C31" s="5"/>
      <c r="D31" s="5"/>
      <c r="E31" s="5"/>
      <c r="F31" s="5"/>
      <c r="G31" s="5"/>
      <c r="H31" s="5"/>
      <c r="I31" s="5"/>
      <c r="J31" s="3"/>
      <c r="K31" s="3"/>
      <c r="L31" s="5" t="s">
        <v>2</v>
      </c>
      <c r="M31" s="242"/>
      <c r="N31" s="242"/>
      <c r="O31" s="242"/>
      <c r="P31" s="242"/>
      <c r="Q31" s="242"/>
      <c r="R31" s="242"/>
      <c r="S31" s="242"/>
    </row>
    <row r="32" spans="1:19" ht="11.25" x14ac:dyDescent="0.2">
      <c r="A32" s="29">
        <v>26</v>
      </c>
      <c r="B32" s="5" t="s">
        <v>2</v>
      </c>
      <c r="C32" s="5"/>
      <c r="D32" s="5"/>
      <c r="E32" s="5"/>
      <c r="F32" s="5"/>
      <c r="G32" s="5"/>
      <c r="H32" s="5"/>
      <c r="I32" s="5"/>
      <c r="J32" s="5" t="s">
        <v>2</v>
      </c>
      <c r="K32" s="3"/>
      <c r="L32" s="3"/>
      <c r="M32" s="242"/>
      <c r="N32" s="242"/>
      <c r="O32" s="243"/>
      <c r="P32" s="243"/>
      <c r="Q32" s="242"/>
      <c r="R32" s="243"/>
      <c r="S32" s="243"/>
    </row>
    <row r="33" spans="1:19" ht="11.25" x14ac:dyDescent="0.2">
      <c r="A33" s="29">
        <v>27</v>
      </c>
      <c r="B33" s="5" t="s">
        <v>2</v>
      </c>
      <c r="C33" s="5"/>
      <c r="D33" s="5"/>
      <c r="E33" s="5"/>
      <c r="F33" s="5"/>
      <c r="G33" s="5"/>
      <c r="H33" s="5"/>
      <c r="I33" s="5"/>
      <c r="J33" s="5" t="s">
        <v>2</v>
      </c>
      <c r="K33" s="3"/>
      <c r="L33" s="3"/>
      <c r="M33" s="5" t="s">
        <v>2</v>
      </c>
      <c r="N33" s="5" t="s">
        <v>2</v>
      </c>
      <c r="O33" s="3"/>
      <c r="P33" s="3"/>
      <c r="Q33" s="28" t="s">
        <v>2</v>
      </c>
      <c r="R33" s="3"/>
      <c r="S33" s="44"/>
    </row>
    <row r="34" spans="1:19" ht="11.25" x14ac:dyDescent="0.2">
      <c r="A34" s="29">
        <v>28</v>
      </c>
      <c r="B34" s="3"/>
      <c r="C34" s="5"/>
      <c r="D34" s="5"/>
      <c r="E34" s="5"/>
      <c r="F34" s="5"/>
      <c r="G34" s="5"/>
      <c r="H34" s="5"/>
      <c r="I34" s="5"/>
      <c r="J34" s="3"/>
      <c r="K34" s="3"/>
      <c r="L34" s="3"/>
      <c r="M34" s="3"/>
      <c r="N34" s="3"/>
      <c r="O34" s="3"/>
      <c r="P34" s="3"/>
      <c r="Q34" s="3"/>
      <c r="R34" s="3"/>
      <c r="S34" s="44"/>
    </row>
    <row r="35" spans="1:19" ht="11.25" x14ac:dyDescent="0.2">
      <c r="A35" s="29">
        <v>29</v>
      </c>
      <c r="B35" s="3"/>
      <c r="C35" s="5"/>
      <c r="D35" s="5"/>
      <c r="E35" s="5"/>
      <c r="F35" s="5"/>
      <c r="G35" s="5"/>
      <c r="H35" s="5"/>
      <c r="I35" s="5"/>
      <c r="J35" s="3"/>
      <c r="K35" s="3"/>
      <c r="L35" s="3"/>
      <c r="M35" s="3"/>
      <c r="N35" s="3"/>
      <c r="O35" s="3"/>
      <c r="P35" s="3"/>
      <c r="Q35" s="3"/>
      <c r="R35" s="3"/>
      <c r="S35" s="44"/>
    </row>
    <row r="36" spans="1:19" ht="11.25" x14ac:dyDescent="0.2">
      <c r="A36" s="29">
        <v>30</v>
      </c>
      <c r="B36" s="3"/>
      <c r="C36" s="5"/>
      <c r="D36" s="5"/>
      <c r="E36" s="5"/>
      <c r="F36" s="5"/>
      <c r="G36" s="5"/>
      <c r="H36" s="5"/>
      <c r="I36" s="5"/>
      <c r="J36" s="3"/>
      <c r="K36" s="3"/>
      <c r="L36" s="3"/>
      <c r="M36" s="3"/>
      <c r="N36" s="3"/>
      <c r="O36" s="3"/>
      <c r="P36" s="3"/>
      <c r="Q36" s="3"/>
      <c r="R36" s="3"/>
      <c r="S36" s="44"/>
    </row>
    <row r="37" spans="1:19" ht="11.25" x14ac:dyDescent="0.2">
      <c r="A37" s="29">
        <v>31</v>
      </c>
      <c r="B37" s="3"/>
      <c r="C37" s="5"/>
      <c r="D37" s="5"/>
      <c r="E37" s="5"/>
      <c r="F37" s="5"/>
      <c r="G37" s="5"/>
      <c r="H37" s="5"/>
      <c r="I37" s="5"/>
      <c r="J37" s="3"/>
      <c r="K37" s="3"/>
      <c r="L37" s="3"/>
      <c r="M37" s="3"/>
      <c r="N37" s="3"/>
      <c r="O37" s="3"/>
      <c r="P37" s="3"/>
      <c r="Q37" s="3"/>
      <c r="R37" s="3"/>
      <c r="S37" s="44"/>
    </row>
    <row r="38" spans="1:19" ht="11.25" x14ac:dyDescent="0.2">
      <c r="A38" s="29">
        <v>32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4"/>
    </row>
    <row r="39" spans="1:19" ht="11.25" x14ac:dyDescent="0.2">
      <c r="A39" s="29">
        <v>33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44"/>
    </row>
    <row r="40" spans="1:19" ht="11.25" x14ac:dyDescent="0.2">
      <c r="A40" s="29">
        <v>34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44"/>
    </row>
    <row r="41" spans="1:19" ht="11.25" x14ac:dyDescent="0.2">
      <c r="A41" s="29">
        <v>35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44"/>
    </row>
    <row r="42" spans="1:19" ht="11.25" x14ac:dyDescent="0.2">
      <c r="A42" s="29">
        <v>36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44"/>
    </row>
    <row r="43" spans="1:19" ht="11.25" x14ac:dyDescent="0.2">
      <c r="A43" s="29">
        <v>37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44"/>
    </row>
    <row r="44" spans="1:19" ht="11.25" x14ac:dyDescent="0.2">
      <c r="A44" s="29">
        <v>39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1.25" x14ac:dyDescent="0.2">
      <c r="A45" s="29">
        <v>40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1.25" x14ac:dyDescent="0.2">
      <c r="A46" s="29">
        <v>41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1.25" x14ac:dyDescent="0.2">
      <c r="A47" s="29">
        <v>42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1.25" x14ac:dyDescent="0.2">
      <c r="A48" s="29">
        <v>43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1.25" x14ac:dyDescent="0.2">
      <c r="A49" s="29">
        <v>44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1.25" x14ac:dyDescent="0.2">
      <c r="A50" s="29">
        <v>45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44"/>
    </row>
    <row r="51" spans="1:19" ht="11.25" x14ac:dyDescent="0.2">
      <c r="A51" s="29">
        <v>46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44"/>
    </row>
    <row r="52" spans="1:19" ht="11.25" x14ac:dyDescent="0.2">
      <c r="A52" s="29">
        <v>47</v>
      </c>
      <c r="B52" s="5"/>
      <c r="C52" s="5"/>
      <c r="D52" s="5"/>
      <c r="E52" s="5"/>
      <c r="F52" s="5"/>
      <c r="G52" s="3"/>
      <c r="H52" s="5"/>
      <c r="I52" s="3"/>
      <c r="J52" s="5"/>
      <c r="K52" s="3"/>
      <c r="L52" s="5"/>
      <c r="M52" s="5"/>
      <c r="N52" s="43"/>
      <c r="O52" s="3"/>
      <c r="P52" s="3"/>
      <c r="Q52" s="3"/>
      <c r="R52" s="3"/>
      <c r="S52" s="44"/>
    </row>
    <row r="53" spans="1:19" ht="11.25" x14ac:dyDescent="0.2">
      <c r="A53" s="29">
        <v>48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1.25" x14ac:dyDescent="0.2">
      <c r="A54" s="29">
        <v>49</v>
      </c>
      <c r="B54" s="5"/>
      <c r="C54" s="5"/>
      <c r="D54" s="5"/>
      <c r="E54" s="5"/>
      <c r="F54" s="5"/>
      <c r="G54" s="3"/>
      <c r="H54" s="5"/>
      <c r="I54" s="3"/>
      <c r="J54" s="5"/>
      <c r="K54" s="3"/>
      <c r="L54" s="5"/>
      <c r="M54" s="5"/>
      <c r="N54" s="43"/>
      <c r="O54" s="3"/>
      <c r="P54" s="3"/>
      <c r="Q54" s="3"/>
      <c r="R54" s="3"/>
      <c r="S54" s="3"/>
    </row>
    <row r="55" spans="1:19" ht="11.25" x14ac:dyDescent="0.2">
      <c r="A55" s="29">
        <v>50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</sheetData>
  <pageMargins left="0" right="0" top="0" bottom="0" header="0.3" footer="0.3"/>
  <pageSetup scale="96" orientation="landscape" r:id="rId1"/>
  <colBreaks count="1" manualBreakCount="1">
    <brk id="9" max="29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C39" sqref="C39"/>
    </sheetView>
  </sheetViews>
  <sheetFormatPr defaultRowHeight="12.75" x14ac:dyDescent="0.2"/>
  <cols>
    <col min="1" max="1" width="9.33203125" style="264"/>
    <col min="2" max="2" width="55.1640625" style="264" customWidth="1"/>
    <col min="3" max="3" width="10.83203125" style="264" bestFit="1" customWidth="1"/>
    <col min="4" max="4" width="10.5" style="264" bestFit="1" customWidth="1"/>
    <col min="5" max="257" width="9.33203125" style="264"/>
    <col min="258" max="258" width="55.1640625" style="264" customWidth="1"/>
    <col min="259" max="259" width="10.83203125" style="264" bestFit="1" customWidth="1"/>
    <col min="260" max="260" width="10.5" style="264" bestFit="1" customWidth="1"/>
    <col min="261" max="513" width="9.33203125" style="264"/>
    <col min="514" max="514" width="55.1640625" style="264" customWidth="1"/>
    <col min="515" max="515" width="10.83203125" style="264" bestFit="1" customWidth="1"/>
    <col min="516" max="516" width="10.5" style="264" bestFit="1" customWidth="1"/>
    <col min="517" max="769" width="9.33203125" style="264"/>
    <col min="770" max="770" width="55.1640625" style="264" customWidth="1"/>
    <col min="771" max="771" width="10.83203125" style="264" bestFit="1" customWidth="1"/>
    <col min="772" max="772" width="10.5" style="264" bestFit="1" customWidth="1"/>
    <col min="773" max="1025" width="9.33203125" style="264"/>
    <col min="1026" max="1026" width="55.1640625" style="264" customWidth="1"/>
    <col min="1027" max="1027" width="10.83203125" style="264" bestFit="1" customWidth="1"/>
    <col min="1028" max="1028" width="10.5" style="264" bestFit="1" customWidth="1"/>
    <col min="1029" max="1281" width="9.33203125" style="264"/>
    <col min="1282" max="1282" width="55.1640625" style="264" customWidth="1"/>
    <col min="1283" max="1283" width="10.83203125" style="264" bestFit="1" customWidth="1"/>
    <col min="1284" max="1284" width="10.5" style="264" bestFit="1" customWidth="1"/>
    <col min="1285" max="1537" width="9.33203125" style="264"/>
    <col min="1538" max="1538" width="55.1640625" style="264" customWidth="1"/>
    <col min="1539" max="1539" width="10.83203125" style="264" bestFit="1" customWidth="1"/>
    <col min="1540" max="1540" width="10.5" style="264" bestFit="1" customWidth="1"/>
    <col min="1541" max="1793" width="9.33203125" style="264"/>
    <col min="1794" max="1794" width="55.1640625" style="264" customWidth="1"/>
    <col min="1795" max="1795" width="10.83203125" style="264" bestFit="1" customWidth="1"/>
    <col min="1796" max="1796" width="10.5" style="264" bestFit="1" customWidth="1"/>
    <col min="1797" max="2049" width="9.33203125" style="264"/>
    <col min="2050" max="2050" width="55.1640625" style="264" customWidth="1"/>
    <col min="2051" max="2051" width="10.83203125" style="264" bestFit="1" customWidth="1"/>
    <col min="2052" max="2052" width="10.5" style="264" bestFit="1" customWidth="1"/>
    <col min="2053" max="2305" width="9.33203125" style="264"/>
    <col min="2306" max="2306" width="55.1640625" style="264" customWidth="1"/>
    <col min="2307" max="2307" width="10.83203125" style="264" bestFit="1" customWidth="1"/>
    <col min="2308" max="2308" width="10.5" style="264" bestFit="1" customWidth="1"/>
    <col min="2309" max="2561" width="9.33203125" style="264"/>
    <col min="2562" max="2562" width="55.1640625" style="264" customWidth="1"/>
    <col min="2563" max="2563" width="10.83203125" style="264" bestFit="1" customWidth="1"/>
    <col min="2564" max="2564" width="10.5" style="264" bestFit="1" customWidth="1"/>
    <col min="2565" max="2817" width="9.33203125" style="264"/>
    <col min="2818" max="2818" width="55.1640625" style="264" customWidth="1"/>
    <col min="2819" max="2819" width="10.83203125" style="264" bestFit="1" customWidth="1"/>
    <col min="2820" max="2820" width="10.5" style="264" bestFit="1" customWidth="1"/>
    <col min="2821" max="3073" width="9.33203125" style="264"/>
    <col min="3074" max="3074" width="55.1640625" style="264" customWidth="1"/>
    <col min="3075" max="3075" width="10.83203125" style="264" bestFit="1" customWidth="1"/>
    <col min="3076" max="3076" width="10.5" style="264" bestFit="1" customWidth="1"/>
    <col min="3077" max="3329" width="9.33203125" style="264"/>
    <col min="3330" max="3330" width="55.1640625" style="264" customWidth="1"/>
    <col min="3331" max="3331" width="10.83203125" style="264" bestFit="1" customWidth="1"/>
    <col min="3332" max="3332" width="10.5" style="264" bestFit="1" customWidth="1"/>
    <col min="3333" max="3585" width="9.33203125" style="264"/>
    <col min="3586" max="3586" width="55.1640625" style="264" customWidth="1"/>
    <col min="3587" max="3587" width="10.83203125" style="264" bestFit="1" customWidth="1"/>
    <col min="3588" max="3588" width="10.5" style="264" bestFit="1" customWidth="1"/>
    <col min="3589" max="3841" width="9.33203125" style="264"/>
    <col min="3842" max="3842" width="55.1640625" style="264" customWidth="1"/>
    <col min="3843" max="3843" width="10.83203125" style="264" bestFit="1" customWidth="1"/>
    <col min="3844" max="3844" width="10.5" style="264" bestFit="1" customWidth="1"/>
    <col min="3845" max="4097" width="9.33203125" style="264"/>
    <col min="4098" max="4098" width="55.1640625" style="264" customWidth="1"/>
    <col min="4099" max="4099" width="10.83203125" style="264" bestFit="1" customWidth="1"/>
    <col min="4100" max="4100" width="10.5" style="264" bestFit="1" customWidth="1"/>
    <col min="4101" max="4353" width="9.33203125" style="264"/>
    <col min="4354" max="4354" width="55.1640625" style="264" customWidth="1"/>
    <col min="4355" max="4355" width="10.83203125" style="264" bestFit="1" customWidth="1"/>
    <col min="4356" max="4356" width="10.5" style="264" bestFit="1" customWidth="1"/>
    <col min="4357" max="4609" width="9.33203125" style="264"/>
    <col min="4610" max="4610" width="55.1640625" style="264" customWidth="1"/>
    <col min="4611" max="4611" width="10.83203125" style="264" bestFit="1" customWidth="1"/>
    <col min="4612" max="4612" width="10.5" style="264" bestFit="1" customWidth="1"/>
    <col min="4613" max="4865" width="9.33203125" style="264"/>
    <col min="4866" max="4866" width="55.1640625" style="264" customWidth="1"/>
    <col min="4867" max="4867" width="10.83203125" style="264" bestFit="1" customWidth="1"/>
    <col min="4868" max="4868" width="10.5" style="264" bestFit="1" customWidth="1"/>
    <col min="4869" max="5121" width="9.33203125" style="264"/>
    <col min="5122" max="5122" width="55.1640625" style="264" customWidth="1"/>
    <col min="5123" max="5123" width="10.83203125" style="264" bestFit="1" customWidth="1"/>
    <col min="5124" max="5124" width="10.5" style="264" bestFit="1" customWidth="1"/>
    <col min="5125" max="5377" width="9.33203125" style="264"/>
    <col min="5378" max="5378" width="55.1640625" style="264" customWidth="1"/>
    <col min="5379" max="5379" width="10.83203125" style="264" bestFit="1" customWidth="1"/>
    <col min="5380" max="5380" width="10.5" style="264" bestFit="1" customWidth="1"/>
    <col min="5381" max="5633" width="9.33203125" style="264"/>
    <col min="5634" max="5634" width="55.1640625" style="264" customWidth="1"/>
    <col min="5635" max="5635" width="10.83203125" style="264" bestFit="1" customWidth="1"/>
    <col min="5636" max="5636" width="10.5" style="264" bestFit="1" customWidth="1"/>
    <col min="5637" max="5889" width="9.33203125" style="264"/>
    <col min="5890" max="5890" width="55.1640625" style="264" customWidth="1"/>
    <col min="5891" max="5891" width="10.83203125" style="264" bestFit="1" customWidth="1"/>
    <col min="5892" max="5892" width="10.5" style="264" bestFit="1" customWidth="1"/>
    <col min="5893" max="6145" width="9.33203125" style="264"/>
    <col min="6146" max="6146" width="55.1640625" style="264" customWidth="1"/>
    <col min="6147" max="6147" width="10.83203125" style="264" bestFit="1" customWidth="1"/>
    <col min="6148" max="6148" width="10.5" style="264" bestFit="1" customWidth="1"/>
    <col min="6149" max="6401" width="9.33203125" style="264"/>
    <col min="6402" max="6402" width="55.1640625" style="264" customWidth="1"/>
    <col min="6403" max="6403" width="10.83203125" style="264" bestFit="1" customWidth="1"/>
    <col min="6404" max="6404" width="10.5" style="264" bestFit="1" customWidth="1"/>
    <col min="6405" max="6657" width="9.33203125" style="264"/>
    <col min="6658" max="6658" width="55.1640625" style="264" customWidth="1"/>
    <col min="6659" max="6659" width="10.83203125" style="264" bestFit="1" customWidth="1"/>
    <col min="6660" max="6660" width="10.5" style="264" bestFit="1" customWidth="1"/>
    <col min="6661" max="6913" width="9.33203125" style="264"/>
    <col min="6914" max="6914" width="55.1640625" style="264" customWidth="1"/>
    <col min="6915" max="6915" width="10.83203125" style="264" bestFit="1" customWidth="1"/>
    <col min="6916" max="6916" width="10.5" style="264" bestFit="1" customWidth="1"/>
    <col min="6917" max="7169" width="9.33203125" style="264"/>
    <col min="7170" max="7170" width="55.1640625" style="264" customWidth="1"/>
    <col min="7171" max="7171" width="10.83203125" style="264" bestFit="1" customWidth="1"/>
    <col min="7172" max="7172" width="10.5" style="264" bestFit="1" customWidth="1"/>
    <col min="7173" max="7425" width="9.33203125" style="264"/>
    <col min="7426" max="7426" width="55.1640625" style="264" customWidth="1"/>
    <col min="7427" max="7427" width="10.83203125" style="264" bestFit="1" customWidth="1"/>
    <col min="7428" max="7428" width="10.5" style="264" bestFit="1" customWidth="1"/>
    <col min="7429" max="7681" width="9.33203125" style="264"/>
    <col min="7682" max="7682" width="55.1640625" style="264" customWidth="1"/>
    <col min="7683" max="7683" width="10.83203125" style="264" bestFit="1" customWidth="1"/>
    <col min="7684" max="7684" width="10.5" style="264" bestFit="1" customWidth="1"/>
    <col min="7685" max="7937" width="9.33203125" style="264"/>
    <col min="7938" max="7938" width="55.1640625" style="264" customWidth="1"/>
    <col min="7939" max="7939" width="10.83203125" style="264" bestFit="1" customWidth="1"/>
    <col min="7940" max="7940" width="10.5" style="264" bestFit="1" customWidth="1"/>
    <col min="7941" max="8193" width="9.33203125" style="264"/>
    <col min="8194" max="8194" width="55.1640625" style="264" customWidth="1"/>
    <col min="8195" max="8195" width="10.83203125" style="264" bestFit="1" customWidth="1"/>
    <col min="8196" max="8196" width="10.5" style="264" bestFit="1" customWidth="1"/>
    <col min="8197" max="8449" width="9.33203125" style="264"/>
    <col min="8450" max="8450" width="55.1640625" style="264" customWidth="1"/>
    <col min="8451" max="8451" width="10.83203125" style="264" bestFit="1" customWidth="1"/>
    <col min="8452" max="8452" width="10.5" style="264" bestFit="1" customWidth="1"/>
    <col min="8453" max="8705" width="9.33203125" style="264"/>
    <col min="8706" max="8706" width="55.1640625" style="264" customWidth="1"/>
    <col min="8707" max="8707" width="10.83203125" style="264" bestFit="1" customWidth="1"/>
    <col min="8708" max="8708" width="10.5" style="264" bestFit="1" customWidth="1"/>
    <col min="8709" max="8961" width="9.33203125" style="264"/>
    <col min="8962" max="8962" width="55.1640625" style="264" customWidth="1"/>
    <col min="8963" max="8963" width="10.83203125" style="264" bestFit="1" customWidth="1"/>
    <col min="8964" max="8964" width="10.5" style="264" bestFit="1" customWidth="1"/>
    <col min="8965" max="9217" width="9.33203125" style="264"/>
    <col min="9218" max="9218" width="55.1640625" style="264" customWidth="1"/>
    <col min="9219" max="9219" width="10.83203125" style="264" bestFit="1" customWidth="1"/>
    <col min="9220" max="9220" width="10.5" style="264" bestFit="1" customWidth="1"/>
    <col min="9221" max="9473" width="9.33203125" style="264"/>
    <col min="9474" max="9474" width="55.1640625" style="264" customWidth="1"/>
    <col min="9475" max="9475" width="10.83203125" style="264" bestFit="1" customWidth="1"/>
    <col min="9476" max="9476" width="10.5" style="264" bestFit="1" customWidth="1"/>
    <col min="9477" max="9729" width="9.33203125" style="264"/>
    <col min="9730" max="9730" width="55.1640625" style="264" customWidth="1"/>
    <col min="9731" max="9731" width="10.83203125" style="264" bestFit="1" customWidth="1"/>
    <col min="9732" max="9732" width="10.5" style="264" bestFit="1" customWidth="1"/>
    <col min="9733" max="9985" width="9.33203125" style="264"/>
    <col min="9986" max="9986" width="55.1640625" style="264" customWidth="1"/>
    <col min="9987" max="9987" width="10.83203125" style="264" bestFit="1" customWidth="1"/>
    <col min="9988" max="9988" width="10.5" style="264" bestFit="1" customWidth="1"/>
    <col min="9989" max="10241" width="9.33203125" style="264"/>
    <col min="10242" max="10242" width="55.1640625" style="264" customWidth="1"/>
    <col min="10243" max="10243" width="10.83203125" style="264" bestFit="1" customWidth="1"/>
    <col min="10244" max="10244" width="10.5" style="264" bestFit="1" customWidth="1"/>
    <col min="10245" max="10497" width="9.33203125" style="264"/>
    <col min="10498" max="10498" width="55.1640625" style="264" customWidth="1"/>
    <col min="10499" max="10499" width="10.83203125" style="264" bestFit="1" customWidth="1"/>
    <col min="10500" max="10500" width="10.5" style="264" bestFit="1" customWidth="1"/>
    <col min="10501" max="10753" width="9.33203125" style="264"/>
    <col min="10754" max="10754" width="55.1640625" style="264" customWidth="1"/>
    <col min="10755" max="10755" width="10.83203125" style="264" bestFit="1" customWidth="1"/>
    <col min="10756" max="10756" width="10.5" style="264" bestFit="1" customWidth="1"/>
    <col min="10757" max="11009" width="9.33203125" style="264"/>
    <col min="11010" max="11010" width="55.1640625" style="264" customWidth="1"/>
    <col min="11011" max="11011" width="10.83203125" style="264" bestFit="1" customWidth="1"/>
    <col min="11012" max="11012" width="10.5" style="264" bestFit="1" customWidth="1"/>
    <col min="11013" max="11265" width="9.33203125" style="264"/>
    <col min="11266" max="11266" width="55.1640625" style="264" customWidth="1"/>
    <col min="11267" max="11267" width="10.83203125" style="264" bestFit="1" customWidth="1"/>
    <col min="11268" max="11268" width="10.5" style="264" bestFit="1" customWidth="1"/>
    <col min="11269" max="11521" width="9.33203125" style="264"/>
    <col min="11522" max="11522" width="55.1640625" style="264" customWidth="1"/>
    <col min="11523" max="11523" width="10.83203125" style="264" bestFit="1" customWidth="1"/>
    <col min="11524" max="11524" width="10.5" style="264" bestFit="1" customWidth="1"/>
    <col min="11525" max="11777" width="9.33203125" style="264"/>
    <col min="11778" max="11778" width="55.1640625" style="264" customWidth="1"/>
    <col min="11779" max="11779" width="10.83203125" style="264" bestFit="1" customWidth="1"/>
    <col min="11780" max="11780" width="10.5" style="264" bestFit="1" customWidth="1"/>
    <col min="11781" max="12033" width="9.33203125" style="264"/>
    <col min="12034" max="12034" width="55.1640625" style="264" customWidth="1"/>
    <col min="12035" max="12035" width="10.83203125" style="264" bestFit="1" customWidth="1"/>
    <col min="12036" max="12036" width="10.5" style="264" bestFit="1" customWidth="1"/>
    <col min="12037" max="12289" width="9.33203125" style="264"/>
    <col min="12290" max="12290" width="55.1640625" style="264" customWidth="1"/>
    <col min="12291" max="12291" width="10.83203125" style="264" bestFit="1" customWidth="1"/>
    <col min="12292" max="12292" width="10.5" style="264" bestFit="1" customWidth="1"/>
    <col min="12293" max="12545" width="9.33203125" style="264"/>
    <col min="12546" max="12546" width="55.1640625" style="264" customWidth="1"/>
    <col min="12547" max="12547" width="10.83203125" style="264" bestFit="1" customWidth="1"/>
    <col min="12548" max="12548" width="10.5" style="264" bestFit="1" customWidth="1"/>
    <col min="12549" max="12801" width="9.33203125" style="264"/>
    <col min="12802" max="12802" width="55.1640625" style="264" customWidth="1"/>
    <col min="12803" max="12803" width="10.83203125" style="264" bestFit="1" customWidth="1"/>
    <col min="12804" max="12804" width="10.5" style="264" bestFit="1" customWidth="1"/>
    <col min="12805" max="13057" width="9.33203125" style="264"/>
    <col min="13058" max="13058" width="55.1640625" style="264" customWidth="1"/>
    <col min="13059" max="13059" width="10.83203125" style="264" bestFit="1" customWidth="1"/>
    <col min="13060" max="13060" width="10.5" style="264" bestFit="1" customWidth="1"/>
    <col min="13061" max="13313" width="9.33203125" style="264"/>
    <col min="13314" max="13314" width="55.1640625" style="264" customWidth="1"/>
    <col min="13315" max="13315" width="10.83203125" style="264" bestFit="1" customWidth="1"/>
    <col min="13316" max="13316" width="10.5" style="264" bestFit="1" customWidth="1"/>
    <col min="13317" max="13569" width="9.33203125" style="264"/>
    <col min="13570" max="13570" width="55.1640625" style="264" customWidth="1"/>
    <col min="13571" max="13571" width="10.83203125" style="264" bestFit="1" customWidth="1"/>
    <col min="13572" max="13572" width="10.5" style="264" bestFit="1" customWidth="1"/>
    <col min="13573" max="13825" width="9.33203125" style="264"/>
    <col min="13826" max="13826" width="55.1640625" style="264" customWidth="1"/>
    <col min="13827" max="13827" width="10.83203125" style="264" bestFit="1" customWidth="1"/>
    <col min="13828" max="13828" width="10.5" style="264" bestFit="1" customWidth="1"/>
    <col min="13829" max="14081" width="9.33203125" style="264"/>
    <col min="14082" max="14082" width="55.1640625" style="264" customWidth="1"/>
    <col min="14083" max="14083" width="10.83203125" style="264" bestFit="1" customWidth="1"/>
    <col min="14084" max="14084" width="10.5" style="264" bestFit="1" customWidth="1"/>
    <col min="14085" max="14337" width="9.33203125" style="264"/>
    <col min="14338" max="14338" width="55.1640625" style="264" customWidth="1"/>
    <col min="14339" max="14339" width="10.83203125" style="264" bestFit="1" customWidth="1"/>
    <col min="14340" max="14340" width="10.5" style="264" bestFit="1" customWidth="1"/>
    <col min="14341" max="14593" width="9.33203125" style="264"/>
    <col min="14594" max="14594" width="55.1640625" style="264" customWidth="1"/>
    <col min="14595" max="14595" width="10.83203125" style="264" bestFit="1" customWidth="1"/>
    <col min="14596" max="14596" width="10.5" style="264" bestFit="1" customWidth="1"/>
    <col min="14597" max="14849" width="9.33203125" style="264"/>
    <col min="14850" max="14850" width="55.1640625" style="264" customWidth="1"/>
    <col min="14851" max="14851" width="10.83203125" style="264" bestFit="1" customWidth="1"/>
    <col min="14852" max="14852" width="10.5" style="264" bestFit="1" customWidth="1"/>
    <col min="14853" max="15105" width="9.33203125" style="264"/>
    <col min="15106" max="15106" width="55.1640625" style="264" customWidth="1"/>
    <col min="15107" max="15107" width="10.83203125" style="264" bestFit="1" customWidth="1"/>
    <col min="15108" max="15108" width="10.5" style="264" bestFit="1" customWidth="1"/>
    <col min="15109" max="15361" width="9.33203125" style="264"/>
    <col min="15362" max="15362" width="55.1640625" style="264" customWidth="1"/>
    <col min="15363" max="15363" width="10.83203125" style="264" bestFit="1" customWidth="1"/>
    <col min="15364" max="15364" width="10.5" style="264" bestFit="1" customWidth="1"/>
    <col min="15365" max="15617" width="9.33203125" style="264"/>
    <col min="15618" max="15618" width="55.1640625" style="264" customWidth="1"/>
    <col min="15619" max="15619" width="10.83203125" style="264" bestFit="1" customWidth="1"/>
    <col min="15620" max="15620" width="10.5" style="264" bestFit="1" customWidth="1"/>
    <col min="15621" max="15873" width="9.33203125" style="264"/>
    <col min="15874" max="15874" width="55.1640625" style="264" customWidth="1"/>
    <col min="15875" max="15875" width="10.83203125" style="264" bestFit="1" customWidth="1"/>
    <col min="15876" max="15876" width="10.5" style="264" bestFit="1" customWidth="1"/>
    <col min="15877" max="16129" width="9.33203125" style="264"/>
    <col min="16130" max="16130" width="55.1640625" style="264" customWidth="1"/>
    <col min="16131" max="16131" width="10.83203125" style="264" bestFit="1" customWidth="1"/>
    <col min="16132" max="16132" width="10.5" style="264" bestFit="1" customWidth="1"/>
    <col min="16133" max="16384" width="9.33203125" style="264"/>
  </cols>
  <sheetData>
    <row r="1" spans="1:4" x14ac:dyDescent="0.2">
      <c r="A1" s="451" t="s">
        <v>580</v>
      </c>
      <c r="B1" s="451"/>
      <c r="C1" s="451"/>
      <c r="D1" s="451"/>
    </row>
    <row r="2" spans="1:4" x14ac:dyDescent="0.2">
      <c r="A2" s="451" t="s">
        <v>1041</v>
      </c>
      <c r="B2" s="451"/>
      <c r="C2" s="451"/>
      <c r="D2" s="451"/>
    </row>
    <row r="3" spans="1:4" x14ac:dyDescent="0.2">
      <c r="A3" s="451" t="s">
        <v>1085</v>
      </c>
      <c r="B3" s="451"/>
      <c r="C3" s="451"/>
      <c r="D3" s="451"/>
    </row>
    <row r="5" spans="1:4" x14ac:dyDescent="0.2">
      <c r="A5" s="344" t="s">
        <v>648</v>
      </c>
      <c r="B5" s="344"/>
      <c r="C5" s="344"/>
      <c r="D5" s="344"/>
    </row>
    <row r="6" spans="1:4" x14ac:dyDescent="0.2">
      <c r="A6" s="259" t="s">
        <v>524</v>
      </c>
      <c r="B6" s="259" t="s">
        <v>771</v>
      </c>
      <c r="C6" s="259"/>
      <c r="D6" s="259" t="s">
        <v>12</v>
      </c>
    </row>
    <row r="8" spans="1:4" x14ac:dyDescent="0.2">
      <c r="A8" s="344">
        <v>1</v>
      </c>
      <c r="B8" s="264" t="s">
        <v>1042</v>
      </c>
      <c r="C8" s="344"/>
      <c r="D8" s="304">
        <f>'Capital Structure'!M16</f>
        <v>2.58E-2</v>
      </c>
    </row>
    <row r="9" spans="1:4" x14ac:dyDescent="0.2">
      <c r="A9" s="344"/>
      <c r="C9" s="344"/>
      <c r="D9" s="304"/>
    </row>
    <row r="10" spans="1:4" x14ac:dyDescent="0.2">
      <c r="A10" s="344">
        <f>A8+1</f>
        <v>2</v>
      </c>
      <c r="B10" s="264" t="s">
        <v>1043</v>
      </c>
      <c r="C10" s="344"/>
      <c r="D10" s="304">
        <f>'Capital Structure'!M20</f>
        <v>5.6599999999999998E-2</v>
      </c>
    </row>
    <row r="11" spans="1:4" x14ac:dyDescent="0.2">
      <c r="A11" s="344"/>
      <c r="C11" s="344"/>
    </row>
    <row r="12" spans="1:4" x14ac:dyDescent="0.2">
      <c r="A12" s="344">
        <v>4</v>
      </c>
      <c r="B12" s="264" t="s">
        <v>1044</v>
      </c>
      <c r="C12" s="344"/>
      <c r="D12" s="264">
        <f>'Gross Revenue Conversion Factor'!F27</f>
        <v>1.6366609999999999</v>
      </c>
    </row>
    <row r="13" spans="1:4" x14ac:dyDescent="0.2">
      <c r="A13" s="344"/>
      <c r="C13" s="344"/>
    </row>
    <row r="14" spans="1:4" x14ac:dyDescent="0.2">
      <c r="A14" s="344">
        <v>5</v>
      </c>
      <c r="B14" s="264" t="s">
        <v>1045</v>
      </c>
      <c r="C14" s="344"/>
      <c r="D14" s="315">
        <f>(D10*D12)-D10</f>
        <v>3.6035012599999999E-2</v>
      </c>
    </row>
    <row r="15" spans="1:4" x14ac:dyDescent="0.2">
      <c r="A15" s="344"/>
      <c r="C15" s="344"/>
    </row>
    <row r="16" spans="1:4" x14ac:dyDescent="0.2">
      <c r="A16" s="260">
        <v>6</v>
      </c>
      <c r="B16" s="261" t="s">
        <v>1046</v>
      </c>
      <c r="C16" s="260"/>
      <c r="D16" s="262">
        <f>D8+D10+D14</f>
        <v>0.1184350126</v>
      </c>
    </row>
    <row r="17" spans="1:4" ht="13.5" thickBot="1" x14ac:dyDescent="0.25"/>
    <row r="18" spans="1:4" x14ac:dyDescent="0.2">
      <c r="A18" s="305">
        <v>7</v>
      </c>
      <c r="B18" s="306" t="s">
        <v>1047</v>
      </c>
      <c r="C18" s="306"/>
      <c r="D18" s="307"/>
    </row>
    <row r="19" spans="1:4" x14ac:dyDescent="0.2">
      <c r="A19" s="308"/>
      <c r="B19" s="309"/>
      <c r="C19" s="309"/>
      <c r="D19" s="310"/>
    </row>
    <row r="20" spans="1:4" x14ac:dyDescent="0.2">
      <c r="A20" s="308">
        <v>8</v>
      </c>
      <c r="B20" s="309" t="s">
        <v>1048</v>
      </c>
      <c r="C20" s="309"/>
      <c r="D20" s="311">
        <f>D16</f>
        <v>0.1184350126</v>
      </c>
    </row>
    <row r="21" spans="1:4" x14ac:dyDescent="0.2">
      <c r="A21" s="308"/>
      <c r="B21" s="309"/>
      <c r="C21" s="309"/>
      <c r="D21" s="310"/>
    </row>
    <row r="22" spans="1:4" x14ac:dyDescent="0.2">
      <c r="A22" s="308">
        <v>9</v>
      </c>
      <c r="B22" s="309" t="s">
        <v>1049</v>
      </c>
      <c r="C22" s="309"/>
      <c r="D22" s="311">
        <f>D8</f>
        <v>2.58E-2</v>
      </c>
    </row>
    <row r="23" spans="1:4" x14ac:dyDescent="0.2">
      <c r="A23" s="308"/>
      <c r="B23" s="309"/>
      <c r="C23" s="309"/>
      <c r="D23" s="311"/>
    </row>
    <row r="24" spans="1:4" x14ac:dyDescent="0.2">
      <c r="A24" s="308">
        <v>11</v>
      </c>
      <c r="B24" s="309" t="s">
        <v>1050</v>
      </c>
      <c r="C24" s="309"/>
      <c r="D24" s="311">
        <f>D20-D22</f>
        <v>9.2635012599999997E-2</v>
      </c>
    </row>
    <row r="25" spans="1:4" x14ac:dyDescent="0.2">
      <c r="A25" s="308"/>
      <c r="B25" s="309"/>
      <c r="C25" s="309"/>
      <c r="D25" s="310"/>
    </row>
    <row r="26" spans="1:4" x14ac:dyDescent="0.2">
      <c r="A26" s="308">
        <v>12</v>
      </c>
      <c r="B26" s="309" t="s">
        <v>1051</v>
      </c>
      <c r="C26" s="309"/>
      <c r="D26" s="441">
        <v>0.06</v>
      </c>
    </row>
    <row r="27" spans="1:4" x14ac:dyDescent="0.2">
      <c r="A27" s="308"/>
      <c r="B27" s="309"/>
      <c r="C27" s="309"/>
      <c r="D27" s="441"/>
    </row>
    <row r="28" spans="1:4" x14ac:dyDescent="0.2">
      <c r="A28" s="308">
        <v>13</v>
      </c>
      <c r="B28" s="309" t="s">
        <v>1052</v>
      </c>
      <c r="C28" s="309"/>
      <c r="D28" s="263">
        <f>D24*D26</f>
        <v>5.5581007559999994E-3</v>
      </c>
    </row>
    <row r="29" spans="1:4" x14ac:dyDescent="0.2">
      <c r="A29" s="308"/>
      <c r="B29" s="309"/>
      <c r="C29" s="309"/>
      <c r="D29" s="441"/>
    </row>
    <row r="30" spans="1:4" x14ac:dyDescent="0.2">
      <c r="A30" s="308">
        <v>14</v>
      </c>
      <c r="B30" s="309" t="s">
        <v>1053</v>
      </c>
      <c r="C30" s="309"/>
      <c r="D30" s="263">
        <f>D24-D28</f>
        <v>8.7076911844000002E-2</v>
      </c>
    </row>
    <row r="31" spans="1:4" x14ac:dyDescent="0.2">
      <c r="A31" s="308"/>
      <c r="B31" s="309"/>
      <c r="C31" s="309"/>
      <c r="D31" s="263"/>
    </row>
    <row r="32" spans="1:4" x14ac:dyDescent="0.2">
      <c r="A32" s="308">
        <v>15</v>
      </c>
      <c r="B32" s="309" t="s">
        <v>1054</v>
      </c>
      <c r="C32" s="309"/>
      <c r="D32" s="441">
        <v>0.35</v>
      </c>
    </row>
    <row r="33" spans="1:4" x14ac:dyDescent="0.2">
      <c r="A33" s="308"/>
      <c r="B33" s="309"/>
      <c r="C33" s="309"/>
      <c r="D33" s="310"/>
    </row>
    <row r="34" spans="1:4" x14ac:dyDescent="0.2">
      <c r="A34" s="308">
        <v>16</v>
      </c>
      <c r="B34" s="309" t="s">
        <v>1055</v>
      </c>
      <c r="C34" s="309"/>
      <c r="D34" s="263">
        <f>D30*D32</f>
        <v>3.0476919145399999E-2</v>
      </c>
    </row>
    <row r="35" spans="1:4" x14ac:dyDescent="0.2">
      <c r="A35" s="308"/>
      <c r="B35" s="309"/>
      <c r="C35" s="309"/>
      <c r="D35" s="310"/>
    </row>
    <row r="36" spans="1:4" x14ac:dyDescent="0.2">
      <c r="A36" s="308">
        <v>17</v>
      </c>
      <c r="B36" s="309" t="s">
        <v>1056</v>
      </c>
      <c r="C36" s="309"/>
      <c r="D36" s="311">
        <f>D24-D34-D28</f>
        <v>5.6599992698599992E-2</v>
      </c>
    </row>
    <row r="37" spans="1:4" ht="13.5" thickBot="1" x14ac:dyDescent="0.25">
      <c r="A37" s="312"/>
      <c r="B37" s="313"/>
      <c r="C37" s="313"/>
      <c r="D37" s="314"/>
    </row>
  </sheetData>
  <mergeCells count="3">
    <mergeCell ref="A1:D1"/>
    <mergeCell ref="A2:D2"/>
    <mergeCell ref="A3:D3"/>
  </mergeCells>
  <pageMargins left="0.75" right="0.75" top="1" bottom="1" header="0.5" footer="0.5"/>
  <pageSetup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C39" sqref="C39"/>
    </sheetView>
  </sheetViews>
  <sheetFormatPr defaultRowHeight="12.75" x14ac:dyDescent="0.2"/>
  <cols>
    <col min="1" max="1" width="5.83203125" style="264" customWidth="1"/>
    <col min="2" max="2" width="2.83203125" style="264" customWidth="1"/>
    <col min="3" max="3" width="21.5" style="264" customWidth="1"/>
    <col min="4" max="4" width="2.83203125" style="264" customWidth="1"/>
    <col min="5" max="5" width="10.1640625" style="264" customWidth="1"/>
    <col min="6" max="6" width="2.83203125" style="264" customWidth="1"/>
    <col min="7" max="7" width="13.6640625" style="264" bestFit="1" customWidth="1"/>
    <col min="8" max="8" width="2.83203125" style="264" customWidth="1"/>
    <col min="9" max="9" width="11.83203125" style="264" customWidth="1"/>
    <col min="10" max="10" width="2.83203125" style="264" customWidth="1"/>
    <col min="11" max="11" width="13.33203125" style="264" bestFit="1" customWidth="1"/>
    <col min="12" max="12" width="2.83203125" style="264" customWidth="1"/>
    <col min="13" max="13" width="13.83203125" style="264" customWidth="1"/>
    <col min="14" max="256" width="9.33203125" style="264"/>
    <col min="257" max="257" width="5.83203125" style="264" customWidth="1"/>
    <col min="258" max="258" width="2.83203125" style="264" customWidth="1"/>
    <col min="259" max="259" width="21.5" style="264" customWidth="1"/>
    <col min="260" max="260" width="2.83203125" style="264" customWidth="1"/>
    <col min="261" max="261" width="10.1640625" style="264" customWidth="1"/>
    <col min="262" max="262" width="2.83203125" style="264" customWidth="1"/>
    <col min="263" max="263" width="13.6640625" style="264" bestFit="1" customWidth="1"/>
    <col min="264" max="264" width="2.83203125" style="264" customWidth="1"/>
    <col min="265" max="265" width="11.83203125" style="264" customWidth="1"/>
    <col min="266" max="266" width="2.83203125" style="264" customWidth="1"/>
    <col min="267" max="267" width="13.33203125" style="264" bestFit="1" customWidth="1"/>
    <col min="268" max="268" width="2.83203125" style="264" customWidth="1"/>
    <col min="269" max="269" width="13.83203125" style="264" customWidth="1"/>
    <col min="270" max="512" width="9.33203125" style="264"/>
    <col min="513" max="513" width="5.83203125" style="264" customWidth="1"/>
    <col min="514" max="514" width="2.83203125" style="264" customWidth="1"/>
    <col min="515" max="515" width="21.5" style="264" customWidth="1"/>
    <col min="516" max="516" width="2.83203125" style="264" customWidth="1"/>
    <col min="517" max="517" width="10.1640625" style="264" customWidth="1"/>
    <col min="518" max="518" width="2.83203125" style="264" customWidth="1"/>
    <col min="519" max="519" width="13.6640625" style="264" bestFit="1" customWidth="1"/>
    <col min="520" max="520" width="2.83203125" style="264" customWidth="1"/>
    <col min="521" max="521" width="11.83203125" style="264" customWidth="1"/>
    <col min="522" max="522" width="2.83203125" style="264" customWidth="1"/>
    <col min="523" max="523" width="13.33203125" style="264" bestFit="1" customWidth="1"/>
    <col min="524" max="524" width="2.83203125" style="264" customWidth="1"/>
    <col min="525" max="525" width="13.83203125" style="264" customWidth="1"/>
    <col min="526" max="768" width="9.33203125" style="264"/>
    <col min="769" max="769" width="5.83203125" style="264" customWidth="1"/>
    <col min="770" max="770" width="2.83203125" style="264" customWidth="1"/>
    <col min="771" max="771" width="21.5" style="264" customWidth="1"/>
    <col min="772" max="772" width="2.83203125" style="264" customWidth="1"/>
    <col min="773" max="773" width="10.1640625" style="264" customWidth="1"/>
    <col min="774" max="774" width="2.83203125" style="264" customWidth="1"/>
    <col min="775" max="775" width="13.6640625" style="264" bestFit="1" customWidth="1"/>
    <col min="776" max="776" width="2.83203125" style="264" customWidth="1"/>
    <col min="777" max="777" width="11.83203125" style="264" customWidth="1"/>
    <col min="778" max="778" width="2.83203125" style="264" customWidth="1"/>
    <col min="779" max="779" width="13.33203125" style="264" bestFit="1" customWidth="1"/>
    <col min="780" max="780" width="2.83203125" style="264" customWidth="1"/>
    <col min="781" max="781" width="13.83203125" style="264" customWidth="1"/>
    <col min="782" max="1024" width="9.33203125" style="264"/>
    <col min="1025" max="1025" width="5.83203125" style="264" customWidth="1"/>
    <col min="1026" max="1026" width="2.83203125" style="264" customWidth="1"/>
    <col min="1027" max="1027" width="21.5" style="264" customWidth="1"/>
    <col min="1028" max="1028" width="2.83203125" style="264" customWidth="1"/>
    <col min="1029" max="1029" width="10.1640625" style="264" customWidth="1"/>
    <col min="1030" max="1030" width="2.83203125" style="264" customWidth="1"/>
    <col min="1031" max="1031" width="13.6640625" style="264" bestFit="1" customWidth="1"/>
    <col min="1032" max="1032" width="2.83203125" style="264" customWidth="1"/>
    <col min="1033" max="1033" width="11.83203125" style="264" customWidth="1"/>
    <col min="1034" max="1034" width="2.83203125" style="264" customWidth="1"/>
    <col min="1035" max="1035" width="13.33203125" style="264" bestFit="1" customWidth="1"/>
    <col min="1036" max="1036" width="2.83203125" style="264" customWidth="1"/>
    <col min="1037" max="1037" width="13.83203125" style="264" customWidth="1"/>
    <col min="1038" max="1280" width="9.33203125" style="264"/>
    <col min="1281" max="1281" width="5.83203125" style="264" customWidth="1"/>
    <col min="1282" max="1282" width="2.83203125" style="264" customWidth="1"/>
    <col min="1283" max="1283" width="21.5" style="264" customWidth="1"/>
    <col min="1284" max="1284" width="2.83203125" style="264" customWidth="1"/>
    <col min="1285" max="1285" width="10.1640625" style="264" customWidth="1"/>
    <col min="1286" max="1286" width="2.83203125" style="264" customWidth="1"/>
    <col min="1287" max="1287" width="13.6640625" style="264" bestFit="1" customWidth="1"/>
    <col min="1288" max="1288" width="2.83203125" style="264" customWidth="1"/>
    <col min="1289" max="1289" width="11.83203125" style="264" customWidth="1"/>
    <col min="1290" max="1290" width="2.83203125" style="264" customWidth="1"/>
    <col min="1291" max="1291" width="13.33203125" style="264" bestFit="1" customWidth="1"/>
    <col min="1292" max="1292" width="2.83203125" style="264" customWidth="1"/>
    <col min="1293" max="1293" width="13.83203125" style="264" customWidth="1"/>
    <col min="1294" max="1536" width="9.33203125" style="264"/>
    <col min="1537" max="1537" width="5.83203125" style="264" customWidth="1"/>
    <col min="1538" max="1538" width="2.83203125" style="264" customWidth="1"/>
    <col min="1539" max="1539" width="21.5" style="264" customWidth="1"/>
    <col min="1540" max="1540" width="2.83203125" style="264" customWidth="1"/>
    <col min="1541" max="1541" width="10.1640625" style="264" customWidth="1"/>
    <col min="1542" max="1542" width="2.83203125" style="264" customWidth="1"/>
    <col min="1543" max="1543" width="13.6640625" style="264" bestFit="1" customWidth="1"/>
    <col min="1544" max="1544" width="2.83203125" style="264" customWidth="1"/>
    <col min="1545" max="1545" width="11.83203125" style="264" customWidth="1"/>
    <col min="1546" max="1546" width="2.83203125" style="264" customWidth="1"/>
    <col min="1547" max="1547" width="13.33203125" style="264" bestFit="1" customWidth="1"/>
    <col min="1548" max="1548" width="2.83203125" style="264" customWidth="1"/>
    <col min="1549" max="1549" width="13.83203125" style="264" customWidth="1"/>
    <col min="1550" max="1792" width="9.33203125" style="264"/>
    <col min="1793" max="1793" width="5.83203125" style="264" customWidth="1"/>
    <col min="1794" max="1794" width="2.83203125" style="264" customWidth="1"/>
    <col min="1795" max="1795" width="21.5" style="264" customWidth="1"/>
    <col min="1796" max="1796" width="2.83203125" style="264" customWidth="1"/>
    <col min="1797" max="1797" width="10.1640625" style="264" customWidth="1"/>
    <col min="1798" max="1798" width="2.83203125" style="264" customWidth="1"/>
    <col min="1799" max="1799" width="13.6640625" style="264" bestFit="1" customWidth="1"/>
    <col min="1800" max="1800" width="2.83203125" style="264" customWidth="1"/>
    <col min="1801" max="1801" width="11.83203125" style="264" customWidth="1"/>
    <col min="1802" max="1802" width="2.83203125" style="264" customWidth="1"/>
    <col min="1803" max="1803" width="13.33203125" style="264" bestFit="1" customWidth="1"/>
    <col min="1804" max="1804" width="2.83203125" style="264" customWidth="1"/>
    <col min="1805" max="1805" width="13.83203125" style="264" customWidth="1"/>
    <col min="1806" max="2048" width="9.33203125" style="264"/>
    <col min="2049" max="2049" width="5.83203125" style="264" customWidth="1"/>
    <col min="2050" max="2050" width="2.83203125" style="264" customWidth="1"/>
    <col min="2051" max="2051" width="21.5" style="264" customWidth="1"/>
    <col min="2052" max="2052" width="2.83203125" style="264" customWidth="1"/>
    <col min="2053" max="2053" width="10.1640625" style="264" customWidth="1"/>
    <col min="2054" max="2054" width="2.83203125" style="264" customWidth="1"/>
    <col min="2055" max="2055" width="13.6640625" style="264" bestFit="1" customWidth="1"/>
    <col min="2056" max="2056" width="2.83203125" style="264" customWidth="1"/>
    <col min="2057" max="2057" width="11.83203125" style="264" customWidth="1"/>
    <col min="2058" max="2058" width="2.83203125" style="264" customWidth="1"/>
    <col min="2059" max="2059" width="13.33203125" style="264" bestFit="1" customWidth="1"/>
    <col min="2060" max="2060" width="2.83203125" style="264" customWidth="1"/>
    <col min="2061" max="2061" width="13.83203125" style="264" customWidth="1"/>
    <col min="2062" max="2304" width="9.33203125" style="264"/>
    <col min="2305" max="2305" width="5.83203125" style="264" customWidth="1"/>
    <col min="2306" max="2306" width="2.83203125" style="264" customWidth="1"/>
    <col min="2307" max="2307" width="21.5" style="264" customWidth="1"/>
    <col min="2308" max="2308" width="2.83203125" style="264" customWidth="1"/>
    <col min="2309" max="2309" width="10.1640625" style="264" customWidth="1"/>
    <col min="2310" max="2310" width="2.83203125" style="264" customWidth="1"/>
    <col min="2311" max="2311" width="13.6640625" style="264" bestFit="1" customWidth="1"/>
    <col min="2312" max="2312" width="2.83203125" style="264" customWidth="1"/>
    <col min="2313" max="2313" width="11.83203125" style="264" customWidth="1"/>
    <col min="2314" max="2314" width="2.83203125" style="264" customWidth="1"/>
    <col min="2315" max="2315" width="13.33203125" style="264" bestFit="1" customWidth="1"/>
    <col min="2316" max="2316" width="2.83203125" style="264" customWidth="1"/>
    <col min="2317" max="2317" width="13.83203125" style="264" customWidth="1"/>
    <col min="2318" max="2560" width="9.33203125" style="264"/>
    <col min="2561" max="2561" width="5.83203125" style="264" customWidth="1"/>
    <col min="2562" max="2562" width="2.83203125" style="264" customWidth="1"/>
    <col min="2563" max="2563" width="21.5" style="264" customWidth="1"/>
    <col min="2564" max="2564" width="2.83203125" style="264" customWidth="1"/>
    <col min="2565" max="2565" width="10.1640625" style="264" customWidth="1"/>
    <col min="2566" max="2566" width="2.83203125" style="264" customWidth="1"/>
    <col min="2567" max="2567" width="13.6640625" style="264" bestFit="1" customWidth="1"/>
    <col min="2568" max="2568" width="2.83203125" style="264" customWidth="1"/>
    <col min="2569" max="2569" width="11.83203125" style="264" customWidth="1"/>
    <col min="2570" max="2570" width="2.83203125" style="264" customWidth="1"/>
    <col min="2571" max="2571" width="13.33203125" style="264" bestFit="1" customWidth="1"/>
    <col min="2572" max="2572" width="2.83203125" style="264" customWidth="1"/>
    <col min="2573" max="2573" width="13.83203125" style="264" customWidth="1"/>
    <col min="2574" max="2816" width="9.33203125" style="264"/>
    <col min="2817" max="2817" width="5.83203125" style="264" customWidth="1"/>
    <col min="2818" max="2818" width="2.83203125" style="264" customWidth="1"/>
    <col min="2819" max="2819" width="21.5" style="264" customWidth="1"/>
    <col min="2820" max="2820" width="2.83203125" style="264" customWidth="1"/>
    <col min="2821" max="2821" width="10.1640625" style="264" customWidth="1"/>
    <col min="2822" max="2822" width="2.83203125" style="264" customWidth="1"/>
    <col min="2823" max="2823" width="13.6640625" style="264" bestFit="1" customWidth="1"/>
    <col min="2824" max="2824" width="2.83203125" style="264" customWidth="1"/>
    <col min="2825" max="2825" width="11.83203125" style="264" customWidth="1"/>
    <col min="2826" max="2826" width="2.83203125" style="264" customWidth="1"/>
    <col min="2827" max="2827" width="13.33203125" style="264" bestFit="1" customWidth="1"/>
    <col min="2828" max="2828" width="2.83203125" style="264" customWidth="1"/>
    <col min="2829" max="2829" width="13.83203125" style="264" customWidth="1"/>
    <col min="2830" max="3072" width="9.33203125" style="264"/>
    <col min="3073" max="3073" width="5.83203125" style="264" customWidth="1"/>
    <col min="3074" max="3074" width="2.83203125" style="264" customWidth="1"/>
    <col min="3075" max="3075" width="21.5" style="264" customWidth="1"/>
    <col min="3076" max="3076" width="2.83203125" style="264" customWidth="1"/>
    <col min="3077" max="3077" width="10.1640625" style="264" customWidth="1"/>
    <col min="3078" max="3078" width="2.83203125" style="264" customWidth="1"/>
    <col min="3079" max="3079" width="13.6640625" style="264" bestFit="1" customWidth="1"/>
    <col min="3080" max="3080" width="2.83203125" style="264" customWidth="1"/>
    <col min="3081" max="3081" width="11.83203125" style="264" customWidth="1"/>
    <col min="3082" max="3082" width="2.83203125" style="264" customWidth="1"/>
    <col min="3083" max="3083" width="13.33203125" style="264" bestFit="1" customWidth="1"/>
    <col min="3084" max="3084" width="2.83203125" style="264" customWidth="1"/>
    <col min="3085" max="3085" width="13.83203125" style="264" customWidth="1"/>
    <col min="3086" max="3328" width="9.33203125" style="264"/>
    <col min="3329" max="3329" width="5.83203125" style="264" customWidth="1"/>
    <col min="3330" max="3330" width="2.83203125" style="264" customWidth="1"/>
    <col min="3331" max="3331" width="21.5" style="264" customWidth="1"/>
    <col min="3332" max="3332" width="2.83203125" style="264" customWidth="1"/>
    <col min="3333" max="3333" width="10.1640625" style="264" customWidth="1"/>
    <col min="3334" max="3334" width="2.83203125" style="264" customWidth="1"/>
    <col min="3335" max="3335" width="13.6640625" style="264" bestFit="1" customWidth="1"/>
    <col min="3336" max="3336" width="2.83203125" style="264" customWidth="1"/>
    <col min="3337" max="3337" width="11.83203125" style="264" customWidth="1"/>
    <col min="3338" max="3338" width="2.83203125" style="264" customWidth="1"/>
    <col min="3339" max="3339" width="13.33203125" style="264" bestFit="1" customWidth="1"/>
    <col min="3340" max="3340" width="2.83203125" style="264" customWidth="1"/>
    <col min="3341" max="3341" width="13.83203125" style="264" customWidth="1"/>
    <col min="3342" max="3584" width="9.33203125" style="264"/>
    <col min="3585" max="3585" width="5.83203125" style="264" customWidth="1"/>
    <col min="3586" max="3586" width="2.83203125" style="264" customWidth="1"/>
    <col min="3587" max="3587" width="21.5" style="264" customWidth="1"/>
    <col min="3588" max="3588" width="2.83203125" style="264" customWidth="1"/>
    <col min="3589" max="3589" width="10.1640625" style="264" customWidth="1"/>
    <col min="3590" max="3590" width="2.83203125" style="264" customWidth="1"/>
    <col min="3591" max="3591" width="13.6640625" style="264" bestFit="1" customWidth="1"/>
    <col min="3592" max="3592" width="2.83203125" style="264" customWidth="1"/>
    <col min="3593" max="3593" width="11.83203125" style="264" customWidth="1"/>
    <col min="3594" max="3594" width="2.83203125" style="264" customWidth="1"/>
    <col min="3595" max="3595" width="13.33203125" style="264" bestFit="1" customWidth="1"/>
    <col min="3596" max="3596" width="2.83203125" style="264" customWidth="1"/>
    <col min="3597" max="3597" width="13.83203125" style="264" customWidth="1"/>
    <col min="3598" max="3840" width="9.33203125" style="264"/>
    <col min="3841" max="3841" width="5.83203125" style="264" customWidth="1"/>
    <col min="3842" max="3842" width="2.83203125" style="264" customWidth="1"/>
    <col min="3843" max="3843" width="21.5" style="264" customWidth="1"/>
    <col min="3844" max="3844" width="2.83203125" style="264" customWidth="1"/>
    <col min="3845" max="3845" width="10.1640625" style="264" customWidth="1"/>
    <col min="3846" max="3846" width="2.83203125" style="264" customWidth="1"/>
    <col min="3847" max="3847" width="13.6640625" style="264" bestFit="1" customWidth="1"/>
    <col min="3848" max="3848" width="2.83203125" style="264" customWidth="1"/>
    <col min="3849" max="3849" width="11.83203125" style="264" customWidth="1"/>
    <col min="3850" max="3850" width="2.83203125" style="264" customWidth="1"/>
    <col min="3851" max="3851" width="13.33203125" style="264" bestFit="1" customWidth="1"/>
    <col min="3852" max="3852" width="2.83203125" style="264" customWidth="1"/>
    <col min="3853" max="3853" width="13.83203125" style="264" customWidth="1"/>
    <col min="3854" max="4096" width="9.33203125" style="264"/>
    <col min="4097" max="4097" width="5.83203125" style="264" customWidth="1"/>
    <col min="4098" max="4098" width="2.83203125" style="264" customWidth="1"/>
    <col min="4099" max="4099" width="21.5" style="264" customWidth="1"/>
    <col min="4100" max="4100" width="2.83203125" style="264" customWidth="1"/>
    <col min="4101" max="4101" width="10.1640625" style="264" customWidth="1"/>
    <col min="4102" max="4102" width="2.83203125" style="264" customWidth="1"/>
    <col min="4103" max="4103" width="13.6640625" style="264" bestFit="1" customWidth="1"/>
    <col min="4104" max="4104" width="2.83203125" style="264" customWidth="1"/>
    <col min="4105" max="4105" width="11.83203125" style="264" customWidth="1"/>
    <col min="4106" max="4106" width="2.83203125" style="264" customWidth="1"/>
    <col min="4107" max="4107" width="13.33203125" style="264" bestFit="1" customWidth="1"/>
    <col min="4108" max="4108" width="2.83203125" style="264" customWidth="1"/>
    <col min="4109" max="4109" width="13.83203125" style="264" customWidth="1"/>
    <col min="4110" max="4352" width="9.33203125" style="264"/>
    <col min="4353" max="4353" width="5.83203125" style="264" customWidth="1"/>
    <col min="4354" max="4354" width="2.83203125" style="264" customWidth="1"/>
    <col min="4355" max="4355" width="21.5" style="264" customWidth="1"/>
    <col min="4356" max="4356" width="2.83203125" style="264" customWidth="1"/>
    <col min="4357" max="4357" width="10.1640625" style="264" customWidth="1"/>
    <col min="4358" max="4358" width="2.83203125" style="264" customWidth="1"/>
    <col min="4359" max="4359" width="13.6640625" style="264" bestFit="1" customWidth="1"/>
    <col min="4360" max="4360" width="2.83203125" style="264" customWidth="1"/>
    <col min="4361" max="4361" width="11.83203125" style="264" customWidth="1"/>
    <col min="4362" max="4362" width="2.83203125" style="264" customWidth="1"/>
    <col min="4363" max="4363" width="13.33203125" style="264" bestFit="1" customWidth="1"/>
    <col min="4364" max="4364" width="2.83203125" style="264" customWidth="1"/>
    <col min="4365" max="4365" width="13.83203125" style="264" customWidth="1"/>
    <col min="4366" max="4608" width="9.33203125" style="264"/>
    <col min="4609" max="4609" width="5.83203125" style="264" customWidth="1"/>
    <col min="4610" max="4610" width="2.83203125" style="264" customWidth="1"/>
    <col min="4611" max="4611" width="21.5" style="264" customWidth="1"/>
    <col min="4612" max="4612" width="2.83203125" style="264" customWidth="1"/>
    <col min="4613" max="4613" width="10.1640625" style="264" customWidth="1"/>
    <col min="4614" max="4614" width="2.83203125" style="264" customWidth="1"/>
    <col min="4615" max="4615" width="13.6640625" style="264" bestFit="1" customWidth="1"/>
    <col min="4616" max="4616" width="2.83203125" style="264" customWidth="1"/>
    <col min="4617" max="4617" width="11.83203125" style="264" customWidth="1"/>
    <col min="4618" max="4618" width="2.83203125" style="264" customWidth="1"/>
    <col min="4619" max="4619" width="13.33203125" style="264" bestFit="1" customWidth="1"/>
    <col min="4620" max="4620" width="2.83203125" style="264" customWidth="1"/>
    <col min="4621" max="4621" width="13.83203125" style="264" customWidth="1"/>
    <col min="4622" max="4864" width="9.33203125" style="264"/>
    <col min="4865" max="4865" width="5.83203125" style="264" customWidth="1"/>
    <col min="4866" max="4866" width="2.83203125" style="264" customWidth="1"/>
    <col min="4867" max="4867" width="21.5" style="264" customWidth="1"/>
    <col min="4868" max="4868" width="2.83203125" style="264" customWidth="1"/>
    <col min="4869" max="4869" width="10.1640625" style="264" customWidth="1"/>
    <col min="4870" max="4870" width="2.83203125" style="264" customWidth="1"/>
    <col min="4871" max="4871" width="13.6640625" style="264" bestFit="1" customWidth="1"/>
    <col min="4872" max="4872" width="2.83203125" style="264" customWidth="1"/>
    <col min="4873" max="4873" width="11.83203125" style="264" customWidth="1"/>
    <col min="4874" max="4874" width="2.83203125" style="264" customWidth="1"/>
    <col min="4875" max="4875" width="13.33203125" style="264" bestFit="1" customWidth="1"/>
    <col min="4876" max="4876" width="2.83203125" style="264" customWidth="1"/>
    <col min="4877" max="4877" width="13.83203125" style="264" customWidth="1"/>
    <col min="4878" max="5120" width="9.33203125" style="264"/>
    <col min="5121" max="5121" width="5.83203125" style="264" customWidth="1"/>
    <col min="5122" max="5122" width="2.83203125" style="264" customWidth="1"/>
    <col min="5123" max="5123" width="21.5" style="264" customWidth="1"/>
    <col min="5124" max="5124" width="2.83203125" style="264" customWidth="1"/>
    <col min="5125" max="5125" width="10.1640625" style="264" customWidth="1"/>
    <col min="5126" max="5126" width="2.83203125" style="264" customWidth="1"/>
    <col min="5127" max="5127" width="13.6640625" style="264" bestFit="1" customWidth="1"/>
    <col min="5128" max="5128" width="2.83203125" style="264" customWidth="1"/>
    <col min="5129" max="5129" width="11.83203125" style="264" customWidth="1"/>
    <col min="5130" max="5130" width="2.83203125" style="264" customWidth="1"/>
    <col min="5131" max="5131" width="13.33203125" style="264" bestFit="1" customWidth="1"/>
    <col min="5132" max="5132" width="2.83203125" style="264" customWidth="1"/>
    <col min="5133" max="5133" width="13.83203125" style="264" customWidth="1"/>
    <col min="5134" max="5376" width="9.33203125" style="264"/>
    <col min="5377" max="5377" width="5.83203125" style="264" customWidth="1"/>
    <col min="5378" max="5378" width="2.83203125" style="264" customWidth="1"/>
    <col min="5379" max="5379" width="21.5" style="264" customWidth="1"/>
    <col min="5380" max="5380" width="2.83203125" style="264" customWidth="1"/>
    <col min="5381" max="5381" width="10.1640625" style="264" customWidth="1"/>
    <col min="5382" max="5382" width="2.83203125" style="264" customWidth="1"/>
    <col min="5383" max="5383" width="13.6640625" style="264" bestFit="1" customWidth="1"/>
    <col min="5384" max="5384" width="2.83203125" style="264" customWidth="1"/>
    <col min="5385" max="5385" width="11.83203125" style="264" customWidth="1"/>
    <col min="5386" max="5386" width="2.83203125" style="264" customWidth="1"/>
    <col min="5387" max="5387" width="13.33203125" style="264" bestFit="1" customWidth="1"/>
    <col min="5388" max="5388" width="2.83203125" style="264" customWidth="1"/>
    <col min="5389" max="5389" width="13.83203125" style="264" customWidth="1"/>
    <col min="5390" max="5632" width="9.33203125" style="264"/>
    <col min="5633" max="5633" width="5.83203125" style="264" customWidth="1"/>
    <col min="5634" max="5634" width="2.83203125" style="264" customWidth="1"/>
    <col min="5635" max="5635" width="21.5" style="264" customWidth="1"/>
    <col min="5636" max="5636" width="2.83203125" style="264" customWidth="1"/>
    <col min="5637" max="5637" width="10.1640625" style="264" customWidth="1"/>
    <col min="5638" max="5638" width="2.83203125" style="264" customWidth="1"/>
    <col min="5639" max="5639" width="13.6640625" style="264" bestFit="1" customWidth="1"/>
    <col min="5640" max="5640" width="2.83203125" style="264" customWidth="1"/>
    <col min="5641" max="5641" width="11.83203125" style="264" customWidth="1"/>
    <col min="5642" max="5642" width="2.83203125" style="264" customWidth="1"/>
    <col min="5643" max="5643" width="13.33203125" style="264" bestFit="1" customWidth="1"/>
    <col min="5644" max="5644" width="2.83203125" style="264" customWidth="1"/>
    <col min="5645" max="5645" width="13.83203125" style="264" customWidth="1"/>
    <col min="5646" max="5888" width="9.33203125" style="264"/>
    <col min="5889" max="5889" width="5.83203125" style="264" customWidth="1"/>
    <col min="5890" max="5890" width="2.83203125" style="264" customWidth="1"/>
    <col min="5891" max="5891" width="21.5" style="264" customWidth="1"/>
    <col min="5892" max="5892" width="2.83203125" style="264" customWidth="1"/>
    <col min="5893" max="5893" width="10.1640625" style="264" customWidth="1"/>
    <col min="5894" max="5894" width="2.83203125" style="264" customWidth="1"/>
    <col min="5895" max="5895" width="13.6640625" style="264" bestFit="1" customWidth="1"/>
    <col min="5896" max="5896" width="2.83203125" style="264" customWidth="1"/>
    <col min="5897" max="5897" width="11.83203125" style="264" customWidth="1"/>
    <col min="5898" max="5898" width="2.83203125" style="264" customWidth="1"/>
    <col min="5899" max="5899" width="13.33203125" style="264" bestFit="1" customWidth="1"/>
    <col min="5900" max="5900" width="2.83203125" style="264" customWidth="1"/>
    <col min="5901" max="5901" width="13.83203125" style="264" customWidth="1"/>
    <col min="5902" max="6144" width="9.33203125" style="264"/>
    <col min="6145" max="6145" width="5.83203125" style="264" customWidth="1"/>
    <col min="6146" max="6146" width="2.83203125" style="264" customWidth="1"/>
    <col min="6147" max="6147" width="21.5" style="264" customWidth="1"/>
    <col min="6148" max="6148" width="2.83203125" style="264" customWidth="1"/>
    <col min="6149" max="6149" width="10.1640625" style="264" customWidth="1"/>
    <col min="6150" max="6150" width="2.83203125" style="264" customWidth="1"/>
    <col min="6151" max="6151" width="13.6640625" style="264" bestFit="1" customWidth="1"/>
    <col min="6152" max="6152" width="2.83203125" style="264" customWidth="1"/>
    <col min="6153" max="6153" width="11.83203125" style="264" customWidth="1"/>
    <col min="6154" max="6154" width="2.83203125" style="264" customWidth="1"/>
    <col min="6155" max="6155" width="13.33203125" style="264" bestFit="1" customWidth="1"/>
    <col min="6156" max="6156" width="2.83203125" style="264" customWidth="1"/>
    <col min="6157" max="6157" width="13.83203125" style="264" customWidth="1"/>
    <col min="6158" max="6400" width="9.33203125" style="264"/>
    <col min="6401" max="6401" width="5.83203125" style="264" customWidth="1"/>
    <col min="6402" max="6402" width="2.83203125" style="264" customWidth="1"/>
    <col min="6403" max="6403" width="21.5" style="264" customWidth="1"/>
    <col min="6404" max="6404" width="2.83203125" style="264" customWidth="1"/>
    <col min="6405" max="6405" width="10.1640625" style="264" customWidth="1"/>
    <col min="6406" max="6406" width="2.83203125" style="264" customWidth="1"/>
    <col min="6407" max="6407" width="13.6640625" style="264" bestFit="1" customWidth="1"/>
    <col min="6408" max="6408" width="2.83203125" style="264" customWidth="1"/>
    <col min="6409" max="6409" width="11.83203125" style="264" customWidth="1"/>
    <col min="6410" max="6410" width="2.83203125" style="264" customWidth="1"/>
    <col min="6411" max="6411" width="13.33203125" style="264" bestFit="1" customWidth="1"/>
    <col min="6412" max="6412" width="2.83203125" style="264" customWidth="1"/>
    <col min="6413" max="6413" width="13.83203125" style="264" customWidth="1"/>
    <col min="6414" max="6656" width="9.33203125" style="264"/>
    <col min="6657" max="6657" width="5.83203125" style="264" customWidth="1"/>
    <col min="6658" max="6658" width="2.83203125" style="264" customWidth="1"/>
    <col min="6659" max="6659" width="21.5" style="264" customWidth="1"/>
    <col min="6660" max="6660" width="2.83203125" style="264" customWidth="1"/>
    <col min="6661" max="6661" width="10.1640625" style="264" customWidth="1"/>
    <col min="6662" max="6662" width="2.83203125" style="264" customWidth="1"/>
    <col min="6663" max="6663" width="13.6640625" style="264" bestFit="1" customWidth="1"/>
    <col min="6664" max="6664" width="2.83203125" style="264" customWidth="1"/>
    <col min="6665" max="6665" width="11.83203125" style="264" customWidth="1"/>
    <col min="6666" max="6666" width="2.83203125" style="264" customWidth="1"/>
    <col min="6667" max="6667" width="13.33203125" style="264" bestFit="1" customWidth="1"/>
    <col min="6668" max="6668" width="2.83203125" style="264" customWidth="1"/>
    <col min="6669" max="6669" width="13.83203125" style="264" customWidth="1"/>
    <col min="6670" max="6912" width="9.33203125" style="264"/>
    <col min="6913" max="6913" width="5.83203125" style="264" customWidth="1"/>
    <col min="6914" max="6914" width="2.83203125" style="264" customWidth="1"/>
    <col min="6915" max="6915" width="21.5" style="264" customWidth="1"/>
    <col min="6916" max="6916" width="2.83203125" style="264" customWidth="1"/>
    <col min="6917" max="6917" width="10.1640625" style="264" customWidth="1"/>
    <col min="6918" max="6918" width="2.83203125" style="264" customWidth="1"/>
    <col min="6919" max="6919" width="13.6640625" style="264" bestFit="1" customWidth="1"/>
    <col min="6920" max="6920" width="2.83203125" style="264" customWidth="1"/>
    <col min="6921" max="6921" width="11.83203125" style="264" customWidth="1"/>
    <col min="6922" max="6922" width="2.83203125" style="264" customWidth="1"/>
    <col min="6923" max="6923" width="13.33203125" style="264" bestFit="1" customWidth="1"/>
    <col min="6924" max="6924" width="2.83203125" style="264" customWidth="1"/>
    <col min="6925" max="6925" width="13.83203125" style="264" customWidth="1"/>
    <col min="6926" max="7168" width="9.33203125" style="264"/>
    <col min="7169" max="7169" width="5.83203125" style="264" customWidth="1"/>
    <col min="7170" max="7170" width="2.83203125" style="264" customWidth="1"/>
    <col min="7171" max="7171" width="21.5" style="264" customWidth="1"/>
    <col min="7172" max="7172" width="2.83203125" style="264" customWidth="1"/>
    <col min="7173" max="7173" width="10.1640625" style="264" customWidth="1"/>
    <col min="7174" max="7174" width="2.83203125" style="264" customWidth="1"/>
    <col min="7175" max="7175" width="13.6640625" style="264" bestFit="1" customWidth="1"/>
    <col min="7176" max="7176" width="2.83203125" style="264" customWidth="1"/>
    <col min="7177" max="7177" width="11.83203125" style="264" customWidth="1"/>
    <col min="7178" max="7178" width="2.83203125" style="264" customWidth="1"/>
    <col min="7179" max="7179" width="13.33203125" style="264" bestFit="1" customWidth="1"/>
    <col min="7180" max="7180" width="2.83203125" style="264" customWidth="1"/>
    <col min="7181" max="7181" width="13.83203125" style="264" customWidth="1"/>
    <col min="7182" max="7424" width="9.33203125" style="264"/>
    <col min="7425" max="7425" width="5.83203125" style="264" customWidth="1"/>
    <col min="7426" max="7426" width="2.83203125" style="264" customWidth="1"/>
    <col min="7427" max="7427" width="21.5" style="264" customWidth="1"/>
    <col min="7428" max="7428" width="2.83203125" style="264" customWidth="1"/>
    <col min="7429" max="7429" width="10.1640625" style="264" customWidth="1"/>
    <col min="7430" max="7430" width="2.83203125" style="264" customWidth="1"/>
    <col min="7431" max="7431" width="13.6640625" style="264" bestFit="1" customWidth="1"/>
    <col min="7432" max="7432" width="2.83203125" style="264" customWidth="1"/>
    <col min="7433" max="7433" width="11.83203125" style="264" customWidth="1"/>
    <col min="7434" max="7434" width="2.83203125" style="264" customWidth="1"/>
    <col min="7435" max="7435" width="13.33203125" style="264" bestFit="1" customWidth="1"/>
    <col min="7436" max="7436" width="2.83203125" style="264" customWidth="1"/>
    <col min="7437" max="7437" width="13.83203125" style="264" customWidth="1"/>
    <col min="7438" max="7680" width="9.33203125" style="264"/>
    <col min="7681" max="7681" width="5.83203125" style="264" customWidth="1"/>
    <col min="7682" max="7682" width="2.83203125" style="264" customWidth="1"/>
    <col min="7683" max="7683" width="21.5" style="264" customWidth="1"/>
    <col min="7684" max="7684" width="2.83203125" style="264" customWidth="1"/>
    <col min="7685" max="7685" width="10.1640625" style="264" customWidth="1"/>
    <col min="7686" max="7686" width="2.83203125" style="264" customWidth="1"/>
    <col min="7687" max="7687" width="13.6640625" style="264" bestFit="1" customWidth="1"/>
    <col min="7688" max="7688" width="2.83203125" style="264" customWidth="1"/>
    <col min="7689" max="7689" width="11.83203125" style="264" customWidth="1"/>
    <col min="7690" max="7690" width="2.83203125" style="264" customWidth="1"/>
    <col min="7691" max="7691" width="13.33203125" style="264" bestFit="1" customWidth="1"/>
    <col min="7692" max="7692" width="2.83203125" style="264" customWidth="1"/>
    <col min="7693" max="7693" width="13.83203125" style="264" customWidth="1"/>
    <col min="7694" max="7936" width="9.33203125" style="264"/>
    <col min="7937" max="7937" width="5.83203125" style="264" customWidth="1"/>
    <col min="7938" max="7938" width="2.83203125" style="264" customWidth="1"/>
    <col min="7939" max="7939" width="21.5" style="264" customWidth="1"/>
    <col min="7940" max="7940" width="2.83203125" style="264" customWidth="1"/>
    <col min="7941" max="7941" width="10.1640625" style="264" customWidth="1"/>
    <col min="7942" max="7942" width="2.83203125" style="264" customWidth="1"/>
    <col min="7943" max="7943" width="13.6640625" style="264" bestFit="1" customWidth="1"/>
    <col min="7944" max="7944" width="2.83203125" style="264" customWidth="1"/>
    <col min="7945" max="7945" width="11.83203125" style="264" customWidth="1"/>
    <col min="7946" max="7946" width="2.83203125" style="264" customWidth="1"/>
    <col min="7947" max="7947" width="13.33203125" style="264" bestFit="1" customWidth="1"/>
    <col min="7948" max="7948" width="2.83203125" style="264" customWidth="1"/>
    <col min="7949" max="7949" width="13.83203125" style="264" customWidth="1"/>
    <col min="7950" max="8192" width="9.33203125" style="264"/>
    <col min="8193" max="8193" width="5.83203125" style="264" customWidth="1"/>
    <col min="8194" max="8194" width="2.83203125" style="264" customWidth="1"/>
    <col min="8195" max="8195" width="21.5" style="264" customWidth="1"/>
    <col min="8196" max="8196" width="2.83203125" style="264" customWidth="1"/>
    <col min="8197" max="8197" width="10.1640625" style="264" customWidth="1"/>
    <col min="8198" max="8198" width="2.83203125" style="264" customWidth="1"/>
    <col min="8199" max="8199" width="13.6640625" style="264" bestFit="1" customWidth="1"/>
    <col min="8200" max="8200" width="2.83203125" style="264" customWidth="1"/>
    <col min="8201" max="8201" width="11.83203125" style="264" customWidth="1"/>
    <col min="8202" max="8202" width="2.83203125" style="264" customWidth="1"/>
    <col min="8203" max="8203" width="13.33203125" style="264" bestFit="1" customWidth="1"/>
    <col min="8204" max="8204" width="2.83203125" style="264" customWidth="1"/>
    <col min="8205" max="8205" width="13.83203125" style="264" customWidth="1"/>
    <col min="8206" max="8448" width="9.33203125" style="264"/>
    <col min="8449" max="8449" width="5.83203125" style="264" customWidth="1"/>
    <col min="8450" max="8450" width="2.83203125" style="264" customWidth="1"/>
    <col min="8451" max="8451" width="21.5" style="264" customWidth="1"/>
    <col min="8452" max="8452" width="2.83203125" style="264" customWidth="1"/>
    <col min="8453" max="8453" width="10.1640625" style="264" customWidth="1"/>
    <col min="8454" max="8454" width="2.83203125" style="264" customWidth="1"/>
    <col min="8455" max="8455" width="13.6640625" style="264" bestFit="1" customWidth="1"/>
    <col min="8456" max="8456" width="2.83203125" style="264" customWidth="1"/>
    <col min="8457" max="8457" width="11.83203125" style="264" customWidth="1"/>
    <col min="8458" max="8458" width="2.83203125" style="264" customWidth="1"/>
    <col min="8459" max="8459" width="13.33203125" style="264" bestFit="1" customWidth="1"/>
    <col min="8460" max="8460" width="2.83203125" style="264" customWidth="1"/>
    <col min="8461" max="8461" width="13.83203125" style="264" customWidth="1"/>
    <col min="8462" max="8704" width="9.33203125" style="264"/>
    <col min="8705" max="8705" width="5.83203125" style="264" customWidth="1"/>
    <col min="8706" max="8706" width="2.83203125" style="264" customWidth="1"/>
    <col min="8707" max="8707" width="21.5" style="264" customWidth="1"/>
    <col min="8708" max="8708" width="2.83203125" style="264" customWidth="1"/>
    <col min="8709" max="8709" width="10.1640625" style="264" customWidth="1"/>
    <col min="8710" max="8710" width="2.83203125" style="264" customWidth="1"/>
    <col min="8711" max="8711" width="13.6640625" style="264" bestFit="1" customWidth="1"/>
    <col min="8712" max="8712" width="2.83203125" style="264" customWidth="1"/>
    <col min="8713" max="8713" width="11.83203125" style="264" customWidth="1"/>
    <col min="8714" max="8714" width="2.83203125" style="264" customWidth="1"/>
    <col min="8715" max="8715" width="13.33203125" style="264" bestFit="1" customWidth="1"/>
    <col min="8716" max="8716" width="2.83203125" style="264" customWidth="1"/>
    <col min="8717" max="8717" width="13.83203125" style="264" customWidth="1"/>
    <col min="8718" max="8960" width="9.33203125" style="264"/>
    <col min="8961" max="8961" width="5.83203125" style="264" customWidth="1"/>
    <col min="8962" max="8962" width="2.83203125" style="264" customWidth="1"/>
    <col min="8963" max="8963" width="21.5" style="264" customWidth="1"/>
    <col min="8964" max="8964" width="2.83203125" style="264" customWidth="1"/>
    <col min="8965" max="8965" width="10.1640625" style="264" customWidth="1"/>
    <col min="8966" max="8966" width="2.83203125" style="264" customWidth="1"/>
    <col min="8967" max="8967" width="13.6640625" style="264" bestFit="1" customWidth="1"/>
    <col min="8968" max="8968" width="2.83203125" style="264" customWidth="1"/>
    <col min="8969" max="8969" width="11.83203125" style="264" customWidth="1"/>
    <col min="8970" max="8970" width="2.83203125" style="264" customWidth="1"/>
    <col min="8971" max="8971" width="13.33203125" style="264" bestFit="1" customWidth="1"/>
    <col min="8972" max="8972" width="2.83203125" style="264" customWidth="1"/>
    <col min="8973" max="8973" width="13.83203125" style="264" customWidth="1"/>
    <col min="8974" max="9216" width="9.33203125" style="264"/>
    <col min="9217" max="9217" width="5.83203125" style="264" customWidth="1"/>
    <col min="9218" max="9218" width="2.83203125" style="264" customWidth="1"/>
    <col min="9219" max="9219" width="21.5" style="264" customWidth="1"/>
    <col min="9220" max="9220" width="2.83203125" style="264" customWidth="1"/>
    <col min="9221" max="9221" width="10.1640625" style="264" customWidth="1"/>
    <col min="9222" max="9222" width="2.83203125" style="264" customWidth="1"/>
    <col min="9223" max="9223" width="13.6640625" style="264" bestFit="1" customWidth="1"/>
    <col min="9224" max="9224" width="2.83203125" style="264" customWidth="1"/>
    <col min="9225" max="9225" width="11.83203125" style="264" customWidth="1"/>
    <col min="9226" max="9226" width="2.83203125" style="264" customWidth="1"/>
    <col min="9227" max="9227" width="13.33203125" style="264" bestFit="1" customWidth="1"/>
    <col min="9228" max="9228" width="2.83203125" style="264" customWidth="1"/>
    <col min="9229" max="9229" width="13.83203125" style="264" customWidth="1"/>
    <col min="9230" max="9472" width="9.33203125" style="264"/>
    <col min="9473" max="9473" width="5.83203125" style="264" customWidth="1"/>
    <col min="9474" max="9474" width="2.83203125" style="264" customWidth="1"/>
    <col min="9475" max="9475" width="21.5" style="264" customWidth="1"/>
    <col min="9476" max="9476" width="2.83203125" style="264" customWidth="1"/>
    <col min="9477" max="9477" width="10.1640625" style="264" customWidth="1"/>
    <col min="9478" max="9478" width="2.83203125" style="264" customWidth="1"/>
    <col min="9479" max="9479" width="13.6640625" style="264" bestFit="1" customWidth="1"/>
    <col min="9480" max="9480" width="2.83203125" style="264" customWidth="1"/>
    <col min="9481" max="9481" width="11.83203125" style="264" customWidth="1"/>
    <col min="9482" max="9482" width="2.83203125" style="264" customWidth="1"/>
    <col min="9483" max="9483" width="13.33203125" style="264" bestFit="1" customWidth="1"/>
    <col min="9484" max="9484" width="2.83203125" style="264" customWidth="1"/>
    <col min="9485" max="9485" width="13.83203125" style="264" customWidth="1"/>
    <col min="9486" max="9728" width="9.33203125" style="264"/>
    <col min="9729" max="9729" width="5.83203125" style="264" customWidth="1"/>
    <col min="9730" max="9730" width="2.83203125" style="264" customWidth="1"/>
    <col min="9731" max="9731" width="21.5" style="264" customWidth="1"/>
    <col min="9732" max="9732" width="2.83203125" style="264" customWidth="1"/>
    <col min="9733" max="9733" width="10.1640625" style="264" customWidth="1"/>
    <col min="9734" max="9734" width="2.83203125" style="264" customWidth="1"/>
    <col min="9735" max="9735" width="13.6640625" style="264" bestFit="1" customWidth="1"/>
    <col min="9736" max="9736" width="2.83203125" style="264" customWidth="1"/>
    <col min="9737" max="9737" width="11.83203125" style="264" customWidth="1"/>
    <col min="9738" max="9738" width="2.83203125" style="264" customWidth="1"/>
    <col min="9739" max="9739" width="13.33203125" style="264" bestFit="1" customWidth="1"/>
    <col min="9740" max="9740" width="2.83203125" style="264" customWidth="1"/>
    <col min="9741" max="9741" width="13.83203125" style="264" customWidth="1"/>
    <col min="9742" max="9984" width="9.33203125" style="264"/>
    <col min="9985" max="9985" width="5.83203125" style="264" customWidth="1"/>
    <col min="9986" max="9986" width="2.83203125" style="264" customWidth="1"/>
    <col min="9987" max="9987" width="21.5" style="264" customWidth="1"/>
    <col min="9988" max="9988" width="2.83203125" style="264" customWidth="1"/>
    <col min="9989" max="9989" width="10.1640625" style="264" customWidth="1"/>
    <col min="9990" max="9990" width="2.83203125" style="264" customWidth="1"/>
    <col min="9991" max="9991" width="13.6640625" style="264" bestFit="1" customWidth="1"/>
    <col min="9992" max="9992" width="2.83203125" style="264" customWidth="1"/>
    <col min="9993" max="9993" width="11.83203125" style="264" customWidth="1"/>
    <col min="9994" max="9994" width="2.83203125" style="264" customWidth="1"/>
    <col min="9995" max="9995" width="13.33203125" style="264" bestFit="1" customWidth="1"/>
    <col min="9996" max="9996" width="2.83203125" style="264" customWidth="1"/>
    <col min="9997" max="9997" width="13.83203125" style="264" customWidth="1"/>
    <col min="9998" max="10240" width="9.33203125" style="264"/>
    <col min="10241" max="10241" width="5.83203125" style="264" customWidth="1"/>
    <col min="10242" max="10242" width="2.83203125" style="264" customWidth="1"/>
    <col min="10243" max="10243" width="21.5" style="264" customWidth="1"/>
    <col min="10244" max="10244" width="2.83203125" style="264" customWidth="1"/>
    <col min="10245" max="10245" width="10.1640625" style="264" customWidth="1"/>
    <col min="10246" max="10246" width="2.83203125" style="264" customWidth="1"/>
    <col min="10247" max="10247" width="13.6640625" style="264" bestFit="1" customWidth="1"/>
    <col min="10248" max="10248" width="2.83203125" style="264" customWidth="1"/>
    <col min="10249" max="10249" width="11.83203125" style="264" customWidth="1"/>
    <col min="10250" max="10250" width="2.83203125" style="264" customWidth="1"/>
    <col min="10251" max="10251" width="13.33203125" style="264" bestFit="1" customWidth="1"/>
    <col min="10252" max="10252" width="2.83203125" style="264" customWidth="1"/>
    <col min="10253" max="10253" width="13.83203125" style="264" customWidth="1"/>
    <col min="10254" max="10496" width="9.33203125" style="264"/>
    <col min="10497" max="10497" width="5.83203125" style="264" customWidth="1"/>
    <col min="10498" max="10498" width="2.83203125" style="264" customWidth="1"/>
    <col min="10499" max="10499" width="21.5" style="264" customWidth="1"/>
    <col min="10500" max="10500" width="2.83203125" style="264" customWidth="1"/>
    <col min="10501" max="10501" width="10.1640625" style="264" customWidth="1"/>
    <col min="10502" max="10502" width="2.83203125" style="264" customWidth="1"/>
    <col min="10503" max="10503" width="13.6640625" style="264" bestFit="1" customWidth="1"/>
    <col min="10504" max="10504" width="2.83203125" style="264" customWidth="1"/>
    <col min="10505" max="10505" width="11.83203125" style="264" customWidth="1"/>
    <col min="10506" max="10506" width="2.83203125" style="264" customWidth="1"/>
    <col min="10507" max="10507" width="13.33203125" style="264" bestFit="1" customWidth="1"/>
    <col min="10508" max="10508" width="2.83203125" style="264" customWidth="1"/>
    <col min="10509" max="10509" width="13.83203125" style="264" customWidth="1"/>
    <col min="10510" max="10752" width="9.33203125" style="264"/>
    <col min="10753" max="10753" width="5.83203125" style="264" customWidth="1"/>
    <col min="10754" max="10754" width="2.83203125" style="264" customWidth="1"/>
    <col min="10755" max="10755" width="21.5" style="264" customWidth="1"/>
    <col min="10756" max="10756" width="2.83203125" style="264" customWidth="1"/>
    <col min="10757" max="10757" width="10.1640625" style="264" customWidth="1"/>
    <col min="10758" max="10758" width="2.83203125" style="264" customWidth="1"/>
    <col min="10759" max="10759" width="13.6640625" style="264" bestFit="1" customWidth="1"/>
    <col min="10760" max="10760" width="2.83203125" style="264" customWidth="1"/>
    <col min="10761" max="10761" width="11.83203125" style="264" customWidth="1"/>
    <col min="10762" max="10762" width="2.83203125" style="264" customWidth="1"/>
    <col min="10763" max="10763" width="13.33203125" style="264" bestFit="1" customWidth="1"/>
    <col min="10764" max="10764" width="2.83203125" style="264" customWidth="1"/>
    <col min="10765" max="10765" width="13.83203125" style="264" customWidth="1"/>
    <col min="10766" max="11008" width="9.33203125" style="264"/>
    <col min="11009" max="11009" width="5.83203125" style="264" customWidth="1"/>
    <col min="11010" max="11010" width="2.83203125" style="264" customWidth="1"/>
    <col min="11011" max="11011" width="21.5" style="264" customWidth="1"/>
    <col min="11012" max="11012" width="2.83203125" style="264" customWidth="1"/>
    <col min="11013" max="11013" width="10.1640625" style="264" customWidth="1"/>
    <col min="11014" max="11014" width="2.83203125" style="264" customWidth="1"/>
    <col min="11015" max="11015" width="13.6640625" style="264" bestFit="1" customWidth="1"/>
    <col min="11016" max="11016" width="2.83203125" style="264" customWidth="1"/>
    <col min="11017" max="11017" width="11.83203125" style="264" customWidth="1"/>
    <col min="11018" max="11018" width="2.83203125" style="264" customWidth="1"/>
    <col min="11019" max="11019" width="13.33203125" style="264" bestFit="1" customWidth="1"/>
    <col min="11020" max="11020" width="2.83203125" style="264" customWidth="1"/>
    <col min="11021" max="11021" width="13.83203125" style="264" customWidth="1"/>
    <col min="11022" max="11264" width="9.33203125" style="264"/>
    <col min="11265" max="11265" width="5.83203125" style="264" customWidth="1"/>
    <col min="11266" max="11266" width="2.83203125" style="264" customWidth="1"/>
    <col min="11267" max="11267" width="21.5" style="264" customWidth="1"/>
    <col min="11268" max="11268" width="2.83203125" style="264" customWidth="1"/>
    <col min="11269" max="11269" width="10.1640625" style="264" customWidth="1"/>
    <col min="11270" max="11270" width="2.83203125" style="264" customWidth="1"/>
    <col min="11271" max="11271" width="13.6640625" style="264" bestFit="1" customWidth="1"/>
    <col min="11272" max="11272" width="2.83203125" style="264" customWidth="1"/>
    <col min="11273" max="11273" width="11.83203125" style="264" customWidth="1"/>
    <col min="11274" max="11274" width="2.83203125" style="264" customWidth="1"/>
    <col min="11275" max="11275" width="13.33203125" style="264" bestFit="1" customWidth="1"/>
    <col min="11276" max="11276" width="2.83203125" style="264" customWidth="1"/>
    <col min="11277" max="11277" width="13.83203125" style="264" customWidth="1"/>
    <col min="11278" max="11520" width="9.33203125" style="264"/>
    <col min="11521" max="11521" width="5.83203125" style="264" customWidth="1"/>
    <col min="11522" max="11522" width="2.83203125" style="264" customWidth="1"/>
    <col min="11523" max="11523" width="21.5" style="264" customWidth="1"/>
    <col min="11524" max="11524" width="2.83203125" style="264" customWidth="1"/>
    <col min="11525" max="11525" width="10.1640625" style="264" customWidth="1"/>
    <col min="11526" max="11526" width="2.83203125" style="264" customWidth="1"/>
    <col min="11527" max="11527" width="13.6640625" style="264" bestFit="1" customWidth="1"/>
    <col min="11528" max="11528" width="2.83203125" style="264" customWidth="1"/>
    <col min="11529" max="11529" width="11.83203125" style="264" customWidth="1"/>
    <col min="11530" max="11530" width="2.83203125" style="264" customWidth="1"/>
    <col min="11531" max="11531" width="13.33203125" style="264" bestFit="1" customWidth="1"/>
    <col min="11532" max="11532" width="2.83203125" style="264" customWidth="1"/>
    <col min="11533" max="11533" width="13.83203125" style="264" customWidth="1"/>
    <col min="11534" max="11776" width="9.33203125" style="264"/>
    <col min="11777" max="11777" width="5.83203125" style="264" customWidth="1"/>
    <col min="11778" max="11778" width="2.83203125" style="264" customWidth="1"/>
    <col min="11779" max="11779" width="21.5" style="264" customWidth="1"/>
    <col min="11780" max="11780" width="2.83203125" style="264" customWidth="1"/>
    <col min="11781" max="11781" width="10.1640625" style="264" customWidth="1"/>
    <col min="11782" max="11782" width="2.83203125" style="264" customWidth="1"/>
    <col min="11783" max="11783" width="13.6640625" style="264" bestFit="1" customWidth="1"/>
    <col min="11784" max="11784" width="2.83203125" style="264" customWidth="1"/>
    <col min="11785" max="11785" width="11.83203125" style="264" customWidth="1"/>
    <col min="11786" max="11786" width="2.83203125" style="264" customWidth="1"/>
    <col min="11787" max="11787" width="13.33203125" style="264" bestFit="1" customWidth="1"/>
    <col min="11788" max="11788" width="2.83203125" style="264" customWidth="1"/>
    <col min="11789" max="11789" width="13.83203125" style="264" customWidth="1"/>
    <col min="11790" max="12032" width="9.33203125" style="264"/>
    <col min="12033" max="12033" width="5.83203125" style="264" customWidth="1"/>
    <col min="12034" max="12034" width="2.83203125" style="264" customWidth="1"/>
    <col min="12035" max="12035" width="21.5" style="264" customWidth="1"/>
    <col min="12036" max="12036" width="2.83203125" style="264" customWidth="1"/>
    <col min="12037" max="12037" width="10.1640625" style="264" customWidth="1"/>
    <col min="12038" max="12038" width="2.83203125" style="264" customWidth="1"/>
    <col min="12039" max="12039" width="13.6640625" style="264" bestFit="1" customWidth="1"/>
    <col min="12040" max="12040" width="2.83203125" style="264" customWidth="1"/>
    <col min="12041" max="12041" width="11.83203125" style="264" customWidth="1"/>
    <col min="12042" max="12042" width="2.83203125" style="264" customWidth="1"/>
    <col min="12043" max="12043" width="13.33203125" style="264" bestFit="1" customWidth="1"/>
    <col min="12044" max="12044" width="2.83203125" style="264" customWidth="1"/>
    <col min="12045" max="12045" width="13.83203125" style="264" customWidth="1"/>
    <col min="12046" max="12288" width="9.33203125" style="264"/>
    <col min="12289" max="12289" width="5.83203125" style="264" customWidth="1"/>
    <col min="12290" max="12290" width="2.83203125" style="264" customWidth="1"/>
    <col min="12291" max="12291" width="21.5" style="264" customWidth="1"/>
    <col min="12292" max="12292" width="2.83203125" style="264" customWidth="1"/>
    <col min="12293" max="12293" width="10.1640625" style="264" customWidth="1"/>
    <col min="12294" max="12294" width="2.83203125" style="264" customWidth="1"/>
    <col min="12295" max="12295" width="13.6640625" style="264" bestFit="1" customWidth="1"/>
    <col min="12296" max="12296" width="2.83203125" style="264" customWidth="1"/>
    <col min="12297" max="12297" width="11.83203125" style="264" customWidth="1"/>
    <col min="12298" max="12298" width="2.83203125" style="264" customWidth="1"/>
    <col min="12299" max="12299" width="13.33203125" style="264" bestFit="1" customWidth="1"/>
    <col min="12300" max="12300" width="2.83203125" style="264" customWidth="1"/>
    <col min="12301" max="12301" width="13.83203125" style="264" customWidth="1"/>
    <col min="12302" max="12544" width="9.33203125" style="264"/>
    <col min="12545" max="12545" width="5.83203125" style="264" customWidth="1"/>
    <col min="12546" max="12546" width="2.83203125" style="264" customWidth="1"/>
    <col min="12547" max="12547" width="21.5" style="264" customWidth="1"/>
    <col min="12548" max="12548" width="2.83203125" style="264" customWidth="1"/>
    <col min="12549" max="12549" width="10.1640625" style="264" customWidth="1"/>
    <col min="12550" max="12550" width="2.83203125" style="264" customWidth="1"/>
    <col min="12551" max="12551" width="13.6640625" style="264" bestFit="1" customWidth="1"/>
    <col min="12552" max="12552" width="2.83203125" style="264" customWidth="1"/>
    <col min="12553" max="12553" width="11.83203125" style="264" customWidth="1"/>
    <col min="12554" max="12554" width="2.83203125" style="264" customWidth="1"/>
    <col min="12555" max="12555" width="13.33203125" style="264" bestFit="1" customWidth="1"/>
    <col min="12556" max="12556" width="2.83203125" style="264" customWidth="1"/>
    <col min="12557" max="12557" width="13.83203125" style="264" customWidth="1"/>
    <col min="12558" max="12800" width="9.33203125" style="264"/>
    <col min="12801" max="12801" width="5.83203125" style="264" customWidth="1"/>
    <col min="12802" max="12802" width="2.83203125" style="264" customWidth="1"/>
    <col min="12803" max="12803" width="21.5" style="264" customWidth="1"/>
    <col min="12804" max="12804" width="2.83203125" style="264" customWidth="1"/>
    <col min="12805" max="12805" width="10.1640625" style="264" customWidth="1"/>
    <col min="12806" max="12806" width="2.83203125" style="264" customWidth="1"/>
    <col min="12807" max="12807" width="13.6640625" style="264" bestFit="1" customWidth="1"/>
    <col min="12808" max="12808" width="2.83203125" style="264" customWidth="1"/>
    <col min="12809" max="12809" width="11.83203125" style="264" customWidth="1"/>
    <col min="12810" max="12810" width="2.83203125" style="264" customWidth="1"/>
    <col min="12811" max="12811" width="13.33203125" style="264" bestFit="1" customWidth="1"/>
    <col min="12812" max="12812" width="2.83203125" style="264" customWidth="1"/>
    <col min="12813" max="12813" width="13.83203125" style="264" customWidth="1"/>
    <col min="12814" max="13056" width="9.33203125" style="264"/>
    <col min="13057" max="13057" width="5.83203125" style="264" customWidth="1"/>
    <col min="13058" max="13058" width="2.83203125" style="264" customWidth="1"/>
    <col min="13059" max="13059" width="21.5" style="264" customWidth="1"/>
    <col min="13060" max="13060" width="2.83203125" style="264" customWidth="1"/>
    <col min="13061" max="13061" width="10.1640625" style="264" customWidth="1"/>
    <col min="13062" max="13062" width="2.83203125" style="264" customWidth="1"/>
    <col min="13063" max="13063" width="13.6640625" style="264" bestFit="1" customWidth="1"/>
    <col min="13064" max="13064" width="2.83203125" style="264" customWidth="1"/>
    <col min="13065" max="13065" width="11.83203125" style="264" customWidth="1"/>
    <col min="13066" max="13066" width="2.83203125" style="264" customWidth="1"/>
    <col min="13067" max="13067" width="13.33203125" style="264" bestFit="1" customWidth="1"/>
    <col min="13068" max="13068" width="2.83203125" style="264" customWidth="1"/>
    <col min="13069" max="13069" width="13.83203125" style="264" customWidth="1"/>
    <col min="13070" max="13312" width="9.33203125" style="264"/>
    <col min="13313" max="13313" width="5.83203125" style="264" customWidth="1"/>
    <col min="13314" max="13314" width="2.83203125" style="264" customWidth="1"/>
    <col min="13315" max="13315" width="21.5" style="264" customWidth="1"/>
    <col min="13316" max="13316" width="2.83203125" style="264" customWidth="1"/>
    <col min="13317" max="13317" width="10.1640625" style="264" customWidth="1"/>
    <col min="13318" max="13318" width="2.83203125" style="264" customWidth="1"/>
    <col min="13319" max="13319" width="13.6640625" style="264" bestFit="1" customWidth="1"/>
    <col min="13320" max="13320" width="2.83203125" style="264" customWidth="1"/>
    <col min="13321" max="13321" width="11.83203125" style="264" customWidth="1"/>
    <col min="13322" max="13322" width="2.83203125" style="264" customWidth="1"/>
    <col min="13323" max="13323" width="13.33203125" style="264" bestFit="1" customWidth="1"/>
    <col min="13324" max="13324" width="2.83203125" style="264" customWidth="1"/>
    <col min="13325" max="13325" width="13.83203125" style="264" customWidth="1"/>
    <col min="13326" max="13568" width="9.33203125" style="264"/>
    <col min="13569" max="13569" width="5.83203125" style="264" customWidth="1"/>
    <col min="13570" max="13570" width="2.83203125" style="264" customWidth="1"/>
    <col min="13571" max="13571" width="21.5" style="264" customWidth="1"/>
    <col min="13572" max="13572" width="2.83203125" style="264" customWidth="1"/>
    <col min="13573" max="13573" width="10.1640625" style="264" customWidth="1"/>
    <col min="13574" max="13574" width="2.83203125" style="264" customWidth="1"/>
    <col min="13575" max="13575" width="13.6640625" style="264" bestFit="1" customWidth="1"/>
    <col min="13576" max="13576" width="2.83203125" style="264" customWidth="1"/>
    <col min="13577" max="13577" width="11.83203125" style="264" customWidth="1"/>
    <col min="13578" max="13578" width="2.83203125" style="264" customWidth="1"/>
    <col min="13579" max="13579" width="13.33203125" style="264" bestFit="1" customWidth="1"/>
    <col min="13580" max="13580" width="2.83203125" style="264" customWidth="1"/>
    <col min="13581" max="13581" width="13.83203125" style="264" customWidth="1"/>
    <col min="13582" max="13824" width="9.33203125" style="264"/>
    <col min="13825" max="13825" width="5.83203125" style="264" customWidth="1"/>
    <col min="13826" max="13826" width="2.83203125" style="264" customWidth="1"/>
    <col min="13827" max="13827" width="21.5" style="264" customWidth="1"/>
    <col min="13828" max="13828" width="2.83203125" style="264" customWidth="1"/>
    <col min="13829" max="13829" width="10.1640625" style="264" customWidth="1"/>
    <col min="13830" max="13830" width="2.83203125" style="264" customWidth="1"/>
    <col min="13831" max="13831" width="13.6640625" style="264" bestFit="1" customWidth="1"/>
    <col min="13832" max="13832" width="2.83203125" style="264" customWidth="1"/>
    <col min="13833" max="13833" width="11.83203125" style="264" customWidth="1"/>
    <col min="13834" max="13834" width="2.83203125" style="264" customWidth="1"/>
    <col min="13835" max="13835" width="13.33203125" style="264" bestFit="1" customWidth="1"/>
    <col min="13836" max="13836" width="2.83203125" style="264" customWidth="1"/>
    <col min="13837" max="13837" width="13.83203125" style="264" customWidth="1"/>
    <col min="13838" max="14080" width="9.33203125" style="264"/>
    <col min="14081" max="14081" width="5.83203125" style="264" customWidth="1"/>
    <col min="14082" max="14082" width="2.83203125" style="264" customWidth="1"/>
    <col min="14083" max="14083" width="21.5" style="264" customWidth="1"/>
    <col min="14084" max="14084" width="2.83203125" style="264" customWidth="1"/>
    <col min="14085" max="14085" width="10.1640625" style="264" customWidth="1"/>
    <col min="14086" max="14086" width="2.83203125" style="264" customWidth="1"/>
    <col min="14087" max="14087" width="13.6640625" style="264" bestFit="1" customWidth="1"/>
    <col min="14088" max="14088" width="2.83203125" style="264" customWidth="1"/>
    <col min="14089" max="14089" width="11.83203125" style="264" customWidth="1"/>
    <col min="14090" max="14090" width="2.83203125" style="264" customWidth="1"/>
    <col min="14091" max="14091" width="13.33203125" style="264" bestFit="1" customWidth="1"/>
    <col min="14092" max="14092" width="2.83203125" style="264" customWidth="1"/>
    <col min="14093" max="14093" width="13.83203125" style="264" customWidth="1"/>
    <col min="14094" max="14336" width="9.33203125" style="264"/>
    <col min="14337" max="14337" width="5.83203125" style="264" customWidth="1"/>
    <col min="14338" max="14338" width="2.83203125" style="264" customWidth="1"/>
    <col min="14339" max="14339" width="21.5" style="264" customWidth="1"/>
    <col min="14340" max="14340" width="2.83203125" style="264" customWidth="1"/>
    <col min="14341" max="14341" width="10.1640625" style="264" customWidth="1"/>
    <col min="14342" max="14342" width="2.83203125" style="264" customWidth="1"/>
    <col min="14343" max="14343" width="13.6640625" style="264" bestFit="1" customWidth="1"/>
    <col min="14344" max="14344" width="2.83203125" style="264" customWidth="1"/>
    <col min="14345" max="14345" width="11.83203125" style="264" customWidth="1"/>
    <col min="14346" max="14346" width="2.83203125" style="264" customWidth="1"/>
    <col min="14347" max="14347" width="13.33203125" style="264" bestFit="1" customWidth="1"/>
    <col min="14348" max="14348" width="2.83203125" style="264" customWidth="1"/>
    <col min="14349" max="14349" width="13.83203125" style="264" customWidth="1"/>
    <col min="14350" max="14592" width="9.33203125" style="264"/>
    <col min="14593" max="14593" width="5.83203125" style="264" customWidth="1"/>
    <col min="14594" max="14594" width="2.83203125" style="264" customWidth="1"/>
    <col min="14595" max="14595" width="21.5" style="264" customWidth="1"/>
    <col min="14596" max="14596" width="2.83203125" style="264" customWidth="1"/>
    <col min="14597" max="14597" width="10.1640625" style="264" customWidth="1"/>
    <col min="14598" max="14598" width="2.83203125" style="264" customWidth="1"/>
    <col min="14599" max="14599" width="13.6640625" style="264" bestFit="1" customWidth="1"/>
    <col min="14600" max="14600" width="2.83203125" style="264" customWidth="1"/>
    <col min="14601" max="14601" width="11.83203125" style="264" customWidth="1"/>
    <col min="14602" max="14602" width="2.83203125" style="264" customWidth="1"/>
    <col min="14603" max="14603" width="13.33203125" style="264" bestFit="1" customWidth="1"/>
    <col min="14604" max="14604" width="2.83203125" style="264" customWidth="1"/>
    <col min="14605" max="14605" width="13.83203125" style="264" customWidth="1"/>
    <col min="14606" max="14848" width="9.33203125" style="264"/>
    <col min="14849" max="14849" width="5.83203125" style="264" customWidth="1"/>
    <col min="14850" max="14850" width="2.83203125" style="264" customWidth="1"/>
    <col min="14851" max="14851" width="21.5" style="264" customWidth="1"/>
    <col min="14852" max="14852" width="2.83203125" style="264" customWidth="1"/>
    <col min="14853" max="14853" width="10.1640625" style="264" customWidth="1"/>
    <col min="14854" max="14854" width="2.83203125" style="264" customWidth="1"/>
    <col min="14855" max="14855" width="13.6640625" style="264" bestFit="1" customWidth="1"/>
    <col min="14856" max="14856" width="2.83203125" style="264" customWidth="1"/>
    <col min="14857" max="14857" width="11.83203125" style="264" customWidth="1"/>
    <col min="14858" max="14858" width="2.83203125" style="264" customWidth="1"/>
    <col min="14859" max="14859" width="13.33203125" style="264" bestFit="1" customWidth="1"/>
    <col min="14860" max="14860" width="2.83203125" style="264" customWidth="1"/>
    <col min="14861" max="14861" width="13.83203125" style="264" customWidth="1"/>
    <col min="14862" max="15104" width="9.33203125" style="264"/>
    <col min="15105" max="15105" width="5.83203125" style="264" customWidth="1"/>
    <col min="15106" max="15106" width="2.83203125" style="264" customWidth="1"/>
    <col min="15107" max="15107" width="21.5" style="264" customWidth="1"/>
    <col min="15108" max="15108" width="2.83203125" style="264" customWidth="1"/>
    <col min="15109" max="15109" width="10.1640625" style="264" customWidth="1"/>
    <col min="15110" max="15110" width="2.83203125" style="264" customWidth="1"/>
    <col min="15111" max="15111" width="13.6640625" style="264" bestFit="1" customWidth="1"/>
    <col min="15112" max="15112" width="2.83203125" style="264" customWidth="1"/>
    <col min="15113" max="15113" width="11.83203125" style="264" customWidth="1"/>
    <col min="15114" max="15114" width="2.83203125" style="264" customWidth="1"/>
    <col min="15115" max="15115" width="13.33203125" style="264" bestFit="1" customWidth="1"/>
    <col min="15116" max="15116" width="2.83203125" style="264" customWidth="1"/>
    <col min="15117" max="15117" width="13.83203125" style="264" customWidth="1"/>
    <col min="15118" max="15360" width="9.33203125" style="264"/>
    <col min="15361" max="15361" width="5.83203125" style="264" customWidth="1"/>
    <col min="15362" max="15362" width="2.83203125" style="264" customWidth="1"/>
    <col min="15363" max="15363" width="21.5" style="264" customWidth="1"/>
    <col min="15364" max="15364" width="2.83203125" style="264" customWidth="1"/>
    <col min="15365" max="15365" width="10.1640625" style="264" customWidth="1"/>
    <col min="15366" max="15366" width="2.83203125" style="264" customWidth="1"/>
    <col min="15367" max="15367" width="13.6640625" style="264" bestFit="1" customWidth="1"/>
    <col min="15368" max="15368" width="2.83203125" style="264" customWidth="1"/>
    <col min="15369" max="15369" width="11.83203125" style="264" customWidth="1"/>
    <col min="15370" max="15370" width="2.83203125" style="264" customWidth="1"/>
    <col min="15371" max="15371" width="13.33203125" style="264" bestFit="1" customWidth="1"/>
    <col min="15372" max="15372" width="2.83203125" style="264" customWidth="1"/>
    <col min="15373" max="15373" width="13.83203125" style="264" customWidth="1"/>
    <col min="15374" max="15616" width="9.33203125" style="264"/>
    <col min="15617" max="15617" width="5.83203125" style="264" customWidth="1"/>
    <col min="15618" max="15618" width="2.83203125" style="264" customWidth="1"/>
    <col min="15619" max="15619" width="21.5" style="264" customWidth="1"/>
    <col min="15620" max="15620" width="2.83203125" style="264" customWidth="1"/>
    <col min="15621" max="15621" width="10.1640625" style="264" customWidth="1"/>
    <col min="15622" max="15622" width="2.83203125" style="264" customWidth="1"/>
    <col min="15623" max="15623" width="13.6640625" style="264" bestFit="1" customWidth="1"/>
    <col min="15624" max="15624" width="2.83203125" style="264" customWidth="1"/>
    <col min="15625" max="15625" width="11.83203125" style="264" customWidth="1"/>
    <col min="15626" max="15626" width="2.83203125" style="264" customWidth="1"/>
    <col min="15627" max="15627" width="13.33203125" style="264" bestFit="1" customWidth="1"/>
    <col min="15628" max="15628" width="2.83203125" style="264" customWidth="1"/>
    <col min="15629" max="15629" width="13.83203125" style="264" customWidth="1"/>
    <col min="15630" max="15872" width="9.33203125" style="264"/>
    <col min="15873" max="15873" width="5.83203125" style="264" customWidth="1"/>
    <col min="15874" max="15874" width="2.83203125" style="264" customWidth="1"/>
    <col min="15875" max="15875" width="21.5" style="264" customWidth="1"/>
    <col min="15876" max="15876" width="2.83203125" style="264" customWidth="1"/>
    <col min="15877" max="15877" width="10.1640625" style="264" customWidth="1"/>
    <col min="15878" max="15878" width="2.83203125" style="264" customWidth="1"/>
    <col min="15879" max="15879" width="13.6640625" style="264" bestFit="1" customWidth="1"/>
    <col min="15880" max="15880" width="2.83203125" style="264" customWidth="1"/>
    <col min="15881" max="15881" width="11.83203125" style="264" customWidth="1"/>
    <col min="15882" max="15882" width="2.83203125" style="264" customWidth="1"/>
    <col min="15883" max="15883" width="13.33203125" style="264" bestFit="1" customWidth="1"/>
    <col min="15884" max="15884" width="2.83203125" style="264" customWidth="1"/>
    <col min="15885" max="15885" width="13.83203125" style="264" customWidth="1"/>
    <col min="15886" max="16128" width="9.33203125" style="264"/>
    <col min="16129" max="16129" width="5.83203125" style="264" customWidth="1"/>
    <col min="16130" max="16130" width="2.83203125" style="264" customWidth="1"/>
    <col min="16131" max="16131" width="21.5" style="264" customWidth="1"/>
    <col min="16132" max="16132" width="2.83203125" style="264" customWidth="1"/>
    <col min="16133" max="16133" width="10.1640625" style="264" customWidth="1"/>
    <col min="16134" max="16134" width="2.83203125" style="264" customWidth="1"/>
    <col min="16135" max="16135" width="13.6640625" style="264" bestFit="1" customWidth="1"/>
    <col min="16136" max="16136" width="2.83203125" style="264" customWidth="1"/>
    <col min="16137" max="16137" width="11.83203125" style="264" customWidth="1"/>
    <col min="16138" max="16138" width="2.83203125" style="264" customWidth="1"/>
    <col min="16139" max="16139" width="13.33203125" style="264" bestFit="1" customWidth="1"/>
    <col min="16140" max="16140" width="2.83203125" style="264" customWidth="1"/>
    <col min="16141" max="16141" width="13.83203125" style="264" customWidth="1"/>
    <col min="16142" max="16384" width="9.33203125" style="264"/>
  </cols>
  <sheetData>
    <row r="1" spans="1:13" x14ac:dyDescent="0.2">
      <c r="A1" s="452" t="s">
        <v>44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</row>
    <row r="2" spans="1:13" x14ac:dyDescent="0.2">
      <c r="A2" s="452" t="s">
        <v>1057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</row>
    <row r="3" spans="1:13" x14ac:dyDescent="0.2">
      <c r="A3" s="452" t="s">
        <v>1086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</row>
    <row r="4" spans="1:13" x14ac:dyDescent="0.2">
      <c r="A4" s="265"/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</row>
    <row r="5" spans="1:13" x14ac:dyDescent="0.2">
      <c r="A5" s="267"/>
      <c r="B5" s="268"/>
      <c r="C5" s="268"/>
      <c r="D5" s="268"/>
      <c r="E5" s="268"/>
      <c r="F5" s="268"/>
      <c r="G5" s="268"/>
      <c r="H5" s="268"/>
      <c r="I5" s="268"/>
      <c r="J5" s="268"/>
      <c r="K5" s="269"/>
      <c r="L5" s="270"/>
      <c r="M5" s="271"/>
    </row>
    <row r="6" spans="1:13" x14ac:dyDescent="0.2">
      <c r="A6" s="345"/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272"/>
    </row>
    <row r="7" spans="1:13" x14ac:dyDescent="0.2">
      <c r="A7" s="345" t="s">
        <v>5</v>
      </c>
      <c r="B7" s="345"/>
      <c r="C7" s="345"/>
      <c r="D7" s="345"/>
      <c r="E7" s="345" t="s">
        <v>1058</v>
      </c>
      <c r="F7" s="345"/>
      <c r="G7" s="345"/>
      <c r="H7" s="345"/>
      <c r="I7" s="345" t="s">
        <v>430</v>
      </c>
      <c r="J7" s="345"/>
      <c r="K7" s="345"/>
      <c r="L7" s="345"/>
      <c r="M7" s="345" t="s">
        <v>1059</v>
      </c>
    </row>
    <row r="8" spans="1:13" x14ac:dyDescent="0.2">
      <c r="A8" s="273" t="s">
        <v>9</v>
      </c>
      <c r="B8" s="273"/>
      <c r="C8" s="273" t="s">
        <v>1060</v>
      </c>
      <c r="D8" s="273"/>
      <c r="E8" s="273" t="s">
        <v>814</v>
      </c>
      <c r="F8" s="273"/>
      <c r="G8" s="273" t="s">
        <v>803</v>
      </c>
      <c r="H8" s="273"/>
      <c r="I8" s="273" t="s">
        <v>1061</v>
      </c>
      <c r="J8" s="273"/>
      <c r="K8" s="273" t="s">
        <v>1062</v>
      </c>
      <c r="L8" s="273"/>
      <c r="M8" s="273" t="s">
        <v>520</v>
      </c>
    </row>
    <row r="9" spans="1:13" x14ac:dyDescent="0.2">
      <c r="A9" s="274"/>
      <c r="B9" s="274"/>
      <c r="C9" s="275" t="s">
        <v>13</v>
      </c>
      <c r="D9" s="345"/>
      <c r="E9" s="275" t="s">
        <v>14</v>
      </c>
      <c r="F9" s="345"/>
      <c r="G9" s="275" t="s">
        <v>15</v>
      </c>
      <c r="H9" s="345"/>
      <c r="I9" s="275" t="s">
        <v>16</v>
      </c>
      <c r="J9" s="345"/>
      <c r="K9" s="275" t="s">
        <v>17</v>
      </c>
      <c r="L9" s="345"/>
      <c r="M9" s="274" t="s">
        <v>1063</v>
      </c>
    </row>
    <row r="10" spans="1:13" x14ac:dyDescent="0.2">
      <c r="A10" s="345"/>
      <c r="B10" s="345"/>
      <c r="C10" s="345"/>
      <c r="D10" s="345"/>
      <c r="E10" s="345"/>
      <c r="F10" s="345"/>
      <c r="G10" s="345" t="s">
        <v>26</v>
      </c>
      <c r="H10" s="345"/>
      <c r="I10" s="275" t="s">
        <v>1064</v>
      </c>
      <c r="J10" s="345"/>
      <c r="K10" s="275" t="s">
        <v>1064</v>
      </c>
      <c r="L10" s="345"/>
      <c r="M10" s="275" t="s">
        <v>1064</v>
      </c>
    </row>
    <row r="11" spans="1:13" x14ac:dyDescent="0.2">
      <c r="A11" s="276"/>
      <c r="B11" s="265"/>
      <c r="C11" s="265"/>
      <c r="D11" s="265"/>
      <c r="E11" s="265"/>
      <c r="F11" s="265"/>
      <c r="G11" s="277"/>
      <c r="H11" s="277"/>
      <c r="I11" s="277"/>
      <c r="J11" s="277"/>
      <c r="K11" s="277"/>
      <c r="L11" s="265"/>
      <c r="M11" s="265"/>
    </row>
    <row r="12" spans="1:13" x14ac:dyDescent="0.2">
      <c r="A12" s="278" t="s">
        <v>1065</v>
      </c>
      <c r="B12" s="265"/>
      <c r="C12" s="277" t="s">
        <v>1066</v>
      </c>
      <c r="D12" s="277"/>
      <c r="E12" s="277"/>
      <c r="F12" s="277"/>
      <c r="G12" s="283">
        <v>13000895</v>
      </c>
      <c r="H12" s="277"/>
      <c r="I12" s="279">
        <f>ROUND(G12/$G$22,5)</f>
        <v>4.9529999999999998E-2</v>
      </c>
      <c r="J12" s="279"/>
      <c r="K12" s="279">
        <v>2.5000000000000001E-2</v>
      </c>
      <c r="L12" s="279"/>
      <c r="M12" s="279">
        <f>ROUND(I12*K12,4)</f>
        <v>1.1999999999999999E-3</v>
      </c>
    </row>
    <row r="13" spans="1:13" x14ac:dyDescent="0.2">
      <c r="A13" s="278"/>
      <c r="B13" s="265"/>
      <c r="C13" s="265"/>
      <c r="D13" s="265"/>
      <c r="E13" s="265"/>
      <c r="F13" s="265"/>
      <c r="G13" s="277"/>
      <c r="H13" s="277"/>
      <c r="I13" s="279"/>
      <c r="J13" s="279"/>
      <c r="K13" s="279"/>
      <c r="L13" s="280"/>
      <c r="M13" s="280"/>
    </row>
    <row r="14" spans="1:13" x14ac:dyDescent="0.2">
      <c r="A14" s="278" t="s">
        <v>1067</v>
      </c>
      <c r="B14" s="265"/>
      <c r="C14" s="265" t="s">
        <v>1068</v>
      </c>
      <c r="D14" s="265"/>
      <c r="E14" s="265"/>
      <c r="F14" s="265"/>
      <c r="G14" s="442">
        <v>114375000</v>
      </c>
      <c r="H14" s="277"/>
      <c r="I14" s="281">
        <f>ROUND(G14/$G$22,5)</f>
        <v>0.43578</v>
      </c>
      <c r="J14" s="279"/>
      <c r="K14" s="279">
        <v>5.6399999999999999E-2</v>
      </c>
      <c r="L14" s="280"/>
      <c r="M14" s="282">
        <f>ROUND(I14*K14,4)</f>
        <v>2.46E-2</v>
      </c>
    </row>
    <row r="15" spans="1:13" x14ac:dyDescent="0.2">
      <c r="A15" s="278"/>
      <c r="B15" s="265"/>
      <c r="C15" s="265"/>
      <c r="D15" s="265"/>
      <c r="E15" s="265"/>
      <c r="F15" s="265"/>
      <c r="G15" s="277"/>
      <c r="H15" s="277"/>
      <c r="I15" s="279"/>
      <c r="J15" s="279"/>
      <c r="K15" s="279"/>
      <c r="L15" s="280"/>
      <c r="M15" s="280"/>
    </row>
    <row r="16" spans="1:13" x14ac:dyDescent="0.2">
      <c r="A16" s="278" t="s">
        <v>1069</v>
      </c>
      <c r="B16" s="265"/>
      <c r="C16" s="265" t="s">
        <v>1070</v>
      </c>
      <c r="D16" s="265"/>
      <c r="E16" s="265"/>
      <c r="F16" s="265"/>
      <c r="G16" s="283">
        <f>G12+G14</f>
        <v>127375895</v>
      </c>
      <c r="H16" s="277"/>
      <c r="I16" s="279">
        <f>I12+I14</f>
        <v>0.48531000000000002</v>
      </c>
      <c r="J16" s="279"/>
      <c r="K16" s="279"/>
      <c r="L16" s="280"/>
      <c r="M16" s="280">
        <f>M12+M14</f>
        <v>2.58E-2</v>
      </c>
    </row>
    <row r="17" spans="1:13" x14ac:dyDescent="0.2">
      <c r="A17" s="278"/>
      <c r="B17" s="265"/>
      <c r="C17" s="265"/>
      <c r="D17" s="265"/>
      <c r="E17" s="265"/>
      <c r="F17" s="265"/>
      <c r="G17" s="283"/>
      <c r="H17" s="277"/>
      <c r="I17" s="279"/>
      <c r="J17" s="279"/>
      <c r="K17" s="279"/>
      <c r="L17" s="280"/>
      <c r="M17" s="280"/>
    </row>
    <row r="18" spans="1:13" x14ac:dyDescent="0.2">
      <c r="A18" s="278" t="s">
        <v>1071</v>
      </c>
      <c r="B18" s="265"/>
      <c r="C18" s="265" t="s">
        <v>1072</v>
      </c>
      <c r="D18" s="265"/>
      <c r="E18" s="265"/>
      <c r="F18" s="265"/>
      <c r="G18" s="283">
        <v>0</v>
      </c>
      <c r="H18" s="277"/>
      <c r="I18" s="279">
        <f>ROUND(G18/$G$22,4)</f>
        <v>0</v>
      </c>
      <c r="J18" s="279"/>
      <c r="K18" s="279">
        <v>0</v>
      </c>
      <c r="L18" s="280"/>
      <c r="M18" s="280">
        <f>ROUND(I18*K18,5)</f>
        <v>0</v>
      </c>
    </row>
    <row r="19" spans="1:13" x14ac:dyDescent="0.2">
      <c r="A19" s="278"/>
      <c r="B19" s="265"/>
      <c r="C19" s="265"/>
      <c r="D19" s="265"/>
      <c r="E19" s="265"/>
      <c r="F19" s="265"/>
      <c r="G19" s="283"/>
      <c r="H19" s="277"/>
      <c r="I19" s="279"/>
      <c r="J19" s="279"/>
      <c r="K19" s="279"/>
      <c r="L19" s="280"/>
      <c r="M19" s="280"/>
    </row>
    <row r="20" spans="1:13" x14ac:dyDescent="0.2">
      <c r="A20" s="278" t="s">
        <v>1073</v>
      </c>
      <c r="B20" s="265"/>
      <c r="C20" s="265" t="s">
        <v>1074</v>
      </c>
      <c r="D20" s="265"/>
      <c r="E20" s="265"/>
      <c r="F20" s="265"/>
      <c r="G20" s="443">
        <v>135083000</v>
      </c>
      <c r="H20" s="277"/>
      <c r="I20" s="316">
        <f>ROUND(G20/$G$22,5)</f>
        <v>0.51468000000000003</v>
      </c>
      <c r="J20" s="279"/>
      <c r="K20" s="279">
        <v>0.11</v>
      </c>
      <c r="L20" s="280"/>
      <c r="M20" s="317">
        <f>ROUND(I20*K20,4)</f>
        <v>5.6599999999999998E-2</v>
      </c>
    </row>
    <row r="21" spans="1:13" x14ac:dyDescent="0.2">
      <c r="A21" s="278"/>
      <c r="B21" s="265"/>
      <c r="C21" s="265"/>
      <c r="D21" s="265"/>
      <c r="E21" s="265"/>
      <c r="F21" s="265"/>
      <c r="G21" s="277"/>
      <c r="H21" s="277"/>
      <c r="I21" s="279"/>
      <c r="J21" s="279"/>
      <c r="K21" s="279"/>
      <c r="L21" s="280"/>
      <c r="M21" s="280"/>
    </row>
    <row r="22" spans="1:13" x14ac:dyDescent="0.2">
      <c r="A22" s="278" t="s">
        <v>1076</v>
      </c>
      <c r="B22" s="265"/>
      <c r="C22" s="265" t="s">
        <v>1077</v>
      </c>
      <c r="D22" s="265"/>
      <c r="E22" s="265"/>
      <c r="F22" s="265"/>
      <c r="G22" s="283">
        <f>G16+G18+G20</f>
        <v>262458895</v>
      </c>
      <c r="H22" s="265"/>
      <c r="I22" s="280">
        <f>I16+I18+I20</f>
        <v>0.99999000000000005</v>
      </c>
      <c r="J22" s="280"/>
      <c r="K22" s="280"/>
      <c r="L22" s="280"/>
      <c r="M22" s="280">
        <f>M16+M18+M20</f>
        <v>8.2400000000000001E-2</v>
      </c>
    </row>
    <row r="23" spans="1:13" x14ac:dyDescent="0.2">
      <c r="A23" s="276"/>
      <c r="B23" s="265"/>
      <c r="C23" s="265"/>
      <c r="D23" s="265"/>
      <c r="E23" s="265"/>
      <c r="F23" s="265"/>
      <c r="G23" s="265"/>
      <c r="H23" s="265"/>
      <c r="I23" s="280"/>
      <c r="J23" s="280"/>
      <c r="K23" s="280"/>
      <c r="L23" s="280"/>
      <c r="M23" s="280"/>
    </row>
    <row r="24" spans="1:13" x14ac:dyDescent="0.2">
      <c r="A24" s="284"/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</row>
    <row r="25" spans="1:13" x14ac:dyDescent="0.2">
      <c r="A25" s="265"/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</row>
  </sheetData>
  <mergeCells count="3">
    <mergeCell ref="A1:M1"/>
    <mergeCell ref="A2:M2"/>
    <mergeCell ref="A3:M3"/>
  </mergeCells>
  <pageMargins left="0.75" right="0.5" top="1" bottom="1" header="0.5" footer="0.5"/>
  <pageSetup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C39" sqref="C39"/>
    </sheetView>
  </sheetViews>
  <sheetFormatPr defaultRowHeight="12.75" x14ac:dyDescent="0.2"/>
  <cols>
    <col min="1" max="1" width="6.6640625" style="264" customWidth="1"/>
    <col min="2" max="2" width="4.33203125" style="264" customWidth="1"/>
    <col min="3" max="3" width="53.33203125" style="264" customWidth="1"/>
    <col min="4" max="4" width="7.1640625" style="264" bestFit="1" customWidth="1"/>
    <col min="5" max="5" width="7.83203125" style="264" customWidth="1"/>
    <col min="6" max="6" width="20.6640625" style="264" bestFit="1" customWidth="1"/>
    <col min="7" max="256" width="9.33203125" style="264"/>
    <col min="257" max="257" width="6.6640625" style="264" customWidth="1"/>
    <col min="258" max="258" width="4.33203125" style="264" customWidth="1"/>
    <col min="259" max="259" width="53.33203125" style="264" customWidth="1"/>
    <col min="260" max="260" width="7.1640625" style="264" bestFit="1" customWidth="1"/>
    <col min="261" max="261" width="7.83203125" style="264" customWidth="1"/>
    <col min="262" max="262" width="20.6640625" style="264" bestFit="1" customWidth="1"/>
    <col min="263" max="512" width="9.33203125" style="264"/>
    <col min="513" max="513" width="6.6640625" style="264" customWidth="1"/>
    <col min="514" max="514" width="4.33203125" style="264" customWidth="1"/>
    <col min="515" max="515" width="53.33203125" style="264" customWidth="1"/>
    <col min="516" max="516" width="7.1640625" style="264" bestFit="1" customWidth="1"/>
    <col min="517" max="517" width="7.83203125" style="264" customWidth="1"/>
    <col min="518" max="518" width="20.6640625" style="264" bestFit="1" customWidth="1"/>
    <col min="519" max="768" width="9.33203125" style="264"/>
    <col min="769" max="769" width="6.6640625" style="264" customWidth="1"/>
    <col min="770" max="770" width="4.33203125" style="264" customWidth="1"/>
    <col min="771" max="771" width="53.33203125" style="264" customWidth="1"/>
    <col min="772" max="772" width="7.1640625" style="264" bestFit="1" customWidth="1"/>
    <col min="773" max="773" width="7.83203125" style="264" customWidth="1"/>
    <col min="774" max="774" width="20.6640625" style="264" bestFit="1" customWidth="1"/>
    <col min="775" max="1024" width="9.33203125" style="264"/>
    <col min="1025" max="1025" width="6.6640625" style="264" customWidth="1"/>
    <col min="1026" max="1026" width="4.33203125" style="264" customWidth="1"/>
    <col min="1027" max="1027" width="53.33203125" style="264" customWidth="1"/>
    <col min="1028" max="1028" width="7.1640625" style="264" bestFit="1" customWidth="1"/>
    <col min="1029" max="1029" width="7.83203125" style="264" customWidth="1"/>
    <col min="1030" max="1030" width="20.6640625" style="264" bestFit="1" customWidth="1"/>
    <col min="1031" max="1280" width="9.33203125" style="264"/>
    <col min="1281" max="1281" width="6.6640625" style="264" customWidth="1"/>
    <col min="1282" max="1282" width="4.33203125" style="264" customWidth="1"/>
    <col min="1283" max="1283" width="53.33203125" style="264" customWidth="1"/>
    <col min="1284" max="1284" width="7.1640625" style="264" bestFit="1" customWidth="1"/>
    <col min="1285" max="1285" width="7.83203125" style="264" customWidth="1"/>
    <col min="1286" max="1286" width="20.6640625" style="264" bestFit="1" customWidth="1"/>
    <col min="1287" max="1536" width="9.33203125" style="264"/>
    <col min="1537" max="1537" width="6.6640625" style="264" customWidth="1"/>
    <col min="1538" max="1538" width="4.33203125" style="264" customWidth="1"/>
    <col min="1539" max="1539" width="53.33203125" style="264" customWidth="1"/>
    <col min="1540" max="1540" width="7.1640625" style="264" bestFit="1" customWidth="1"/>
    <col min="1541" max="1541" width="7.83203125" style="264" customWidth="1"/>
    <col min="1542" max="1542" width="20.6640625" style="264" bestFit="1" customWidth="1"/>
    <col min="1543" max="1792" width="9.33203125" style="264"/>
    <col min="1793" max="1793" width="6.6640625" style="264" customWidth="1"/>
    <col min="1794" max="1794" width="4.33203125" style="264" customWidth="1"/>
    <col min="1795" max="1795" width="53.33203125" style="264" customWidth="1"/>
    <col min="1796" max="1796" width="7.1640625" style="264" bestFit="1" customWidth="1"/>
    <col min="1797" max="1797" width="7.83203125" style="264" customWidth="1"/>
    <col min="1798" max="1798" width="20.6640625" style="264" bestFit="1" customWidth="1"/>
    <col min="1799" max="2048" width="9.33203125" style="264"/>
    <col min="2049" max="2049" width="6.6640625" style="264" customWidth="1"/>
    <col min="2050" max="2050" width="4.33203125" style="264" customWidth="1"/>
    <col min="2051" max="2051" width="53.33203125" style="264" customWidth="1"/>
    <col min="2052" max="2052" width="7.1640625" style="264" bestFit="1" customWidth="1"/>
    <col min="2053" max="2053" width="7.83203125" style="264" customWidth="1"/>
    <col min="2054" max="2054" width="20.6640625" style="264" bestFit="1" customWidth="1"/>
    <col min="2055" max="2304" width="9.33203125" style="264"/>
    <col min="2305" max="2305" width="6.6640625" style="264" customWidth="1"/>
    <col min="2306" max="2306" width="4.33203125" style="264" customWidth="1"/>
    <col min="2307" max="2307" width="53.33203125" style="264" customWidth="1"/>
    <col min="2308" max="2308" width="7.1640625" style="264" bestFit="1" customWidth="1"/>
    <col min="2309" max="2309" width="7.83203125" style="264" customWidth="1"/>
    <col min="2310" max="2310" width="20.6640625" style="264" bestFit="1" customWidth="1"/>
    <col min="2311" max="2560" width="9.33203125" style="264"/>
    <col min="2561" max="2561" width="6.6640625" style="264" customWidth="1"/>
    <col min="2562" max="2562" width="4.33203125" style="264" customWidth="1"/>
    <col min="2563" max="2563" width="53.33203125" style="264" customWidth="1"/>
    <col min="2564" max="2564" width="7.1640625" style="264" bestFit="1" customWidth="1"/>
    <col min="2565" max="2565" width="7.83203125" style="264" customWidth="1"/>
    <col min="2566" max="2566" width="20.6640625" style="264" bestFit="1" customWidth="1"/>
    <col min="2567" max="2816" width="9.33203125" style="264"/>
    <col min="2817" max="2817" width="6.6640625" style="264" customWidth="1"/>
    <col min="2818" max="2818" width="4.33203125" style="264" customWidth="1"/>
    <col min="2819" max="2819" width="53.33203125" style="264" customWidth="1"/>
    <col min="2820" max="2820" width="7.1640625" style="264" bestFit="1" customWidth="1"/>
    <col min="2821" max="2821" width="7.83203125" style="264" customWidth="1"/>
    <col min="2822" max="2822" width="20.6640625" style="264" bestFit="1" customWidth="1"/>
    <col min="2823" max="3072" width="9.33203125" style="264"/>
    <col min="3073" max="3073" width="6.6640625" style="264" customWidth="1"/>
    <col min="3074" max="3074" width="4.33203125" style="264" customWidth="1"/>
    <col min="3075" max="3075" width="53.33203125" style="264" customWidth="1"/>
    <col min="3076" max="3076" width="7.1640625" style="264" bestFit="1" customWidth="1"/>
    <col min="3077" max="3077" width="7.83203125" style="264" customWidth="1"/>
    <col min="3078" max="3078" width="20.6640625" style="264" bestFit="1" customWidth="1"/>
    <col min="3079" max="3328" width="9.33203125" style="264"/>
    <col min="3329" max="3329" width="6.6640625" style="264" customWidth="1"/>
    <col min="3330" max="3330" width="4.33203125" style="264" customWidth="1"/>
    <col min="3331" max="3331" width="53.33203125" style="264" customWidth="1"/>
    <col min="3332" max="3332" width="7.1640625" style="264" bestFit="1" customWidth="1"/>
    <col min="3333" max="3333" width="7.83203125" style="264" customWidth="1"/>
    <col min="3334" max="3334" width="20.6640625" style="264" bestFit="1" customWidth="1"/>
    <col min="3335" max="3584" width="9.33203125" style="264"/>
    <col min="3585" max="3585" width="6.6640625" style="264" customWidth="1"/>
    <col min="3586" max="3586" width="4.33203125" style="264" customWidth="1"/>
    <col min="3587" max="3587" width="53.33203125" style="264" customWidth="1"/>
    <col min="3588" max="3588" width="7.1640625" style="264" bestFit="1" customWidth="1"/>
    <col min="3589" max="3589" width="7.83203125" style="264" customWidth="1"/>
    <col min="3590" max="3590" width="20.6640625" style="264" bestFit="1" customWidth="1"/>
    <col min="3591" max="3840" width="9.33203125" style="264"/>
    <col min="3841" max="3841" width="6.6640625" style="264" customWidth="1"/>
    <col min="3842" max="3842" width="4.33203125" style="264" customWidth="1"/>
    <col min="3843" max="3843" width="53.33203125" style="264" customWidth="1"/>
    <col min="3844" max="3844" width="7.1640625" style="264" bestFit="1" customWidth="1"/>
    <col min="3845" max="3845" width="7.83203125" style="264" customWidth="1"/>
    <col min="3846" max="3846" width="20.6640625" style="264" bestFit="1" customWidth="1"/>
    <col min="3847" max="4096" width="9.33203125" style="264"/>
    <col min="4097" max="4097" width="6.6640625" style="264" customWidth="1"/>
    <col min="4098" max="4098" width="4.33203125" style="264" customWidth="1"/>
    <col min="4099" max="4099" width="53.33203125" style="264" customWidth="1"/>
    <col min="4100" max="4100" width="7.1640625" style="264" bestFit="1" customWidth="1"/>
    <col min="4101" max="4101" width="7.83203125" style="264" customWidth="1"/>
    <col min="4102" max="4102" width="20.6640625" style="264" bestFit="1" customWidth="1"/>
    <col min="4103" max="4352" width="9.33203125" style="264"/>
    <col min="4353" max="4353" width="6.6640625" style="264" customWidth="1"/>
    <col min="4354" max="4354" width="4.33203125" style="264" customWidth="1"/>
    <col min="4355" max="4355" width="53.33203125" style="264" customWidth="1"/>
    <col min="4356" max="4356" width="7.1640625" style="264" bestFit="1" customWidth="1"/>
    <col min="4357" max="4357" width="7.83203125" style="264" customWidth="1"/>
    <col min="4358" max="4358" width="20.6640625" style="264" bestFit="1" customWidth="1"/>
    <col min="4359" max="4608" width="9.33203125" style="264"/>
    <col min="4609" max="4609" width="6.6640625" style="264" customWidth="1"/>
    <col min="4610" max="4610" width="4.33203125" style="264" customWidth="1"/>
    <col min="4611" max="4611" width="53.33203125" style="264" customWidth="1"/>
    <col min="4612" max="4612" width="7.1640625" style="264" bestFit="1" customWidth="1"/>
    <col min="4613" max="4613" width="7.83203125" style="264" customWidth="1"/>
    <col min="4614" max="4614" width="20.6640625" style="264" bestFit="1" customWidth="1"/>
    <col min="4615" max="4864" width="9.33203125" style="264"/>
    <col min="4865" max="4865" width="6.6640625" style="264" customWidth="1"/>
    <col min="4866" max="4866" width="4.33203125" style="264" customWidth="1"/>
    <col min="4867" max="4867" width="53.33203125" style="264" customWidth="1"/>
    <col min="4868" max="4868" width="7.1640625" style="264" bestFit="1" customWidth="1"/>
    <col min="4869" max="4869" width="7.83203125" style="264" customWidth="1"/>
    <col min="4870" max="4870" width="20.6640625" style="264" bestFit="1" customWidth="1"/>
    <col min="4871" max="5120" width="9.33203125" style="264"/>
    <col min="5121" max="5121" width="6.6640625" style="264" customWidth="1"/>
    <col min="5122" max="5122" width="4.33203125" style="264" customWidth="1"/>
    <col min="5123" max="5123" width="53.33203125" style="264" customWidth="1"/>
    <col min="5124" max="5124" width="7.1640625" style="264" bestFit="1" customWidth="1"/>
    <col min="5125" max="5125" width="7.83203125" style="264" customWidth="1"/>
    <col min="5126" max="5126" width="20.6640625" style="264" bestFit="1" customWidth="1"/>
    <col min="5127" max="5376" width="9.33203125" style="264"/>
    <col min="5377" max="5377" width="6.6640625" style="264" customWidth="1"/>
    <col min="5378" max="5378" width="4.33203125" style="264" customWidth="1"/>
    <col min="5379" max="5379" width="53.33203125" style="264" customWidth="1"/>
    <col min="5380" max="5380" width="7.1640625" style="264" bestFit="1" customWidth="1"/>
    <col min="5381" max="5381" width="7.83203125" style="264" customWidth="1"/>
    <col min="5382" max="5382" width="20.6640625" style="264" bestFit="1" customWidth="1"/>
    <col min="5383" max="5632" width="9.33203125" style="264"/>
    <col min="5633" max="5633" width="6.6640625" style="264" customWidth="1"/>
    <col min="5634" max="5634" width="4.33203125" style="264" customWidth="1"/>
    <col min="5635" max="5635" width="53.33203125" style="264" customWidth="1"/>
    <col min="5636" max="5636" width="7.1640625" style="264" bestFit="1" customWidth="1"/>
    <col min="5637" max="5637" width="7.83203125" style="264" customWidth="1"/>
    <col min="5638" max="5638" width="20.6640625" style="264" bestFit="1" customWidth="1"/>
    <col min="5639" max="5888" width="9.33203125" style="264"/>
    <col min="5889" max="5889" width="6.6640625" style="264" customWidth="1"/>
    <col min="5890" max="5890" width="4.33203125" style="264" customWidth="1"/>
    <col min="5891" max="5891" width="53.33203125" style="264" customWidth="1"/>
    <col min="5892" max="5892" width="7.1640625" style="264" bestFit="1" customWidth="1"/>
    <col min="5893" max="5893" width="7.83203125" style="264" customWidth="1"/>
    <col min="5894" max="5894" width="20.6640625" style="264" bestFit="1" customWidth="1"/>
    <col min="5895" max="6144" width="9.33203125" style="264"/>
    <col min="6145" max="6145" width="6.6640625" style="264" customWidth="1"/>
    <col min="6146" max="6146" width="4.33203125" style="264" customWidth="1"/>
    <col min="6147" max="6147" width="53.33203125" style="264" customWidth="1"/>
    <col min="6148" max="6148" width="7.1640625" style="264" bestFit="1" customWidth="1"/>
    <col min="6149" max="6149" width="7.83203125" style="264" customWidth="1"/>
    <col min="6150" max="6150" width="20.6640625" style="264" bestFit="1" customWidth="1"/>
    <col min="6151" max="6400" width="9.33203125" style="264"/>
    <col min="6401" max="6401" width="6.6640625" style="264" customWidth="1"/>
    <col min="6402" max="6402" width="4.33203125" style="264" customWidth="1"/>
    <col min="6403" max="6403" width="53.33203125" style="264" customWidth="1"/>
    <col min="6404" max="6404" width="7.1640625" style="264" bestFit="1" customWidth="1"/>
    <col min="6405" max="6405" width="7.83203125" style="264" customWidth="1"/>
    <col min="6406" max="6406" width="20.6640625" style="264" bestFit="1" customWidth="1"/>
    <col min="6407" max="6656" width="9.33203125" style="264"/>
    <col min="6657" max="6657" width="6.6640625" style="264" customWidth="1"/>
    <col min="6658" max="6658" width="4.33203125" style="264" customWidth="1"/>
    <col min="6659" max="6659" width="53.33203125" style="264" customWidth="1"/>
    <col min="6660" max="6660" width="7.1640625" style="264" bestFit="1" customWidth="1"/>
    <col min="6661" max="6661" width="7.83203125" style="264" customWidth="1"/>
    <col min="6662" max="6662" width="20.6640625" style="264" bestFit="1" customWidth="1"/>
    <col min="6663" max="6912" width="9.33203125" style="264"/>
    <col min="6913" max="6913" width="6.6640625" style="264" customWidth="1"/>
    <col min="6914" max="6914" width="4.33203125" style="264" customWidth="1"/>
    <col min="6915" max="6915" width="53.33203125" style="264" customWidth="1"/>
    <col min="6916" max="6916" width="7.1640625" style="264" bestFit="1" customWidth="1"/>
    <col min="6917" max="6917" width="7.83203125" style="264" customWidth="1"/>
    <col min="6918" max="6918" width="20.6640625" style="264" bestFit="1" customWidth="1"/>
    <col min="6919" max="7168" width="9.33203125" style="264"/>
    <col min="7169" max="7169" width="6.6640625" style="264" customWidth="1"/>
    <col min="7170" max="7170" width="4.33203125" style="264" customWidth="1"/>
    <col min="7171" max="7171" width="53.33203125" style="264" customWidth="1"/>
    <col min="7172" max="7172" width="7.1640625" style="264" bestFit="1" customWidth="1"/>
    <col min="7173" max="7173" width="7.83203125" style="264" customWidth="1"/>
    <col min="7174" max="7174" width="20.6640625" style="264" bestFit="1" customWidth="1"/>
    <col min="7175" max="7424" width="9.33203125" style="264"/>
    <col min="7425" max="7425" width="6.6640625" style="264" customWidth="1"/>
    <col min="7426" max="7426" width="4.33203125" style="264" customWidth="1"/>
    <col min="7427" max="7427" width="53.33203125" style="264" customWidth="1"/>
    <col min="7428" max="7428" width="7.1640625" style="264" bestFit="1" customWidth="1"/>
    <col min="7429" max="7429" width="7.83203125" style="264" customWidth="1"/>
    <col min="7430" max="7430" width="20.6640625" style="264" bestFit="1" customWidth="1"/>
    <col min="7431" max="7680" width="9.33203125" style="264"/>
    <col min="7681" max="7681" width="6.6640625" style="264" customWidth="1"/>
    <col min="7682" max="7682" width="4.33203125" style="264" customWidth="1"/>
    <col min="7683" max="7683" width="53.33203125" style="264" customWidth="1"/>
    <col min="7684" max="7684" width="7.1640625" style="264" bestFit="1" customWidth="1"/>
    <col min="7685" max="7685" width="7.83203125" style="264" customWidth="1"/>
    <col min="7686" max="7686" width="20.6640625" style="264" bestFit="1" customWidth="1"/>
    <col min="7687" max="7936" width="9.33203125" style="264"/>
    <col min="7937" max="7937" width="6.6640625" style="264" customWidth="1"/>
    <col min="7938" max="7938" width="4.33203125" style="264" customWidth="1"/>
    <col min="7939" max="7939" width="53.33203125" style="264" customWidth="1"/>
    <col min="7940" max="7940" width="7.1640625" style="264" bestFit="1" customWidth="1"/>
    <col min="7941" max="7941" width="7.83203125" style="264" customWidth="1"/>
    <col min="7942" max="7942" width="20.6640625" style="264" bestFit="1" customWidth="1"/>
    <col min="7943" max="8192" width="9.33203125" style="264"/>
    <col min="8193" max="8193" width="6.6640625" style="264" customWidth="1"/>
    <col min="8194" max="8194" width="4.33203125" style="264" customWidth="1"/>
    <col min="8195" max="8195" width="53.33203125" style="264" customWidth="1"/>
    <col min="8196" max="8196" width="7.1640625" style="264" bestFit="1" customWidth="1"/>
    <col min="8197" max="8197" width="7.83203125" style="264" customWidth="1"/>
    <col min="8198" max="8198" width="20.6640625" style="264" bestFit="1" customWidth="1"/>
    <col min="8199" max="8448" width="9.33203125" style="264"/>
    <col min="8449" max="8449" width="6.6640625" style="264" customWidth="1"/>
    <col min="8450" max="8450" width="4.33203125" style="264" customWidth="1"/>
    <col min="8451" max="8451" width="53.33203125" style="264" customWidth="1"/>
    <col min="8452" max="8452" width="7.1640625" style="264" bestFit="1" customWidth="1"/>
    <col min="8453" max="8453" width="7.83203125" style="264" customWidth="1"/>
    <col min="8454" max="8454" width="20.6640625" style="264" bestFit="1" customWidth="1"/>
    <col min="8455" max="8704" width="9.33203125" style="264"/>
    <col min="8705" max="8705" width="6.6640625" style="264" customWidth="1"/>
    <col min="8706" max="8706" width="4.33203125" style="264" customWidth="1"/>
    <col min="8707" max="8707" width="53.33203125" style="264" customWidth="1"/>
    <col min="8708" max="8708" width="7.1640625" style="264" bestFit="1" customWidth="1"/>
    <col min="8709" max="8709" width="7.83203125" style="264" customWidth="1"/>
    <col min="8710" max="8710" width="20.6640625" style="264" bestFit="1" customWidth="1"/>
    <col min="8711" max="8960" width="9.33203125" style="264"/>
    <col min="8961" max="8961" width="6.6640625" style="264" customWidth="1"/>
    <col min="8962" max="8962" width="4.33203125" style="264" customWidth="1"/>
    <col min="8963" max="8963" width="53.33203125" style="264" customWidth="1"/>
    <col min="8964" max="8964" width="7.1640625" style="264" bestFit="1" customWidth="1"/>
    <col min="8965" max="8965" width="7.83203125" style="264" customWidth="1"/>
    <col min="8966" max="8966" width="20.6640625" style="264" bestFit="1" customWidth="1"/>
    <col min="8967" max="9216" width="9.33203125" style="264"/>
    <col min="9217" max="9217" width="6.6640625" style="264" customWidth="1"/>
    <col min="9218" max="9218" width="4.33203125" style="264" customWidth="1"/>
    <col min="9219" max="9219" width="53.33203125" style="264" customWidth="1"/>
    <col min="9220" max="9220" width="7.1640625" style="264" bestFit="1" customWidth="1"/>
    <col min="9221" max="9221" width="7.83203125" style="264" customWidth="1"/>
    <col min="9222" max="9222" width="20.6640625" style="264" bestFit="1" customWidth="1"/>
    <col min="9223" max="9472" width="9.33203125" style="264"/>
    <col min="9473" max="9473" width="6.6640625" style="264" customWidth="1"/>
    <col min="9474" max="9474" width="4.33203125" style="264" customWidth="1"/>
    <col min="9475" max="9475" width="53.33203125" style="264" customWidth="1"/>
    <col min="9476" max="9476" width="7.1640625" style="264" bestFit="1" customWidth="1"/>
    <col min="9477" max="9477" width="7.83203125" style="264" customWidth="1"/>
    <col min="9478" max="9478" width="20.6640625" style="264" bestFit="1" customWidth="1"/>
    <col min="9479" max="9728" width="9.33203125" style="264"/>
    <col min="9729" max="9729" width="6.6640625" style="264" customWidth="1"/>
    <col min="9730" max="9730" width="4.33203125" style="264" customWidth="1"/>
    <col min="9731" max="9731" width="53.33203125" style="264" customWidth="1"/>
    <col min="9732" max="9732" width="7.1640625" style="264" bestFit="1" customWidth="1"/>
    <col min="9733" max="9733" width="7.83203125" style="264" customWidth="1"/>
    <col min="9734" max="9734" width="20.6640625" style="264" bestFit="1" customWidth="1"/>
    <col min="9735" max="9984" width="9.33203125" style="264"/>
    <col min="9985" max="9985" width="6.6640625" style="264" customWidth="1"/>
    <col min="9986" max="9986" width="4.33203125" style="264" customWidth="1"/>
    <col min="9987" max="9987" width="53.33203125" style="264" customWidth="1"/>
    <col min="9988" max="9988" width="7.1640625" style="264" bestFit="1" customWidth="1"/>
    <col min="9989" max="9989" width="7.83203125" style="264" customWidth="1"/>
    <col min="9990" max="9990" width="20.6640625" style="264" bestFit="1" customWidth="1"/>
    <col min="9991" max="10240" width="9.33203125" style="264"/>
    <col min="10241" max="10241" width="6.6640625" style="264" customWidth="1"/>
    <col min="10242" max="10242" width="4.33203125" style="264" customWidth="1"/>
    <col min="10243" max="10243" width="53.33203125" style="264" customWidth="1"/>
    <col min="10244" max="10244" width="7.1640625" style="264" bestFit="1" customWidth="1"/>
    <col min="10245" max="10245" width="7.83203125" style="264" customWidth="1"/>
    <col min="10246" max="10246" width="20.6640625" style="264" bestFit="1" customWidth="1"/>
    <col min="10247" max="10496" width="9.33203125" style="264"/>
    <col min="10497" max="10497" width="6.6640625" style="264" customWidth="1"/>
    <col min="10498" max="10498" width="4.33203125" style="264" customWidth="1"/>
    <col min="10499" max="10499" width="53.33203125" style="264" customWidth="1"/>
    <col min="10500" max="10500" width="7.1640625" style="264" bestFit="1" customWidth="1"/>
    <col min="10501" max="10501" width="7.83203125" style="264" customWidth="1"/>
    <col min="10502" max="10502" width="20.6640625" style="264" bestFit="1" customWidth="1"/>
    <col min="10503" max="10752" width="9.33203125" style="264"/>
    <col min="10753" max="10753" width="6.6640625" style="264" customWidth="1"/>
    <col min="10754" max="10754" width="4.33203125" style="264" customWidth="1"/>
    <col min="10755" max="10755" width="53.33203125" style="264" customWidth="1"/>
    <col min="10756" max="10756" width="7.1640625" style="264" bestFit="1" customWidth="1"/>
    <col min="10757" max="10757" width="7.83203125" style="264" customWidth="1"/>
    <col min="10758" max="10758" width="20.6640625" style="264" bestFit="1" customWidth="1"/>
    <col min="10759" max="11008" width="9.33203125" style="264"/>
    <col min="11009" max="11009" width="6.6640625" style="264" customWidth="1"/>
    <col min="11010" max="11010" width="4.33203125" style="264" customWidth="1"/>
    <col min="11011" max="11011" width="53.33203125" style="264" customWidth="1"/>
    <col min="11012" max="11012" width="7.1640625" style="264" bestFit="1" customWidth="1"/>
    <col min="11013" max="11013" width="7.83203125" style="264" customWidth="1"/>
    <col min="11014" max="11014" width="20.6640625" style="264" bestFit="1" customWidth="1"/>
    <col min="11015" max="11264" width="9.33203125" style="264"/>
    <col min="11265" max="11265" width="6.6640625" style="264" customWidth="1"/>
    <col min="11266" max="11266" width="4.33203125" style="264" customWidth="1"/>
    <col min="11267" max="11267" width="53.33203125" style="264" customWidth="1"/>
    <col min="11268" max="11268" width="7.1640625" style="264" bestFit="1" customWidth="1"/>
    <col min="11269" max="11269" width="7.83203125" style="264" customWidth="1"/>
    <col min="11270" max="11270" width="20.6640625" style="264" bestFit="1" customWidth="1"/>
    <col min="11271" max="11520" width="9.33203125" style="264"/>
    <col min="11521" max="11521" width="6.6640625" style="264" customWidth="1"/>
    <col min="11522" max="11522" width="4.33203125" style="264" customWidth="1"/>
    <col min="11523" max="11523" width="53.33203125" style="264" customWidth="1"/>
    <col min="11524" max="11524" width="7.1640625" style="264" bestFit="1" customWidth="1"/>
    <col min="11525" max="11525" width="7.83203125" style="264" customWidth="1"/>
    <col min="11526" max="11526" width="20.6640625" style="264" bestFit="1" customWidth="1"/>
    <col min="11527" max="11776" width="9.33203125" style="264"/>
    <col min="11777" max="11777" width="6.6640625" style="264" customWidth="1"/>
    <col min="11778" max="11778" width="4.33203125" style="264" customWidth="1"/>
    <col min="11779" max="11779" width="53.33203125" style="264" customWidth="1"/>
    <col min="11780" max="11780" width="7.1640625" style="264" bestFit="1" customWidth="1"/>
    <col min="11781" max="11781" width="7.83203125" style="264" customWidth="1"/>
    <col min="11782" max="11782" width="20.6640625" style="264" bestFit="1" customWidth="1"/>
    <col min="11783" max="12032" width="9.33203125" style="264"/>
    <col min="12033" max="12033" width="6.6640625" style="264" customWidth="1"/>
    <col min="12034" max="12034" width="4.33203125" style="264" customWidth="1"/>
    <col min="12035" max="12035" width="53.33203125" style="264" customWidth="1"/>
    <col min="12036" max="12036" width="7.1640625" style="264" bestFit="1" customWidth="1"/>
    <col min="12037" max="12037" width="7.83203125" style="264" customWidth="1"/>
    <col min="12038" max="12038" width="20.6640625" style="264" bestFit="1" customWidth="1"/>
    <col min="12039" max="12288" width="9.33203125" style="264"/>
    <col min="12289" max="12289" width="6.6640625" style="264" customWidth="1"/>
    <col min="12290" max="12290" width="4.33203125" style="264" customWidth="1"/>
    <col min="12291" max="12291" width="53.33203125" style="264" customWidth="1"/>
    <col min="12292" max="12292" width="7.1640625" style="264" bestFit="1" customWidth="1"/>
    <col min="12293" max="12293" width="7.83203125" style="264" customWidth="1"/>
    <col min="12294" max="12294" width="20.6640625" style="264" bestFit="1" customWidth="1"/>
    <col min="12295" max="12544" width="9.33203125" style="264"/>
    <col min="12545" max="12545" width="6.6640625" style="264" customWidth="1"/>
    <col min="12546" max="12546" width="4.33203125" style="264" customWidth="1"/>
    <col min="12547" max="12547" width="53.33203125" style="264" customWidth="1"/>
    <col min="12548" max="12548" width="7.1640625" style="264" bestFit="1" customWidth="1"/>
    <col min="12549" max="12549" width="7.83203125" style="264" customWidth="1"/>
    <col min="12550" max="12550" width="20.6640625" style="264" bestFit="1" customWidth="1"/>
    <col min="12551" max="12800" width="9.33203125" style="264"/>
    <col min="12801" max="12801" width="6.6640625" style="264" customWidth="1"/>
    <col min="12802" max="12802" width="4.33203125" style="264" customWidth="1"/>
    <col min="12803" max="12803" width="53.33203125" style="264" customWidth="1"/>
    <col min="12804" max="12804" width="7.1640625" style="264" bestFit="1" customWidth="1"/>
    <col min="12805" max="12805" width="7.83203125" style="264" customWidth="1"/>
    <col min="12806" max="12806" width="20.6640625" style="264" bestFit="1" customWidth="1"/>
    <col min="12807" max="13056" width="9.33203125" style="264"/>
    <col min="13057" max="13057" width="6.6640625" style="264" customWidth="1"/>
    <col min="13058" max="13058" width="4.33203125" style="264" customWidth="1"/>
    <col min="13059" max="13059" width="53.33203125" style="264" customWidth="1"/>
    <col min="13060" max="13060" width="7.1640625" style="264" bestFit="1" customWidth="1"/>
    <col min="13061" max="13061" width="7.83203125" style="264" customWidth="1"/>
    <col min="13062" max="13062" width="20.6640625" style="264" bestFit="1" customWidth="1"/>
    <col min="13063" max="13312" width="9.33203125" style="264"/>
    <col min="13313" max="13313" width="6.6640625" style="264" customWidth="1"/>
    <col min="13314" max="13314" width="4.33203125" style="264" customWidth="1"/>
    <col min="13315" max="13315" width="53.33203125" style="264" customWidth="1"/>
    <col min="13316" max="13316" width="7.1640625" style="264" bestFit="1" customWidth="1"/>
    <col min="13317" max="13317" width="7.83203125" style="264" customWidth="1"/>
    <col min="13318" max="13318" width="20.6640625" style="264" bestFit="1" customWidth="1"/>
    <col min="13319" max="13568" width="9.33203125" style="264"/>
    <col min="13569" max="13569" width="6.6640625" style="264" customWidth="1"/>
    <col min="13570" max="13570" width="4.33203125" style="264" customWidth="1"/>
    <col min="13571" max="13571" width="53.33203125" style="264" customWidth="1"/>
    <col min="13572" max="13572" width="7.1640625" style="264" bestFit="1" customWidth="1"/>
    <col min="13573" max="13573" width="7.83203125" style="264" customWidth="1"/>
    <col min="13574" max="13574" width="20.6640625" style="264" bestFit="1" customWidth="1"/>
    <col min="13575" max="13824" width="9.33203125" style="264"/>
    <col min="13825" max="13825" width="6.6640625" style="264" customWidth="1"/>
    <col min="13826" max="13826" width="4.33203125" style="264" customWidth="1"/>
    <col min="13827" max="13827" width="53.33203125" style="264" customWidth="1"/>
    <col min="13828" max="13828" width="7.1640625" style="264" bestFit="1" customWidth="1"/>
    <col min="13829" max="13829" width="7.83203125" style="264" customWidth="1"/>
    <col min="13830" max="13830" width="20.6640625" style="264" bestFit="1" customWidth="1"/>
    <col min="13831" max="14080" width="9.33203125" style="264"/>
    <col min="14081" max="14081" width="6.6640625" style="264" customWidth="1"/>
    <col min="14082" max="14082" width="4.33203125" style="264" customWidth="1"/>
    <col min="14083" max="14083" width="53.33203125" style="264" customWidth="1"/>
    <col min="14084" max="14084" width="7.1640625" style="264" bestFit="1" customWidth="1"/>
    <col min="14085" max="14085" width="7.83203125" style="264" customWidth="1"/>
    <col min="14086" max="14086" width="20.6640625" style="264" bestFit="1" customWidth="1"/>
    <col min="14087" max="14336" width="9.33203125" style="264"/>
    <col min="14337" max="14337" width="6.6640625" style="264" customWidth="1"/>
    <col min="14338" max="14338" width="4.33203125" style="264" customWidth="1"/>
    <col min="14339" max="14339" width="53.33203125" style="264" customWidth="1"/>
    <col min="14340" max="14340" width="7.1640625" style="264" bestFit="1" customWidth="1"/>
    <col min="14341" max="14341" width="7.83203125" style="264" customWidth="1"/>
    <col min="14342" max="14342" width="20.6640625" style="264" bestFit="1" customWidth="1"/>
    <col min="14343" max="14592" width="9.33203125" style="264"/>
    <col min="14593" max="14593" width="6.6640625" style="264" customWidth="1"/>
    <col min="14594" max="14594" width="4.33203125" style="264" customWidth="1"/>
    <col min="14595" max="14595" width="53.33203125" style="264" customWidth="1"/>
    <col min="14596" max="14596" width="7.1640625" style="264" bestFit="1" customWidth="1"/>
    <col min="14597" max="14597" width="7.83203125" style="264" customWidth="1"/>
    <col min="14598" max="14598" width="20.6640625" style="264" bestFit="1" customWidth="1"/>
    <col min="14599" max="14848" width="9.33203125" style="264"/>
    <col min="14849" max="14849" width="6.6640625" style="264" customWidth="1"/>
    <col min="14850" max="14850" width="4.33203125" style="264" customWidth="1"/>
    <col min="14851" max="14851" width="53.33203125" style="264" customWidth="1"/>
    <col min="14852" max="14852" width="7.1640625" style="264" bestFit="1" customWidth="1"/>
    <col min="14853" max="14853" width="7.83203125" style="264" customWidth="1"/>
    <col min="14854" max="14854" width="20.6640625" style="264" bestFit="1" customWidth="1"/>
    <col min="14855" max="15104" width="9.33203125" style="264"/>
    <col min="15105" max="15105" width="6.6640625" style="264" customWidth="1"/>
    <col min="15106" max="15106" width="4.33203125" style="264" customWidth="1"/>
    <col min="15107" max="15107" width="53.33203125" style="264" customWidth="1"/>
    <col min="15108" max="15108" width="7.1640625" style="264" bestFit="1" customWidth="1"/>
    <col min="15109" max="15109" width="7.83203125" style="264" customWidth="1"/>
    <col min="15110" max="15110" width="20.6640625" style="264" bestFit="1" customWidth="1"/>
    <col min="15111" max="15360" width="9.33203125" style="264"/>
    <col min="15361" max="15361" width="6.6640625" style="264" customWidth="1"/>
    <col min="15362" max="15362" width="4.33203125" style="264" customWidth="1"/>
    <col min="15363" max="15363" width="53.33203125" style="264" customWidth="1"/>
    <col min="15364" max="15364" width="7.1640625" style="264" bestFit="1" customWidth="1"/>
    <col min="15365" max="15365" width="7.83203125" style="264" customWidth="1"/>
    <col min="15366" max="15366" width="20.6640625" style="264" bestFit="1" customWidth="1"/>
    <col min="15367" max="15616" width="9.33203125" style="264"/>
    <col min="15617" max="15617" width="6.6640625" style="264" customWidth="1"/>
    <col min="15618" max="15618" width="4.33203125" style="264" customWidth="1"/>
    <col min="15619" max="15619" width="53.33203125" style="264" customWidth="1"/>
    <col min="15620" max="15620" width="7.1640625" style="264" bestFit="1" customWidth="1"/>
    <col min="15621" max="15621" width="7.83203125" style="264" customWidth="1"/>
    <col min="15622" max="15622" width="20.6640625" style="264" bestFit="1" customWidth="1"/>
    <col min="15623" max="15872" width="9.33203125" style="264"/>
    <col min="15873" max="15873" width="6.6640625" style="264" customWidth="1"/>
    <col min="15874" max="15874" width="4.33203125" style="264" customWidth="1"/>
    <col min="15875" max="15875" width="53.33203125" style="264" customWidth="1"/>
    <col min="15876" max="15876" width="7.1640625" style="264" bestFit="1" customWidth="1"/>
    <col min="15877" max="15877" width="7.83203125" style="264" customWidth="1"/>
    <col min="15878" max="15878" width="20.6640625" style="264" bestFit="1" customWidth="1"/>
    <col min="15879" max="16128" width="9.33203125" style="264"/>
    <col min="16129" max="16129" width="6.6640625" style="264" customWidth="1"/>
    <col min="16130" max="16130" width="4.33203125" style="264" customWidth="1"/>
    <col min="16131" max="16131" width="53.33203125" style="264" customWidth="1"/>
    <col min="16132" max="16132" width="7.1640625" style="264" bestFit="1" customWidth="1"/>
    <col min="16133" max="16133" width="7.83203125" style="264" customWidth="1"/>
    <col min="16134" max="16134" width="20.6640625" style="264" bestFit="1" customWidth="1"/>
    <col min="16135" max="16384" width="9.33203125" style="264"/>
  </cols>
  <sheetData>
    <row r="1" spans="1:6" x14ac:dyDescent="0.2">
      <c r="A1" s="453" t="s">
        <v>44</v>
      </c>
      <c r="B1" s="453"/>
      <c r="C1" s="453"/>
      <c r="D1" s="453"/>
      <c r="E1" s="453"/>
      <c r="F1" s="453"/>
    </row>
    <row r="2" spans="1:6" x14ac:dyDescent="0.2">
      <c r="A2" s="453" t="s">
        <v>1078</v>
      </c>
      <c r="B2" s="453"/>
      <c r="C2" s="453"/>
      <c r="D2" s="453"/>
      <c r="E2" s="453"/>
      <c r="F2" s="453"/>
    </row>
    <row r="3" spans="1:6" x14ac:dyDescent="0.2">
      <c r="A3" s="453" t="s">
        <v>1086</v>
      </c>
      <c r="B3" s="453"/>
      <c r="C3" s="453"/>
      <c r="D3" s="453"/>
      <c r="E3" s="453"/>
      <c r="F3" s="453"/>
    </row>
    <row r="4" spans="1:6" x14ac:dyDescent="0.2">
      <c r="A4" s="285"/>
      <c r="B4" s="285"/>
      <c r="C4" s="285"/>
      <c r="D4" s="285"/>
      <c r="E4" s="285"/>
      <c r="F4" s="285"/>
    </row>
    <row r="5" spans="1:6" x14ac:dyDescent="0.2">
      <c r="A5" s="287"/>
      <c r="B5" s="287"/>
      <c r="C5" s="288"/>
      <c r="D5" s="289"/>
      <c r="E5" s="290"/>
      <c r="F5" s="291"/>
    </row>
    <row r="6" spans="1:6" x14ac:dyDescent="0.2">
      <c r="A6" s="292"/>
      <c r="B6" s="292"/>
      <c r="C6" s="292"/>
      <c r="D6" s="292"/>
      <c r="E6" s="292"/>
      <c r="F6" s="346" t="s">
        <v>1079</v>
      </c>
    </row>
    <row r="7" spans="1:6" x14ac:dyDescent="0.2">
      <c r="A7" s="346" t="s">
        <v>5</v>
      </c>
      <c r="B7" s="346"/>
      <c r="C7" s="292"/>
      <c r="D7" s="292"/>
      <c r="E7" s="292"/>
      <c r="F7" s="346" t="s">
        <v>1080</v>
      </c>
    </row>
    <row r="8" spans="1:6" x14ac:dyDescent="0.2">
      <c r="A8" s="293" t="s">
        <v>9</v>
      </c>
      <c r="B8" s="293"/>
      <c r="C8" s="294" t="s">
        <v>24</v>
      </c>
      <c r="D8" s="295"/>
      <c r="E8" s="296"/>
      <c r="F8" s="293" t="s">
        <v>1081</v>
      </c>
    </row>
    <row r="9" spans="1:6" x14ac:dyDescent="0.2">
      <c r="A9" s="297"/>
      <c r="B9" s="285"/>
      <c r="C9" s="285"/>
      <c r="D9" s="285"/>
      <c r="E9" s="285"/>
      <c r="F9" s="285"/>
    </row>
    <row r="10" spans="1:6" x14ac:dyDescent="0.2">
      <c r="A10" s="346" t="s">
        <v>1065</v>
      </c>
      <c r="B10" s="346"/>
      <c r="C10" s="286" t="s">
        <v>27</v>
      </c>
      <c r="D10" s="285"/>
      <c r="E10" s="285"/>
      <c r="F10" s="444">
        <v>1</v>
      </c>
    </row>
    <row r="11" spans="1:6" x14ac:dyDescent="0.2">
      <c r="A11" s="292"/>
      <c r="B11" s="285"/>
      <c r="C11" s="285"/>
      <c r="D11" s="285"/>
      <c r="E11" s="285"/>
      <c r="F11" s="285"/>
    </row>
    <row r="12" spans="1:6" x14ac:dyDescent="0.2">
      <c r="A12" s="346" t="s">
        <v>1067</v>
      </c>
      <c r="B12" s="346"/>
      <c r="C12" s="286" t="s">
        <v>821</v>
      </c>
      <c r="D12" s="285"/>
      <c r="E12" s="285"/>
      <c r="F12" s="444">
        <f>(0.568963%)*0</f>
        <v>0</v>
      </c>
    </row>
    <row r="13" spans="1:6" x14ac:dyDescent="0.2">
      <c r="A13" s="292"/>
      <c r="B13" s="285"/>
      <c r="C13" s="285"/>
      <c r="D13" s="285"/>
      <c r="E13" s="285"/>
      <c r="F13" s="285"/>
    </row>
    <row r="14" spans="1:6" x14ac:dyDescent="0.2">
      <c r="A14" s="292">
        <f>A12+1</f>
        <v>3</v>
      </c>
      <c r="B14" s="285"/>
      <c r="C14" s="285" t="s">
        <v>822</v>
      </c>
      <c r="D14" s="285"/>
      <c r="E14" s="285"/>
      <c r="F14" s="444">
        <f>(0.1754%)*0</f>
        <v>0</v>
      </c>
    </row>
    <row r="15" spans="1:6" x14ac:dyDescent="0.2">
      <c r="A15" s="292"/>
      <c r="B15" s="285"/>
      <c r="C15" s="285"/>
      <c r="D15" s="285"/>
      <c r="E15" s="285"/>
      <c r="F15" s="285"/>
    </row>
    <row r="16" spans="1:6" x14ac:dyDescent="0.2">
      <c r="A16" s="346" t="s">
        <v>1071</v>
      </c>
      <c r="B16" s="346"/>
      <c r="C16" s="286" t="s">
        <v>823</v>
      </c>
      <c r="D16" s="285"/>
      <c r="E16" s="285"/>
      <c r="F16" s="298">
        <f>F10-F12-F14</f>
        <v>1</v>
      </c>
    </row>
    <row r="17" spans="1:6" x14ac:dyDescent="0.2">
      <c r="A17" s="292"/>
      <c r="B17" s="285"/>
      <c r="C17" s="285"/>
      <c r="D17" s="285"/>
      <c r="E17" s="285"/>
      <c r="F17" s="285"/>
    </row>
    <row r="18" spans="1:6" x14ac:dyDescent="0.2">
      <c r="A18" s="346" t="s">
        <v>1073</v>
      </c>
      <c r="B18" s="346"/>
      <c r="C18" s="286" t="s">
        <v>824</v>
      </c>
      <c r="D18" s="445">
        <v>0.06</v>
      </c>
      <c r="E18" s="285"/>
      <c r="F18" s="299">
        <f>ROUND(F16*D18,8)</f>
        <v>0.06</v>
      </c>
    </row>
    <row r="19" spans="1:6" x14ac:dyDescent="0.2">
      <c r="A19" s="292"/>
      <c r="B19" s="285"/>
      <c r="C19" s="285"/>
      <c r="D19" s="285"/>
      <c r="E19" s="285"/>
      <c r="F19" s="285"/>
    </row>
    <row r="20" spans="1:6" x14ac:dyDescent="0.2">
      <c r="A20" s="346" t="s">
        <v>1075</v>
      </c>
      <c r="B20" s="346"/>
      <c r="C20" s="286" t="s">
        <v>825</v>
      </c>
      <c r="D20" s="285"/>
      <c r="E20" s="285"/>
      <c r="F20" s="298">
        <f>(F16-F18)</f>
        <v>0.94</v>
      </c>
    </row>
    <row r="21" spans="1:6" x14ac:dyDescent="0.2">
      <c r="A21" s="292"/>
      <c r="B21" s="285"/>
      <c r="C21" s="285"/>
      <c r="D21" s="285"/>
      <c r="E21" s="285"/>
      <c r="F21" s="285"/>
    </row>
    <row r="22" spans="1:6" x14ac:dyDescent="0.2">
      <c r="A22" s="346" t="s">
        <v>1076</v>
      </c>
      <c r="B22" s="346"/>
      <c r="C22" s="286" t="s">
        <v>424</v>
      </c>
      <c r="D22" s="300">
        <v>0.35</v>
      </c>
      <c r="E22" s="285"/>
      <c r="F22" s="299">
        <f>ROUND(F20*D22,8)</f>
        <v>0.32900000000000001</v>
      </c>
    </row>
    <row r="23" spans="1:6" x14ac:dyDescent="0.2">
      <c r="A23" s="292"/>
      <c r="B23" s="285"/>
      <c r="C23" s="285"/>
      <c r="D23" s="285"/>
      <c r="E23" s="285"/>
      <c r="F23" s="285"/>
    </row>
    <row r="24" spans="1:6" x14ac:dyDescent="0.2">
      <c r="A24" s="346" t="s">
        <v>1082</v>
      </c>
      <c r="B24" s="346"/>
      <c r="C24" s="286" t="s">
        <v>826</v>
      </c>
      <c r="D24" s="285"/>
      <c r="E24" s="285"/>
      <c r="F24" s="298">
        <f>F20-F22</f>
        <v>0.61099999999999999</v>
      </c>
    </row>
    <row r="25" spans="1:6" x14ac:dyDescent="0.2">
      <c r="A25" s="292"/>
      <c r="B25" s="285"/>
      <c r="C25" s="285"/>
      <c r="D25" s="285"/>
      <c r="E25" s="285"/>
      <c r="F25" s="285"/>
    </row>
    <row r="26" spans="1:6" x14ac:dyDescent="0.2">
      <c r="A26" s="346" t="s">
        <v>1083</v>
      </c>
      <c r="B26" s="346"/>
      <c r="C26" s="286" t="s">
        <v>827</v>
      </c>
      <c r="D26" s="285"/>
      <c r="E26" s="285"/>
      <c r="F26" s="285"/>
    </row>
    <row r="27" spans="1:6" x14ac:dyDescent="0.2">
      <c r="A27" s="346" t="s">
        <v>1084</v>
      </c>
      <c r="B27" s="346"/>
      <c r="C27" s="286" t="s">
        <v>828</v>
      </c>
      <c r="D27" s="285"/>
      <c r="E27" s="285"/>
      <c r="F27" s="301">
        <f>ROUND(1/$F$24,6)</f>
        <v>1.6366609999999999</v>
      </c>
    </row>
    <row r="28" spans="1:6" x14ac:dyDescent="0.2">
      <c r="D28" s="302"/>
    </row>
    <row r="29" spans="1:6" x14ac:dyDescent="0.2">
      <c r="D29" s="302"/>
    </row>
    <row r="30" spans="1:6" x14ac:dyDescent="0.2">
      <c r="D30" s="302"/>
    </row>
    <row r="31" spans="1:6" x14ac:dyDescent="0.2">
      <c r="A31" s="344"/>
    </row>
    <row r="32" spans="1:6" x14ac:dyDescent="0.2">
      <c r="A32" s="344"/>
    </row>
    <row r="33" spans="1:4" x14ac:dyDescent="0.2">
      <c r="A33" s="303"/>
      <c r="B33" s="303"/>
      <c r="C33" s="303"/>
      <c r="D33" s="303"/>
    </row>
  </sheetData>
  <mergeCells count="3">
    <mergeCell ref="A1:F1"/>
    <mergeCell ref="A2:F2"/>
    <mergeCell ref="A3:F3"/>
  </mergeCell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1"/>
  <sheetViews>
    <sheetView zoomScaleNormal="100" zoomScaleSheetLayoutView="100" workbookViewId="0">
      <selection activeCell="G13" sqref="G13"/>
    </sheetView>
  </sheetViews>
  <sheetFormatPr defaultRowHeight="10.5" x14ac:dyDescent="0.15"/>
  <cols>
    <col min="1" max="1" width="4.83203125" style="330" customWidth="1"/>
    <col min="2" max="2" width="7.1640625" style="330" customWidth="1"/>
    <col min="3" max="3" width="48.33203125" style="330" customWidth="1"/>
    <col min="4" max="4" width="15.1640625" style="337" bestFit="1" customWidth="1"/>
    <col min="5" max="5" width="14.5" style="330" customWidth="1"/>
    <col min="6" max="6" width="13.1640625" style="330" customWidth="1"/>
    <col min="7" max="7" width="14.6640625" style="330" customWidth="1"/>
    <col min="8" max="8" width="13" style="330" customWidth="1"/>
    <col min="9" max="9" width="9" style="330" bestFit="1" customWidth="1"/>
    <col min="10" max="11" width="9.6640625" style="330" bestFit="1" customWidth="1"/>
    <col min="12" max="12" width="9.33203125" style="330"/>
    <col min="13" max="13" width="10.6640625" style="330" customWidth="1"/>
    <col min="14" max="14" width="9.6640625" style="330" bestFit="1" customWidth="1"/>
    <col min="15" max="16384" width="9.33203125" style="330"/>
  </cols>
  <sheetData>
    <row r="1" spans="1:11" ht="11.25" x14ac:dyDescent="0.2">
      <c r="A1" s="3" t="s">
        <v>811</v>
      </c>
      <c r="B1" s="3"/>
      <c r="C1" s="3"/>
      <c r="D1" s="325"/>
      <c r="E1" s="3"/>
      <c r="F1" s="325" t="str">
        <f>""&amp;+Input!$B$1</f>
        <v>COLUMBIA GAS OF KENTUCKY, INC.</v>
      </c>
      <c r="H1" s="3"/>
      <c r="I1" s="3"/>
      <c r="J1" s="3"/>
      <c r="K1" s="32" t="str">
        <f>Input!$B$2</f>
        <v>ATTACHMENT CEN-2</v>
      </c>
    </row>
    <row r="2" spans="1:11" ht="11.25" x14ac:dyDescent="0.2">
      <c r="A2" s="3" t="str">
        <f>Input!$B$7</f>
        <v>DEMAND-COMMODITY</v>
      </c>
      <c r="B2" s="3"/>
      <c r="C2" s="3"/>
      <c r="D2" s="325"/>
      <c r="E2" s="3"/>
      <c r="F2" s="325" t="s">
        <v>1130</v>
      </c>
      <c r="H2" s="3"/>
      <c r="I2" s="3"/>
      <c r="J2" s="3"/>
      <c r="K2" s="32" t="str">
        <f>"PAGE 26 OF "&amp;FIXED(Input!$B$8,0,TRUE)</f>
        <v>PAGE 26 OF 129</v>
      </c>
    </row>
    <row r="3" spans="1:11" ht="11.25" x14ac:dyDescent="0.2">
      <c r="A3" s="17" t="str">
        <f>Input!$B$6</f>
        <v>FORECASTED TEST YEAR - ORIGINAL FILING</v>
      </c>
      <c r="B3" s="17"/>
      <c r="C3" s="17"/>
      <c r="D3" s="34"/>
      <c r="E3" s="17"/>
      <c r="F3" s="19" t="str">
        <f>"FOR THE TWELVE MONTHS ENDED "&amp;Input!$B$4</f>
        <v>FOR THE TWELVE MONTHS ENDED 12/31/2017</v>
      </c>
      <c r="G3" s="329"/>
      <c r="H3" s="17"/>
      <c r="I3" s="17"/>
      <c r="J3" s="17"/>
      <c r="K3" s="183" t="str">
        <f>"WITNESS: "&amp;Input!$B$5</f>
        <v>WITNESS: C. NOTESTONE</v>
      </c>
    </row>
    <row r="4" spans="1:11" ht="11.25" x14ac:dyDescent="0.2">
      <c r="A4" s="325" t="s">
        <v>5</v>
      </c>
      <c r="B4" s="3" t="s">
        <v>6</v>
      </c>
      <c r="C4" s="3"/>
      <c r="D4" s="325" t="s">
        <v>811</v>
      </c>
      <c r="E4" s="325" t="s">
        <v>8</v>
      </c>
      <c r="F4" s="3"/>
      <c r="G4" s="3"/>
      <c r="H4" s="3"/>
      <c r="I4" s="3"/>
      <c r="J4" s="3"/>
      <c r="K4" s="3"/>
    </row>
    <row r="5" spans="1:11" ht="11.25" x14ac:dyDescent="0.2">
      <c r="A5" s="341" t="s">
        <v>9</v>
      </c>
      <c r="B5" s="341" t="s">
        <v>9</v>
      </c>
      <c r="C5" s="341" t="str">
        <f>"                        ACCOUNT TITLE                "</f>
        <v xml:space="preserve">                        ACCOUNT TITLE                </v>
      </c>
      <c r="D5" s="341" t="s">
        <v>10</v>
      </c>
      <c r="E5" s="341" t="s">
        <v>11</v>
      </c>
      <c r="F5" s="341" t="s">
        <v>804</v>
      </c>
      <c r="G5" s="341" t="s">
        <v>812</v>
      </c>
      <c r="H5" s="341" t="s">
        <v>813</v>
      </c>
      <c r="I5" s="447"/>
      <c r="J5" s="447"/>
      <c r="K5" s="447"/>
    </row>
    <row r="6" spans="1:11" ht="11.25" x14ac:dyDescent="0.2">
      <c r="A6" s="3"/>
      <c r="B6" s="342" t="s">
        <v>13</v>
      </c>
      <c r="C6" s="342" t="s">
        <v>14</v>
      </c>
      <c r="D6" s="325" t="s">
        <v>15</v>
      </c>
      <c r="E6" s="325" t="s">
        <v>16</v>
      </c>
      <c r="F6" s="325" t="s">
        <v>17</v>
      </c>
      <c r="G6" s="325" t="s">
        <v>18</v>
      </c>
      <c r="H6" s="325" t="s">
        <v>19</v>
      </c>
      <c r="I6" s="325"/>
      <c r="J6" s="325"/>
      <c r="K6" s="325"/>
    </row>
    <row r="7" spans="1:11" ht="11.25" x14ac:dyDescent="0.2">
      <c r="A7" s="3"/>
      <c r="B7" s="3"/>
      <c r="C7" s="3"/>
      <c r="D7" s="325"/>
      <c r="E7" s="325" t="s">
        <v>26</v>
      </c>
      <c r="F7" s="325" t="s">
        <v>26</v>
      </c>
      <c r="G7" s="325" t="s">
        <v>26</v>
      </c>
      <c r="H7" s="325" t="s">
        <v>26</v>
      </c>
      <c r="I7" s="325"/>
      <c r="J7" s="325"/>
      <c r="K7" s="325"/>
    </row>
    <row r="8" spans="1:11" ht="11.25" x14ac:dyDescent="0.2">
      <c r="A8" s="3">
        <v>1</v>
      </c>
      <c r="B8" s="3" t="s">
        <v>421</v>
      </c>
      <c r="C8" s="3"/>
      <c r="D8" s="325"/>
      <c r="E8" s="3">
        <f>E97</f>
        <v>92682166.75</v>
      </c>
      <c r="F8" s="3">
        <f ca="1">F97</f>
        <v>35066460</v>
      </c>
      <c r="G8" s="3">
        <f t="shared" ref="G8:H8" ca="1" si="0">G97</f>
        <v>37773621.149999991</v>
      </c>
      <c r="H8" s="3">
        <f t="shared" ca="1" si="0"/>
        <v>19842085.600000001</v>
      </c>
      <c r="I8" s="3"/>
      <c r="J8" s="3"/>
      <c r="K8" s="3"/>
    </row>
    <row r="9" spans="1:11" ht="11.25" x14ac:dyDescent="0.2">
      <c r="A9" s="3">
        <f>A8+1</f>
        <v>2</v>
      </c>
      <c r="B9" s="3" t="s">
        <v>833</v>
      </c>
      <c r="C9" s="3"/>
      <c r="D9" s="325"/>
      <c r="E9" s="26">
        <f>E10-E8</f>
        <v>25408372.659999982</v>
      </c>
      <c r="F9" s="26">
        <f t="shared" ref="F9:H9" ca="1" si="1">F10-F8</f>
        <v>12009000</v>
      </c>
      <c r="G9" s="26">
        <f t="shared" ca="1" si="1"/>
        <v>5893383.0000000075</v>
      </c>
      <c r="H9" s="26">
        <f t="shared" ca="1" si="1"/>
        <v>7505989.6599999815</v>
      </c>
      <c r="I9" s="3"/>
      <c r="J9" s="3"/>
      <c r="K9" s="3"/>
    </row>
    <row r="10" spans="1:11" ht="11.25" x14ac:dyDescent="0.2">
      <c r="A10" s="3">
        <f>A9+1</f>
        <v>3</v>
      </c>
      <c r="B10" s="3" t="s">
        <v>834</v>
      </c>
      <c r="C10" s="3"/>
      <c r="D10" s="325"/>
      <c r="E10" s="3">
        <f>SUM(Input!D549:D554)</f>
        <v>118090539.40999998</v>
      </c>
      <c r="F10" s="3">
        <f ca="1">SUM(Input!D562:D567)</f>
        <v>47075460</v>
      </c>
      <c r="G10" s="1">
        <f ca="1">SUM(Input!D571:D576)</f>
        <v>43667004.149999999</v>
      </c>
      <c r="H10" s="3">
        <f ca="1">E10-F10-G10</f>
        <v>27348075.259999983</v>
      </c>
      <c r="I10" s="3"/>
      <c r="J10" s="3"/>
      <c r="K10" s="3"/>
    </row>
    <row r="11" spans="1:11" ht="11.25" x14ac:dyDescent="0.2">
      <c r="A11" s="3"/>
      <c r="B11" s="3"/>
      <c r="C11" s="3"/>
      <c r="D11" s="325"/>
      <c r="E11" s="3"/>
      <c r="F11" s="1"/>
      <c r="G11" s="1"/>
      <c r="H11" s="1"/>
      <c r="I11" s="3"/>
      <c r="J11" s="3"/>
      <c r="K11" s="3"/>
    </row>
    <row r="12" spans="1:11" ht="11.25" x14ac:dyDescent="0.2">
      <c r="A12" s="3">
        <f>A10+1</f>
        <v>4</v>
      </c>
      <c r="B12" s="3" t="s">
        <v>409</v>
      </c>
      <c r="C12" s="3"/>
      <c r="D12" s="325"/>
      <c r="E12" s="3">
        <f>E99</f>
        <v>21475950.109999996</v>
      </c>
      <c r="F12" s="3">
        <f t="shared" ref="F12:H12" si="2">F99</f>
        <v>0</v>
      </c>
      <c r="G12" s="3">
        <f t="shared" si="2"/>
        <v>21475950</v>
      </c>
      <c r="H12" s="3">
        <f t="shared" si="2"/>
        <v>0</v>
      </c>
      <c r="I12" s="3"/>
      <c r="J12" s="1"/>
      <c r="K12" s="1"/>
    </row>
    <row r="13" spans="1:11" ht="11.25" x14ac:dyDescent="0.2">
      <c r="A13" s="3">
        <f t="shared" ref="A13:A18" si="3">A12+1</f>
        <v>5</v>
      </c>
      <c r="B13" s="3" t="s">
        <v>422</v>
      </c>
      <c r="C13" s="3"/>
      <c r="D13" s="325"/>
      <c r="E13" s="3">
        <f ca="1">E100+ROUND(E9*(Input!$E$40+Input!$E$41),0)</f>
        <v>45377931.589959994</v>
      </c>
      <c r="F13" s="3">
        <f ca="1">F100+ROUND(F9*(Input!$E$40+Input!$E$41),0)</f>
        <v>26951231</v>
      </c>
      <c r="G13" s="3">
        <f ca="1">G100+ROUND(G9*(Input!$E$40+Input!$E$41),0)</f>
        <v>9268657</v>
      </c>
      <c r="H13" s="3">
        <f ca="1">H100+ROUND(H9*(Input!$E$40+Input!$E$41),0)</f>
        <v>9158049</v>
      </c>
      <c r="I13" s="3"/>
      <c r="J13" s="1"/>
      <c r="K13" s="1"/>
    </row>
    <row r="14" spans="1:11" ht="11.25" x14ac:dyDescent="0.2">
      <c r="A14" s="3">
        <f t="shared" si="3"/>
        <v>6</v>
      </c>
      <c r="B14" s="3" t="s">
        <v>423</v>
      </c>
      <c r="C14" s="3"/>
      <c r="D14" s="325"/>
      <c r="E14" s="3">
        <f>E101</f>
        <v>15939786.563350823</v>
      </c>
      <c r="F14" s="3">
        <f t="shared" ref="F14:H14" si="4">F101</f>
        <v>9155554</v>
      </c>
      <c r="G14" s="3">
        <f t="shared" si="4"/>
        <v>3392118</v>
      </c>
      <c r="H14" s="3">
        <f t="shared" si="4"/>
        <v>3392118</v>
      </c>
      <c r="I14" s="3"/>
      <c r="J14" s="1"/>
      <c r="K14" s="1"/>
    </row>
    <row r="15" spans="1:11" ht="11.25" x14ac:dyDescent="0.2">
      <c r="A15" s="3">
        <f t="shared" si="3"/>
        <v>7</v>
      </c>
      <c r="B15" s="3" t="s">
        <v>424</v>
      </c>
      <c r="C15" s="3"/>
      <c r="D15" s="325"/>
      <c r="E15" s="1">
        <f ca="1">E102+ROUND(E9*Input!$E$45,0)</f>
        <v>7781828.1054743212</v>
      </c>
      <c r="F15" s="1">
        <f ca="1">F102+ROUND(F9*Input!$E$45,0)</f>
        <v>3081518</v>
      </c>
      <c r="G15" s="1">
        <f ca="1">G102+ROUND(G9*Input!$E$45,0)</f>
        <v>1676082</v>
      </c>
      <c r="H15" s="1">
        <f ca="1">H102+ROUND(H9*Input!$E$45,0)</f>
        <v>3024225</v>
      </c>
      <c r="I15" s="3"/>
      <c r="J15" s="1"/>
      <c r="K15" s="1"/>
    </row>
    <row r="16" spans="1:11" ht="11.25" x14ac:dyDescent="0.2">
      <c r="A16" s="3">
        <f t="shared" si="3"/>
        <v>8</v>
      </c>
      <c r="B16" s="3" t="s">
        <v>425</v>
      </c>
      <c r="C16" s="3"/>
      <c r="D16" s="325"/>
      <c r="E16" s="1">
        <f ca="1">E103+ROUND(E9*Input!$E$43,0)</f>
        <v>1416522</v>
      </c>
      <c r="F16" s="1">
        <f ca="1">F103+ROUND(F9*Input!$E$43,0)</f>
        <v>557528.08094200143</v>
      </c>
      <c r="G16" s="1">
        <f ca="1">G103+ROUND(G9*Input!$E$43,0)</f>
        <v>304358.26216391503</v>
      </c>
      <c r="H16" s="1">
        <f ca="1">H103+ROUND(H9*Input!$E$43,0)</f>
        <v>554636.31269455003</v>
      </c>
      <c r="I16" s="3"/>
      <c r="J16" s="1"/>
      <c r="K16" s="1"/>
    </row>
    <row r="17" spans="1:11" ht="11.25" x14ac:dyDescent="0.2">
      <c r="A17" s="3">
        <f t="shared" si="3"/>
        <v>9</v>
      </c>
      <c r="B17" s="3" t="s">
        <v>426</v>
      </c>
      <c r="C17" s="3"/>
      <c r="D17" s="325"/>
      <c r="E17" s="26">
        <f>E104</f>
        <v>4790881</v>
      </c>
      <c r="F17" s="26">
        <f>F104</f>
        <v>2165396</v>
      </c>
      <c r="G17" s="26">
        <f t="shared" ref="G17:H17" si="5">G104</f>
        <v>1315911</v>
      </c>
      <c r="H17" s="26">
        <f t="shared" si="5"/>
        <v>1309574</v>
      </c>
      <c r="I17" s="3"/>
      <c r="J17" s="116"/>
      <c r="K17" s="116"/>
    </row>
    <row r="18" spans="1:11" ht="11.25" x14ac:dyDescent="0.2">
      <c r="A18" s="3">
        <f t="shared" si="3"/>
        <v>10</v>
      </c>
      <c r="B18" s="3" t="s">
        <v>415</v>
      </c>
      <c r="C18" s="3"/>
      <c r="D18" s="325"/>
      <c r="E18" s="3">
        <f t="shared" ref="E18" ca="1" si="6">SUM(E12:E17)</f>
        <v>96782899.368785143</v>
      </c>
      <c r="F18" s="3">
        <f t="shared" ref="F18:H18" ca="1" si="7">SUM(F12:F17)</f>
        <v>41911227.080942005</v>
      </c>
      <c r="G18" s="3">
        <f t="shared" ca="1" si="7"/>
        <v>37433076.262163915</v>
      </c>
      <c r="H18" s="3">
        <f t="shared" ca="1" si="7"/>
        <v>17438602.31269455</v>
      </c>
      <c r="I18" s="3"/>
      <c r="J18" s="1"/>
      <c r="K18" s="1"/>
    </row>
    <row r="19" spans="1:11" ht="11.25" x14ac:dyDescent="0.2">
      <c r="A19" s="3"/>
      <c r="B19" s="3"/>
      <c r="C19" s="3"/>
      <c r="D19" s="325"/>
      <c r="E19" s="3"/>
      <c r="F19" s="1"/>
      <c r="G19" s="1"/>
      <c r="H19" s="1"/>
      <c r="I19" s="3"/>
      <c r="J19" s="1"/>
      <c r="K19" s="1"/>
    </row>
    <row r="20" spans="1:11" ht="11.25" x14ac:dyDescent="0.2">
      <c r="A20" s="3">
        <f>A18+1</f>
        <v>11</v>
      </c>
      <c r="B20" s="3" t="s">
        <v>48</v>
      </c>
      <c r="C20" s="3"/>
      <c r="D20" s="325"/>
      <c r="E20" s="3">
        <f ca="1">E10-E18</f>
        <v>21307640.041214839</v>
      </c>
      <c r="F20" s="3">
        <f t="shared" ref="F20:H20" ca="1" si="8">F10-F18</f>
        <v>5164232.9190579951</v>
      </c>
      <c r="G20" s="3">
        <f t="shared" ca="1" si="8"/>
        <v>6233927.8878360838</v>
      </c>
      <c r="H20" s="3">
        <f t="shared" ca="1" si="8"/>
        <v>9909472.9473054335</v>
      </c>
      <c r="I20" s="3"/>
      <c r="J20" s="1"/>
      <c r="K20" s="1"/>
    </row>
    <row r="21" spans="1:11" ht="11.25" x14ac:dyDescent="0.2">
      <c r="A21" s="3"/>
      <c r="B21" s="3"/>
      <c r="C21" s="3"/>
      <c r="D21" s="325"/>
      <c r="E21" s="3"/>
      <c r="F21" s="1"/>
      <c r="G21" s="1"/>
      <c r="H21" s="1"/>
      <c r="I21" s="3"/>
      <c r="J21" s="1"/>
      <c r="K21" s="1"/>
    </row>
    <row r="22" spans="1:11" ht="11.25" x14ac:dyDescent="0.2">
      <c r="A22" s="3">
        <f>A20+1</f>
        <v>12</v>
      </c>
      <c r="B22" s="3" t="s">
        <v>427</v>
      </c>
      <c r="C22" s="3"/>
      <c r="D22" s="325"/>
      <c r="E22" s="26">
        <f ca="1">E109</f>
        <v>6688725</v>
      </c>
      <c r="F22" s="26">
        <f t="shared" ref="F22:H22" ca="1" si="9">F109</f>
        <v>1910314</v>
      </c>
      <c r="G22" s="26">
        <f t="shared" ca="1" si="9"/>
        <v>1837904</v>
      </c>
      <c r="H22" s="26">
        <f t="shared" ca="1" si="9"/>
        <v>2940506</v>
      </c>
      <c r="I22" s="3"/>
      <c r="J22" s="116"/>
      <c r="K22" s="116"/>
    </row>
    <row r="23" spans="1:11" ht="11.25" x14ac:dyDescent="0.2">
      <c r="A23" s="3">
        <f>A22+1</f>
        <v>13</v>
      </c>
      <c r="B23" s="3" t="s">
        <v>417</v>
      </c>
      <c r="C23" s="3"/>
      <c r="D23" s="325"/>
      <c r="E23" s="3">
        <f t="shared" ref="E23:H23" ca="1" si="10">E20-E22</f>
        <v>14618915.041214839</v>
      </c>
      <c r="F23" s="1">
        <f t="shared" ca="1" si="10"/>
        <v>3253918.9190579951</v>
      </c>
      <c r="G23" s="1">
        <f t="shared" ca="1" si="10"/>
        <v>4396023.8878360838</v>
      </c>
      <c r="H23" s="1">
        <f t="shared" ca="1" si="10"/>
        <v>6968966.9473054335</v>
      </c>
      <c r="I23" s="3"/>
      <c r="J23" s="1"/>
      <c r="K23" s="1"/>
    </row>
    <row r="24" spans="1:11" ht="11.25" x14ac:dyDescent="0.2">
      <c r="A24" s="3"/>
      <c r="B24" s="3"/>
      <c r="C24" s="3"/>
      <c r="D24" s="325"/>
      <c r="E24" s="3"/>
      <c r="F24" s="1"/>
      <c r="G24" s="1"/>
      <c r="H24" s="1"/>
      <c r="I24" s="3"/>
      <c r="J24" s="1"/>
      <c r="K24" s="1"/>
    </row>
    <row r="25" spans="1:11" ht="11.25" x14ac:dyDescent="0.2">
      <c r="A25" s="3">
        <f>A23+1</f>
        <v>14</v>
      </c>
      <c r="B25" s="3" t="s">
        <v>428</v>
      </c>
      <c r="C25" s="3"/>
      <c r="D25" s="325"/>
      <c r="E25" s="3">
        <f ca="1">E113</f>
        <v>253360779.86538461</v>
      </c>
      <c r="F25" s="3">
        <f t="shared" ref="F25:H25" ca="1" si="11">F113</f>
        <v>72360386</v>
      </c>
      <c r="G25" s="3">
        <f t="shared" ca="1" si="11"/>
        <v>69617593</v>
      </c>
      <c r="H25" s="3">
        <f t="shared" ca="1" si="11"/>
        <v>111382801</v>
      </c>
      <c r="I25" s="3"/>
      <c r="J25" s="1"/>
      <c r="K25" s="1"/>
    </row>
    <row r="26" spans="1:11" ht="11.25" x14ac:dyDescent="0.2">
      <c r="A26" s="3"/>
      <c r="B26" s="3"/>
      <c r="C26" s="3"/>
      <c r="D26" s="325"/>
      <c r="E26" s="48"/>
      <c r="F26" s="186"/>
      <c r="G26" s="186"/>
      <c r="H26" s="186"/>
      <c r="I26" s="3"/>
      <c r="J26" s="186"/>
      <c r="K26" s="186"/>
    </row>
    <row r="27" spans="1:11" ht="11.25" x14ac:dyDescent="0.2">
      <c r="A27" s="3">
        <f>A25+1</f>
        <v>15</v>
      </c>
      <c r="B27" s="3" t="s">
        <v>429</v>
      </c>
      <c r="C27" s="3"/>
      <c r="D27" s="325"/>
      <c r="E27" s="49">
        <f ca="1">IF(E25=0,0,ROUND(E20/E25,4))</f>
        <v>8.4099999999999994E-2</v>
      </c>
      <c r="F27" s="188">
        <f ca="1">IF(F25=0,0,ROUND(F20/F25,4))</f>
        <v>7.1400000000000005E-2</v>
      </c>
      <c r="G27" s="188">
        <f ca="1">IF(G25=0,0,ROUND(G20/G25,4))</f>
        <v>8.9499999999999996E-2</v>
      </c>
      <c r="H27" s="188">
        <f ca="1">IF(H25=0,0,ROUND(H20/H25,4))</f>
        <v>8.8999999999999996E-2</v>
      </c>
      <c r="I27" s="3"/>
      <c r="J27" s="188"/>
      <c r="K27" s="188"/>
    </row>
    <row r="28" spans="1:11" ht="11.25" x14ac:dyDescent="0.2">
      <c r="A28" s="3"/>
      <c r="B28" s="3"/>
      <c r="C28" s="3"/>
      <c r="D28" s="325"/>
      <c r="E28" s="3"/>
      <c r="F28" s="1"/>
      <c r="G28" s="1"/>
      <c r="H28" s="1"/>
      <c r="I28" s="1"/>
      <c r="J28" s="1"/>
      <c r="K28" s="1"/>
    </row>
    <row r="29" spans="1:11" ht="11.25" x14ac:dyDescent="0.2">
      <c r="A29" s="3">
        <f>A27+1</f>
        <v>16</v>
      </c>
      <c r="B29" s="3" t="s">
        <v>420</v>
      </c>
      <c r="C29" s="3"/>
      <c r="D29" s="325"/>
      <c r="E29" s="24">
        <v>1</v>
      </c>
      <c r="F29" s="189">
        <f ca="1">ROUND(F27/$E$59,2)</f>
        <v>0.85</v>
      </c>
      <c r="G29" s="189">
        <f ca="1">ROUND(G27/$E$59,2)</f>
        <v>1.06</v>
      </c>
      <c r="H29" s="189">
        <f ca="1">ROUND(H27/$E$59,2)</f>
        <v>1.06</v>
      </c>
      <c r="I29" s="189"/>
      <c r="J29" s="189"/>
      <c r="K29" s="189"/>
    </row>
    <row r="30" spans="1:11" ht="11.25" x14ac:dyDescent="0.2">
      <c r="A30" s="3"/>
      <c r="B30" s="3"/>
      <c r="C30" s="3"/>
      <c r="D30" s="325"/>
      <c r="E30" s="31"/>
      <c r="F30" s="31"/>
      <c r="G30" s="31"/>
      <c r="H30" s="31"/>
      <c r="I30" s="31"/>
      <c r="J30" s="31"/>
      <c r="K30" s="31"/>
    </row>
    <row r="31" spans="1:11" ht="11.25" x14ac:dyDescent="0.2">
      <c r="A31" s="3"/>
      <c r="B31" s="3"/>
      <c r="C31" s="3"/>
      <c r="D31" s="325"/>
      <c r="E31" s="31"/>
      <c r="F31" s="31"/>
      <c r="G31" s="31"/>
      <c r="H31" s="31"/>
      <c r="I31" s="31"/>
      <c r="J31" s="31"/>
      <c r="K31" s="31"/>
    </row>
    <row r="32" spans="1:11" ht="11.25" x14ac:dyDescent="0.2">
      <c r="A32" s="3"/>
      <c r="B32" s="3"/>
      <c r="C32" s="3"/>
      <c r="D32" s="325"/>
      <c r="E32" s="3"/>
      <c r="F32" s="3"/>
      <c r="G32" s="3"/>
      <c r="H32" s="3"/>
      <c r="I32" s="3"/>
      <c r="J32" s="3"/>
      <c r="K32" s="3"/>
    </row>
    <row r="33" spans="1:11" ht="11.25" x14ac:dyDescent="0.2">
      <c r="A33" s="3"/>
      <c r="B33" s="3"/>
      <c r="C33" s="3"/>
      <c r="D33" s="325"/>
      <c r="E33" s="24"/>
      <c r="F33" s="24"/>
      <c r="G33" s="24"/>
      <c r="H33" s="24"/>
      <c r="I33" s="24"/>
      <c r="J33" s="24"/>
      <c r="K33" s="24"/>
    </row>
    <row r="34" spans="1:11" ht="11.25" x14ac:dyDescent="0.2">
      <c r="A34" s="3"/>
      <c r="B34" s="3"/>
      <c r="C34" s="3"/>
      <c r="D34" s="325"/>
      <c r="E34" s="3"/>
      <c r="F34" s="3"/>
      <c r="G34" s="3"/>
      <c r="H34" s="3"/>
      <c r="I34" s="3"/>
      <c r="J34" s="3"/>
      <c r="K34" s="3"/>
    </row>
    <row r="35" spans="1:11" ht="11.25" x14ac:dyDescent="0.2">
      <c r="A35" s="3" t="s">
        <v>811</v>
      </c>
      <c r="B35" s="3"/>
      <c r="C35" s="3"/>
      <c r="D35" s="325"/>
      <c r="E35" s="3"/>
      <c r="F35" s="325" t="str">
        <f>""&amp;+Input!$B$1</f>
        <v>COLUMBIA GAS OF KENTUCKY, INC.</v>
      </c>
      <c r="H35" s="3"/>
      <c r="I35" s="3"/>
      <c r="J35" s="3"/>
      <c r="K35" s="32" t="str">
        <f>Input!$B$2</f>
        <v>ATTACHMENT CEN-2</v>
      </c>
    </row>
    <row r="36" spans="1:11" ht="11.25" x14ac:dyDescent="0.2">
      <c r="A36" s="3" t="str">
        <f>Input!$B$7</f>
        <v>DEMAND-COMMODITY</v>
      </c>
      <c r="B36" s="3"/>
      <c r="C36" s="3"/>
      <c r="D36" s="325"/>
      <c r="E36" s="3"/>
      <c r="F36" s="325" t="s">
        <v>1131</v>
      </c>
      <c r="H36" s="3"/>
      <c r="I36" s="3"/>
      <c r="J36" s="3"/>
      <c r="K36" s="32" t="str">
        <f>"PAGE 27 OF "&amp;FIXED(Input!$B$8,0,TRUE)</f>
        <v>PAGE 27 OF 129</v>
      </c>
    </row>
    <row r="37" spans="1:11" ht="11.25" x14ac:dyDescent="0.2">
      <c r="A37" s="17" t="str">
        <f>Input!$B$6</f>
        <v>FORECASTED TEST YEAR - ORIGINAL FILING</v>
      </c>
      <c r="B37" s="17"/>
      <c r="C37" s="17"/>
      <c r="D37" s="34"/>
      <c r="E37" s="17"/>
      <c r="F37" s="19" t="str">
        <f>"FOR THE TWELVE MONTHS ENDED "&amp;Input!$B$4</f>
        <v>FOR THE TWELVE MONTHS ENDED 12/31/2017</v>
      </c>
      <c r="G37" s="329"/>
      <c r="H37" s="17"/>
      <c r="I37" s="17"/>
      <c r="J37" s="17"/>
      <c r="K37" s="183" t="str">
        <f>"WITNESS: "&amp;Input!$B$5</f>
        <v>WITNESS: C. NOTESTONE</v>
      </c>
    </row>
    <row r="38" spans="1:11" ht="11.25" x14ac:dyDescent="0.2">
      <c r="A38" s="325" t="s">
        <v>5</v>
      </c>
      <c r="B38" s="3" t="s">
        <v>6</v>
      </c>
      <c r="C38" s="3"/>
      <c r="D38" s="325" t="s">
        <v>811</v>
      </c>
      <c r="E38" s="325" t="s">
        <v>8</v>
      </c>
      <c r="F38" s="3"/>
      <c r="G38" s="3"/>
      <c r="H38" s="3"/>
      <c r="I38" s="3"/>
      <c r="J38" s="3"/>
      <c r="K38" s="3"/>
    </row>
    <row r="39" spans="1:11" ht="11.25" x14ac:dyDescent="0.2">
      <c r="A39" s="341" t="s">
        <v>9</v>
      </c>
      <c r="B39" s="341" t="s">
        <v>9</v>
      </c>
      <c r="C39" s="341" t="str">
        <f>"                        ACCOUNT TITLE                "</f>
        <v xml:space="preserve">                        ACCOUNT TITLE                </v>
      </c>
      <c r="D39" s="341" t="s">
        <v>10</v>
      </c>
      <c r="E39" s="341" t="s">
        <v>11</v>
      </c>
      <c r="F39" s="341" t="s">
        <v>804</v>
      </c>
      <c r="G39" s="341" t="s">
        <v>812</v>
      </c>
      <c r="H39" s="341" t="s">
        <v>813</v>
      </c>
      <c r="I39" s="447"/>
      <c r="J39" s="447"/>
      <c r="K39" s="447"/>
    </row>
    <row r="40" spans="1:11" ht="11.25" x14ac:dyDescent="0.2">
      <c r="A40" s="3"/>
      <c r="B40" s="342" t="s">
        <v>13</v>
      </c>
      <c r="C40" s="342" t="s">
        <v>14</v>
      </c>
      <c r="D40" s="325" t="s">
        <v>15</v>
      </c>
      <c r="E40" s="325" t="s">
        <v>16</v>
      </c>
      <c r="F40" s="325" t="s">
        <v>17</v>
      </c>
      <c r="G40" s="325" t="s">
        <v>18</v>
      </c>
      <c r="H40" s="325" t="s">
        <v>19</v>
      </c>
      <c r="I40" s="325"/>
      <c r="J40" s="325"/>
      <c r="K40" s="325"/>
    </row>
    <row r="41" spans="1:11" ht="11.25" x14ac:dyDescent="0.2">
      <c r="A41" s="3"/>
      <c r="B41" s="3"/>
      <c r="C41" s="3"/>
      <c r="D41" s="325"/>
      <c r="E41" s="325" t="s">
        <v>26</v>
      </c>
      <c r="F41" s="325" t="s">
        <v>26</v>
      </c>
      <c r="G41" s="325" t="s">
        <v>26</v>
      </c>
      <c r="H41" s="325" t="s">
        <v>26</v>
      </c>
      <c r="I41" s="325"/>
      <c r="J41" s="325"/>
      <c r="K41" s="325"/>
    </row>
    <row r="42" spans="1:11" ht="11.25" x14ac:dyDescent="0.2">
      <c r="A42" s="3">
        <v>1</v>
      </c>
      <c r="B42" s="3" t="s">
        <v>421</v>
      </c>
      <c r="C42" s="3"/>
      <c r="D42" s="325"/>
      <c r="E42" s="1">
        <f ca="1">E73+E97</f>
        <v>118090543.30680677</v>
      </c>
      <c r="F42" s="1">
        <f ca="1">F73+F97</f>
        <v>48600252.386122763</v>
      </c>
      <c r="G42" s="1">
        <f ca="1">G73+G97</f>
        <v>43039579.729286224</v>
      </c>
      <c r="H42" s="1">
        <f ca="1">H73+H97</f>
        <v>26450719.941881098</v>
      </c>
      <c r="I42" s="3"/>
      <c r="J42" s="3"/>
      <c r="K42" s="3"/>
    </row>
    <row r="43" spans="1:11" ht="11.25" x14ac:dyDescent="0.2">
      <c r="A43" s="3"/>
      <c r="B43" s="3"/>
      <c r="C43" s="3"/>
      <c r="D43" s="325"/>
      <c r="E43" s="3"/>
      <c r="F43" s="1"/>
      <c r="G43" s="1"/>
      <c r="H43" s="1"/>
      <c r="I43" s="3"/>
      <c r="J43" s="3"/>
      <c r="K43" s="3"/>
    </row>
    <row r="44" spans="1:11" ht="11.25" x14ac:dyDescent="0.2">
      <c r="A44" s="3">
        <f>A42+1</f>
        <v>2</v>
      </c>
      <c r="B44" s="3" t="s">
        <v>409</v>
      </c>
      <c r="C44" s="3"/>
      <c r="D44" s="325"/>
      <c r="E44" s="3">
        <f>Classification!E99+Classification!E75</f>
        <v>21475950.109999996</v>
      </c>
      <c r="F44" s="1">
        <f>Classification!F99+Classification!F75</f>
        <v>0</v>
      </c>
      <c r="G44" s="1">
        <f>Classification!G99+Classification!G75</f>
        <v>21475950</v>
      </c>
      <c r="H44" s="1">
        <f>Classification!H99+Classification!H75</f>
        <v>0</v>
      </c>
      <c r="I44" s="1"/>
      <c r="J44" s="1"/>
      <c r="K44" s="1"/>
    </row>
    <row r="45" spans="1:11" ht="11.25" x14ac:dyDescent="0.2">
      <c r="A45" s="3">
        <f t="shared" ref="A45:A50" si="12">A44+1</f>
        <v>3</v>
      </c>
      <c r="B45" s="3" t="s">
        <v>422</v>
      </c>
      <c r="C45" s="3"/>
      <c r="D45" s="325"/>
      <c r="E45" s="1">
        <f ca="1">Classification!E100+Classification!E77+Classification!E79</f>
        <v>45377931.589959994</v>
      </c>
      <c r="F45" s="1">
        <f ca="1">Classification!F100+Classification!F77+Classification!F79</f>
        <v>26968208</v>
      </c>
      <c r="G45" s="1">
        <f ca="1">Classification!G100+Classification!G77+Classification!G79</f>
        <v>9261671</v>
      </c>
      <c r="H45" s="1">
        <f ca="1">Classification!H100+Classification!H77+Classification!H79</f>
        <v>9148057</v>
      </c>
      <c r="I45" s="1"/>
      <c r="J45" s="1"/>
      <c r="K45" s="1"/>
    </row>
    <row r="46" spans="1:11" ht="11.25" x14ac:dyDescent="0.2">
      <c r="A46" s="3">
        <f t="shared" si="12"/>
        <v>4</v>
      </c>
      <c r="B46" s="3" t="s">
        <v>423</v>
      </c>
      <c r="C46" s="3"/>
      <c r="D46" s="325"/>
      <c r="E46" s="3">
        <f>Classification!E101</f>
        <v>15939786.563350823</v>
      </c>
      <c r="F46" s="1">
        <f>Classification!F101</f>
        <v>9155554</v>
      </c>
      <c r="G46" s="1">
        <f>Classification!G101</f>
        <v>3392118</v>
      </c>
      <c r="H46" s="1">
        <f>Classification!H101</f>
        <v>3392118</v>
      </c>
      <c r="I46" s="1"/>
      <c r="J46" s="1"/>
      <c r="K46" s="1"/>
    </row>
    <row r="47" spans="1:11" ht="11.25" x14ac:dyDescent="0.2">
      <c r="A47" s="3">
        <f t="shared" si="12"/>
        <v>5</v>
      </c>
      <c r="B47" s="3" t="s">
        <v>424</v>
      </c>
      <c r="C47" s="3"/>
      <c r="D47" s="325"/>
      <c r="E47" s="1">
        <f ca="1">Classification!E102+Classification!E87</f>
        <v>7781830.1054743212</v>
      </c>
      <c r="F47" s="1">
        <f ca="1">Classification!F102+Classification!F87</f>
        <v>3577589</v>
      </c>
      <c r="G47" s="1">
        <f ca="1">Classification!G102+Classification!G87</f>
        <v>1471958</v>
      </c>
      <c r="H47" s="1">
        <f ca="1">Classification!H102+Classification!H87</f>
        <v>2732282</v>
      </c>
      <c r="I47" s="1"/>
      <c r="J47" s="1"/>
      <c r="K47" s="1"/>
    </row>
    <row r="48" spans="1:11" ht="11.25" x14ac:dyDescent="0.2">
      <c r="A48" s="3">
        <f t="shared" si="12"/>
        <v>6</v>
      </c>
      <c r="B48" s="3" t="s">
        <v>425</v>
      </c>
      <c r="C48" s="3"/>
      <c r="D48" s="325"/>
      <c r="E48" s="1">
        <f ca="1">Classification!E103+Classification!E83</f>
        <v>1416522</v>
      </c>
      <c r="F48" s="1">
        <f ca="1">Classification!F103+Classification!F83</f>
        <v>647997.08094200143</v>
      </c>
      <c r="G48" s="1">
        <f ca="1">Classification!G103+Classification!G83</f>
        <v>267132.26216391503</v>
      </c>
      <c r="H48" s="1">
        <f ca="1">Classification!H103+Classification!H83</f>
        <v>501394.31269455008</v>
      </c>
      <c r="I48" s="1"/>
      <c r="J48" s="1"/>
      <c r="K48" s="1"/>
    </row>
    <row r="49" spans="1:11" ht="11.25" x14ac:dyDescent="0.2">
      <c r="A49" s="3">
        <f t="shared" si="12"/>
        <v>7</v>
      </c>
      <c r="B49" s="3" t="s">
        <v>426</v>
      </c>
      <c r="C49" s="3"/>
      <c r="D49" s="325"/>
      <c r="E49" s="116">
        <f>Classification!E104</f>
        <v>4790881</v>
      </c>
      <c r="F49" s="116">
        <f>Classification!F104</f>
        <v>2165396</v>
      </c>
      <c r="G49" s="116">
        <f>Classification!G104</f>
        <v>1315911</v>
      </c>
      <c r="H49" s="116">
        <f>Classification!H104</f>
        <v>1309574</v>
      </c>
      <c r="I49" s="116"/>
      <c r="J49" s="116"/>
      <c r="K49" s="116"/>
    </row>
    <row r="50" spans="1:11" ht="11.25" x14ac:dyDescent="0.2">
      <c r="A50" s="3">
        <f t="shared" si="12"/>
        <v>8</v>
      </c>
      <c r="B50" s="3" t="s">
        <v>415</v>
      </c>
      <c r="C50" s="3"/>
      <c r="D50" s="325"/>
      <c r="E50" s="3">
        <f t="shared" ref="E50:H50" ca="1" si="13">SUM(E44:E49)</f>
        <v>96782901.368785143</v>
      </c>
      <c r="F50" s="1">
        <f t="shared" ca="1" si="13"/>
        <v>42514744.080942005</v>
      </c>
      <c r="G50" s="1">
        <f t="shared" ca="1" si="13"/>
        <v>37184740.262163915</v>
      </c>
      <c r="H50" s="1">
        <f t="shared" ca="1" si="13"/>
        <v>17083425.31269455</v>
      </c>
      <c r="I50" s="1"/>
      <c r="J50" s="1"/>
      <c r="K50" s="1"/>
    </row>
    <row r="51" spans="1:11" ht="11.25" x14ac:dyDescent="0.2">
      <c r="A51" s="3"/>
      <c r="B51" s="3"/>
      <c r="C51" s="3"/>
      <c r="D51" s="325"/>
      <c r="E51" s="3"/>
      <c r="F51" s="1"/>
      <c r="G51" s="1"/>
      <c r="H51" s="1"/>
      <c r="I51" s="1"/>
      <c r="J51" s="1"/>
      <c r="K51" s="1"/>
    </row>
    <row r="52" spans="1:11" ht="11.25" x14ac:dyDescent="0.2">
      <c r="A52" s="3">
        <f>A50+1</f>
        <v>9</v>
      </c>
      <c r="B52" s="3" t="s">
        <v>48</v>
      </c>
      <c r="C52" s="3"/>
      <c r="D52" s="325"/>
      <c r="E52" s="3">
        <f t="shared" ref="E52:H52" ca="1" si="14">E42-E50</f>
        <v>21307641.93802163</v>
      </c>
      <c r="F52" s="1">
        <f t="shared" ca="1" si="14"/>
        <v>6085508.3051807582</v>
      </c>
      <c r="G52" s="1">
        <f t="shared" ca="1" si="14"/>
        <v>5854839.4671223089</v>
      </c>
      <c r="H52" s="1">
        <f t="shared" ca="1" si="14"/>
        <v>9367294.6291865483</v>
      </c>
      <c r="I52" s="1"/>
      <c r="J52" s="1"/>
      <c r="K52" s="1"/>
    </row>
    <row r="53" spans="1:11" ht="11.25" x14ac:dyDescent="0.2">
      <c r="A53" s="3"/>
      <c r="B53" s="3"/>
      <c r="C53" s="3"/>
      <c r="D53" s="325"/>
      <c r="E53" s="3"/>
      <c r="F53" s="1"/>
      <c r="G53" s="1"/>
      <c r="H53" s="1"/>
      <c r="I53" s="1"/>
      <c r="J53" s="1"/>
      <c r="K53" s="1"/>
    </row>
    <row r="54" spans="1:11" ht="11.25" x14ac:dyDescent="0.2">
      <c r="A54" s="3">
        <f>A52+1</f>
        <v>10</v>
      </c>
      <c r="B54" s="3" t="s">
        <v>427</v>
      </c>
      <c r="C54" s="3"/>
      <c r="D54" s="325"/>
      <c r="E54" s="116">
        <f ca="1">Classification!E109</f>
        <v>6688725</v>
      </c>
      <c r="F54" s="116">
        <f ca="1">Classification!F109</f>
        <v>1910314</v>
      </c>
      <c r="G54" s="116">
        <f ca="1">Classification!G109</f>
        <v>1837904</v>
      </c>
      <c r="H54" s="116">
        <f ca="1">Classification!H109</f>
        <v>2940506</v>
      </c>
      <c r="I54" s="116"/>
      <c r="J54" s="116"/>
      <c r="K54" s="116"/>
    </row>
    <row r="55" spans="1:11" ht="11.25" x14ac:dyDescent="0.2">
      <c r="A55" s="3">
        <f>A54+1</f>
        <v>11</v>
      </c>
      <c r="B55" s="3" t="s">
        <v>417</v>
      </c>
      <c r="C55" s="3"/>
      <c r="D55" s="325"/>
      <c r="E55" s="3">
        <f t="shared" ref="E55:H55" ca="1" si="15">E52-E54</f>
        <v>14618916.93802163</v>
      </c>
      <c r="F55" s="1">
        <f t="shared" ca="1" si="15"/>
        <v>4175194.3051807582</v>
      </c>
      <c r="G55" s="1">
        <f t="shared" ca="1" si="15"/>
        <v>4016935.4671223089</v>
      </c>
      <c r="H55" s="1">
        <f t="shared" ca="1" si="15"/>
        <v>6426788.6291865483</v>
      </c>
      <c r="I55" s="1"/>
      <c r="J55" s="1"/>
      <c r="K55" s="1"/>
    </row>
    <row r="56" spans="1:11" ht="11.25" x14ac:dyDescent="0.2">
      <c r="A56" s="3"/>
      <c r="B56" s="3"/>
      <c r="C56" s="3"/>
      <c r="D56" s="325"/>
      <c r="E56" s="3"/>
      <c r="F56" s="1"/>
      <c r="G56" s="1"/>
      <c r="H56" s="1"/>
      <c r="I56" s="1"/>
      <c r="J56" s="1"/>
      <c r="K56" s="1"/>
    </row>
    <row r="57" spans="1:11" ht="11.25" x14ac:dyDescent="0.2">
      <c r="A57" s="3">
        <f>A55+1</f>
        <v>12</v>
      </c>
      <c r="B57" s="3" t="s">
        <v>428</v>
      </c>
      <c r="C57" s="3"/>
      <c r="D57" s="325"/>
      <c r="E57" s="3">
        <f ca="1">Classification!E113</f>
        <v>253360779.86538461</v>
      </c>
      <c r="F57" s="1">
        <f ca="1">Classification!F113</f>
        <v>72360386</v>
      </c>
      <c r="G57" s="1">
        <f ca="1">Classification!G113</f>
        <v>69617593</v>
      </c>
      <c r="H57" s="1">
        <f ca="1">Classification!H113</f>
        <v>111382801</v>
      </c>
      <c r="I57" s="1"/>
      <c r="J57" s="1"/>
      <c r="K57" s="1"/>
    </row>
    <row r="58" spans="1:11" ht="11.25" x14ac:dyDescent="0.2">
      <c r="A58" s="3"/>
      <c r="B58" s="3"/>
      <c r="C58" s="3"/>
      <c r="D58" s="325"/>
      <c r="E58" s="48"/>
      <c r="F58" s="186"/>
      <c r="G58" s="186"/>
      <c r="H58" s="186"/>
      <c r="I58" s="186"/>
      <c r="J58" s="186"/>
      <c r="K58" s="186"/>
    </row>
    <row r="59" spans="1:11" ht="11.25" x14ac:dyDescent="0.2">
      <c r="A59" s="3">
        <f>A57+1</f>
        <v>13</v>
      </c>
      <c r="B59" s="3" t="s">
        <v>429</v>
      </c>
      <c r="C59" s="3"/>
      <c r="D59" s="325"/>
      <c r="E59" s="49">
        <f ca="1">IF(E57=0,0,ROUND(E52/E57,4))</f>
        <v>8.4099999999999994E-2</v>
      </c>
      <c r="F59" s="188">
        <f ca="1">IF(F57=0,0,ROUND(F52/F57,4))</f>
        <v>8.4099999999999994E-2</v>
      </c>
      <c r="G59" s="188">
        <f ca="1">IF(G57=0,0,ROUND(G52/G57,4))</f>
        <v>8.4099999999999994E-2</v>
      </c>
      <c r="H59" s="188">
        <f ca="1">IF(H57=0,0,ROUND(H52/H57,4))</f>
        <v>8.4099999999999994E-2</v>
      </c>
      <c r="I59" s="187"/>
      <c r="J59" s="188"/>
      <c r="K59" s="188"/>
    </row>
    <row r="60" spans="1:11" ht="11.25" x14ac:dyDescent="0.2">
      <c r="A60" s="3"/>
      <c r="B60" s="3"/>
      <c r="C60" s="3"/>
      <c r="D60" s="325"/>
      <c r="E60" s="3"/>
      <c r="F60" s="1"/>
      <c r="G60" s="1"/>
      <c r="H60" s="1"/>
      <c r="I60" s="1"/>
      <c r="J60" s="1"/>
      <c r="K60" s="1"/>
    </row>
    <row r="61" spans="1:11" ht="11.25" x14ac:dyDescent="0.2">
      <c r="A61" s="3">
        <f>A59+1</f>
        <v>14</v>
      </c>
      <c r="B61" s="3" t="s">
        <v>420</v>
      </c>
      <c r="C61" s="3"/>
      <c r="D61" s="325"/>
      <c r="E61" s="24">
        <v>1</v>
      </c>
      <c r="F61" s="189">
        <f ca="1">ROUND(F59/$E$59,2)</f>
        <v>1</v>
      </c>
      <c r="G61" s="189">
        <f ca="1">ROUND(G59/$E$59,2)</f>
        <v>1</v>
      </c>
      <c r="H61" s="189">
        <f ca="1">ROUND(H59/$E$59,2)</f>
        <v>1</v>
      </c>
      <c r="I61" s="189"/>
      <c r="J61" s="189"/>
      <c r="K61" s="189"/>
    </row>
    <row r="62" spans="1:11" ht="11.25" x14ac:dyDescent="0.2">
      <c r="A62" s="3"/>
      <c r="B62" s="3"/>
      <c r="C62" s="3"/>
      <c r="D62" s="325"/>
      <c r="E62" s="31"/>
      <c r="F62" s="31"/>
      <c r="G62" s="31"/>
      <c r="H62" s="31"/>
      <c r="I62" s="31"/>
      <c r="J62" s="31"/>
      <c r="K62" s="31"/>
    </row>
    <row r="63" spans="1:11" ht="11.25" x14ac:dyDescent="0.2">
      <c r="A63" s="3"/>
      <c r="B63" s="3"/>
      <c r="C63" s="3"/>
      <c r="D63" s="325"/>
      <c r="E63" s="31"/>
      <c r="F63" s="31"/>
      <c r="G63" s="31"/>
      <c r="H63" s="31"/>
      <c r="I63" s="31"/>
      <c r="J63" s="31"/>
      <c r="K63" s="31"/>
    </row>
    <row r="64" spans="1:11" ht="11.25" x14ac:dyDescent="0.2">
      <c r="A64" s="3"/>
      <c r="B64" s="3"/>
      <c r="C64" s="3"/>
      <c r="D64" s="325"/>
      <c r="E64" s="3"/>
      <c r="F64" s="3"/>
      <c r="G64" s="3"/>
      <c r="H64" s="3"/>
      <c r="I64" s="3"/>
      <c r="J64" s="3"/>
      <c r="K64" s="3"/>
    </row>
    <row r="65" spans="1:11" ht="11.25" x14ac:dyDescent="0.2">
      <c r="A65" s="3"/>
      <c r="B65" s="3"/>
      <c r="C65" s="3"/>
      <c r="D65" s="325"/>
      <c r="E65" s="24"/>
      <c r="F65" s="24"/>
      <c r="G65" s="24"/>
      <c r="H65" s="24"/>
      <c r="I65" s="24"/>
      <c r="J65" s="24"/>
      <c r="K65" s="24"/>
    </row>
    <row r="66" spans="1:11" ht="11.25" x14ac:dyDescent="0.2">
      <c r="A66" s="3"/>
      <c r="B66" s="3"/>
      <c r="C66" s="3"/>
      <c r="D66" s="325"/>
      <c r="E66" s="3"/>
      <c r="F66" s="3"/>
      <c r="G66" s="3"/>
      <c r="H66" s="3"/>
      <c r="I66" s="3"/>
      <c r="J66" s="3"/>
      <c r="K66" s="3"/>
    </row>
    <row r="67" spans="1:11" ht="11.25" x14ac:dyDescent="0.2">
      <c r="A67" s="3" t="s">
        <v>811</v>
      </c>
      <c r="B67" s="3"/>
      <c r="C67" s="3"/>
      <c r="E67" s="3"/>
      <c r="F67" s="325" t="str">
        <f>""&amp;+Input!$B$1</f>
        <v>COLUMBIA GAS OF KENTUCKY, INC.</v>
      </c>
      <c r="H67" s="3"/>
      <c r="I67" s="3"/>
      <c r="J67" s="3"/>
      <c r="K67" s="32" t="str">
        <f>Input!$B$2</f>
        <v>ATTACHMENT CEN-2</v>
      </c>
    </row>
    <row r="68" spans="1:11" ht="11.25" x14ac:dyDescent="0.2">
      <c r="A68" s="3" t="str">
        <f>Input!$B$7</f>
        <v>DEMAND-COMMODITY</v>
      </c>
      <c r="B68" s="3"/>
      <c r="C68" s="3"/>
      <c r="E68" s="3"/>
      <c r="F68" s="325" t="s">
        <v>4</v>
      </c>
      <c r="H68" s="3"/>
      <c r="I68" s="3"/>
      <c r="J68" s="3"/>
      <c r="K68" s="32" t="str">
        <f>"PAGE 28 OF "&amp;FIXED(Input!$B$8,0,TRUE)</f>
        <v>PAGE 28 OF 129</v>
      </c>
    </row>
    <row r="69" spans="1:11" ht="11.25" x14ac:dyDescent="0.2">
      <c r="A69" s="17" t="str">
        <f>Input!$B$6</f>
        <v>FORECASTED TEST YEAR - ORIGINAL FILING</v>
      </c>
      <c r="B69" s="17"/>
      <c r="C69" s="17"/>
      <c r="D69" s="34"/>
      <c r="E69" s="18"/>
      <c r="F69" s="19" t="str">
        <f>"FOR THE TWELVE MONTHS ENDED "&amp;Input!$B$4</f>
        <v>FOR THE TWELVE MONTHS ENDED 12/31/2017</v>
      </c>
      <c r="G69" s="329"/>
      <c r="H69" s="17"/>
      <c r="I69" s="17"/>
      <c r="J69" s="17"/>
      <c r="K69" s="183" t="str">
        <f>"WITNESS: "&amp;Input!$B$5</f>
        <v>WITNESS: C. NOTESTONE</v>
      </c>
    </row>
    <row r="70" spans="1:11" ht="11.25" x14ac:dyDescent="0.2">
      <c r="A70" s="21" t="s">
        <v>5</v>
      </c>
      <c r="C70" s="3"/>
      <c r="D70" s="325" t="s">
        <v>811</v>
      </c>
      <c r="E70" s="325" t="s">
        <v>12</v>
      </c>
      <c r="F70" s="325"/>
      <c r="G70" s="325"/>
      <c r="H70" s="325"/>
      <c r="I70" s="325"/>
      <c r="J70" s="325"/>
      <c r="K70" s="325"/>
    </row>
    <row r="71" spans="1:11" ht="11.25" x14ac:dyDescent="0.2">
      <c r="A71" s="22" t="s">
        <v>9</v>
      </c>
      <c r="C71" s="341" t="s">
        <v>24</v>
      </c>
      <c r="D71" s="341" t="s">
        <v>10</v>
      </c>
      <c r="E71" s="341" t="s">
        <v>25</v>
      </c>
      <c r="F71" s="341" t="s">
        <v>804</v>
      </c>
      <c r="G71" s="341" t="s">
        <v>812</v>
      </c>
      <c r="H71" s="341" t="s">
        <v>813</v>
      </c>
      <c r="I71" s="447"/>
      <c r="J71" s="447"/>
      <c r="K71" s="447"/>
    </row>
    <row r="72" spans="1:11" ht="11.25" x14ac:dyDescent="0.2">
      <c r="A72" s="325"/>
      <c r="C72" s="342" t="s">
        <v>13</v>
      </c>
      <c r="D72" s="342" t="s">
        <v>14</v>
      </c>
      <c r="E72" s="325" t="s">
        <v>15</v>
      </c>
      <c r="F72" s="325" t="s">
        <v>16</v>
      </c>
      <c r="G72" s="325" t="s">
        <v>17</v>
      </c>
      <c r="H72" s="325" t="s">
        <v>18</v>
      </c>
      <c r="I72" s="325"/>
      <c r="J72" s="325"/>
      <c r="K72" s="325"/>
    </row>
    <row r="73" spans="1:11" ht="11.25" x14ac:dyDescent="0.2">
      <c r="A73" s="325">
        <v>1</v>
      </c>
      <c r="B73" s="3" t="s">
        <v>27</v>
      </c>
      <c r="C73" s="3"/>
      <c r="E73" s="3">
        <f ca="1">((ROUND(E113*Input!$D$24,0)-E107)*Input!$E$49)</f>
        <v>25408376.556806769</v>
      </c>
      <c r="F73" s="3">
        <f ca="1">((ROUND(F113*Input!$D$24,0)-F107)*Input!$E$49)</f>
        <v>13533792.386122763</v>
      </c>
      <c r="G73" s="3">
        <f ca="1">((ROUND(G113*Input!$D$24,0)-G107)*Input!$E$49)</f>
        <v>5265958.5792862317</v>
      </c>
      <c r="H73" s="3">
        <f ca="1">((ROUND(H113*Input!$D$24,0)-H107)*Input!$E$49)</f>
        <v>6608634.3418810945</v>
      </c>
      <c r="I73" s="23"/>
      <c r="J73" s="23"/>
      <c r="K73" s="23"/>
    </row>
    <row r="74" spans="1:11" ht="11.25" x14ac:dyDescent="0.2">
      <c r="A74" s="325"/>
      <c r="B74" s="3"/>
      <c r="C74" s="3"/>
      <c r="E74" s="23"/>
      <c r="F74" s="23"/>
      <c r="G74" s="23"/>
      <c r="H74" s="23"/>
      <c r="I74" s="23"/>
      <c r="J74" s="23"/>
      <c r="K74" s="23"/>
    </row>
    <row r="75" spans="1:11" ht="11.25" x14ac:dyDescent="0.2">
      <c r="A75" s="325">
        <f>A73+1</f>
        <v>2</v>
      </c>
      <c r="B75" s="25" t="s">
        <v>28</v>
      </c>
      <c r="C75" s="3"/>
      <c r="E75" s="23">
        <f>Input!D556</f>
        <v>0</v>
      </c>
      <c r="F75" s="23">
        <f>Input!E556</f>
        <v>0</v>
      </c>
      <c r="G75" s="23">
        <f>Input!F556</f>
        <v>0</v>
      </c>
      <c r="H75" s="23">
        <f>Input!G556</f>
        <v>0</v>
      </c>
      <c r="I75" s="23"/>
      <c r="J75" s="23"/>
      <c r="K75" s="23"/>
    </row>
    <row r="76" spans="1:11" ht="11.25" x14ac:dyDescent="0.2">
      <c r="A76" s="325"/>
      <c r="B76" s="3"/>
      <c r="C76" s="3"/>
      <c r="E76" s="3"/>
      <c r="F76" s="3"/>
      <c r="G76" s="3"/>
      <c r="H76" s="3"/>
      <c r="I76" s="3"/>
      <c r="J76" s="3"/>
      <c r="K76" s="3"/>
    </row>
    <row r="77" spans="1:11" ht="11.25" x14ac:dyDescent="0.2">
      <c r="A77" s="325">
        <f>A75+1</f>
        <v>3</v>
      </c>
      <c r="B77" s="25" t="str">
        <f>"LESS: UNCOLLECTIBLES @ "&amp;FIXED(Input!$D$26,8,TRUE)</f>
        <v>LESS: UNCOLLECTIBLES @ 0.00923329</v>
      </c>
      <c r="C77" s="3"/>
      <c r="E77" s="23">
        <f ca="1">ROUND(E73*Input!$D$26,0)</f>
        <v>234603</v>
      </c>
      <c r="F77" s="23">
        <f ca="1">ROUND(F73*Input!$D$26,0)</f>
        <v>124961</v>
      </c>
      <c r="G77" s="23">
        <f ca="1">ROUND(G73*Input!$D$26,0)</f>
        <v>48622</v>
      </c>
      <c r="H77" s="23">
        <f ca="1">ROUND(H73*Input!$D$26,0)</f>
        <v>61019</v>
      </c>
      <c r="I77" s="23"/>
      <c r="J77" s="23"/>
      <c r="K77" s="23"/>
    </row>
    <row r="78" spans="1:11" ht="11.25" x14ac:dyDescent="0.2">
      <c r="A78" s="325"/>
      <c r="B78" s="3"/>
      <c r="C78" s="3"/>
      <c r="E78" s="23"/>
      <c r="F78" s="23"/>
      <c r="G78" s="23"/>
      <c r="H78" s="23"/>
      <c r="I78" s="23"/>
      <c r="J78" s="23"/>
      <c r="K78" s="23"/>
    </row>
    <row r="79" spans="1:11" ht="11.25" x14ac:dyDescent="0.2">
      <c r="A79" s="325">
        <f>A77+1</f>
        <v>4</v>
      </c>
      <c r="B79" s="25" t="str">
        <f>"LESS: PSC FEES @ "&amp;FIXED(Input!$D$31,8,TRUE)</f>
        <v>LESS: PSC FEES @ 0.00190100</v>
      </c>
      <c r="C79" s="3"/>
      <c r="E79" s="27">
        <f ca="1">ROUND(E73*Input!$D$31,0)</f>
        <v>48301</v>
      </c>
      <c r="F79" s="27">
        <f ca="1">ROUND(F73*Input!$D$31,0)</f>
        <v>25728</v>
      </c>
      <c r="G79" s="27">
        <f ca="1">ROUND(G73*Input!$D$31,0)</f>
        <v>10011</v>
      </c>
      <c r="H79" s="27">
        <f ca="1">ROUND(H73*Input!$D$31,0)</f>
        <v>12563</v>
      </c>
      <c r="I79" s="27"/>
      <c r="J79" s="27"/>
      <c r="K79" s="27"/>
    </row>
    <row r="80" spans="1:11" ht="11.25" x14ac:dyDescent="0.2">
      <c r="A80" s="325"/>
      <c r="B80" s="3"/>
      <c r="C80" s="3"/>
      <c r="E80" s="3"/>
      <c r="F80" s="3"/>
      <c r="G80" s="3"/>
      <c r="H80" s="3"/>
      <c r="I80" s="3"/>
      <c r="J80" s="3"/>
      <c r="K80" s="3"/>
    </row>
    <row r="81" spans="1:11" ht="11.25" x14ac:dyDescent="0.2">
      <c r="A81" s="325">
        <f>A79+1</f>
        <v>5</v>
      </c>
      <c r="B81" s="25" t="s">
        <v>31</v>
      </c>
      <c r="C81" s="3"/>
      <c r="E81" s="23">
        <f t="shared" ref="E81:H81" ca="1" si="16">E73-E75-E77-E79</f>
        <v>25125472.556806769</v>
      </c>
      <c r="F81" s="23">
        <f t="shared" ca="1" si="16"/>
        <v>13383103.386122763</v>
      </c>
      <c r="G81" s="23">
        <f t="shared" ca="1" si="16"/>
        <v>5207325.5792862317</v>
      </c>
      <c r="H81" s="23">
        <f t="shared" ca="1" si="16"/>
        <v>6535052.3418810945</v>
      </c>
      <c r="I81" s="23"/>
      <c r="J81" s="23"/>
      <c r="K81" s="23"/>
    </row>
    <row r="82" spans="1:11" ht="11.25" x14ac:dyDescent="0.2">
      <c r="A82" s="325"/>
      <c r="B82" s="3"/>
      <c r="C82" s="3"/>
      <c r="E82" s="3"/>
      <c r="F82" s="3"/>
      <c r="G82" s="3"/>
      <c r="H82" s="3"/>
      <c r="I82" s="3"/>
      <c r="J82" s="3"/>
      <c r="K82" s="3"/>
    </row>
    <row r="83" spans="1:11" ht="11.25" x14ac:dyDescent="0.2">
      <c r="A83" s="325">
        <f>A81+1</f>
        <v>6</v>
      </c>
      <c r="B83" s="25" t="str">
        <f>"LESS: KENTUCKY STATE INCOME TAX @ "&amp;FIXED(Input!$D$28,4,TRUE)</f>
        <v>LESS: KENTUCKY STATE INCOME TAX @ 0.0600</v>
      </c>
      <c r="C83" s="3"/>
      <c r="E83" s="27">
        <f ca="1">ROUND(E81*Input!$D$28,0)</f>
        <v>1507528</v>
      </c>
      <c r="F83" s="27">
        <f ca="1">ROUND(F81*Input!$D$28,0)</f>
        <v>802986</v>
      </c>
      <c r="G83" s="27">
        <f ca="1">ROUND(G81*Input!$D$28,0)</f>
        <v>312440</v>
      </c>
      <c r="H83" s="27">
        <f ca="1">ROUND(H81*Input!$D$28,0)</f>
        <v>392103</v>
      </c>
      <c r="I83" s="27"/>
      <c r="J83" s="27"/>
      <c r="K83" s="27"/>
    </row>
    <row r="84" spans="1:11" ht="11.25" x14ac:dyDescent="0.2">
      <c r="A84" s="325"/>
      <c r="B84" s="3"/>
      <c r="C84" s="3"/>
      <c r="E84" s="23"/>
      <c r="F84" s="23"/>
      <c r="G84" s="23"/>
      <c r="H84" s="23"/>
      <c r="I84" s="23"/>
      <c r="J84" s="23"/>
      <c r="K84" s="23"/>
    </row>
    <row r="85" spans="1:11" ht="11.25" x14ac:dyDescent="0.2">
      <c r="A85" s="325">
        <f>A83+1</f>
        <v>7</v>
      </c>
      <c r="B85" s="25" t="s">
        <v>38</v>
      </c>
      <c r="C85" s="3"/>
      <c r="E85" s="23">
        <f t="shared" ref="E85:H85" ca="1" si="17">E81-E83</f>
        <v>23617944.556806769</v>
      </c>
      <c r="F85" s="23">
        <f t="shared" ca="1" si="17"/>
        <v>12580117.386122763</v>
      </c>
      <c r="G85" s="23">
        <f t="shared" ca="1" si="17"/>
        <v>4894885.5792862317</v>
      </c>
      <c r="H85" s="23">
        <f t="shared" ca="1" si="17"/>
        <v>6142949.3418810945</v>
      </c>
      <c r="I85" s="23"/>
      <c r="J85" s="23"/>
      <c r="K85" s="23"/>
    </row>
    <row r="86" spans="1:11" ht="11.25" x14ac:dyDescent="0.2">
      <c r="A86" s="325"/>
      <c r="B86" s="3"/>
      <c r="C86" s="3"/>
      <c r="E86" s="23"/>
      <c r="F86" s="23"/>
      <c r="G86" s="23"/>
      <c r="H86" s="23"/>
      <c r="I86" s="23"/>
      <c r="J86" s="23"/>
      <c r="K86" s="23"/>
    </row>
    <row r="87" spans="1:11" ht="11.25" x14ac:dyDescent="0.2">
      <c r="A87" s="325">
        <f>A85+1</f>
        <v>8</v>
      </c>
      <c r="B87" s="25" t="str">
        <f>"LESS: FEDERAL INCOME TAX @ "&amp;FIXED(Input!$D$33,8,TRUE)</f>
        <v>LESS: FEDERAL INCOME TAX @ 0.35000000</v>
      </c>
      <c r="C87" s="3"/>
      <c r="E87" s="27">
        <f ca="1">ROUND(E85*Input!$D$33,0)</f>
        <v>8266281</v>
      </c>
      <c r="F87" s="27">
        <f ca="1">ROUND(F85*Input!$D$33,0)</f>
        <v>4403041</v>
      </c>
      <c r="G87" s="27">
        <f ca="1">ROUND(G85*Input!$D$33,0)</f>
        <v>1713210</v>
      </c>
      <c r="H87" s="27">
        <f ca="1">ROUND(H85*Input!$D$33,0)</f>
        <v>2150032</v>
      </c>
      <c r="I87" s="27"/>
      <c r="J87" s="27"/>
      <c r="K87" s="27"/>
    </row>
    <row r="88" spans="1:11" ht="11.25" x14ac:dyDescent="0.2">
      <c r="A88" s="325"/>
      <c r="B88" s="3"/>
      <c r="C88" s="3"/>
      <c r="E88" s="23"/>
      <c r="F88" s="23"/>
      <c r="G88" s="23"/>
      <c r="H88" s="23"/>
      <c r="I88" s="23"/>
      <c r="J88" s="23"/>
      <c r="K88" s="23"/>
    </row>
    <row r="89" spans="1:11" ht="11.25" x14ac:dyDescent="0.2">
      <c r="A89" s="325">
        <f>A87+1</f>
        <v>9</v>
      </c>
      <c r="B89" s="25" t="s">
        <v>48</v>
      </c>
      <c r="C89" s="3"/>
      <c r="E89" s="23">
        <f t="shared" ref="E89:H89" ca="1" si="18">E85-E87</f>
        <v>15351663.556806769</v>
      </c>
      <c r="F89" s="23">
        <f t="shared" ca="1" si="18"/>
        <v>8177076.3861227632</v>
      </c>
      <c r="G89" s="23">
        <f t="shared" ca="1" si="18"/>
        <v>3181675.5792862317</v>
      </c>
      <c r="H89" s="23">
        <f t="shared" ca="1" si="18"/>
        <v>3992917.3418810945</v>
      </c>
      <c r="I89" s="23"/>
      <c r="J89" s="23"/>
      <c r="K89" s="23"/>
    </row>
    <row r="90" spans="1:11" ht="11.25" x14ac:dyDescent="0.2">
      <c r="A90" s="3" t="s">
        <v>811</v>
      </c>
      <c r="B90" s="3"/>
      <c r="C90" s="14"/>
      <c r="D90" s="325"/>
      <c r="E90" s="15"/>
      <c r="F90" s="325" t="str">
        <f>""&amp;+Input!$B$1</f>
        <v>COLUMBIA GAS OF KENTUCKY, INC.</v>
      </c>
      <c r="H90" s="3"/>
      <c r="I90" s="3"/>
      <c r="J90" s="3"/>
      <c r="K90" s="32" t="str">
        <f>Input!$B$2</f>
        <v>ATTACHMENT CEN-2</v>
      </c>
    </row>
    <row r="91" spans="1:11" ht="11.25" x14ac:dyDescent="0.2">
      <c r="A91" s="3" t="str">
        <f>Input!$B$7</f>
        <v>DEMAND-COMMODITY</v>
      </c>
      <c r="B91" s="3"/>
      <c r="C91" s="3"/>
      <c r="D91" s="325"/>
      <c r="E91" s="3"/>
      <c r="F91" s="325" t="s">
        <v>1132</v>
      </c>
      <c r="H91" s="3"/>
      <c r="I91" s="3"/>
      <c r="J91" s="3"/>
      <c r="K91" s="32" t="str">
        <f>"PAGE 29 OF "&amp;FIXED(Input!$B$8,0,TRUE)</f>
        <v>PAGE 29 OF 129</v>
      </c>
    </row>
    <row r="92" spans="1:11" ht="11.25" x14ac:dyDescent="0.2">
      <c r="A92" s="17" t="str">
        <f>Input!$B$6</f>
        <v>FORECASTED TEST YEAR - ORIGINAL FILING</v>
      </c>
      <c r="B92" s="17"/>
      <c r="C92" s="17"/>
      <c r="D92" s="34"/>
      <c r="E92" s="17"/>
      <c r="F92" s="19" t="str">
        <f>"FOR THE TWELVE MONTHS ENDED "&amp;Input!$B$4</f>
        <v>FOR THE TWELVE MONTHS ENDED 12/31/2017</v>
      </c>
      <c r="G92" s="329"/>
      <c r="H92" s="17"/>
      <c r="I92" s="17"/>
      <c r="J92" s="17"/>
      <c r="K92" s="183" t="str">
        <f>"WITNESS: "&amp;Input!$B$5</f>
        <v>WITNESS: C. NOTESTONE</v>
      </c>
    </row>
    <row r="93" spans="1:11" ht="11.25" x14ac:dyDescent="0.2">
      <c r="A93" s="325" t="s">
        <v>5</v>
      </c>
      <c r="B93" s="3" t="s">
        <v>6</v>
      </c>
      <c r="C93" s="3"/>
      <c r="D93" s="325" t="s">
        <v>811</v>
      </c>
      <c r="E93" s="325" t="s">
        <v>8</v>
      </c>
      <c r="F93" s="325"/>
      <c r="G93" s="325"/>
      <c r="H93" s="325"/>
      <c r="I93" s="325"/>
      <c r="J93" s="325"/>
      <c r="K93" s="325"/>
    </row>
    <row r="94" spans="1:11" ht="11.25" x14ac:dyDescent="0.2">
      <c r="A94" s="341" t="s">
        <v>9</v>
      </c>
      <c r="B94" s="341" t="s">
        <v>9</v>
      </c>
      <c r="C94" s="341" t="str">
        <f>"                        ACCOUNT TITLE                "</f>
        <v xml:space="preserve">                        ACCOUNT TITLE                </v>
      </c>
      <c r="D94" s="341" t="s">
        <v>10</v>
      </c>
      <c r="E94" s="341" t="s">
        <v>11</v>
      </c>
      <c r="F94" s="341" t="s">
        <v>804</v>
      </c>
      <c r="G94" s="341" t="s">
        <v>812</v>
      </c>
      <c r="H94" s="341" t="s">
        <v>813</v>
      </c>
      <c r="I94" s="447"/>
      <c r="J94" s="447"/>
      <c r="K94" s="447"/>
    </row>
    <row r="95" spans="1:11" ht="11.25" x14ac:dyDescent="0.2">
      <c r="A95" s="3"/>
      <c r="B95" s="342" t="s">
        <v>13</v>
      </c>
      <c r="C95" s="342" t="s">
        <v>14</v>
      </c>
      <c r="D95" s="325" t="s">
        <v>15</v>
      </c>
      <c r="E95" s="325" t="s">
        <v>16</v>
      </c>
      <c r="F95" s="325" t="s">
        <v>17</v>
      </c>
      <c r="G95" s="325" t="s">
        <v>18</v>
      </c>
      <c r="H95" s="325" t="s">
        <v>19</v>
      </c>
      <c r="I95" s="118"/>
      <c r="J95" s="118"/>
      <c r="K95" s="118"/>
    </row>
    <row r="96" spans="1:11" ht="11.25" x14ac:dyDescent="0.2">
      <c r="A96" s="3"/>
      <c r="B96" s="3"/>
      <c r="C96" s="3"/>
      <c r="D96" s="325"/>
      <c r="E96" s="325" t="s">
        <v>26</v>
      </c>
      <c r="F96" s="325" t="s">
        <v>26</v>
      </c>
      <c r="G96" s="325" t="s">
        <v>26</v>
      </c>
      <c r="H96" s="325" t="s">
        <v>26</v>
      </c>
      <c r="I96" s="118"/>
      <c r="J96" s="118"/>
      <c r="K96" s="118"/>
    </row>
    <row r="97" spans="1:11" ht="11.25" x14ac:dyDescent="0.2">
      <c r="A97" s="3">
        <v>1</v>
      </c>
      <c r="B97" s="3" t="s">
        <v>408</v>
      </c>
      <c r="C97" s="3"/>
      <c r="D97" s="325"/>
      <c r="E97" s="3">
        <f>Classification!E396</f>
        <v>92682166.75</v>
      </c>
      <c r="F97" s="3">
        <f ca="1">Classification!F396</f>
        <v>35066460</v>
      </c>
      <c r="G97" s="3">
        <f ca="1">Classification!G396</f>
        <v>37773621.149999991</v>
      </c>
      <c r="H97" s="3">
        <f ca="1">Classification!H396</f>
        <v>19842085.600000001</v>
      </c>
      <c r="I97" s="1"/>
      <c r="J97" s="1"/>
      <c r="K97" s="1"/>
    </row>
    <row r="98" spans="1:11" ht="11.25" x14ac:dyDescent="0.2">
      <c r="A98" s="3"/>
      <c r="B98" s="3"/>
      <c r="C98" s="3"/>
      <c r="D98" s="325"/>
      <c r="E98" s="3"/>
      <c r="F98" s="3"/>
      <c r="G98" s="3"/>
      <c r="H98" s="3"/>
      <c r="I98" s="1"/>
      <c r="J98" s="1"/>
      <c r="K98" s="1"/>
    </row>
    <row r="99" spans="1:11" ht="11.25" x14ac:dyDescent="0.2">
      <c r="A99" s="3">
        <f>A97+1</f>
        <v>2</v>
      </c>
      <c r="B99" s="3" t="s">
        <v>409</v>
      </c>
      <c r="C99" s="3"/>
      <c r="D99" s="325"/>
      <c r="E99" s="3">
        <f>Classification!E427</f>
        <v>21475950.109999996</v>
      </c>
      <c r="F99" s="3">
        <f>Classification!F427</f>
        <v>0</v>
      </c>
      <c r="G99" s="3">
        <f>Classification!G427</f>
        <v>21475950</v>
      </c>
      <c r="H99" s="3">
        <f>Classification!H427</f>
        <v>0</v>
      </c>
      <c r="I99" s="1"/>
      <c r="J99" s="1"/>
      <c r="K99" s="1"/>
    </row>
    <row r="100" spans="1:11" ht="11.25" x14ac:dyDescent="0.2">
      <c r="A100" s="3">
        <f t="shared" ref="A100:A105" si="19">A99+1</f>
        <v>3</v>
      </c>
      <c r="B100" s="3" t="s">
        <v>410</v>
      </c>
      <c r="C100" s="3"/>
      <c r="D100" s="325"/>
      <c r="E100" s="3">
        <f ca="1">Classification!E663</f>
        <v>45095027.589959994</v>
      </c>
      <c r="F100" s="3">
        <f ca="1">Classification!F663</f>
        <v>26817519</v>
      </c>
      <c r="G100" s="3">
        <f ca="1">Classification!G663</f>
        <v>9203038</v>
      </c>
      <c r="H100" s="3">
        <f ca="1">Classification!H663</f>
        <v>9074475</v>
      </c>
      <c r="I100" s="1"/>
      <c r="J100" s="1"/>
      <c r="K100" s="1"/>
    </row>
    <row r="101" spans="1:11" ht="11.25" x14ac:dyDescent="0.2">
      <c r="A101" s="3">
        <f t="shared" si="19"/>
        <v>4</v>
      </c>
      <c r="B101" s="3" t="s">
        <v>411</v>
      </c>
      <c r="C101" s="3"/>
      <c r="D101" s="325"/>
      <c r="E101" s="3">
        <f>Classification!E375</f>
        <v>15939786.563350823</v>
      </c>
      <c r="F101" s="3">
        <f>Classification!F375</f>
        <v>9155554</v>
      </c>
      <c r="G101" s="3">
        <f>Classification!G375</f>
        <v>3392118</v>
      </c>
      <c r="H101" s="3">
        <f>Classification!H375</f>
        <v>3392118</v>
      </c>
      <c r="I101" s="1"/>
      <c r="J101" s="1"/>
      <c r="K101" s="1"/>
    </row>
    <row r="102" spans="1:11" ht="11.25" x14ac:dyDescent="0.2">
      <c r="A102" s="3">
        <f t="shared" si="19"/>
        <v>5</v>
      </c>
      <c r="B102" s="3" t="s">
        <v>412</v>
      </c>
      <c r="C102" s="3"/>
      <c r="D102" s="325"/>
      <c r="E102" s="3">
        <f ca="1">Classification!E771</f>
        <v>-484450.89452567877</v>
      </c>
      <c r="F102" s="3">
        <f ca="1">Classification!F771</f>
        <v>-825452</v>
      </c>
      <c r="G102" s="3">
        <f ca="1">Classification!G771</f>
        <v>-241252</v>
      </c>
      <c r="H102" s="3">
        <f ca="1">Classification!H771</f>
        <v>582250</v>
      </c>
      <c r="I102" s="1"/>
      <c r="J102" s="1"/>
      <c r="K102" s="1"/>
    </row>
    <row r="103" spans="1:11" ht="11.25" x14ac:dyDescent="0.2">
      <c r="A103" s="3">
        <f t="shared" si="19"/>
        <v>6</v>
      </c>
      <c r="B103" s="3" t="s">
        <v>413</v>
      </c>
      <c r="C103" s="3"/>
      <c r="D103" s="325"/>
      <c r="E103" s="3">
        <f ca="1">Classification!E721</f>
        <v>-91006</v>
      </c>
      <c r="F103" s="3">
        <f ca="1">Classification!F721</f>
        <v>-154988.91905799857</v>
      </c>
      <c r="G103" s="3">
        <f ca="1">Classification!G721</f>
        <v>-45307.737836084969</v>
      </c>
      <c r="H103" s="3">
        <f ca="1">Classification!H721</f>
        <v>109291.31269455007</v>
      </c>
      <c r="I103" s="1"/>
      <c r="J103" s="1"/>
      <c r="K103" s="1"/>
    </row>
    <row r="104" spans="1:11" ht="11.25" x14ac:dyDescent="0.2">
      <c r="A104" s="3">
        <f t="shared" si="19"/>
        <v>7</v>
      </c>
      <c r="B104" s="3" t="s">
        <v>414</v>
      </c>
      <c r="C104" s="3"/>
      <c r="D104" s="325"/>
      <c r="E104" s="26">
        <f>Classification!E679</f>
        <v>4790881</v>
      </c>
      <c r="F104" s="26">
        <f>Classification!F679</f>
        <v>2165396</v>
      </c>
      <c r="G104" s="26">
        <f>Classification!G679</f>
        <v>1315911</v>
      </c>
      <c r="H104" s="26">
        <f>Classification!H679</f>
        <v>1309574</v>
      </c>
      <c r="I104" s="116"/>
      <c r="J104" s="116"/>
      <c r="K104" s="116"/>
    </row>
    <row r="105" spans="1:11" ht="11.25" x14ac:dyDescent="0.2">
      <c r="A105" s="3">
        <f t="shared" si="19"/>
        <v>8</v>
      </c>
      <c r="B105" s="3" t="s">
        <v>415</v>
      </c>
      <c r="C105" s="3"/>
      <c r="D105" s="325"/>
      <c r="E105" s="3">
        <f t="shared" ref="E105:H105" ca="1" si="20">SUM(E99:E104)</f>
        <v>86726188.368785143</v>
      </c>
      <c r="F105" s="3">
        <f t="shared" ca="1" si="20"/>
        <v>37158028.080942005</v>
      </c>
      <c r="G105" s="3">
        <f t="shared" ca="1" si="20"/>
        <v>35100457.262163915</v>
      </c>
      <c r="H105" s="3">
        <f t="shared" ca="1" si="20"/>
        <v>14467708.31269455</v>
      </c>
      <c r="I105" s="1"/>
      <c r="J105" s="1"/>
      <c r="K105" s="1"/>
    </row>
    <row r="106" spans="1:11" ht="11.25" x14ac:dyDescent="0.2">
      <c r="A106" s="3"/>
      <c r="B106" s="3"/>
      <c r="C106" s="3"/>
      <c r="D106" s="325"/>
      <c r="E106" s="3"/>
      <c r="F106" s="3"/>
      <c r="G106" s="3"/>
      <c r="H106" s="3"/>
      <c r="I106" s="1"/>
      <c r="J106" s="1"/>
      <c r="K106" s="1"/>
    </row>
    <row r="107" spans="1:11" ht="11.25" x14ac:dyDescent="0.2">
      <c r="A107" s="3">
        <f>A105+1</f>
        <v>9</v>
      </c>
      <c r="B107" s="3" t="s">
        <v>48</v>
      </c>
      <c r="C107" s="3"/>
      <c r="D107" s="325"/>
      <c r="E107" s="3">
        <f t="shared" ref="E107:H107" ca="1" si="21">E97-E105</f>
        <v>5955978.3812148571</v>
      </c>
      <c r="F107" s="3">
        <f t="shared" ca="1" si="21"/>
        <v>-2091568.0809420049</v>
      </c>
      <c r="G107" s="3">
        <f t="shared" ca="1" si="21"/>
        <v>2673163.8878360763</v>
      </c>
      <c r="H107" s="3">
        <f t="shared" ca="1" si="21"/>
        <v>5374377.2873054519</v>
      </c>
      <c r="I107" s="1"/>
      <c r="J107" s="1"/>
      <c r="K107" s="1"/>
    </row>
    <row r="108" spans="1:11" ht="11.25" x14ac:dyDescent="0.2">
      <c r="A108" s="3"/>
      <c r="B108" s="3"/>
      <c r="C108" s="3"/>
      <c r="D108" s="325"/>
      <c r="E108" s="3"/>
      <c r="F108" s="3"/>
      <c r="G108" s="3"/>
      <c r="H108" s="3"/>
      <c r="I108" s="1"/>
      <c r="J108" s="1"/>
      <c r="K108" s="1"/>
    </row>
    <row r="109" spans="1:11" ht="11.25" x14ac:dyDescent="0.2">
      <c r="A109" s="3">
        <f>A107+1</f>
        <v>10</v>
      </c>
      <c r="B109" s="3" t="s">
        <v>416</v>
      </c>
      <c r="C109" s="3"/>
      <c r="D109" s="325"/>
      <c r="E109" s="26">
        <f ca="1">Classification!E736</f>
        <v>6688725</v>
      </c>
      <c r="F109" s="26">
        <f ca="1">Classification!F736</f>
        <v>1910314</v>
      </c>
      <c r="G109" s="26">
        <f ca="1">Classification!G736</f>
        <v>1837904</v>
      </c>
      <c r="H109" s="26">
        <f ca="1">Classification!H736</f>
        <v>2940506</v>
      </c>
      <c r="I109" s="116"/>
      <c r="J109" s="116"/>
      <c r="K109" s="116"/>
    </row>
    <row r="110" spans="1:11" ht="11.25" x14ac:dyDescent="0.2">
      <c r="A110" s="3"/>
      <c r="B110" s="3"/>
      <c r="C110" s="3"/>
      <c r="D110" s="325"/>
      <c r="E110" s="3"/>
      <c r="F110" s="3"/>
      <c r="G110" s="3"/>
      <c r="H110" s="3"/>
      <c r="I110" s="1"/>
      <c r="J110" s="1"/>
      <c r="K110" s="1"/>
    </row>
    <row r="111" spans="1:11" ht="11.25" x14ac:dyDescent="0.2">
      <c r="A111" s="3">
        <f>A109+1</f>
        <v>11</v>
      </c>
      <c r="B111" s="3" t="s">
        <v>417</v>
      </c>
      <c r="C111" s="3"/>
      <c r="D111" s="325"/>
      <c r="E111" s="3">
        <f t="shared" ref="E111:H111" ca="1" si="22">E107-E109</f>
        <v>-732746.6187851429</v>
      </c>
      <c r="F111" s="3">
        <f t="shared" ca="1" si="22"/>
        <v>-4001882.0809420049</v>
      </c>
      <c r="G111" s="3">
        <f t="shared" ca="1" si="22"/>
        <v>835259.88783607632</v>
      </c>
      <c r="H111" s="3">
        <f t="shared" ca="1" si="22"/>
        <v>2433871.2873054519</v>
      </c>
      <c r="I111" s="1"/>
      <c r="J111" s="1"/>
      <c r="K111" s="1"/>
    </row>
    <row r="112" spans="1:11" ht="11.25" x14ac:dyDescent="0.2">
      <c r="A112" s="3"/>
      <c r="B112" s="3"/>
      <c r="C112" s="3"/>
      <c r="D112" s="325"/>
      <c r="E112" s="3"/>
      <c r="F112" s="3"/>
      <c r="G112" s="3"/>
      <c r="H112" s="3"/>
      <c r="I112" s="1"/>
      <c r="J112" s="1"/>
      <c r="K112" s="1"/>
    </row>
    <row r="113" spans="1:11" ht="11.25" x14ac:dyDescent="0.2">
      <c r="A113" s="3">
        <f>A111+1</f>
        <v>12</v>
      </c>
      <c r="B113" s="3" t="s">
        <v>418</v>
      </c>
      <c r="C113" s="3"/>
      <c r="D113" s="325"/>
      <c r="E113" s="3">
        <f ca="1">Classification!E800</f>
        <v>253360779.86538461</v>
      </c>
      <c r="F113" s="3">
        <f ca="1">Classification!F800</f>
        <v>72360386</v>
      </c>
      <c r="G113" s="3">
        <f ca="1">Classification!G800</f>
        <v>69617593</v>
      </c>
      <c r="H113" s="3">
        <f ca="1">Classification!H800</f>
        <v>111382801</v>
      </c>
      <c r="I113" s="1"/>
      <c r="J113" s="1"/>
      <c r="K113" s="1"/>
    </row>
    <row r="114" spans="1:11" ht="11.25" x14ac:dyDescent="0.2">
      <c r="A114" s="3"/>
      <c r="B114" s="3"/>
      <c r="C114" s="3"/>
      <c r="D114" s="325"/>
      <c r="E114" s="48"/>
      <c r="F114" s="48"/>
      <c r="G114" s="48"/>
      <c r="H114" s="48"/>
      <c r="I114" s="186"/>
      <c r="J114" s="186"/>
      <c r="K114" s="186"/>
    </row>
    <row r="115" spans="1:11" ht="11.25" x14ac:dyDescent="0.2">
      <c r="A115" s="3">
        <f>A113+1</f>
        <v>13</v>
      </c>
      <c r="B115" s="3" t="s">
        <v>419</v>
      </c>
      <c r="C115" s="3"/>
      <c r="D115" s="325"/>
      <c r="E115" s="49">
        <f ca="1">IF(E113=0,0,ROUND(E107/E113,4))</f>
        <v>2.35E-2</v>
      </c>
      <c r="F115" s="49">
        <f ca="1">IF(F113=0,0,ROUND(F107/F113,4))</f>
        <v>-2.8899999999999999E-2</v>
      </c>
      <c r="G115" s="49">
        <f ca="1">IF(G113=0,0,ROUND(G107/G113,4))</f>
        <v>3.8399999999999997E-2</v>
      </c>
      <c r="H115" s="49">
        <f ca="1">IF(H113=0,0,ROUND(H107/H113,4))</f>
        <v>4.8300000000000003E-2</v>
      </c>
      <c r="I115" s="187"/>
      <c r="J115" s="188"/>
      <c r="K115" s="188"/>
    </row>
    <row r="116" spans="1:11" ht="11.25" x14ac:dyDescent="0.2">
      <c r="A116" s="3"/>
      <c r="B116" s="3"/>
      <c r="C116" s="3"/>
      <c r="D116" s="325"/>
      <c r="E116" s="3"/>
      <c r="F116" s="3"/>
      <c r="G116" s="3"/>
      <c r="H116" s="3"/>
      <c r="I116" s="1"/>
      <c r="J116" s="1"/>
      <c r="K116" s="1"/>
    </row>
    <row r="117" spans="1:11" ht="11.25" x14ac:dyDescent="0.2">
      <c r="A117" s="3">
        <f>A115+1</f>
        <v>14</v>
      </c>
      <c r="B117" s="3" t="s">
        <v>420</v>
      </c>
      <c r="C117" s="3"/>
      <c r="D117" s="325"/>
      <c r="E117" s="24">
        <v>1</v>
      </c>
      <c r="F117" s="24">
        <f ca="1">ROUND(F115/$E$115,2)</f>
        <v>-1.23</v>
      </c>
      <c r="G117" s="24">
        <f ca="1">ROUND(G115/$E$115,2)</f>
        <v>1.63</v>
      </c>
      <c r="H117" s="24">
        <f ca="1">ROUND(H115/$E$115,2)</f>
        <v>2.06</v>
      </c>
      <c r="I117" s="189"/>
      <c r="J117" s="189"/>
      <c r="K117" s="189"/>
    </row>
    <row r="118" spans="1:11" ht="11.25" x14ac:dyDescent="0.2">
      <c r="A118" s="3"/>
      <c r="B118" s="3"/>
      <c r="C118" s="3"/>
      <c r="D118" s="325"/>
      <c r="E118" s="31"/>
      <c r="F118" s="31"/>
      <c r="G118" s="31"/>
      <c r="H118" s="31"/>
      <c r="I118" s="190"/>
      <c r="J118" s="190"/>
      <c r="K118" s="190"/>
    </row>
    <row r="119" spans="1:11" ht="11.25" x14ac:dyDescent="0.2">
      <c r="A119" s="3"/>
      <c r="B119" s="3"/>
      <c r="C119" s="3"/>
      <c r="D119" s="325"/>
      <c r="E119" s="31"/>
      <c r="F119" s="31"/>
      <c r="G119" s="31"/>
      <c r="H119" s="31"/>
      <c r="I119" s="31"/>
      <c r="J119" s="31"/>
      <c r="K119" s="31"/>
    </row>
    <row r="120" spans="1:11" ht="11.25" x14ac:dyDescent="0.2">
      <c r="A120" s="3"/>
      <c r="B120" s="3"/>
      <c r="C120" s="3"/>
      <c r="D120" s="325"/>
      <c r="E120" s="3"/>
      <c r="F120" s="3"/>
      <c r="G120" s="3"/>
      <c r="H120" s="3"/>
      <c r="I120" s="3"/>
      <c r="J120" s="3"/>
      <c r="K120" s="3"/>
    </row>
    <row r="121" spans="1:11" ht="11.25" x14ac:dyDescent="0.2">
      <c r="A121" s="3"/>
      <c r="B121" s="3"/>
      <c r="C121" s="3"/>
      <c r="D121" s="325"/>
      <c r="E121" s="3"/>
      <c r="F121" s="3"/>
      <c r="G121" s="3"/>
      <c r="H121" s="3"/>
      <c r="I121" s="3"/>
      <c r="J121" s="3"/>
      <c r="K121" s="3"/>
    </row>
    <row r="122" spans="1:11" ht="11.25" x14ac:dyDescent="0.2">
      <c r="A122" s="3" t="s">
        <v>1134</v>
      </c>
      <c r="B122" s="3"/>
      <c r="C122" s="3"/>
      <c r="D122" s="325"/>
      <c r="E122" s="3"/>
      <c r="F122" s="3"/>
      <c r="G122" s="3"/>
      <c r="H122" s="3"/>
      <c r="I122" s="3"/>
      <c r="J122" s="3"/>
      <c r="K122" s="3"/>
    </row>
    <row r="123" spans="1:11" ht="11.25" x14ac:dyDescent="0.2">
      <c r="A123" s="3"/>
      <c r="B123" s="3"/>
      <c r="C123" s="3"/>
      <c r="D123" s="325"/>
      <c r="E123" s="3"/>
      <c r="F123" s="3"/>
      <c r="G123" s="3"/>
      <c r="H123" s="3"/>
      <c r="I123" s="3"/>
      <c r="J123" s="3"/>
      <c r="K123" s="3"/>
    </row>
    <row r="124" spans="1:11" ht="11.25" x14ac:dyDescent="0.2">
      <c r="A124" s="3" t="s">
        <v>811</v>
      </c>
      <c r="B124" s="14"/>
      <c r="C124" s="3"/>
      <c r="D124" s="325"/>
      <c r="E124" s="3"/>
      <c r="F124" s="325" t="str">
        <f>""&amp;+Input!$B$1</f>
        <v>COLUMBIA GAS OF KENTUCKY, INC.</v>
      </c>
      <c r="H124" s="3"/>
      <c r="I124" s="15"/>
      <c r="J124" s="3"/>
      <c r="K124" s="32" t="str">
        <f>Input!$B$2</f>
        <v>ATTACHMENT CEN-2</v>
      </c>
    </row>
    <row r="125" spans="1:11" ht="11.25" x14ac:dyDescent="0.2">
      <c r="A125" s="3" t="str">
        <f>Input!$B$7</f>
        <v>DEMAND-COMMODITY</v>
      </c>
      <c r="B125" s="3"/>
      <c r="C125" s="3"/>
      <c r="D125" s="325"/>
      <c r="E125" s="3"/>
      <c r="F125" s="325" t="s">
        <v>805</v>
      </c>
      <c r="H125" s="3"/>
      <c r="I125" s="3"/>
      <c r="J125" s="3"/>
      <c r="K125" s="32" t="str">
        <f>"PAGE 30 OF "&amp;FIXED(Input!$B$8,0,TRUE)</f>
        <v>PAGE 30 OF 129</v>
      </c>
    </row>
    <row r="126" spans="1:11" ht="11.25" x14ac:dyDescent="0.2">
      <c r="A126" s="17" t="str">
        <f>Input!$B$6</f>
        <v>FORECASTED TEST YEAR - ORIGINAL FILING</v>
      </c>
      <c r="B126" s="17"/>
      <c r="C126" s="17"/>
      <c r="D126" s="19"/>
      <c r="E126" s="18"/>
      <c r="F126" s="19" t="str">
        <f>"FOR THE TWELVE MONTHS ENDED "&amp;Input!$B$4</f>
        <v>FOR THE TWELVE MONTHS ENDED 12/31/2017</v>
      </c>
      <c r="G126" s="329"/>
      <c r="H126" s="17"/>
      <c r="I126" s="17"/>
      <c r="J126" s="17"/>
      <c r="K126" s="183" t="str">
        <f>"WITNESS: "&amp;Input!$B$5</f>
        <v>WITNESS: C. NOTESTONE</v>
      </c>
    </row>
    <row r="127" spans="1:11" ht="11.25" x14ac:dyDescent="0.2">
      <c r="A127" s="325" t="s">
        <v>5</v>
      </c>
      <c r="B127" s="3" t="s">
        <v>6</v>
      </c>
      <c r="C127" s="3"/>
      <c r="D127" s="325" t="s">
        <v>811</v>
      </c>
      <c r="E127" s="325" t="s">
        <v>8</v>
      </c>
      <c r="F127" s="325"/>
      <c r="G127" s="325"/>
      <c r="H127" s="325"/>
      <c r="I127" s="325"/>
      <c r="J127" s="325"/>
      <c r="K127" s="325"/>
    </row>
    <row r="128" spans="1:11" ht="11.25" x14ac:dyDescent="0.2">
      <c r="A128" s="341" t="s">
        <v>9</v>
      </c>
      <c r="B128" s="341" t="s">
        <v>9</v>
      </c>
      <c r="C128" s="20" t="s">
        <v>484</v>
      </c>
      <c r="D128" s="341" t="s">
        <v>10</v>
      </c>
      <c r="E128" s="341" t="s">
        <v>11</v>
      </c>
      <c r="F128" s="341" t="s">
        <v>804</v>
      </c>
      <c r="G128" s="341" t="s">
        <v>812</v>
      </c>
      <c r="H128" s="341" t="s">
        <v>813</v>
      </c>
      <c r="I128" s="447"/>
      <c r="J128" s="447"/>
      <c r="K128" s="447"/>
    </row>
    <row r="129" spans="1:11" ht="11.25" x14ac:dyDescent="0.2">
      <c r="A129" s="325"/>
      <c r="B129" s="342" t="s">
        <v>13</v>
      </c>
      <c r="C129" s="342" t="s">
        <v>14</v>
      </c>
      <c r="D129" s="325" t="s">
        <v>15</v>
      </c>
      <c r="E129" s="325" t="s">
        <v>16</v>
      </c>
      <c r="F129" s="325" t="s">
        <v>17</v>
      </c>
      <c r="G129" s="325" t="s">
        <v>18</v>
      </c>
      <c r="H129" s="325" t="s">
        <v>19</v>
      </c>
      <c r="I129" s="325"/>
      <c r="J129" s="325"/>
      <c r="K129" s="325"/>
    </row>
    <row r="130" spans="1:11" ht="11.25" x14ac:dyDescent="0.2">
      <c r="A130" s="325"/>
      <c r="B130" s="3"/>
      <c r="C130" s="3"/>
      <c r="D130" s="325"/>
      <c r="E130" s="325" t="s">
        <v>26</v>
      </c>
      <c r="F130" s="325" t="s">
        <v>26</v>
      </c>
      <c r="G130" s="325" t="s">
        <v>26</v>
      </c>
      <c r="H130" s="325" t="s">
        <v>26</v>
      </c>
      <c r="I130" s="325"/>
      <c r="J130" s="325"/>
      <c r="K130" s="325"/>
    </row>
    <row r="131" spans="1:11" ht="11.25" x14ac:dyDescent="0.2">
      <c r="A131" s="325">
        <v>1</v>
      </c>
      <c r="B131" s="3"/>
      <c r="C131" s="3" t="str">
        <f>Input!A85</f>
        <v>INTANGIBLE PLANT</v>
      </c>
      <c r="D131" s="325"/>
      <c r="E131" s="3"/>
      <c r="F131" s="3"/>
      <c r="G131" s="3"/>
      <c r="H131" s="3"/>
      <c r="I131" s="3"/>
      <c r="J131" s="3"/>
      <c r="K131" s="3"/>
    </row>
    <row r="132" spans="1:11" ht="11.25" x14ac:dyDescent="0.2">
      <c r="A132" s="325"/>
      <c r="B132" s="3"/>
      <c r="C132" s="3"/>
      <c r="D132" s="325"/>
      <c r="E132" s="3"/>
      <c r="F132" s="3"/>
      <c r="G132" s="3"/>
      <c r="H132" s="3"/>
      <c r="I132" s="3"/>
      <c r="J132" s="3"/>
      <c r="K132" s="3"/>
    </row>
    <row r="133" spans="1:11" ht="11.25" x14ac:dyDescent="0.2">
      <c r="A133" s="325">
        <f>A131+1</f>
        <v>2</v>
      </c>
      <c r="B133" s="24">
        <f>Input!A86</f>
        <v>301</v>
      </c>
      <c r="C133" s="3" t="str">
        <f>Input!B86</f>
        <v>ORGANIZATION</v>
      </c>
      <c r="D133" s="118" t="str">
        <f>IF(Input!$C$2=3,'Classification Table'!$A$12,IF(Input!$C$2=5,'Classification Table'!$A$13,IF(Input!$C$2=20,'Classification Table'!$A$14,0)))</f>
        <v>7DC</v>
      </c>
      <c r="E133" s="3">
        <f>SUM(Input!D86:E86)</f>
        <v>521</v>
      </c>
      <c r="F133" s="3">
        <f>ROUND(VLOOKUP($D133,'Classification Table'!$A$6:$E$77,3,FALSE)*$E133,0)</f>
        <v>218</v>
      </c>
      <c r="G133" s="3">
        <f>ROUND(VLOOKUP($D133,'Classification Table'!$A$6:$E$77,4,FALSE)*$E133,0)</f>
        <v>151</v>
      </c>
      <c r="H133" s="3">
        <f>ROUND(VLOOKUP($D133,'Classification Table'!$A$6:$E$77,5,FALSE)*$E133,0)</f>
        <v>151</v>
      </c>
      <c r="I133" s="3"/>
      <c r="J133" s="3"/>
      <c r="K133" s="3"/>
    </row>
    <row r="134" spans="1:11" ht="11.25" x14ac:dyDescent="0.2">
      <c r="A134" s="325">
        <f>A133+1</f>
        <v>3</v>
      </c>
      <c r="B134" s="24">
        <f>Input!A87</f>
        <v>303</v>
      </c>
      <c r="C134" s="3" t="str">
        <f>Input!B87</f>
        <v>MISC. INTANGIBLE PLANT</v>
      </c>
      <c r="D134" s="118" t="str">
        <f>IF(Input!$C$2=3,'Classification Table'!$A$12,IF(Input!$C$2=5,'Classification Table'!$A$13,IF(Input!$C$2=20,'Classification Table'!$A$14,0)))</f>
        <v>7DC</v>
      </c>
      <c r="E134" s="3">
        <f>SUM(Input!D87:E87)</f>
        <v>74348</v>
      </c>
      <c r="F134" s="3">
        <f>ROUND(VLOOKUP($D134,'Classification Table'!$A$6:$E$77,3,FALSE)*$E134,0)</f>
        <v>31112</v>
      </c>
      <c r="G134" s="3">
        <f>ROUND(VLOOKUP($D134,'Classification Table'!$A$6:$E$77,4,FALSE)*$E134,0)</f>
        <v>21618</v>
      </c>
      <c r="H134" s="3">
        <f>ROUND(VLOOKUP($D134,'Classification Table'!$A$6:$E$77,5,FALSE)*$E134,0)</f>
        <v>21618</v>
      </c>
      <c r="I134" s="3"/>
      <c r="J134" s="3"/>
      <c r="K134" s="3"/>
    </row>
    <row r="135" spans="1:11" ht="11.25" x14ac:dyDescent="0.2">
      <c r="A135" s="325">
        <f>A134+1</f>
        <v>4</v>
      </c>
      <c r="B135" s="24">
        <f>Input!A88</f>
        <v>303.10000000000002</v>
      </c>
      <c r="C135" s="3" t="str">
        <f>Input!B88</f>
        <v>DIS SOFTWARE</v>
      </c>
      <c r="D135" s="118" t="str">
        <f>IF(Input!$C$2=3,'Classification Table'!$A$12,IF(Input!$C$2=5,'Classification Table'!$A$13,IF(Input!$C$2=20,'Classification Table'!$A$14,0)))</f>
        <v>7DC</v>
      </c>
      <c r="E135" s="3">
        <f>SUM(Input!D88:E88)</f>
        <v>0</v>
      </c>
      <c r="F135" s="3">
        <f>ROUND(VLOOKUP($D135,'Classification Table'!$A$6:$E$77,3,FALSE)*$E135,0)</f>
        <v>0</v>
      </c>
      <c r="G135" s="3">
        <f>ROUND(VLOOKUP($D135,'Classification Table'!$A$6:$E$77,4,FALSE)*$E135,0)</f>
        <v>0</v>
      </c>
      <c r="H135" s="3">
        <f>ROUND(VLOOKUP($D135,'Classification Table'!$A$6:$E$77,5,FALSE)*$E135,0)</f>
        <v>0</v>
      </c>
      <c r="I135" s="3"/>
      <c r="J135" s="3"/>
      <c r="K135" s="3"/>
    </row>
    <row r="136" spans="1:11" ht="11.25" x14ac:dyDescent="0.2">
      <c r="A136" s="325">
        <f>A135+1</f>
        <v>5</v>
      </c>
      <c r="B136" s="24">
        <f>Input!A89</f>
        <v>303.2</v>
      </c>
      <c r="C136" s="3" t="str">
        <f>Input!B89</f>
        <v>FARA SOFTWARE</v>
      </c>
      <c r="D136" s="118" t="str">
        <f>IF(Input!$C$2=3,'Classification Table'!$A$12,IF(Input!$C$2=5,'Classification Table'!$A$13,IF(Input!$C$2=20,'Classification Table'!$A$14,0)))</f>
        <v>7DC</v>
      </c>
      <c r="E136" s="3">
        <f>SUM(Input!D89:E89)</f>
        <v>0</v>
      </c>
      <c r="F136" s="3">
        <f>ROUND(VLOOKUP($D136,'Classification Table'!$A$6:$E$77,3,FALSE)*$E136,0)</f>
        <v>0</v>
      </c>
      <c r="G136" s="3">
        <f>ROUND(VLOOKUP($D136,'Classification Table'!$A$6:$E$77,4,FALSE)*$E136,0)</f>
        <v>0</v>
      </c>
      <c r="H136" s="3">
        <f>ROUND(VLOOKUP($D136,'Classification Table'!$A$6:$E$77,5,FALSE)*$E136,0)</f>
        <v>0</v>
      </c>
      <c r="I136" s="3"/>
      <c r="J136" s="3"/>
      <c r="K136" s="3"/>
    </row>
    <row r="137" spans="1:11" ht="11.25" x14ac:dyDescent="0.2">
      <c r="A137" s="325">
        <f>A136+1</f>
        <v>6</v>
      </c>
      <c r="B137" s="24">
        <f>Input!A90</f>
        <v>303.3</v>
      </c>
      <c r="C137" s="3" t="str">
        <f>Input!B90</f>
        <v>OTHER SOFTWARE</v>
      </c>
      <c r="D137" s="118" t="str">
        <f>IF(Input!$C$2=3,'Classification Table'!$A$12,IF(Input!$C$2=5,'Classification Table'!$A$13,IF(Input!$C$2=20,'Classification Table'!$A$14,0)))</f>
        <v>7DC</v>
      </c>
      <c r="E137" s="26">
        <f>SUM(Input!D90:E90)</f>
        <v>8341319</v>
      </c>
      <c r="F137" s="26">
        <f>ROUND(VLOOKUP($D137,'Classification Table'!$A$6:$E$77,3,FALSE)*$E137,0)</f>
        <v>3490598</v>
      </c>
      <c r="G137" s="26">
        <f>ROUND(VLOOKUP($D137,'Classification Table'!$A$6:$E$77,4,FALSE)*$E137,0)</f>
        <v>2425360</v>
      </c>
      <c r="H137" s="26">
        <f>ROUND(VLOOKUP($D137,'Classification Table'!$A$6:$E$77,5,FALSE)*$E137,0)</f>
        <v>2425360</v>
      </c>
      <c r="I137" s="3"/>
      <c r="J137" s="26"/>
      <c r="K137" s="26"/>
    </row>
    <row r="138" spans="1:11" ht="11.25" x14ac:dyDescent="0.2">
      <c r="A138" s="325">
        <f>A137+1</f>
        <v>7</v>
      </c>
      <c r="B138" s="3"/>
      <c r="C138" s="3" t="s">
        <v>30</v>
      </c>
      <c r="D138" s="118"/>
      <c r="E138" s="3">
        <f t="shared" ref="E138:H138" si="23">SUM(E133:E137)</f>
        <v>8416188</v>
      </c>
      <c r="F138" s="3">
        <f t="shared" si="23"/>
        <v>3521928</v>
      </c>
      <c r="G138" s="3">
        <f t="shared" si="23"/>
        <v>2447129</v>
      </c>
      <c r="H138" s="3">
        <f t="shared" si="23"/>
        <v>2447129</v>
      </c>
      <c r="I138" s="3"/>
      <c r="J138" s="3"/>
      <c r="K138" s="3"/>
    </row>
    <row r="139" spans="1:11" ht="11.25" x14ac:dyDescent="0.2">
      <c r="A139" s="325"/>
      <c r="B139" s="3"/>
      <c r="C139" s="3"/>
      <c r="D139" s="118"/>
      <c r="E139" s="3"/>
      <c r="F139" s="3"/>
      <c r="G139" s="3"/>
      <c r="H139" s="3"/>
      <c r="I139" s="3"/>
      <c r="J139" s="3"/>
      <c r="K139" s="3"/>
    </row>
    <row r="140" spans="1:11" ht="11.25" x14ac:dyDescent="0.2">
      <c r="A140" s="325">
        <f>A138+1</f>
        <v>8</v>
      </c>
      <c r="B140" s="3"/>
      <c r="C140" s="25" t="str">
        <f>Input!A91</f>
        <v>PRODUCTION PLANT</v>
      </c>
      <c r="D140" s="118"/>
      <c r="E140" s="3"/>
      <c r="F140" s="3"/>
      <c r="G140" s="3"/>
      <c r="H140" s="3"/>
      <c r="I140" s="3"/>
      <c r="J140" s="3"/>
      <c r="K140" s="3"/>
    </row>
    <row r="141" spans="1:11" ht="11.25" x14ac:dyDescent="0.2">
      <c r="A141" s="325"/>
      <c r="B141" s="3"/>
      <c r="C141" s="3"/>
      <c r="D141" s="118"/>
      <c r="E141" s="3"/>
      <c r="F141" s="3"/>
      <c r="G141" s="3"/>
      <c r="H141" s="3"/>
      <c r="I141" s="3"/>
      <c r="J141" s="3"/>
      <c r="K141" s="3"/>
    </row>
    <row r="142" spans="1:11" ht="11.25" x14ac:dyDescent="0.2">
      <c r="A142" s="325">
        <f>A140+1</f>
        <v>9</v>
      </c>
      <c r="B142" s="24">
        <f>Input!A92</f>
        <v>304.10000000000002</v>
      </c>
      <c r="C142" s="3" t="str">
        <f>Input!B92</f>
        <v>LAND</v>
      </c>
      <c r="D142" s="118">
        <f>Input!C92</f>
        <v>2</v>
      </c>
      <c r="E142" s="3">
        <f>SUM(Input!D92:E92)</f>
        <v>0</v>
      </c>
      <c r="F142" s="3">
        <f>ROUND(VLOOKUP($D142,'Classification Table'!$A$6:$E$77,3,FALSE)*$E142,0)</f>
        <v>0</v>
      </c>
      <c r="G142" s="3">
        <f>ROUND(VLOOKUP($D142,'Classification Table'!$A$6:$E$77,4,FALSE)*$E142,0)</f>
        <v>0</v>
      </c>
      <c r="H142" s="3">
        <f>ROUND(VLOOKUP($D142,'Classification Table'!$A$6:$E$77,5,FALSE)*$E142,0)</f>
        <v>0</v>
      </c>
      <c r="I142" s="3"/>
      <c r="J142" s="3"/>
      <c r="K142" s="3"/>
    </row>
    <row r="143" spans="1:11" ht="11.25" x14ac:dyDescent="0.2">
      <c r="A143" s="325">
        <f>A142+1</f>
        <v>10</v>
      </c>
      <c r="B143" s="24">
        <f>Input!A93</f>
        <v>305</v>
      </c>
      <c r="C143" s="3" t="str">
        <f>Input!B93</f>
        <v>STRUCTURES &amp; IMPROVEMENTS</v>
      </c>
      <c r="D143" s="118">
        <f>Input!C93</f>
        <v>2</v>
      </c>
      <c r="E143" s="3">
        <f>SUM(Input!D93:E93)</f>
        <v>0</v>
      </c>
      <c r="F143" s="3">
        <f>ROUND(VLOOKUP($D143,'Classification Table'!$A$6:$E$77,3,FALSE)*$E143,0)</f>
        <v>0</v>
      </c>
      <c r="G143" s="3">
        <f>ROUND(VLOOKUP($D143,'Classification Table'!$A$6:$E$77,4,FALSE)*$E143,0)</f>
        <v>0</v>
      </c>
      <c r="H143" s="3">
        <f>ROUND(VLOOKUP($D143,'Classification Table'!$A$6:$E$77,5,FALSE)*$E143,0)</f>
        <v>0</v>
      </c>
      <c r="I143" s="3"/>
      <c r="J143" s="3"/>
      <c r="K143" s="3"/>
    </row>
    <row r="144" spans="1:11" ht="11.25" x14ac:dyDescent="0.2">
      <c r="A144" s="325">
        <f>A143+1</f>
        <v>11</v>
      </c>
      <c r="B144" s="24">
        <f>Input!A94</f>
        <v>311</v>
      </c>
      <c r="C144" s="3" t="str">
        <f>Input!B94</f>
        <v>LIQUEFIED PETROLEUM GAS EQUIP</v>
      </c>
      <c r="D144" s="118">
        <f>Input!C94</f>
        <v>2</v>
      </c>
      <c r="E144" s="26">
        <f>SUM(Input!D94:E94)</f>
        <v>0</v>
      </c>
      <c r="F144" s="26">
        <f>ROUND(VLOOKUP($D144,'Classification Table'!$A$6:$E$77,3,FALSE)*$E144,0)</f>
        <v>0</v>
      </c>
      <c r="G144" s="26">
        <f>ROUND(VLOOKUP($D144,'Classification Table'!$A$6:$E$77,4,FALSE)*$E144,0)</f>
        <v>0</v>
      </c>
      <c r="H144" s="26">
        <f>ROUND(VLOOKUP($D144,'Classification Table'!$A$6:$E$77,5,FALSE)*$E144,0)</f>
        <v>0</v>
      </c>
      <c r="I144" s="26"/>
      <c r="J144" s="26"/>
      <c r="K144" s="26"/>
    </row>
    <row r="145" spans="1:11" ht="11.25" x14ac:dyDescent="0.2">
      <c r="A145" s="325">
        <f>A144+1</f>
        <v>12</v>
      </c>
      <c r="B145" s="3"/>
      <c r="C145" s="3" t="s">
        <v>41</v>
      </c>
      <c r="D145" s="118"/>
      <c r="E145" s="3">
        <f t="shared" ref="E145:H145" si="24">SUM(E142:E144)</f>
        <v>0</v>
      </c>
      <c r="F145" s="3">
        <f t="shared" si="24"/>
        <v>0</v>
      </c>
      <c r="G145" s="3">
        <f t="shared" si="24"/>
        <v>0</v>
      </c>
      <c r="H145" s="3">
        <f t="shared" si="24"/>
        <v>0</v>
      </c>
      <c r="I145" s="3"/>
      <c r="J145" s="3"/>
      <c r="K145" s="3"/>
    </row>
    <row r="146" spans="1:11" ht="11.25" x14ac:dyDescent="0.2">
      <c r="A146" s="325"/>
      <c r="B146" s="3"/>
      <c r="C146" s="3"/>
      <c r="D146" s="118"/>
      <c r="E146" s="3"/>
      <c r="F146" s="3"/>
      <c r="G146" s="3"/>
      <c r="H146" s="3"/>
      <c r="I146" s="3"/>
      <c r="J146" s="3"/>
      <c r="K146" s="3"/>
    </row>
    <row r="147" spans="1:11" ht="11.25" x14ac:dyDescent="0.2">
      <c r="A147" s="325">
        <f>A145+1</f>
        <v>13</v>
      </c>
      <c r="B147" s="24"/>
      <c r="C147" s="25" t="str">
        <f>Input!A95</f>
        <v>DISTRIBUTION PLANT</v>
      </c>
      <c r="D147" s="118"/>
      <c r="E147" s="3"/>
      <c r="F147" s="3"/>
      <c r="G147" s="3"/>
      <c r="H147" s="3"/>
      <c r="I147" s="3"/>
      <c r="J147" s="3"/>
      <c r="K147" s="3"/>
    </row>
    <row r="148" spans="1:11" ht="11.25" x14ac:dyDescent="0.2">
      <c r="A148" s="325"/>
      <c r="B148" s="3"/>
      <c r="C148" s="3"/>
      <c r="D148" s="118"/>
      <c r="E148" s="3"/>
      <c r="F148" s="3"/>
      <c r="G148" s="3"/>
      <c r="H148" s="3"/>
      <c r="I148" s="3"/>
      <c r="J148" s="3"/>
      <c r="K148" s="3"/>
    </row>
    <row r="149" spans="1:11" ht="11.25" x14ac:dyDescent="0.2">
      <c r="A149" s="325">
        <f>A147+1</f>
        <v>14</v>
      </c>
      <c r="B149" s="24">
        <f>Input!A96</f>
        <v>374.1</v>
      </c>
      <c r="C149" s="25" t="str">
        <f>Input!B96</f>
        <v>LAND - CITY GATE &amp; M/L IND M&amp;R</v>
      </c>
      <c r="D149" s="118">
        <f>Input!C96</f>
        <v>5</v>
      </c>
      <c r="E149" s="3">
        <f>SUM(Input!D96:E96)</f>
        <v>206</v>
      </c>
      <c r="F149" s="3">
        <f>ROUND(VLOOKUP($D149,'Classification Table'!$A$6:$E$77,3,FALSE)*$E149,0)</f>
        <v>0</v>
      </c>
      <c r="G149" s="3">
        <f>ROUND(VLOOKUP($D149,'Classification Table'!$A$6:$E$77,4,FALSE)*$E149,0)</f>
        <v>103</v>
      </c>
      <c r="H149" s="3">
        <f>ROUND(VLOOKUP($D149,'Classification Table'!$A$6:$E$77,5,FALSE)*$E149,0)</f>
        <v>103</v>
      </c>
      <c r="I149" s="3"/>
      <c r="J149" s="3"/>
      <c r="K149" s="3"/>
    </row>
    <row r="150" spans="1:11" ht="11.25" x14ac:dyDescent="0.2">
      <c r="A150" s="325">
        <f t="shared" ref="A150:A167" si="25">A149+1</f>
        <v>15</v>
      </c>
      <c r="B150" s="24">
        <f>Input!A97</f>
        <v>374.2</v>
      </c>
      <c r="C150" s="25" t="str">
        <f>Input!B97</f>
        <v>LAND - OTHER DISTRIBUTION</v>
      </c>
      <c r="D150" s="118">
        <f>Input!C97</f>
        <v>5</v>
      </c>
      <c r="E150" s="3">
        <f>SUM(Input!D97:E97)</f>
        <v>877756</v>
      </c>
      <c r="F150" s="3">
        <f>ROUND(VLOOKUP($D150,'Classification Table'!$A$6:$E$77,3,FALSE)*$E150,0)</f>
        <v>0</v>
      </c>
      <c r="G150" s="3">
        <f>ROUND(VLOOKUP($D150,'Classification Table'!$A$6:$E$77,4,FALSE)*$E150,0)</f>
        <v>438878</v>
      </c>
      <c r="H150" s="3">
        <f>ROUND(VLOOKUP($D150,'Classification Table'!$A$6:$E$77,5,FALSE)*$E150,0)</f>
        <v>438878</v>
      </c>
      <c r="I150" s="3"/>
      <c r="J150" s="3"/>
      <c r="K150" s="3"/>
    </row>
    <row r="151" spans="1:11" ht="11.25" x14ac:dyDescent="0.2">
      <c r="A151" s="325">
        <f t="shared" si="25"/>
        <v>16</v>
      </c>
      <c r="B151" s="24">
        <f>Input!A98</f>
        <v>374.4</v>
      </c>
      <c r="C151" s="25" t="str">
        <f>Input!B98</f>
        <v>LAND RIGHTS - OTHER DISTRIBUTION</v>
      </c>
      <c r="D151" s="118">
        <f>Input!C98</f>
        <v>5</v>
      </c>
      <c r="E151" s="3">
        <f>SUM(Input!D98:E98)</f>
        <v>661306</v>
      </c>
      <c r="F151" s="3">
        <f>ROUND(VLOOKUP($D151,'Classification Table'!$A$6:$E$77,3,FALSE)*$E151,0)</f>
        <v>0</v>
      </c>
      <c r="G151" s="3">
        <f>ROUND(VLOOKUP($D151,'Classification Table'!$A$6:$E$77,4,FALSE)*$E151,0)</f>
        <v>330653</v>
      </c>
      <c r="H151" s="3">
        <f>ROUND(VLOOKUP($D151,'Classification Table'!$A$6:$E$77,5,FALSE)*$E151,0)</f>
        <v>330653</v>
      </c>
      <c r="I151" s="3"/>
      <c r="J151" s="3"/>
      <c r="K151" s="3"/>
    </row>
    <row r="152" spans="1:11" ht="11.25" x14ac:dyDescent="0.2">
      <c r="A152" s="325">
        <f t="shared" si="25"/>
        <v>17</v>
      </c>
      <c r="B152" s="24">
        <f>Input!A99</f>
        <v>374.5</v>
      </c>
      <c r="C152" s="25" t="str">
        <f>Input!B99</f>
        <v>RIGHTS OF WAY</v>
      </c>
      <c r="D152" s="118">
        <f>Input!C99</f>
        <v>5</v>
      </c>
      <c r="E152" s="3">
        <f>SUM(Input!D99:E99)</f>
        <v>2729828</v>
      </c>
      <c r="F152" s="3">
        <f>ROUND(VLOOKUP($D152,'Classification Table'!$A$6:$E$77,3,FALSE)*$E152,0)</f>
        <v>0</v>
      </c>
      <c r="G152" s="3">
        <f>ROUND(VLOOKUP($D152,'Classification Table'!$A$6:$E$77,4,FALSE)*$E152,0)</f>
        <v>1364914</v>
      </c>
      <c r="H152" s="3">
        <f>ROUND(VLOOKUP($D152,'Classification Table'!$A$6:$E$77,5,FALSE)*$E152,0)</f>
        <v>1364914</v>
      </c>
      <c r="I152" s="3"/>
      <c r="J152" s="3"/>
      <c r="K152" s="3"/>
    </row>
    <row r="153" spans="1:11" ht="11.25" x14ac:dyDescent="0.2">
      <c r="A153" s="325">
        <f t="shared" si="25"/>
        <v>18</v>
      </c>
      <c r="B153" s="24">
        <f>Input!A100</f>
        <v>375.2</v>
      </c>
      <c r="C153" s="25" t="str">
        <f>Input!B100</f>
        <v>CITY GATE - MEAS &amp; REG STRUCTURES</v>
      </c>
      <c r="D153" s="118">
        <f>Input!C100</f>
        <v>5</v>
      </c>
      <c r="E153" s="3">
        <f>SUM(Input!D100:E100)</f>
        <v>2125</v>
      </c>
      <c r="F153" s="3">
        <f>ROUND(VLOOKUP($D153,'Classification Table'!$A$6:$E$77,3,FALSE)*$E153,0)</f>
        <v>0</v>
      </c>
      <c r="G153" s="3">
        <f>ROUND(VLOOKUP($D153,'Classification Table'!$A$6:$E$77,4,FALSE)*$E153,0)</f>
        <v>1063</v>
      </c>
      <c r="H153" s="3">
        <f>ROUND(VLOOKUP($D153,'Classification Table'!$A$6:$E$77,5,FALSE)*$E153,0)</f>
        <v>1063</v>
      </c>
      <c r="I153" s="3"/>
      <c r="J153" s="3"/>
      <c r="K153" s="3"/>
    </row>
    <row r="154" spans="1:11" ht="11.25" x14ac:dyDescent="0.2">
      <c r="A154" s="325">
        <f t="shared" si="25"/>
        <v>19</v>
      </c>
      <c r="B154" s="24">
        <f>Input!A101</f>
        <v>375.3</v>
      </c>
      <c r="C154" s="25" t="str">
        <f>Input!B101</f>
        <v>STRUC &amp; IMPROV-GENERAL M&amp;R</v>
      </c>
      <c r="D154" s="118">
        <f>Input!C101</f>
        <v>5</v>
      </c>
      <c r="E154" s="3">
        <f>SUM(Input!D101:E101)</f>
        <v>0</v>
      </c>
      <c r="F154" s="3">
        <f>ROUND(VLOOKUP($D154,'Classification Table'!$A$6:$E$77,3,FALSE)*$E154,0)</f>
        <v>0</v>
      </c>
      <c r="G154" s="3">
        <f>ROUND(VLOOKUP($D154,'Classification Table'!$A$6:$E$77,4,FALSE)*$E154,0)</f>
        <v>0</v>
      </c>
      <c r="H154" s="3">
        <f>ROUND(VLOOKUP($D154,'Classification Table'!$A$6:$E$77,5,FALSE)*$E154,0)</f>
        <v>0</v>
      </c>
      <c r="I154" s="3"/>
      <c r="J154" s="3"/>
      <c r="K154" s="3"/>
    </row>
    <row r="155" spans="1:11" ht="11.25" x14ac:dyDescent="0.2">
      <c r="A155" s="325">
        <f t="shared" si="25"/>
        <v>20</v>
      </c>
      <c r="B155" s="24">
        <f>Input!A102</f>
        <v>375.4</v>
      </c>
      <c r="C155" s="25" t="str">
        <f>Input!B102</f>
        <v>STRUC &amp; IMPROV-REGULATING</v>
      </c>
      <c r="D155" s="118">
        <f>Input!C102</f>
        <v>5</v>
      </c>
      <c r="E155" s="221">
        <f>SUM(Input!D102:E102)-SUM(Input!G102:M102)</f>
        <v>2176686.2400000002</v>
      </c>
      <c r="F155" s="3">
        <f>ROUND(VLOOKUP($D155,'Classification Table'!$A$6:$E$77,3,FALSE)*$E155,0)</f>
        <v>0</v>
      </c>
      <c r="G155" s="3">
        <f>ROUND(VLOOKUP($D155,'Classification Table'!$A$6:$E$77,4,FALSE)*$E155,0)</f>
        <v>1088343</v>
      </c>
      <c r="H155" s="3">
        <f>ROUND(VLOOKUP($D155,'Classification Table'!$A$6:$E$77,5,FALSE)*$E155,0)</f>
        <v>1088343</v>
      </c>
      <c r="I155" s="3"/>
      <c r="J155" s="3"/>
      <c r="K155" s="3"/>
    </row>
    <row r="156" spans="1:11" ht="11.25" x14ac:dyDescent="0.2">
      <c r="A156" s="325">
        <f t="shared" si="25"/>
        <v>21</v>
      </c>
      <c r="B156" s="24">
        <f>B155</f>
        <v>375.4</v>
      </c>
      <c r="C156" s="25" t="str">
        <f>'Total Co'!C156</f>
        <v>DIRECT STRUC &amp; IMPROV-REGULATING</v>
      </c>
      <c r="D156" s="118">
        <f>D155</f>
        <v>5</v>
      </c>
      <c r="E156" s="221">
        <f>SUM(Input!G102:K102)</f>
        <v>46210.76</v>
      </c>
      <c r="F156" s="3">
        <f>ROUND(VLOOKUP($D156,'Classification Table'!$A$6:$E$77,3,FALSE)*$E156,0)</f>
        <v>0</v>
      </c>
      <c r="G156" s="3">
        <f>ROUND(VLOOKUP($D156,'Classification Table'!$A$6:$E$77,4,FALSE)*$E156,0)</f>
        <v>23105</v>
      </c>
      <c r="H156" s="3">
        <f>ROUND(VLOOKUP($D156,'Classification Table'!$A$6:$E$77,5,FALSE)*$E156,0)</f>
        <v>23105</v>
      </c>
      <c r="I156" s="3"/>
      <c r="J156" s="3"/>
      <c r="K156" s="3"/>
    </row>
    <row r="157" spans="1:11" ht="11.25" x14ac:dyDescent="0.2">
      <c r="A157" s="325">
        <f t="shared" si="25"/>
        <v>22</v>
      </c>
      <c r="B157" s="24">
        <f>Input!A103</f>
        <v>375.6</v>
      </c>
      <c r="C157" s="25" t="str">
        <f>Input!B103</f>
        <v>STRUC &amp; IMPROV-DIST. IND. M &amp; R</v>
      </c>
      <c r="D157" s="118">
        <f>Input!C103</f>
        <v>8</v>
      </c>
      <c r="E157" s="3">
        <f>SUM(Input!D103:E103)</f>
        <v>0</v>
      </c>
      <c r="F157" s="3">
        <f>ROUND(VLOOKUP($D157,'Classification Table'!$A$6:$E$77,3,FALSE)*$E157,0)</f>
        <v>0</v>
      </c>
      <c r="G157" s="3">
        <f>ROUND(VLOOKUP($D157,'Classification Table'!$A$6:$E$77,4,FALSE)*$E157,0)</f>
        <v>0</v>
      </c>
      <c r="H157" s="3">
        <f>ROUND(VLOOKUP($D157,'Classification Table'!$A$6:$E$77,5,FALSE)*$E157,0)</f>
        <v>0</v>
      </c>
      <c r="I157" s="3"/>
      <c r="J157" s="3"/>
      <c r="K157" s="3"/>
    </row>
    <row r="158" spans="1:11" ht="11.25" x14ac:dyDescent="0.2">
      <c r="A158" s="325">
        <f t="shared" si="25"/>
        <v>23</v>
      </c>
      <c r="B158" s="24">
        <f>Input!A104</f>
        <v>375.7</v>
      </c>
      <c r="C158" s="25" t="str">
        <f>Input!B104</f>
        <v>STRUC &amp; IMPROV-OTHER DIST. SYSTEM</v>
      </c>
      <c r="D158" s="118" t="str">
        <f>IF(Input!$C$2=3,'Classification Table'!$A$12,IF(Input!$C$2=5,'Classification Table'!$A$13,IF(Input!$C$2=20,'Classification Table'!$A$14,0)))</f>
        <v>7DC</v>
      </c>
      <c r="E158" s="3">
        <f>SUM(Input!D104:E104)</f>
        <v>8761416</v>
      </c>
      <c r="F158" s="3">
        <f>ROUND(VLOOKUP($D158,'Classification Table'!$A$6:$E$77,3,FALSE)*$E158,0)</f>
        <v>3666397</v>
      </c>
      <c r="G158" s="3">
        <f>ROUND(VLOOKUP($D158,'Classification Table'!$A$6:$E$77,4,FALSE)*$E158,0)</f>
        <v>2547510</v>
      </c>
      <c r="H158" s="3">
        <f>ROUND(VLOOKUP($D158,'Classification Table'!$A$6:$E$77,5,FALSE)*$E158,0)</f>
        <v>2547510</v>
      </c>
      <c r="I158" s="3"/>
      <c r="J158" s="3"/>
      <c r="K158" s="3"/>
    </row>
    <row r="159" spans="1:11" ht="11.25" x14ac:dyDescent="0.2">
      <c r="A159" s="325">
        <f t="shared" si="25"/>
        <v>24</v>
      </c>
      <c r="B159" s="24">
        <f>Input!A105</f>
        <v>375.71</v>
      </c>
      <c r="C159" s="25" t="str">
        <f>Input!B105</f>
        <v>STRUCT &amp; IMPROV-OTHER DIST. SYSTEM-IMPROV</v>
      </c>
      <c r="D159" s="118" t="str">
        <f>IF(Input!$C$2=3,'Classification Table'!$A$12,IF(Input!$C$2=5,'Classification Table'!$A$13,IF(Input!$C$2=20,'Classification Table'!$A$14,0)))</f>
        <v>7DC</v>
      </c>
      <c r="E159" s="3">
        <f>SUM(Input!D105:E105)</f>
        <v>259809</v>
      </c>
      <c r="F159" s="3">
        <f>ROUND(VLOOKUP($D159,'Classification Table'!$A$6:$E$77,3,FALSE)*$E159,0)</f>
        <v>108722</v>
      </c>
      <c r="G159" s="3">
        <f>ROUND(VLOOKUP($D159,'Classification Table'!$A$6:$E$77,4,FALSE)*$E159,0)</f>
        <v>75543</v>
      </c>
      <c r="H159" s="3">
        <f>ROUND(VLOOKUP($D159,'Classification Table'!$A$6:$E$77,5,FALSE)*$E159,0)</f>
        <v>75543</v>
      </c>
      <c r="I159" s="3"/>
      <c r="J159" s="3"/>
      <c r="K159" s="3"/>
    </row>
    <row r="160" spans="1:11" ht="11.25" x14ac:dyDescent="0.2">
      <c r="A160" s="325">
        <f t="shared" si="25"/>
        <v>25</v>
      </c>
      <c r="B160" s="24">
        <f>Input!A106</f>
        <v>375.8</v>
      </c>
      <c r="C160" s="25" t="str">
        <f>Input!B106</f>
        <v>STRUC &amp; IMPROV-COMMUNICATION</v>
      </c>
      <c r="D160" s="118">
        <f>Input!C106</f>
        <v>5</v>
      </c>
      <c r="E160" s="3">
        <f>SUM(Input!D106:E106)</f>
        <v>0</v>
      </c>
      <c r="F160" s="3">
        <f>ROUND(VLOOKUP($D160,'Classification Table'!$A$6:$E$77,3,FALSE)*$E160,0)</f>
        <v>0</v>
      </c>
      <c r="G160" s="3">
        <f>ROUND(VLOOKUP($D160,'Classification Table'!$A$6:$E$77,4,FALSE)*$E160,0)</f>
        <v>0</v>
      </c>
      <c r="H160" s="3">
        <f>ROUND(VLOOKUP($D160,'Classification Table'!$A$6:$E$77,5,FALSE)*$E160,0)</f>
        <v>0</v>
      </c>
      <c r="I160" s="3"/>
      <c r="J160" s="3"/>
      <c r="K160" s="3"/>
    </row>
    <row r="161" spans="1:11" ht="11.25" x14ac:dyDescent="0.2">
      <c r="A161" s="325">
        <f t="shared" si="25"/>
        <v>26</v>
      </c>
      <c r="B161" s="24">
        <f>Input!A107</f>
        <v>376</v>
      </c>
      <c r="C161" s="25" t="str">
        <f>Input!B107</f>
        <v>MAINS</v>
      </c>
      <c r="D161" s="118">
        <f>Input!C107</f>
        <v>5</v>
      </c>
      <c r="E161" s="3">
        <f>SUM(Input!D107:E107)-SUM(Input!G107:O107)</f>
        <v>221300854.21000001</v>
      </c>
      <c r="F161" s="3">
        <f>ROUND(VLOOKUP($D161,'Classification Table'!$A$6:$E$77,3,FALSE)*$E161,0)</f>
        <v>0</v>
      </c>
      <c r="G161" s="3">
        <f>ROUND(VLOOKUP($D161,'Classification Table'!$A$6:$E$77,4,FALSE)*$E161,0)</f>
        <v>110650427</v>
      </c>
      <c r="H161" s="3">
        <f>ROUND(VLOOKUP($D161,'Classification Table'!$A$6:$E$77,5,FALSE)*$E161,0)</f>
        <v>110650427</v>
      </c>
      <c r="I161" s="3"/>
      <c r="J161" s="3"/>
      <c r="K161" s="3"/>
    </row>
    <row r="162" spans="1:11" ht="11.25" x14ac:dyDescent="0.2">
      <c r="A162" s="325">
        <f t="shared" si="25"/>
        <v>27</v>
      </c>
      <c r="B162" s="24">
        <f>Input!A107</f>
        <v>376</v>
      </c>
      <c r="C162" s="25" t="str">
        <f>"DIRECT "&amp;+Input!B107</f>
        <v>DIRECT MAINS</v>
      </c>
      <c r="D162" s="118">
        <f>D161</f>
        <v>5</v>
      </c>
      <c r="E162" s="3">
        <f>SUM(Input!G107:O107)</f>
        <v>11681.79</v>
      </c>
      <c r="F162" s="3">
        <f>ROUND(VLOOKUP($D162,'Classification Table'!$A$6:$E$77,3,FALSE)*$E162,0)</f>
        <v>0</v>
      </c>
      <c r="G162" s="3">
        <f>ROUND(VLOOKUP($D162,'Classification Table'!$A$6:$E$77,4,FALSE)*$E162,0)</f>
        <v>5841</v>
      </c>
      <c r="H162" s="3">
        <f>ROUND(VLOOKUP($D162,'Classification Table'!$A$6:$E$77,5,FALSE)*$E162,0)</f>
        <v>5841</v>
      </c>
      <c r="I162" s="3"/>
      <c r="J162" s="3"/>
      <c r="K162" s="3"/>
    </row>
    <row r="163" spans="1:11" ht="11.25" x14ac:dyDescent="0.2">
      <c r="A163" s="325">
        <f t="shared" si="25"/>
        <v>28</v>
      </c>
      <c r="B163" s="24">
        <f>Input!A108</f>
        <v>378.1</v>
      </c>
      <c r="C163" s="25" t="str">
        <f>Input!B108</f>
        <v>M &amp; R GENERAL</v>
      </c>
      <c r="D163" s="118">
        <f>Input!C108</f>
        <v>5</v>
      </c>
      <c r="E163" s="3">
        <f>SUM(Input!D108:E108)</f>
        <v>518504</v>
      </c>
      <c r="F163" s="3">
        <f>ROUND(VLOOKUP($D163,'Classification Table'!$A$6:$E$77,3,FALSE)*$E163,0)</f>
        <v>0</v>
      </c>
      <c r="G163" s="3">
        <f>ROUND(VLOOKUP($D163,'Classification Table'!$A$6:$E$77,4,FALSE)*$E163,0)</f>
        <v>259252</v>
      </c>
      <c r="H163" s="3">
        <f>ROUND(VLOOKUP($D163,'Classification Table'!$A$6:$E$77,5,FALSE)*$E163,0)</f>
        <v>259252</v>
      </c>
      <c r="I163" s="3"/>
      <c r="J163" s="3"/>
      <c r="K163" s="3"/>
    </row>
    <row r="164" spans="1:11" ht="11.25" x14ac:dyDescent="0.2">
      <c r="A164" s="325">
        <f t="shared" si="25"/>
        <v>29</v>
      </c>
      <c r="B164" s="24">
        <f>Input!A109</f>
        <v>378.2</v>
      </c>
      <c r="C164" s="25" t="str">
        <f>Input!B109</f>
        <v>M &amp; R GENERAL - REGULATING</v>
      </c>
      <c r="D164" s="118">
        <f>Input!C109</f>
        <v>5</v>
      </c>
      <c r="E164" s="3">
        <f>SUM(Input!D109:E109)</f>
        <v>9175090</v>
      </c>
      <c r="F164" s="3">
        <f>ROUND(VLOOKUP($D164,'Classification Table'!$A$6:$E$77,3,FALSE)*$E164,0)</f>
        <v>0</v>
      </c>
      <c r="G164" s="3">
        <f>ROUND(VLOOKUP($D164,'Classification Table'!$A$6:$E$77,4,FALSE)*$E164,0)</f>
        <v>4587545</v>
      </c>
      <c r="H164" s="3">
        <f>ROUND(VLOOKUP($D164,'Classification Table'!$A$6:$E$77,5,FALSE)*$E164,0)</f>
        <v>4587545</v>
      </c>
      <c r="I164" s="3"/>
      <c r="J164" s="3"/>
      <c r="K164" s="3"/>
    </row>
    <row r="165" spans="1:11" ht="11.25" x14ac:dyDescent="0.2">
      <c r="A165" s="325">
        <f t="shared" si="25"/>
        <v>30</v>
      </c>
      <c r="B165" s="24">
        <f>Input!A110</f>
        <v>378.3</v>
      </c>
      <c r="C165" s="25" t="str">
        <f>Input!B110</f>
        <v>M &amp; R EQUIP - LOCAL GAS PURCHASES</v>
      </c>
      <c r="D165" s="118">
        <f>Input!C110</f>
        <v>5</v>
      </c>
      <c r="E165" s="3">
        <f>SUM(Input!D110:E110)</f>
        <v>45443</v>
      </c>
      <c r="F165" s="3">
        <f>ROUND(VLOOKUP($D165,'Classification Table'!$A$6:$E$77,3,FALSE)*$E165,0)</f>
        <v>0</v>
      </c>
      <c r="G165" s="3">
        <f>ROUND(VLOOKUP($D165,'Classification Table'!$A$6:$E$77,4,FALSE)*$E165,0)</f>
        <v>22722</v>
      </c>
      <c r="H165" s="3">
        <f>ROUND(VLOOKUP($D165,'Classification Table'!$A$6:$E$77,5,FALSE)*$E165,0)</f>
        <v>22722</v>
      </c>
      <c r="I165" s="3"/>
      <c r="J165" s="3"/>
      <c r="K165" s="3"/>
    </row>
    <row r="166" spans="1:11" ht="11.25" x14ac:dyDescent="0.2">
      <c r="A166" s="325">
        <f t="shared" si="25"/>
        <v>31</v>
      </c>
      <c r="B166" s="24">
        <f>Input!A111</f>
        <v>379.1</v>
      </c>
      <c r="C166" s="25" t="str">
        <f>Input!B111</f>
        <v>STA EQUIP - CITY</v>
      </c>
      <c r="D166" s="118">
        <f>Input!C111</f>
        <v>5</v>
      </c>
      <c r="E166" s="3">
        <f>SUM(Input!D111:E111)</f>
        <v>254901</v>
      </c>
      <c r="F166" s="3">
        <f>ROUND(VLOOKUP($D166,'Classification Table'!$A$6:$E$77,3,FALSE)*$E166,0)</f>
        <v>0</v>
      </c>
      <c r="G166" s="3">
        <f>ROUND(VLOOKUP($D166,'Classification Table'!$A$6:$E$77,4,FALSE)*$E166,0)</f>
        <v>127451</v>
      </c>
      <c r="H166" s="3">
        <f>ROUND(VLOOKUP($D166,'Classification Table'!$A$6:$E$77,5,FALSE)*$E166,0)</f>
        <v>127451</v>
      </c>
      <c r="I166" s="3"/>
      <c r="J166" s="3"/>
      <c r="K166" s="3"/>
    </row>
    <row r="167" spans="1:11" ht="11.25" x14ac:dyDescent="0.2">
      <c r="A167" s="325">
        <f t="shared" si="25"/>
        <v>32</v>
      </c>
      <c r="B167" s="24">
        <f>Input!A112</f>
        <v>380</v>
      </c>
      <c r="C167" s="25" t="str">
        <f>Input!B112</f>
        <v>SERVICES</v>
      </c>
      <c r="D167" s="118">
        <f>Input!C112</f>
        <v>15</v>
      </c>
      <c r="E167" s="3">
        <f>SUM(Input!D112:E112)-SUM(Input!G112:O112)</f>
        <v>127467343</v>
      </c>
      <c r="F167" s="3">
        <f>ROUND(VLOOKUP($D167,'Classification Table'!$A$6:$E$77,3,FALSE)*$E167,0)</f>
        <v>127467343</v>
      </c>
      <c r="G167" s="3">
        <f>ROUND(VLOOKUP($D167,'Classification Table'!$A$6:$E$77,4,FALSE)*$E167,0)</f>
        <v>0</v>
      </c>
      <c r="H167" s="3">
        <f>ROUND(VLOOKUP($D167,'Classification Table'!$A$6:$E$77,5,FALSE)*$E167,0)</f>
        <v>0</v>
      </c>
      <c r="I167" s="3"/>
      <c r="J167" s="3"/>
      <c r="K167" s="3"/>
    </row>
    <row r="168" spans="1:11" ht="11.25" x14ac:dyDescent="0.2">
      <c r="A168" s="3" t="s">
        <v>811</v>
      </c>
      <c r="B168" s="3"/>
      <c r="C168" s="14"/>
      <c r="D168" s="325"/>
      <c r="E168" s="3"/>
      <c r="F168" s="325" t="str">
        <f>""&amp;+Input!$B$1</f>
        <v>COLUMBIA GAS OF KENTUCKY, INC.</v>
      </c>
      <c r="H168" s="3"/>
      <c r="I168" s="3"/>
      <c r="J168" s="3"/>
      <c r="K168" s="32" t="str">
        <f>Input!$B$2</f>
        <v>ATTACHMENT CEN-2</v>
      </c>
    </row>
    <row r="169" spans="1:11" ht="11.25" x14ac:dyDescent="0.2">
      <c r="A169" s="3" t="str">
        <f>Input!$B$7</f>
        <v>DEMAND-COMMODITY</v>
      </c>
      <c r="B169" s="3"/>
      <c r="C169" s="3"/>
      <c r="D169" s="325"/>
      <c r="E169" s="3"/>
      <c r="F169" s="325" t="s">
        <v>806</v>
      </c>
      <c r="H169" s="3"/>
      <c r="I169" s="3"/>
      <c r="J169" s="3"/>
      <c r="K169" s="32" t="str">
        <f>"PAGE 31 OF "&amp;FIXED(Input!$B$8,0,TRUE)</f>
        <v>PAGE 31 OF 129</v>
      </c>
    </row>
    <row r="170" spans="1:11" ht="11.25" x14ac:dyDescent="0.2">
      <c r="A170" s="17" t="str">
        <f>Input!$B$6</f>
        <v>FORECASTED TEST YEAR - ORIGINAL FILING</v>
      </c>
      <c r="B170" s="17"/>
      <c r="C170" s="17"/>
      <c r="D170" s="34"/>
      <c r="E170" s="18"/>
      <c r="F170" s="19" t="str">
        <f>"FOR THE TWELVE MONTHS ENDED "&amp;Input!$B$4</f>
        <v>FOR THE TWELVE MONTHS ENDED 12/31/2017</v>
      </c>
      <c r="G170" s="329"/>
      <c r="H170" s="17"/>
      <c r="I170" s="17"/>
      <c r="J170" s="17"/>
      <c r="K170" s="183" t="str">
        <f>"WITNESS: "&amp;Input!$B$5</f>
        <v>WITNESS: C. NOTESTONE</v>
      </c>
    </row>
    <row r="171" spans="1:11" ht="11.25" x14ac:dyDescent="0.2">
      <c r="A171" s="325" t="s">
        <v>5</v>
      </c>
      <c r="B171" s="3" t="s">
        <v>6</v>
      </c>
      <c r="C171" s="3"/>
      <c r="D171" s="325" t="s">
        <v>811</v>
      </c>
      <c r="E171" s="325" t="s">
        <v>8</v>
      </c>
      <c r="F171" s="3"/>
      <c r="G171" s="3"/>
      <c r="H171" s="3"/>
      <c r="I171" s="3"/>
      <c r="J171" s="3"/>
      <c r="K171" s="3"/>
    </row>
    <row r="172" spans="1:11" ht="11.25" x14ac:dyDescent="0.2">
      <c r="A172" s="341" t="s">
        <v>9</v>
      </c>
      <c r="B172" s="341" t="s">
        <v>9</v>
      </c>
      <c r="C172" s="20" t="str">
        <f>Classification!C128</f>
        <v xml:space="preserve"> ACCOUNT TITLE</v>
      </c>
      <c r="D172" s="341" t="s">
        <v>10</v>
      </c>
      <c r="E172" s="341" t="s">
        <v>11</v>
      </c>
      <c r="F172" s="341" t="s">
        <v>804</v>
      </c>
      <c r="G172" s="341" t="s">
        <v>812</v>
      </c>
      <c r="H172" s="341" t="s">
        <v>813</v>
      </c>
      <c r="I172" s="447"/>
      <c r="J172" s="447"/>
      <c r="K172" s="447"/>
    </row>
    <row r="173" spans="1:11" ht="11.25" x14ac:dyDescent="0.2">
      <c r="A173" s="325"/>
      <c r="B173" s="342" t="s">
        <v>13</v>
      </c>
      <c r="C173" s="342" t="s">
        <v>14</v>
      </c>
      <c r="D173" s="325" t="s">
        <v>15</v>
      </c>
      <c r="E173" s="325" t="s">
        <v>16</v>
      </c>
      <c r="F173" s="325" t="s">
        <v>17</v>
      </c>
      <c r="G173" s="325" t="s">
        <v>18</v>
      </c>
      <c r="H173" s="325" t="s">
        <v>19</v>
      </c>
      <c r="I173" s="325"/>
      <c r="J173" s="325"/>
      <c r="K173" s="325"/>
    </row>
    <row r="174" spans="1:11" ht="11.25" x14ac:dyDescent="0.2">
      <c r="A174" s="325"/>
      <c r="B174" s="3"/>
      <c r="C174" s="3"/>
      <c r="D174" s="325"/>
      <c r="E174" s="325" t="s">
        <v>26</v>
      </c>
      <c r="F174" s="325" t="s">
        <v>26</v>
      </c>
      <c r="G174" s="325" t="s">
        <v>26</v>
      </c>
      <c r="H174" s="325" t="s">
        <v>26</v>
      </c>
      <c r="I174" s="325"/>
      <c r="J174" s="325"/>
      <c r="K174" s="325"/>
    </row>
    <row r="175" spans="1:11" ht="11.25" x14ac:dyDescent="0.2">
      <c r="A175" s="325">
        <v>1</v>
      </c>
      <c r="B175" s="24">
        <f>Input!A112</f>
        <v>380</v>
      </c>
      <c r="C175" s="25" t="str">
        <f>"DIRECT "&amp;+Input!B112</f>
        <v>DIRECT SERVICES</v>
      </c>
      <c r="D175" s="118">
        <f>Input!C112</f>
        <v>15</v>
      </c>
      <c r="E175" s="3">
        <f>SUM(Input!G112:O112)</f>
        <v>0</v>
      </c>
      <c r="F175" s="3">
        <f>ROUND(VLOOKUP($D175,'Classification Table'!$A$6:$E$77,3,FALSE)*$E175,0)</f>
        <v>0</v>
      </c>
      <c r="G175" s="3">
        <f>ROUND(VLOOKUP($D175,'Classification Table'!$A$6:$E$77,4,FALSE)*$E175,0)</f>
        <v>0</v>
      </c>
      <c r="H175" s="3">
        <f>ROUND(VLOOKUP($D175,'Classification Table'!$A$6:$E$77,5,FALSE)*$E175,0)</f>
        <v>0</v>
      </c>
      <c r="I175" s="3"/>
      <c r="J175" s="3"/>
      <c r="K175" s="3"/>
    </row>
    <row r="176" spans="1:11" ht="11.25" x14ac:dyDescent="0.2">
      <c r="A176" s="325">
        <f t="shared" ref="A176:A205" si="26">A175+1</f>
        <v>2</v>
      </c>
      <c r="B176" s="24">
        <f>Input!A113</f>
        <v>381</v>
      </c>
      <c r="C176" s="25" t="str">
        <f>Input!B113</f>
        <v>METERS</v>
      </c>
      <c r="D176" s="118">
        <f>Input!C113</f>
        <v>16</v>
      </c>
      <c r="E176" s="3">
        <f>SUM(Input!D113:E113)</f>
        <v>22789579</v>
      </c>
      <c r="F176" s="3">
        <f>ROUND(VLOOKUP($D176,'Classification Table'!$A$6:$E$77,3,FALSE)*$E176,0)</f>
        <v>22789579</v>
      </c>
      <c r="G176" s="3">
        <f>ROUND(VLOOKUP($D176,'Classification Table'!$A$6:$E$77,4,FALSE)*$E176,0)</f>
        <v>0</v>
      </c>
      <c r="H176" s="3">
        <f>ROUND(VLOOKUP($D176,'Classification Table'!$A$6:$E$77,5,FALSE)*$E176,0)</f>
        <v>0</v>
      </c>
      <c r="I176" s="3"/>
      <c r="J176" s="3"/>
      <c r="K176" s="3"/>
    </row>
    <row r="177" spans="1:11" ht="11.25" x14ac:dyDescent="0.2">
      <c r="A177" s="325">
        <f t="shared" si="26"/>
        <v>3</v>
      </c>
      <c r="B177" s="24">
        <f>Input!A114</f>
        <v>382</v>
      </c>
      <c r="C177" s="25" t="str">
        <f>Input!B114</f>
        <v>METER INSTALLATIONS</v>
      </c>
      <c r="D177" s="118">
        <f>Input!C114</f>
        <v>16</v>
      </c>
      <c r="E177" s="3">
        <f>SUM(Input!D114:E114)</f>
        <v>9462175</v>
      </c>
      <c r="F177" s="3">
        <f>ROUND(VLOOKUP($D177,'Classification Table'!$A$6:$E$77,3,FALSE)*$E177,0)</f>
        <v>9462175</v>
      </c>
      <c r="G177" s="3">
        <f>ROUND(VLOOKUP($D177,'Classification Table'!$A$6:$E$77,4,FALSE)*$E177,0)</f>
        <v>0</v>
      </c>
      <c r="H177" s="3">
        <f>ROUND(VLOOKUP($D177,'Classification Table'!$A$6:$E$77,5,FALSE)*$E177,0)</f>
        <v>0</v>
      </c>
      <c r="I177" s="3"/>
      <c r="J177" s="3"/>
      <c r="K177" s="3"/>
    </row>
    <row r="178" spans="1:11" ht="11.25" x14ac:dyDescent="0.2">
      <c r="A178" s="325">
        <f t="shared" si="26"/>
        <v>4</v>
      </c>
      <c r="B178" s="24">
        <f>Input!A115</f>
        <v>383</v>
      </c>
      <c r="C178" s="25" t="str">
        <f>Input!B115</f>
        <v>HOUSE REGULATORS</v>
      </c>
      <c r="D178" s="118">
        <f>Input!C115</f>
        <v>16</v>
      </c>
      <c r="E178" s="3">
        <f>SUM(Input!D115:E115)</f>
        <v>5770311</v>
      </c>
      <c r="F178" s="3">
        <f>ROUND(VLOOKUP($D178,'Classification Table'!$A$6:$E$77,3,FALSE)*$E178,0)</f>
        <v>5770311</v>
      </c>
      <c r="G178" s="3">
        <f>ROUND(VLOOKUP($D178,'Classification Table'!$A$6:$E$77,4,FALSE)*$E178,0)</f>
        <v>0</v>
      </c>
      <c r="H178" s="3">
        <f>ROUND(VLOOKUP($D178,'Classification Table'!$A$6:$E$77,5,FALSE)*$E178,0)</f>
        <v>0</v>
      </c>
      <c r="I178" s="3"/>
      <c r="J178" s="3"/>
      <c r="K178" s="3"/>
    </row>
    <row r="179" spans="1:11" ht="11.25" x14ac:dyDescent="0.2">
      <c r="A179" s="325">
        <f t="shared" si="26"/>
        <v>5</v>
      </c>
      <c r="B179" s="24">
        <f>Input!A116</f>
        <v>384</v>
      </c>
      <c r="C179" s="25" t="str">
        <f>Input!B116</f>
        <v>HOUSE REG INSTALLATIONS</v>
      </c>
      <c r="D179" s="118">
        <f>Input!C116</f>
        <v>16</v>
      </c>
      <c r="E179" s="3">
        <f>SUM(Input!D116:E116)</f>
        <v>2257522</v>
      </c>
      <c r="F179" s="3">
        <f>ROUND(VLOOKUP($D179,'Classification Table'!$A$6:$E$77,3,FALSE)*$E179,0)</f>
        <v>2257522</v>
      </c>
      <c r="G179" s="3">
        <f>ROUND(VLOOKUP($D179,'Classification Table'!$A$6:$E$77,4,FALSE)*$E179,0)</f>
        <v>0</v>
      </c>
      <c r="H179" s="3">
        <f>ROUND(VLOOKUP($D179,'Classification Table'!$A$6:$E$77,5,FALSE)*$E179,0)</f>
        <v>0</v>
      </c>
      <c r="I179" s="3"/>
      <c r="J179" s="3"/>
      <c r="K179" s="3"/>
    </row>
    <row r="180" spans="1:11" ht="11.25" x14ac:dyDescent="0.2">
      <c r="A180" s="325">
        <f t="shared" si="26"/>
        <v>6</v>
      </c>
      <c r="B180" s="24">
        <f>Input!A117</f>
        <v>385</v>
      </c>
      <c r="C180" s="25" t="str">
        <f>Input!B117</f>
        <v>IND M&amp;R EQUIPMENT</v>
      </c>
      <c r="D180" s="118">
        <f>Input!C117</f>
        <v>17</v>
      </c>
      <c r="E180" s="221">
        <f>SUM(Input!D117:E117)-SUM(Input!G117:O117)</f>
        <v>2697547</v>
      </c>
      <c r="F180" s="3">
        <f>ROUND(VLOOKUP($D180,'Classification Table'!$A$6:$E$77,3,FALSE)*$E180,0)</f>
        <v>2697547</v>
      </c>
      <c r="G180" s="3">
        <f>ROUND(VLOOKUP($D180,'Classification Table'!$A$6:$E$77,4,FALSE)*$E180,0)</f>
        <v>0</v>
      </c>
      <c r="H180" s="3">
        <f>ROUND(VLOOKUP($D180,'Classification Table'!$A$6:$E$77,5,FALSE)*$E180,0)</f>
        <v>0</v>
      </c>
      <c r="I180" s="3"/>
      <c r="J180" s="3"/>
      <c r="K180" s="3"/>
    </row>
    <row r="181" spans="1:11" ht="11.25" x14ac:dyDescent="0.2">
      <c r="A181" s="325">
        <f t="shared" si="26"/>
        <v>7</v>
      </c>
      <c r="B181" s="24">
        <f>Input!A117</f>
        <v>385</v>
      </c>
      <c r="C181" s="25" t="str">
        <f>"DIRECT "&amp;+Input!B117</f>
        <v>DIRECT IND M&amp;R EQUIPMENT</v>
      </c>
      <c r="D181" s="118">
        <f>D180</f>
        <v>17</v>
      </c>
      <c r="E181" s="3">
        <f>SUM(Input!G117:O117)</f>
        <v>677829</v>
      </c>
      <c r="F181" s="3">
        <f>ROUND(VLOOKUP($D181,'Classification Table'!$A$6:$E$77,3,FALSE)*$E181,0)</f>
        <v>677829</v>
      </c>
      <c r="G181" s="3">
        <f>ROUND(VLOOKUP($D181,'Classification Table'!$A$6:$E$77,4,FALSE)*$E181,0)</f>
        <v>0</v>
      </c>
      <c r="H181" s="3">
        <f>ROUND(VLOOKUP($D181,'Classification Table'!$A$6:$E$77,5,FALSE)*$E181,0)</f>
        <v>0</v>
      </c>
      <c r="I181" s="3"/>
      <c r="J181" s="3"/>
      <c r="K181" s="3"/>
    </row>
    <row r="182" spans="1:11" ht="11.25" x14ac:dyDescent="0.2">
      <c r="A182" s="325">
        <f t="shared" si="26"/>
        <v>8</v>
      </c>
      <c r="B182" s="24">
        <f>Input!A118</f>
        <v>387.2</v>
      </c>
      <c r="C182" s="25" t="str">
        <f>Input!B118</f>
        <v>ODORIZATION</v>
      </c>
      <c r="D182" s="118" t="str">
        <f>IF(Input!$C$2=3,'Classification Table'!$A$12,IF(Input!$C$2=5,'Classification Table'!$A$13,IF(Input!$C$2=20,'Classification Table'!$A$14,0)))</f>
        <v>7DC</v>
      </c>
      <c r="E182" s="3">
        <f>SUM(Input!D118:E118)</f>
        <v>0</v>
      </c>
      <c r="F182" s="3">
        <f>ROUND(VLOOKUP($D182,'Classification Table'!$A$6:$E$77,3,FALSE)*$E182,0)</f>
        <v>0</v>
      </c>
      <c r="G182" s="3">
        <f>ROUND(VLOOKUP($D182,'Classification Table'!$A$6:$E$77,4,FALSE)*$E182,0)</f>
        <v>0</v>
      </c>
      <c r="H182" s="3">
        <f>ROUND(VLOOKUP($D182,'Classification Table'!$A$6:$E$77,5,FALSE)*$E182,0)</f>
        <v>0</v>
      </c>
      <c r="I182" s="3"/>
      <c r="J182" s="3"/>
      <c r="K182" s="3"/>
    </row>
    <row r="183" spans="1:11" ht="11.25" x14ac:dyDescent="0.2">
      <c r="A183" s="325">
        <f t="shared" si="26"/>
        <v>9</v>
      </c>
      <c r="B183" s="24">
        <f>Input!A119</f>
        <v>387.41</v>
      </c>
      <c r="C183" s="25" t="str">
        <f>Input!B119</f>
        <v>TELEPHONE</v>
      </c>
      <c r="D183" s="118" t="str">
        <f>IF(Input!$C$2=3,'Classification Table'!$A$12,IF(Input!$C$2=5,'Classification Table'!$A$13,IF(Input!$C$2=20,'Classification Table'!$A$14,0)))</f>
        <v>7DC</v>
      </c>
      <c r="E183" s="3">
        <f>SUM(Input!D119:E119)</f>
        <v>735771</v>
      </c>
      <c r="F183" s="3">
        <f>ROUND(VLOOKUP($D183,'Classification Table'!$A$6:$E$77,3,FALSE)*$E183,0)</f>
        <v>307899</v>
      </c>
      <c r="G183" s="3">
        <f>ROUND(VLOOKUP($D183,'Classification Table'!$A$6:$E$77,4,FALSE)*$E183,0)</f>
        <v>213936</v>
      </c>
      <c r="H183" s="3">
        <f>ROUND(VLOOKUP($D183,'Classification Table'!$A$6:$E$77,5,FALSE)*$E183,0)</f>
        <v>213936</v>
      </c>
      <c r="I183" s="3"/>
      <c r="J183" s="3"/>
      <c r="K183" s="3"/>
    </row>
    <row r="184" spans="1:11" ht="11.25" x14ac:dyDescent="0.2">
      <c r="A184" s="325">
        <f t="shared" si="26"/>
        <v>10</v>
      </c>
      <c r="B184" s="24">
        <f>Input!A120</f>
        <v>387.42</v>
      </c>
      <c r="C184" s="25" t="str">
        <f>Input!B120</f>
        <v>RADIO</v>
      </c>
      <c r="D184" s="118" t="str">
        <f>IF(Input!$C$2=3,'Classification Table'!$A$12,IF(Input!$C$2=5,'Classification Table'!$A$13,IF(Input!$C$2=20,'Classification Table'!$A$14,0)))</f>
        <v>7DC</v>
      </c>
      <c r="E184" s="3">
        <f>SUM(Input!D120:E120)</f>
        <v>795187</v>
      </c>
      <c r="F184" s="3">
        <f>ROUND(VLOOKUP($D184,'Classification Table'!$A$6:$E$77,3,FALSE)*$E184,0)</f>
        <v>332763</v>
      </c>
      <c r="G184" s="3">
        <f>ROUND(VLOOKUP($D184,'Classification Table'!$A$6:$E$77,4,FALSE)*$E184,0)</f>
        <v>231212</v>
      </c>
      <c r="H184" s="3">
        <f>ROUND(VLOOKUP($D184,'Classification Table'!$A$6:$E$77,5,FALSE)*$E184,0)</f>
        <v>231212</v>
      </c>
      <c r="I184" s="3"/>
      <c r="J184" s="3"/>
      <c r="K184" s="3"/>
    </row>
    <row r="185" spans="1:11" ht="11.25" x14ac:dyDescent="0.2">
      <c r="A185" s="325">
        <f t="shared" si="26"/>
        <v>11</v>
      </c>
      <c r="B185" s="24">
        <f>Input!A121</f>
        <v>387.44</v>
      </c>
      <c r="C185" s="25" t="str">
        <f>Input!B121</f>
        <v>OTHER COMMUNICATION</v>
      </c>
      <c r="D185" s="118" t="str">
        <f>IF(Input!$C$2=3,'Classification Table'!$A$12,IF(Input!$C$2=5,'Classification Table'!$A$13,IF(Input!$C$2=20,'Classification Table'!$A$14,0)))</f>
        <v>7DC</v>
      </c>
      <c r="E185" s="3">
        <f>SUM(Input!D121:E121)</f>
        <v>133590</v>
      </c>
      <c r="F185" s="3">
        <f>ROUND(VLOOKUP($D185,'Classification Table'!$A$6:$E$77,3,FALSE)*$E185,0)</f>
        <v>55904</v>
      </c>
      <c r="G185" s="3">
        <f>ROUND(VLOOKUP($D185,'Classification Table'!$A$6:$E$77,4,FALSE)*$E185,0)</f>
        <v>38843</v>
      </c>
      <c r="H185" s="3">
        <f>ROUND(VLOOKUP($D185,'Classification Table'!$A$6:$E$77,5,FALSE)*$E185,0)</f>
        <v>38843</v>
      </c>
      <c r="I185" s="3"/>
      <c r="J185" s="3"/>
      <c r="K185" s="3"/>
    </row>
    <row r="186" spans="1:11" ht="11.25" x14ac:dyDescent="0.2">
      <c r="A186" s="325">
        <f t="shared" si="26"/>
        <v>12</v>
      </c>
      <c r="B186" s="24">
        <f>Input!A122</f>
        <v>387.45</v>
      </c>
      <c r="C186" s="25" t="str">
        <f>Input!B122</f>
        <v>TELEMETERING</v>
      </c>
      <c r="D186" s="118" t="str">
        <f>IF(Input!$C$2=3,'Classification Table'!$A$12,IF(Input!$C$2=5,'Classification Table'!$A$13,IF(Input!$C$2=20,'Classification Table'!$A$14,0)))</f>
        <v>7DC</v>
      </c>
      <c r="E186" s="3">
        <f>SUM(Input!D122:E122)</f>
        <v>3779585</v>
      </c>
      <c r="F186" s="3">
        <f>ROUND(VLOOKUP($D186,'Classification Table'!$A$6:$E$77,3,FALSE)*$E186,0)</f>
        <v>1581646</v>
      </c>
      <c r="G186" s="3">
        <f>ROUND(VLOOKUP($D186,'Classification Table'!$A$6:$E$77,4,FALSE)*$E186,0)</f>
        <v>1098970</v>
      </c>
      <c r="H186" s="3">
        <f>ROUND(VLOOKUP($D186,'Classification Table'!$A$6:$E$77,5,FALSE)*$E186,0)</f>
        <v>1098970</v>
      </c>
      <c r="I186" s="3"/>
      <c r="J186" s="3"/>
      <c r="K186" s="3"/>
    </row>
    <row r="187" spans="1:11" ht="11.25" x14ac:dyDescent="0.2">
      <c r="A187" s="325">
        <f t="shared" si="26"/>
        <v>13</v>
      </c>
      <c r="B187" s="24">
        <f>Input!A123</f>
        <v>387.46</v>
      </c>
      <c r="C187" s="25" t="str">
        <f>Input!B123</f>
        <v>CIS</v>
      </c>
      <c r="D187" s="118" t="str">
        <f>IF(Input!$C$2=3,'Classification Table'!$A$12,IF(Input!$C$2=5,'Classification Table'!$A$13,IF(Input!$C$2=20,'Classification Table'!$A$14,0)))</f>
        <v>7DC</v>
      </c>
      <c r="E187" s="26">
        <f>SUM(Input!D123:E123)</f>
        <v>113644</v>
      </c>
      <c r="F187" s="26">
        <f>ROUND(VLOOKUP($D187,'Classification Table'!$A$6:$E$77,3,FALSE)*$E187,0)</f>
        <v>47557</v>
      </c>
      <c r="G187" s="26">
        <f>ROUND(VLOOKUP($D187,'Classification Table'!$A$6:$E$77,4,FALSE)*$E187,0)</f>
        <v>33044</v>
      </c>
      <c r="H187" s="26">
        <f>ROUND(VLOOKUP($D187,'Classification Table'!$A$6:$E$77,5,FALSE)*$E187,0)</f>
        <v>33044</v>
      </c>
      <c r="I187" s="26"/>
      <c r="J187" s="26"/>
      <c r="K187" s="26"/>
    </row>
    <row r="188" spans="1:11" ht="11.25" x14ac:dyDescent="0.2">
      <c r="A188" s="325">
        <f t="shared" si="26"/>
        <v>14</v>
      </c>
      <c r="B188" s="3"/>
      <c r="C188" s="25" t="s">
        <v>84</v>
      </c>
      <c r="D188" s="118"/>
      <c r="E188" s="3">
        <f>SUM(Classification!E149:E167)+SUM(E175:E187)</f>
        <v>423501900</v>
      </c>
      <c r="F188" s="3">
        <f>SUM(Classification!F149:F167)+SUM(F175:F187)</f>
        <v>177223194</v>
      </c>
      <c r="G188" s="3">
        <f>SUM(Classification!G149:G167)+SUM(G175:G187)</f>
        <v>123139355</v>
      </c>
      <c r="H188" s="3">
        <f>SUM(Classification!H149:H167)+SUM(H175:H187)</f>
        <v>123139355</v>
      </c>
      <c r="I188" s="3"/>
      <c r="J188" s="3"/>
      <c r="K188" s="3"/>
    </row>
    <row r="189" spans="1:11" ht="11.25" x14ac:dyDescent="0.2">
      <c r="A189" s="325">
        <f t="shared" si="26"/>
        <v>15</v>
      </c>
      <c r="B189" s="3"/>
      <c r="C189" s="24" t="str">
        <f>Input!A124</f>
        <v>GENERAL PLANT</v>
      </c>
      <c r="D189" s="118"/>
      <c r="E189" s="3"/>
      <c r="F189" s="3"/>
      <c r="G189" s="3"/>
      <c r="H189" s="3"/>
      <c r="I189" s="3"/>
      <c r="J189" s="3"/>
      <c r="K189" s="3"/>
    </row>
    <row r="190" spans="1:11" ht="11.25" x14ac:dyDescent="0.2">
      <c r="A190" s="325">
        <f t="shared" si="26"/>
        <v>16</v>
      </c>
      <c r="B190" s="24">
        <f>Input!A125</f>
        <v>391.1</v>
      </c>
      <c r="C190" s="25" t="str">
        <f>Input!B125</f>
        <v>OFF FURN &amp; EQUIP - UNSPEC</v>
      </c>
      <c r="D190" s="118" t="str">
        <f>IF(Input!$C$2=3,'Classification Table'!$A$12,IF(Input!$C$2=5,'Classification Table'!$A$13,IF(Input!$C$2=20,'Classification Table'!$A$14,0)))</f>
        <v>7DC</v>
      </c>
      <c r="E190" s="3">
        <f>SUM(Input!D125:E125)</f>
        <v>735278</v>
      </c>
      <c r="F190" s="3">
        <f>ROUND(VLOOKUP($D190,'Classification Table'!$A$6:$E$77,3,FALSE)*$E190,0)</f>
        <v>307692</v>
      </c>
      <c r="G190" s="3">
        <f>ROUND(VLOOKUP($D190,'Classification Table'!$A$6:$E$77,4,FALSE)*$E190,0)</f>
        <v>213793</v>
      </c>
      <c r="H190" s="3">
        <f>ROUND(VLOOKUP($D190,'Classification Table'!$A$6:$E$77,5,FALSE)*$E190,0)</f>
        <v>213793</v>
      </c>
      <c r="I190" s="3"/>
      <c r="J190" s="3"/>
      <c r="K190" s="3"/>
    </row>
    <row r="191" spans="1:11" ht="11.25" x14ac:dyDescent="0.2">
      <c r="A191" s="325">
        <f t="shared" si="26"/>
        <v>17</v>
      </c>
      <c r="B191" s="24">
        <f>Input!A126</f>
        <v>391.11</v>
      </c>
      <c r="C191" s="25" t="str">
        <f>Input!B126</f>
        <v>OFF FURN &amp; EQUIP - DATA HAND</v>
      </c>
      <c r="D191" s="118" t="str">
        <f>IF(Input!$C$2=3,'Classification Table'!$A$12,IF(Input!$C$2=5,'Classification Table'!$A$13,IF(Input!$C$2=20,'Classification Table'!$A$14,0)))</f>
        <v>7DC</v>
      </c>
      <c r="E191" s="3">
        <f>SUM(Input!D126:E126)</f>
        <v>18816</v>
      </c>
      <c r="F191" s="3">
        <f>ROUND(VLOOKUP($D191,'Classification Table'!$A$6:$E$77,3,FALSE)*$E191,0)</f>
        <v>7874</v>
      </c>
      <c r="G191" s="3">
        <f>ROUND(VLOOKUP($D191,'Classification Table'!$A$6:$E$77,4,FALSE)*$E191,0)</f>
        <v>5471</v>
      </c>
      <c r="H191" s="3">
        <f>ROUND(VLOOKUP($D191,'Classification Table'!$A$6:$E$77,5,FALSE)*$E191,0)</f>
        <v>5471</v>
      </c>
      <c r="I191" s="3"/>
      <c r="J191" s="3"/>
      <c r="K191" s="3"/>
    </row>
    <row r="192" spans="1:11" ht="11.25" x14ac:dyDescent="0.2">
      <c r="A192" s="325">
        <f t="shared" si="26"/>
        <v>18</v>
      </c>
      <c r="B192" s="24">
        <f>Input!A127</f>
        <v>391.12</v>
      </c>
      <c r="C192" s="25" t="str">
        <f>Input!B127</f>
        <v>OFF FURN &amp; EQUIP - INFO SYSTEM</v>
      </c>
      <c r="D192" s="118" t="str">
        <f>IF(Input!$C$2=3,'Classification Table'!$A$12,IF(Input!$C$2=5,'Classification Table'!$A$13,IF(Input!$C$2=20,'Classification Table'!$A$14,0)))</f>
        <v>7DC</v>
      </c>
      <c r="E192" s="3">
        <f>SUM(Input!D127:E127)</f>
        <v>1257641</v>
      </c>
      <c r="F192" s="3">
        <f>ROUND(VLOOKUP($D192,'Classification Table'!$A$6:$E$77,3,FALSE)*$E192,0)</f>
        <v>526286</v>
      </c>
      <c r="G192" s="3">
        <f>ROUND(VLOOKUP($D192,'Classification Table'!$A$6:$E$77,4,FALSE)*$E192,0)</f>
        <v>365677</v>
      </c>
      <c r="H192" s="3">
        <f>ROUND(VLOOKUP($D192,'Classification Table'!$A$6:$E$77,5,FALSE)*$E192,0)</f>
        <v>365677</v>
      </c>
      <c r="I192" s="3"/>
      <c r="J192" s="3"/>
      <c r="K192" s="3"/>
    </row>
    <row r="193" spans="1:11" ht="11.25" x14ac:dyDescent="0.2">
      <c r="A193" s="325">
        <f t="shared" si="26"/>
        <v>19</v>
      </c>
      <c r="B193" s="24">
        <f>Input!A128</f>
        <v>392.2</v>
      </c>
      <c r="C193" s="25" t="str">
        <f>Input!B128</f>
        <v>TR EQ - TRAILER &gt; $1,000</v>
      </c>
      <c r="D193" s="118" t="str">
        <f>IF(Input!$C$2=3,'Classification Table'!$A$12,IF(Input!$C$2=5,'Classification Table'!$A$13,IF(Input!$C$2=20,'Classification Table'!$A$14,0)))</f>
        <v>7DC</v>
      </c>
      <c r="E193" s="3">
        <f>SUM(Input!D128:E128)</f>
        <v>95778</v>
      </c>
      <c r="F193" s="3">
        <f>ROUND(VLOOKUP($D193,'Classification Table'!$A$6:$E$77,3,FALSE)*$E193,0)</f>
        <v>40080</v>
      </c>
      <c r="G193" s="3">
        <f>ROUND(VLOOKUP($D193,'Classification Table'!$A$6:$E$77,4,FALSE)*$E193,0)</f>
        <v>27849</v>
      </c>
      <c r="H193" s="3">
        <f>ROUND(VLOOKUP($D193,'Classification Table'!$A$6:$E$77,5,FALSE)*$E193,0)</f>
        <v>27849</v>
      </c>
      <c r="I193" s="3"/>
      <c r="J193" s="3"/>
      <c r="K193" s="3"/>
    </row>
    <row r="194" spans="1:11" ht="11.25" x14ac:dyDescent="0.2">
      <c r="A194" s="325">
        <f t="shared" si="26"/>
        <v>20</v>
      </c>
      <c r="B194" s="24">
        <f>Input!A129</f>
        <v>392.21</v>
      </c>
      <c r="C194" s="25" t="str">
        <f>Input!B129</f>
        <v>TR EQ - TRAILER &lt; $1,000</v>
      </c>
      <c r="D194" s="118" t="str">
        <f>IF(Input!$C$2=3,'Classification Table'!$A$12,IF(Input!$C$2=5,'Classification Table'!$A$13,IF(Input!$C$2=20,'Classification Table'!$A$14,0)))</f>
        <v>7DC</v>
      </c>
      <c r="E194" s="3">
        <f>SUM(Input!D129:E129)</f>
        <v>24462</v>
      </c>
      <c r="F194" s="3">
        <f>ROUND(VLOOKUP($D194,'Classification Table'!$A$6:$E$77,3,FALSE)*$E194,0)</f>
        <v>10237</v>
      </c>
      <c r="G194" s="3">
        <f>ROUND(VLOOKUP($D194,'Classification Table'!$A$6:$E$77,4,FALSE)*$E194,0)</f>
        <v>7113</v>
      </c>
      <c r="H194" s="3">
        <f>ROUND(VLOOKUP($D194,'Classification Table'!$A$6:$E$77,5,FALSE)*$E194,0)</f>
        <v>7113</v>
      </c>
      <c r="I194" s="3"/>
      <c r="J194" s="3"/>
      <c r="K194" s="3"/>
    </row>
    <row r="195" spans="1:11" ht="11.25" x14ac:dyDescent="0.2">
      <c r="A195" s="325">
        <f t="shared" si="26"/>
        <v>21</v>
      </c>
      <c r="B195" s="24">
        <f>Input!A130</f>
        <v>394.1</v>
      </c>
      <c r="C195" s="25" t="str">
        <f>Input!B130</f>
        <v>TOOLS,SHOP, &amp; GAR EQ-GARAGE &amp; SERV</v>
      </c>
      <c r="D195" s="118" t="str">
        <f>IF(Input!$C$2=3,'Classification Table'!$A$12,IF(Input!$C$2=5,'Classification Table'!$A$13,IF(Input!$C$2=20,'Classification Table'!$A$14,0)))</f>
        <v>7DC</v>
      </c>
      <c r="E195" s="3">
        <f>SUM(Input!D130:E130)</f>
        <v>24241</v>
      </c>
      <c r="F195" s="3">
        <f>ROUND(VLOOKUP($D195,'Classification Table'!$A$6:$E$77,3,FALSE)*$E195,0)</f>
        <v>10144</v>
      </c>
      <c r="G195" s="3">
        <f>ROUND(VLOOKUP($D195,'Classification Table'!$A$6:$E$77,4,FALSE)*$E195,0)</f>
        <v>7048</v>
      </c>
      <c r="H195" s="3">
        <f>ROUND(VLOOKUP($D195,'Classification Table'!$A$6:$E$77,5,FALSE)*$E195,0)</f>
        <v>7048</v>
      </c>
      <c r="I195" s="3"/>
      <c r="J195" s="3"/>
      <c r="K195" s="3"/>
    </row>
    <row r="196" spans="1:11" ht="11.25" x14ac:dyDescent="0.2">
      <c r="A196" s="325">
        <f t="shared" si="26"/>
        <v>22</v>
      </c>
      <c r="B196" s="24">
        <f>Input!A131</f>
        <v>394.13</v>
      </c>
      <c r="C196" s="25" t="str">
        <f>Input!B131</f>
        <v>TOOLS,SHOP, &amp; GAR EQ-UND TANK CLEANUP</v>
      </c>
      <c r="D196" s="118" t="str">
        <f>IF(Input!$C$2=3,'Classification Table'!$A$12,IF(Input!$C$2=5,'Classification Table'!$A$13,IF(Input!$C$2=20,'Classification Table'!$A$14,0)))</f>
        <v>7DC</v>
      </c>
      <c r="E196" s="3">
        <f>SUM(Input!D131:E131)</f>
        <v>0</v>
      </c>
      <c r="F196" s="3">
        <f>ROUND(VLOOKUP($D196,'Classification Table'!$A$6:$E$77,3,FALSE)*$E196,0)</f>
        <v>0</v>
      </c>
      <c r="G196" s="3">
        <f>ROUND(VLOOKUP($D196,'Classification Table'!$A$6:$E$77,4,FALSE)*$E196,0)</f>
        <v>0</v>
      </c>
      <c r="H196" s="3">
        <f>ROUND(VLOOKUP($D196,'Classification Table'!$A$6:$E$77,5,FALSE)*$E196,0)</f>
        <v>0</v>
      </c>
      <c r="I196" s="3"/>
      <c r="J196" s="3"/>
      <c r="K196" s="3"/>
    </row>
    <row r="197" spans="1:11" ht="11.25" x14ac:dyDescent="0.2">
      <c r="A197" s="325">
        <f t="shared" si="26"/>
        <v>23</v>
      </c>
      <c r="B197" s="24">
        <f>Input!A132</f>
        <v>393</v>
      </c>
      <c r="C197" s="25" t="str">
        <f>Input!B132</f>
        <v>STORES EQUIPMENT</v>
      </c>
      <c r="D197" s="118" t="str">
        <f>IF(Input!$C$2=3,'Classification Table'!$A$12,IF(Input!$C$2=5,'Classification Table'!$A$13,IF(Input!$C$2=20,'Classification Table'!$A$14,0)))</f>
        <v>7DC</v>
      </c>
      <c r="E197" s="3">
        <f>SUM(Input!D132:E132)</f>
        <v>0</v>
      </c>
      <c r="F197" s="3">
        <f>ROUND(VLOOKUP($D197,'Classification Table'!$A$6:$E$77,3,FALSE)*$E197,0)</f>
        <v>0</v>
      </c>
      <c r="G197" s="3">
        <f>ROUND(VLOOKUP($D197,'Classification Table'!$A$6:$E$77,4,FALSE)*$E197,0)</f>
        <v>0</v>
      </c>
      <c r="H197" s="3">
        <f>ROUND(VLOOKUP($D197,'Classification Table'!$A$6:$E$77,5,FALSE)*$E197,0)</f>
        <v>0</v>
      </c>
      <c r="I197" s="3"/>
      <c r="J197" s="3"/>
      <c r="K197" s="3"/>
    </row>
    <row r="198" spans="1:11" ht="11.25" x14ac:dyDescent="0.2">
      <c r="A198" s="325">
        <f t="shared" si="26"/>
        <v>24</v>
      </c>
      <c r="B198" s="24">
        <f>Input!A133</f>
        <v>394.2</v>
      </c>
      <c r="C198" s="25" t="str">
        <f>Input!B133</f>
        <v>SHOP EQUIPMENT</v>
      </c>
      <c r="D198" s="118" t="str">
        <f>IF(Input!$C$2=3,'Classification Table'!$A$12,IF(Input!$C$2=5,'Classification Table'!$A$13,IF(Input!$C$2=20,'Classification Table'!$A$14,0)))</f>
        <v>7DC</v>
      </c>
      <c r="E198" s="3">
        <f>SUM(Input!D133:E133)</f>
        <v>0</v>
      </c>
      <c r="F198" s="3">
        <f>ROUND(VLOOKUP($D198,'Classification Table'!$A$6:$E$77,3,FALSE)*$E198,0)</f>
        <v>0</v>
      </c>
      <c r="G198" s="3">
        <f>ROUND(VLOOKUP($D198,'Classification Table'!$A$6:$E$77,4,FALSE)*$E198,0)</f>
        <v>0</v>
      </c>
      <c r="H198" s="3">
        <f>ROUND(VLOOKUP($D198,'Classification Table'!$A$6:$E$77,5,FALSE)*$E198,0)</f>
        <v>0</v>
      </c>
      <c r="I198" s="3"/>
      <c r="J198" s="3"/>
      <c r="K198" s="3"/>
    </row>
    <row r="199" spans="1:11" ht="11.25" x14ac:dyDescent="0.2">
      <c r="A199" s="325">
        <f t="shared" si="26"/>
        <v>25</v>
      </c>
      <c r="B199" s="24">
        <f>Input!A134</f>
        <v>394.3</v>
      </c>
      <c r="C199" s="25" t="str">
        <f>Input!B134</f>
        <v>TOOLS &amp; OTHER EQUIPMENT</v>
      </c>
      <c r="D199" s="118" t="str">
        <f>IF(Input!$C$2=3,'Classification Table'!$A$12,IF(Input!$C$2=5,'Classification Table'!$A$13,IF(Input!$C$2=20,'Classification Table'!$A$14,0)))</f>
        <v>7DC</v>
      </c>
      <c r="E199" s="3">
        <f>SUM(Input!D134:E134)</f>
        <v>3259030</v>
      </c>
      <c r="F199" s="3">
        <f>ROUND(VLOOKUP($D199,'Classification Table'!$A$6:$E$77,3,FALSE)*$E199,0)</f>
        <v>1363809</v>
      </c>
      <c r="G199" s="3">
        <f>ROUND(VLOOKUP($D199,'Classification Table'!$A$6:$E$77,4,FALSE)*$E199,0)</f>
        <v>947611</v>
      </c>
      <c r="H199" s="3">
        <f>ROUND(VLOOKUP($D199,'Classification Table'!$A$6:$E$77,5,FALSE)*$E199,0)</f>
        <v>947611</v>
      </c>
      <c r="I199" s="3"/>
      <c r="J199" s="3"/>
      <c r="K199" s="3"/>
    </row>
    <row r="200" spans="1:11" ht="11.25" x14ac:dyDescent="0.2">
      <c r="A200" s="325">
        <f t="shared" si="26"/>
        <v>26</v>
      </c>
      <c r="B200" s="24">
        <f>Input!A135</f>
        <v>395</v>
      </c>
      <c r="C200" s="25" t="str">
        <f>Input!B135</f>
        <v>LABORATORY EQUIPMENT</v>
      </c>
      <c r="D200" s="118" t="str">
        <f>IF(Input!$C$2=3,'Classification Table'!$A$12,IF(Input!$C$2=5,'Classification Table'!$A$13,IF(Input!$C$2=20,'Classification Table'!$A$14,0)))</f>
        <v>7DC</v>
      </c>
      <c r="E200" s="3">
        <f>SUM(Input!D135:E135)</f>
        <v>9258</v>
      </c>
      <c r="F200" s="3">
        <f>ROUND(VLOOKUP($D200,'Classification Table'!$A$6:$E$77,3,FALSE)*$E200,0)</f>
        <v>3874</v>
      </c>
      <c r="G200" s="3">
        <f>ROUND(VLOOKUP($D200,'Classification Table'!$A$6:$E$77,4,FALSE)*$E200,0)</f>
        <v>2692</v>
      </c>
      <c r="H200" s="3">
        <f>ROUND(VLOOKUP($D200,'Classification Table'!$A$6:$E$77,5,FALSE)*$E200,0)</f>
        <v>2692</v>
      </c>
      <c r="I200" s="3"/>
      <c r="J200" s="3"/>
      <c r="K200" s="3"/>
    </row>
    <row r="201" spans="1:11" ht="11.25" x14ac:dyDescent="0.2">
      <c r="A201" s="325">
        <f t="shared" si="26"/>
        <v>27</v>
      </c>
      <c r="B201" s="24">
        <f>Input!A136</f>
        <v>396</v>
      </c>
      <c r="C201" s="25" t="str">
        <f>Input!B136</f>
        <v>POWER OP EQUIP-GEN TOOLS</v>
      </c>
      <c r="D201" s="118" t="str">
        <f>IF(Input!$C$2=3,'Classification Table'!$A$12,IF(Input!$C$2=5,'Classification Table'!$A$13,IF(Input!$C$2=20,'Classification Table'!$A$14,0)))</f>
        <v>7DC</v>
      </c>
      <c r="E201" s="3">
        <f>SUM(Input!D136:E136)</f>
        <v>253135</v>
      </c>
      <c r="F201" s="3">
        <f>ROUND(VLOOKUP($D201,'Classification Table'!$A$6:$E$77,3,FALSE)*$E201,0)</f>
        <v>105930</v>
      </c>
      <c r="G201" s="3">
        <f>ROUND(VLOOKUP($D201,'Classification Table'!$A$6:$E$77,4,FALSE)*$E201,0)</f>
        <v>73603</v>
      </c>
      <c r="H201" s="3">
        <f>ROUND(VLOOKUP($D201,'Classification Table'!$A$6:$E$77,5,FALSE)*$E201,0)</f>
        <v>73603</v>
      </c>
      <c r="I201" s="3"/>
      <c r="J201" s="3"/>
      <c r="K201" s="3"/>
    </row>
    <row r="202" spans="1:11" ht="11.25" x14ac:dyDescent="0.2">
      <c r="A202" s="325">
        <f t="shared" si="26"/>
        <v>28</v>
      </c>
      <c r="B202" s="24">
        <f>Input!A137</f>
        <v>397.5</v>
      </c>
      <c r="C202" s="25" t="str">
        <f>Input!B137</f>
        <v>COMMUNICATION EQUIP - TELEMETERING</v>
      </c>
      <c r="D202" s="118" t="str">
        <f>IF(Input!$C$2=3,'Classification Table'!$A$12,IF(Input!$C$2=5,'Classification Table'!$A$13,IF(Input!$C$2=20,'Classification Table'!$A$14,0)))</f>
        <v>7DC</v>
      </c>
      <c r="E202" s="3">
        <f>SUM(Input!D137:E137)</f>
        <v>0</v>
      </c>
      <c r="F202" s="3">
        <f>ROUND(VLOOKUP($D202,'Classification Table'!$A$6:$E$77,3,FALSE)*$E202,0)</f>
        <v>0</v>
      </c>
      <c r="G202" s="3">
        <f>ROUND(VLOOKUP($D202,'Classification Table'!$A$6:$E$77,4,FALSE)*$E202,0)</f>
        <v>0</v>
      </c>
      <c r="H202" s="3">
        <f>ROUND(VLOOKUP($D202,'Classification Table'!$A$6:$E$77,5,FALSE)*$E202,0)</f>
        <v>0</v>
      </c>
      <c r="I202" s="3"/>
      <c r="J202" s="3"/>
      <c r="K202" s="3"/>
    </row>
    <row r="203" spans="1:11" ht="11.25" x14ac:dyDescent="0.2">
      <c r="A203" s="325">
        <f t="shared" si="26"/>
        <v>29</v>
      </c>
      <c r="B203" s="24">
        <f>Input!A138</f>
        <v>398</v>
      </c>
      <c r="C203" s="25" t="str">
        <f>Input!B138</f>
        <v>MISCELLANEOUS EQUIPMENT</v>
      </c>
      <c r="D203" s="118" t="str">
        <f>IF(Input!$C$2=3,'Classification Table'!$A$12,IF(Input!$C$2=5,'Classification Table'!$A$13,IF(Input!$C$2=20,'Classification Table'!$A$14,0)))</f>
        <v>7DC</v>
      </c>
      <c r="E203" s="26">
        <f>SUM(Input!D138:E138)</f>
        <v>294060</v>
      </c>
      <c r="F203" s="26">
        <f>ROUND(VLOOKUP($D203,'Classification Table'!$A$6:$E$77,3,FALSE)*$E203,0)</f>
        <v>123056</v>
      </c>
      <c r="G203" s="26">
        <f>ROUND(VLOOKUP($D203,'Classification Table'!$A$6:$E$77,4,FALSE)*$E203,0)</f>
        <v>85502</v>
      </c>
      <c r="H203" s="26">
        <f>ROUND(VLOOKUP($D203,'Classification Table'!$A$6:$E$77,5,FALSE)*$E203,0)</f>
        <v>85502</v>
      </c>
      <c r="I203" s="3"/>
      <c r="J203" s="26"/>
      <c r="K203" s="26"/>
    </row>
    <row r="204" spans="1:11" ht="11.25" x14ac:dyDescent="0.2">
      <c r="A204" s="325">
        <f t="shared" si="26"/>
        <v>30</v>
      </c>
      <c r="B204" s="3"/>
      <c r="C204" s="25" t="s">
        <v>90</v>
      </c>
      <c r="D204" s="325"/>
      <c r="E204" s="26">
        <f t="shared" ref="E204:H204" si="27">SUM(E190:E203)</f>
        <v>5971699</v>
      </c>
      <c r="F204" s="26">
        <f t="shared" si="27"/>
        <v>2498982</v>
      </c>
      <c r="G204" s="26">
        <f t="shared" si="27"/>
        <v>1736359</v>
      </c>
      <c r="H204" s="26">
        <f t="shared" si="27"/>
        <v>1736359</v>
      </c>
      <c r="I204" s="26"/>
      <c r="J204" s="26"/>
      <c r="K204" s="26"/>
    </row>
    <row r="205" spans="1:11" ht="11.25" x14ac:dyDescent="0.2">
      <c r="A205" s="325">
        <f t="shared" si="26"/>
        <v>31</v>
      </c>
      <c r="B205" s="3"/>
      <c r="C205" s="25" t="s">
        <v>93</v>
      </c>
      <c r="D205" s="325"/>
      <c r="E205" s="3">
        <f>Classification!E138+Classification!E145+E188+E204</f>
        <v>437889787</v>
      </c>
      <c r="F205" s="3">
        <f>Classification!F138+Classification!F145+F188+F204</f>
        <v>183244104</v>
      </c>
      <c r="G205" s="3">
        <f>Classification!G138+Classification!G145+G188+G204</f>
        <v>127322843</v>
      </c>
      <c r="H205" s="3">
        <f>Classification!H138+Classification!H145+H188+H204</f>
        <v>127322843</v>
      </c>
      <c r="I205" s="3"/>
      <c r="J205" s="3"/>
      <c r="K205" s="3"/>
    </row>
    <row r="206" spans="1:11" ht="11.25" x14ac:dyDescent="0.2">
      <c r="A206" s="3" t="s">
        <v>811</v>
      </c>
      <c r="B206" s="3"/>
      <c r="C206" s="14"/>
      <c r="D206" s="325"/>
      <c r="E206" s="3"/>
      <c r="F206" s="325" t="str">
        <f>" "&amp;+Input!$B$1</f>
        <v xml:space="preserve"> COLUMBIA GAS OF KENTUCKY, INC.</v>
      </c>
      <c r="H206" s="3"/>
      <c r="I206" s="3"/>
      <c r="J206" s="3"/>
      <c r="K206" s="32" t="str">
        <f>Input!$B$2</f>
        <v>ATTACHMENT CEN-2</v>
      </c>
    </row>
    <row r="207" spans="1:11" ht="11.25" x14ac:dyDescent="0.2">
      <c r="A207" s="3" t="str">
        <f>Input!$B$7</f>
        <v>DEMAND-COMMODITY</v>
      </c>
      <c r="B207" s="3"/>
      <c r="C207" s="3"/>
      <c r="D207" s="325"/>
      <c r="E207" s="3"/>
      <c r="F207" s="325" t="s">
        <v>158</v>
      </c>
      <c r="H207" s="3"/>
      <c r="I207" s="3"/>
      <c r="J207" s="3"/>
      <c r="K207" s="32" t="str">
        <f>"PAGE 32 OF "&amp;FIXED(Input!$B$8,0,TRUE)</f>
        <v>PAGE 32 OF 129</v>
      </c>
    </row>
    <row r="208" spans="1:11" ht="11.25" x14ac:dyDescent="0.2">
      <c r="A208" s="17" t="str">
        <f>Input!$B$6</f>
        <v>FORECASTED TEST YEAR - ORIGINAL FILING</v>
      </c>
      <c r="B208" s="17"/>
      <c r="C208" s="17"/>
      <c r="D208" s="34"/>
      <c r="E208" s="18"/>
      <c r="F208" s="19" t="str">
        <f>"FOR THE TWELVE MONTHS ENDED "&amp;Input!$B$4</f>
        <v>FOR THE TWELVE MONTHS ENDED 12/31/2017</v>
      </c>
      <c r="G208" s="329"/>
      <c r="H208" s="17"/>
      <c r="I208" s="17"/>
      <c r="J208" s="17"/>
      <c r="K208" s="183" t="str">
        <f>"WITNESS: "&amp;Input!$B$5</f>
        <v>WITNESS: C. NOTESTONE</v>
      </c>
    </row>
    <row r="209" spans="1:11" ht="11.25" x14ac:dyDescent="0.2">
      <c r="A209" s="325" t="s">
        <v>5</v>
      </c>
      <c r="B209" s="3" t="s">
        <v>6</v>
      </c>
      <c r="C209" s="3"/>
      <c r="D209" s="325" t="s">
        <v>811</v>
      </c>
      <c r="E209" s="325" t="s">
        <v>8</v>
      </c>
      <c r="F209" s="325"/>
      <c r="G209" s="325"/>
      <c r="H209" s="325"/>
      <c r="I209" s="325"/>
      <c r="J209" s="325"/>
      <c r="K209" s="325"/>
    </row>
    <row r="210" spans="1:11" ht="11.25" x14ac:dyDescent="0.2">
      <c r="A210" s="341" t="s">
        <v>9</v>
      </c>
      <c r="B210" s="341" t="s">
        <v>9</v>
      </c>
      <c r="C210" s="34" t="str">
        <f>Classification!C128</f>
        <v xml:space="preserve"> ACCOUNT TITLE</v>
      </c>
      <c r="D210" s="341" t="s">
        <v>10</v>
      </c>
      <c r="E210" s="341" t="s">
        <v>11</v>
      </c>
      <c r="F210" s="341" t="s">
        <v>804</v>
      </c>
      <c r="G210" s="341" t="s">
        <v>812</v>
      </c>
      <c r="H210" s="341" t="s">
        <v>813</v>
      </c>
      <c r="I210" s="447"/>
      <c r="J210" s="447"/>
      <c r="K210" s="447"/>
    </row>
    <row r="211" spans="1:11" ht="11.25" x14ac:dyDescent="0.2">
      <c r="A211" s="325"/>
      <c r="B211" s="342" t="s">
        <v>13</v>
      </c>
      <c r="C211" s="342" t="s">
        <v>14</v>
      </c>
      <c r="D211" s="325" t="s">
        <v>15</v>
      </c>
      <c r="E211" s="325" t="s">
        <v>16</v>
      </c>
      <c r="F211" s="325" t="s">
        <v>17</v>
      </c>
      <c r="G211" s="325" t="s">
        <v>18</v>
      </c>
      <c r="H211" s="325" t="s">
        <v>19</v>
      </c>
      <c r="I211" s="325"/>
      <c r="J211" s="325"/>
      <c r="K211" s="325"/>
    </row>
    <row r="212" spans="1:11" ht="11.25" x14ac:dyDescent="0.2">
      <c r="A212" s="325"/>
      <c r="B212" s="3"/>
      <c r="C212" s="3"/>
      <c r="D212" s="325"/>
      <c r="E212" s="325" t="s">
        <v>26</v>
      </c>
      <c r="F212" s="325" t="s">
        <v>26</v>
      </c>
      <c r="G212" s="325" t="s">
        <v>26</v>
      </c>
      <c r="H212" s="325" t="s">
        <v>26</v>
      </c>
      <c r="I212" s="325"/>
      <c r="J212" s="325"/>
      <c r="K212" s="325"/>
    </row>
    <row r="213" spans="1:11" ht="11.25" x14ac:dyDescent="0.2">
      <c r="A213" s="325">
        <v>1</v>
      </c>
      <c r="B213" s="3"/>
      <c r="C213" s="3" t="str">
        <f>Input!A145</f>
        <v>INTANGIBLE PLANT</v>
      </c>
      <c r="D213" s="325"/>
      <c r="E213" s="3"/>
      <c r="F213" s="3"/>
      <c r="G213" s="3"/>
      <c r="H213" s="3"/>
      <c r="I213" s="3"/>
      <c r="J213" s="3"/>
      <c r="K213" s="3"/>
    </row>
    <row r="214" spans="1:11" ht="11.25" x14ac:dyDescent="0.2">
      <c r="A214" s="325"/>
      <c r="B214" s="3"/>
      <c r="C214" s="3"/>
      <c r="D214" s="325"/>
      <c r="E214" s="3"/>
      <c r="F214" s="3"/>
      <c r="G214" s="3"/>
      <c r="H214" s="3"/>
      <c r="I214" s="3"/>
      <c r="J214" s="3"/>
      <c r="K214" s="3"/>
    </row>
    <row r="215" spans="1:11" ht="11.25" x14ac:dyDescent="0.2">
      <c r="A215" s="325">
        <f>A213+1</f>
        <v>2</v>
      </c>
      <c r="B215" s="24">
        <f>Input!A146</f>
        <v>301</v>
      </c>
      <c r="C215" s="3" t="str">
        <f>Input!B146</f>
        <v>ORGANIZATION</v>
      </c>
      <c r="D215" s="118" t="str">
        <f>IF(Input!$C$2=3,'Classification Table'!$A$12,IF(Input!$C$2=5,'Classification Table'!$A$13,IF(Input!$C$2=20,'Classification Table'!$A$14,0)))</f>
        <v>7DC</v>
      </c>
      <c r="E215" s="3">
        <f>Input!D146+Input!E146</f>
        <v>0</v>
      </c>
      <c r="F215" s="3">
        <f>ROUND(VLOOKUP($D215,'Classification Table'!$A$6:$E$77,3,FALSE)*$E215,0)</f>
        <v>0</v>
      </c>
      <c r="G215" s="3">
        <f>ROUND(VLOOKUP($D215,'Classification Table'!$A$6:$E$77,4,FALSE)*$E215,0)</f>
        <v>0</v>
      </c>
      <c r="H215" s="3">
        <f>ROUND(VLOOKUP($D215,'Classification Table'!$A$6:$E$77,5,FALSE)*$E215,0)</f>
        <v>0</v>
      </c>
      <c r="I215" s="3"/>
      <c r="J215" s="3"/>
      <c r="K215" s="3"/>
    </row>
    <row r="216" spans="1:11" ht="11.25" x14ac:dyDescent="0.2">
      <c r="A216" s="325">
        <f>A215+1</f>
        <v>3</v>
      </c>
      <c r="B216" s="24">
        <f>Input!A147</f>
        <v>303</v>
      </c>
      <c r="C216" s="3" t="str">
        <f>Input!B147</f>
        <v>MISC. INTANGIBLE PLANT</v>
      </c>
      <c r="D216" s="118" t="str">
        <f>IF(Input!$C$2=3,'Classification Table'!$A$12,IF(Input!$C$2=5,'Classification Table'!$A$13,IF(Input!$C$2=20,'Classification Table'!$A$14,0)))</f>
        <v>7DC</v>
      </c>
      <c r="E216" s="3">
        <f>Input!D147+Input!E147</f>
        <v>49104</v>
      </c>
      <c r="F216" s="3">
        <f>ROUND(VLOOKUP($D216,'Classification Table'!$A$6:$E$77,3,FALSE)*$E216,0)</f>
        <v>20549</v>
      </c>
      <c r="G216" s="3">
        <f>ROUND(VLOOKUP($D216,'Classification Table'!$A$6:$E$77,4,FALSE)*$E216,0)</f>
        <v>14278</v>
      </c>
      <c r="H216" s="3">
        <f>ROUND(VLOOKUP($D216,'Classification Table'!$A$6:$E$77,5,FALSE)*$E216,0)</f>
        <v>14278</v>
      </c>
      <c r="I216" s="3"/>
      <c r="J216" s="3"/>
      <c r="K216" s="3"/>
    </row>
    <row r="217" spans="1:11" ht="11.25" x14ac:dyDescent="0.2">
      <c r="A217" s="325">
        <f>A216+1</f>
        <v>4</v>
      </c>
      <c r="B217" s="24">
        <f>Input!A148</f>
        <v>303.10000000000002</v>
      </c>
      <c r="C217" s="3" t="str">
        <f>Input!B148</f>
        <v>DIS SOFTWARE</v>
      </c>
      <c r="D217" s="118" t="str">
        <f>IF(Input!$C$2=3,'Classification Table'!$A$12,IF(Input!$C$2=5,'Classification Table'!$A$13,IF(Input!$C$2=20,'Classification Table'!$A$14,0)))</f>
        <v>7DC</v>
      </c>
      <c r="E217" s="3">
        <f>Input!D148+Input!E148</f>
        <v>0</v>
      </c>
      <c r="F217" s="3">
        <f>ROUND(VLOOKUP($D217,'Classification Table'!$A$6:$E$77,3,FALSE)*$E217,0)</f>
        <v>0</v>
      </c>
      <c r="G217" s="3">
        <f>ROUND(VLOOKUP($D217,'Classification Table'!$A$6:$E$77,4,FALSE)*$E217,0)</f>
        <v>0</v>
      </c>
      <c r="H217" s="3">
        <f>ROUND(VLOOKUP($D217,'Classification Table'!$A$6:$E$77,5,FALSE)*$E217,0)</f>
        <v>0</v>
      </c>
      <c r="I217" s="3"/>
      <c r="J217" s="3"/>
      <c r="K217" s="3"/>
    </row>
    <row r="218" spans="1:11" ht="11.25" x14ac:dyDescent="0.2">
      <c r="A218" s="325">
        <f>A217+1</f>
        <v>5</v>
      </c>
      <c r="B218" s="24">
        <f>Input!A149</f>
        <v>303.2</v>
      </c>
      <c r="C218" s="3" t="str">
        <f>Input!B149</f>
        <v>FARA SOFTWARE</v>
      </c>
      <c r="D218" s="118" t="str">
        <f>IF(Input!$C$2=3,'Classification Table'!$A$12,IF(Input!$C$2=5,'Classification Table'!$A$13,IF(Input!$C$2=20,'Classification Table'!$A$14,0)))</f>
        <v>7DC</v>
      </c>
      <c r="E218" s="3">
        <f>Input!D149+Input!E149</f>
        <v>0</v>
      </c>
      <c r="F218" s="3">
        <f>ROUND(VLOOKUP($D218,'Classification Table'!$A$6:$E$77,3,FALSE)*$E218,0)</f>
        <v>0</v>
      </c>
      <c r="G218" s="3">
        <f>ROUND(VLOOKUP($D218,'Classification Table'!$A$6:$E$77,4,FALSE)*$E218,0)</f>
        <v>0</v>
      </c>
      <c r="H218" s="3">
        <f>ROUND(VLOOKUP($D218,'Classification Table'!$A$6:$E$77,5,FALSE)*$E218,0)</f>
        <v>0</v>
      </c>
      <c r="I218" s="3"/>
      <c r="J218" s="3"/>
      <c r="K218" s="3"/>
    </row>
    <row r="219" spans="1:11" ht="11.25" x14ac:dyDescent="0.2">
      <c r="A219" s="325">
        <f>A218+1</f>
        <v>6</v>
      </c>
      <c r="B219" s="24">
        <f>Input!A150</f>
        <v>303.3</v>
      </c>
      <c r="C219" s="3" t="str">
        <f>Input!B150</f>
        <v>OTHER SOFTWARE</v>
      </c>
      <c r="D219" s="118" t="str">
        <f>IF(Input!$C$2=3,'Classification Table'!$A$12,IF(Input!$C$2=5,'Classification Table'!$A$13,IF(Input!$C$2=20,'Classification Table'!$A$14,0)))</f>
        <v>7DC</v>
      </c>
      <c r="E219" s="26">
        <f>Input!D150+Input!E150</f>
        <v>3424538</v>
      </c>
      <c r="F219" s="26">
        <f>ROUND(VLOOKUP($D219,'Classification Table'!$A$6:$E$77,3,FALSE)*$E219,0)</f>
        <v>1433069</v>
      </c>
      <c r="G219" s="26">
        <f>ROUND(VLOOKUP($D219,'Classification Table'!$A$6:$E$77,4,FALSE)*$E219,0)</f>
        <v>995734</v>
      </c>
      <c r="H219" s="26">
        <f>ROUND(VLOOKUP($D219,'Classification Table'!$A$6:$E$77,5,FALSE)*$E219,0)</f>
        <v>995734</v>
      </c>
      <c r="I219" s="3"/>
      <c r="J219" s="26"/>
      <c r="K219" s="26"/>
    </row>
    <row r="220" spans="1:11" ht="11.25" x14ac:dyDescent="0.2">
      <c r="A220" s="325">
        <f>A219+1</f>
        <v>7</v>
      </c>
      <c r="B220" s="3"/>
      <c r="C220" s="3" t="s">
        <v>159</v>
      </c>
      <c r="D220" s="325"/>
      <c r="E220" s="3">
        <f t="shared" ref="E220:H220" si="28">SUM(E215:E219)</f>
        <v>3473642</v>
      </c>
      <c r="F220" s="3">
        <f t="shared" si="28"/>
        <v>1453618</v>
      </c>
      <c r="G220" s="3">
        <f t="shared" si="28"/>
        <v>1010012</v>
      </c>
      <c r="H220" s="3">
        <f t="shared" si="28"/>
        <v>1010012</v>
      </c>
      <c r="I220" s="3"/>
      <c r="J220" s="3"/>
      <c r="K220" s="3"/>
    </row>
    <row r="221" spans="1:11" ht="11.25" x14ac:dyDescent="0.2">
      <c r="A221" s="325"/>
      <c r="B221" s="24"/>
      <c r="C221" s="3"/>
      <c r="D221" s="325"/>
      <c r="E221" s="3"/>
      <c r="F221" s="3"/>
      <c r="G221" s="3"/>
      <c r="H221" s="3"/>
      <c r="I221" s="3"/>
      <c r="J221" s="3"/>
      <c r="K221" s="3"/>
    </row>
    <row r="222" spans="1:11" ht="11.25" x14ac:dyDescent="0.2">
      <c r="A222" s="325">
        <f>A220+1</f>
        <v>8</v>
      </c>
      <c r="B222" s="3"/>
      <c r="C222" s="3" t="str">
        <f>Input!A151</f>
        <v>PRODUCTION PLANT</v>
      </c>
      <c r="D222" s="325"/>
      <c r="E222" s="3"/>
      <c r="F222" s="3"/>
      <c r="G222" s="3"/>
      <c r="H222" s="3"/>
      <c r="I222" s="3"/>
      <c r="J222" s="3"/>
      <c r="K222" s="3"/>
    </row>
    <row r="223" spans="1:11" ht="11.25" x14ac:dyDescent="0.2">
      <c r="A223" s="325"/>
      <c r="B223" s="3"/>
      <c r="C223" s="3"/>
      <c r="D223" s="325"/>
      <c r="E223" s="3"/>
      <c r="F223" s="3"/>
      <c r="G223" s="3"/>
      <c r="H223" s="3"/>
      <c r="I223" s="3"/>
      <c r="J223" s="3"/>
      <c r="K223" s="3"/>
    </row>
    <row r="224" spans="1:11" ht="11.25" x14ac:dyDescent="0.2">
      <c r="A224" s="325">
        <f>A222+1</f>
        <v>9</v>
      </c>
      <c r="B224" s="24">
        <f>Input!A152</f>
        <v>304.10000000000002</v>
      </c>
      <c r="C224" s="3" t="str">
        <f>Input!B152</f>
        <v>LAND</v>
      </c>
      <c r="D224" s="325">
        <f>Input!C152</f>
        <v>2</v>
      </c>
      <c r="E224" s="3">
        <f>Input!D152+Input!E152</f>
        <v>0</v>
      </c>
      <c r="F224" s="3">
        <f>ROUND(VLOOKUP($D224,'Classification Table'!$A$6:$E$77,3,FALSE)*$E224,0)</f>
        <v>0</v>
      </c>
      <c r="G224" s="3">
        <f>ROUND(VLOOKUP($D224,'Classification Table'!$A$6:$E$77,4,FALSE)*$E224,0)</f>
        <v>0</v>
      </c>
      <c r="H224" s="3">
        <f>ROUND(VLOOKUP($D224,'Classification Table'!$A$6:$E$77,5,FALSE)*$E224,0)</f>
        <v>0</v>
      </c>
      <c r="I224" s="3"/>
      <c r="J224" s="3"/>
      <c r="K224" s="3"/>
    </row>
    <row r="225" spans="1:11" ht="11.25" x14ac:dyDescent="0.2">
      <c r="A225" s="325">
        <f>A224+1</f>
        <v>10</v>
      </c>
      <c r="B225" s="24">
        <f>Input!A153</f>
        <v>305</v>
      </c>
      <c r="C225" s="3" t="str">
        <f>Input!B153</f>
        <v>STRUCTURES &amp; IMPROVEMENTS</v>
      </c>
      <c r="D225" s="325">
        <f>Input!C153</f>
        <v>2</v>
      </c>
      <c r="E225" s="3">
        <f>Input!D153+Input!E153</f>
        <v>0</v>
      </c>
      <c r="F225" s="3">
        <f>ROUND(VLOOKUP($D225,'Classification Table'!$A$6:$E$77,3,FALSE)*$E225,0)</f>
        <v>0</v>
      </c>
      <c r="G225" s="3">
        <f>ROUND(VLOOKUP($D225,'Classification Table'!$A$6:$E$77,4,FALSE)*$E225,0)</f>
        <v>0</v>
      </c>
      <c r="H225" s="3">
        <f>ROUND(VLOOKUP($D225,'Classification Table'!$A$6:$E$77,5,FALSE)*$E225,0)</f>
        <v>0</v>
      </c>
      <c r="I225" s="3"/>
      <c r="J225" s="3"/>
      <c r="K225" s="3"/>
    </row>
    <row r="226" spans="1:11" ht="11.25" x14ac:dyDescent="0.2">
      <c r="A226" s="325">
        <f>A225+1</f>
        <v>11</v>
      </c>
      <c r="B226" s="24">
        <f>Input!A154</f>
        <v>311</v>
      </c>
      <c r="C226" s="3" t="str">
        <f>Input!B154</f>
        <v>LIQUEFIED PETROLEUM GAS EQUIP</v>
      </c>
      <c r="D226" s="325">
        <f>Input!C154</f>
        <v>2</v>
      </c>
      <c r="E226" s="26">
        <f>Input!D154+Input!E154</f>
        <v>0</v>
      </c>
      <c r="F226" s="26">
        <f>ROUND(VLOOKUP($D226,'Classification Table'!$A$6:$E$77,3,FALSE)*$E226,0)</f>
        <v>0</v>
      </c>
      <c r="G226" s="26">
        <f>ROUND(VLOOKUP($D226,'Classification Table'!$A$6:$E$77,4,FALSE)*$E226,0)</f>
        <v>0</v>
      </c>
      <c r="H226" s="26">
        <f>ROUND(VLOOKUP($D226,'Classification Table'!$A$6:$E$77,5,FALSE)*$E226,0)</f>
        <v>0</v>
      </c>
      <c r="I226" s="26"/>
      <c r="J226" s="26"/>
      <c r="K226" s="26"/>
    </row>
    <row r="227" spans="1:11" ht="11.25" x14ac:dyDescent="0.2">
      <c r="A227" s="325">
        <f>A226+1</f>
        <v>12</v>
      </c>
      <c r="B227" s="24"/>
      <c r="C227" s="3" t="s">
        <v>160</v>
      </c>
      <c r="D227" s="325"/>
      <c r="E227" s="3">
        <f t="shared" ref="E227:H227" si="29">SUM(E224:E226)</f>
        <v>0</v>
      </c>
      <c r="F227" s="3">
        <f t="shared" si="29"/>
        <v>0</v>
      </c>
      <c r="G227" s="3">
        <f t="shared" si="29"/>
        <v>0</v>
      </c>
      <c r="H227" s="3">
        <f t="shared" si="29"/>
        <v>0</v>
      </c>
      <c r="I227" s="3"/>
      <c r="J227" s="3"/>
      <c r="K227" s="3"/>
    </row>
    <row r="228" spans="1:11" ht="11.25" x14ac:dyDescent="0.2">
      <c r="A228" s="325"/>
      <c r="B228" s="24"/>
      <c r="C228" s="3"/>
      <c r="D228" s="325"/>
      <c r="E228" s="26"/>
      <c r="F228" s="26"/>
      <c r="G228" s="26"/>
      <c r="H228" s="26"/>
      <c r="I228" s="26"/>
      <c r="J228" s="26"/>
      <c r="K228" s="26"/>
    </row>
    <row r="229" spans="1:11" ht="11.25" x14ac:dyDescent="0.2">
      <c r="A229" s="325">
        <f>A227+1</f>
        <v>13</v>
      </c>
      <c r="B229" s="3"/>
      <c r="C229" s="24" t="str">
        <f>Input!A155</f>
        <v>DISTRIBUTION PLANT</v>
      </c>
      <c r="D229" s="325"/>
      <c r="E229" s="26"/>
      <c r="F229" s="26"/>
      <c r="G229" s="26"/>
      <c r="H229" s="26"/>
      <c r="I229" s="26"/>
      <c r="J229" s="26"/>
      <c r="K229" s="26"/>
    </row>
    <row r="230" spans="1:11" ht="11.25" x14ac:dyDescent="0.2">
      <c r="A230" s="325"/>
      <c r="B230" s="3"/>
      <c r="C230" s="3"/>
      <c r="D230" s="325"/>
      <c r="E230" s="3"/>
      <c r="F230" s="3"/>
      <c r="G230" s="3"/>
      <c r="H230" s="3"/>
      <c r="I230" s="3"/>
      <c r="J230" s="3"/>
      <c r="K230" s="3"/>
    </row>
    <row r="231" spans="1:11" ht="11.25" x14ac:dyDescent="0.2">
      <c r="A231" s="325">
        <f>A229+1</f>
        <v>14</v>
      </c>
      <c r="B231" s="24">
        <f>Input!A156</f>
        <v>374.1</v>
      </c>
      <c r="C231" s="3" t="str">
        <f>Input!B156</f>
        <v>LAND - CITY GATE &amp; M/L IND M&amp;R</v>
      </c>
      <c r="D231" s="325">
        <f>Input!C156</f>
        <v>5</v>
      </c>
      <c r="E231" s="3">
        <f>Input!D156+Input!E156</f>
        <v>0</v>
      </c>
      <c r="F231" s="3">
        <f>ROUND(VLOOKUP($D231,'Classification Table'!$A$6:$E$77,3,FALSE)*$E231,0)</f>
        <v>0</v>
      </c>
      <c r="G231" s="3">
        <f>ROUND(VLOOKUP($D231,'Classification Table'!$A$6:$E$77,4,FALSE)*$E231,0)</f>
        <v>0</v>
      </c>
      <c r="H231" s="3">
        <f>ROUND(VLOOKUP($D231,'Classification Table'!$A$6:$E$77,5,FALSE)*$E231,0)</f>
        <v>0</v>
      </c>
      <c r="I231" s="3"/>
      <c r="J231" s="3"/>
      <c r="K231" s="3"/>
    </row>
    <row r="232" spans="1:11" ht="11.25" x14ac:dyDescent="0.2">
      <c r="A232" s="325">
        <f t="shared" ref="A232:A250" si="30">A231+1</f>
        <v>15</v>
      </c>
      <c r="B232" s="24">
        <f>Input!A157</f>
        <v>374.2</v>
      </c>
      <c r="C232" s="3" t="str">
        <f>Input!B157</f>
        <v>LAND - OTHER DISTRIBUTION</v>
      </c>
      <c r="D232" s="325">
        <f>Input!C157</f>
        <v>5</v>
      </c>
      <c r="E232" s="3">
        <f>Input!D157+Input!E157</f>
        <v>-523</v>
      </c>
      <c r="F232" s="3">
        <f>ROUND(VLOOKUP($D232,'Classification Table'!$A$6:$E$77,3,FALSE)*$E232,0)</f>
        <v>0</v>
      </c>
      <c r="G232" s="3">
        <f>ROUND(VLOOKUP($D232,'Classification Table'!$A$6:$E$77,4,FALSE)*$E232,0)</f>
        <v>-262</v>
      </c>
      <c r="H232" s="3">
        <f>ROUND(VLOOKUP($D232,'Classification Table'!$A$6:$E$77,5,FALSE)*$E232,0)</f>
        <v>-262</v>
      </c>
      <c r="I232" s="3"/>
      <c r="J232" s="3"/>
      <c r="K232" s="3"/>
    </row>
    <row r="233" spans="1:11" ht="11.25" x14ac:dyDescent="0.2">
      <c r="A233" s="325">
        <f t="shared" si="30"/>
        <v>16</v>
      </c>
      <c r="B233" s="24">
        <f>Input!A158</f>
        <v>374.4</v>
      </c>
      <c r="C233" s="3" t="str">
        <f>Input!B158</f>
        <v>LAND RIGHTS - OTHER DISTRIBUTION</v>
      </c>
      <c r="D233" s="325">
        <f>Input!C158</f>
        <v>5</v>
      </c>
      <c r="E233" s="3">
        <f>Input!D158+Input!E158</f>
        <v>184637</v>
      </c>
      <c r="F233" s="3">
        <f>ROUND(VLOOKUP($D233,'Classification Table'!$A$6:$E$77,3,FALSE)*$E233,0)</f>
        <v>0</v>
      </c>
      <c r="G233" s="3">
        <f>ROUND(VLOOKUP($D233,'Classification Table'!$A$6:$E$77,4,FALSE)*$E233,0)</f>
        <v>92319</v>
      </c>
      <c r="H233" s="3">
        <f>ROUND(VLOOKUP($D233,'Classification Table'!$A$6:$E$77,5,FALSE)*$E233,0)</f>
        <v>92319</v>
      </c>
      <c r="I233" s="3"/>
      <c r="J233" s="3"/>
      <c r="K233" s="3"/>
    </row>
    <row r="234" spans="1:11" ht="11.25" x14ac:dyDescent="0.2">
      <c r="A234" s="325">
        <f t="shared" si="30"/>
        <v>17</v>
      </c>
      <c r="B234" s="24">
        <f>Input!A159</f>
        <v>374.5</v>
      </c>
      <c r="C234" s="3" t="str">
        <f>Input!B159</f>
        <v>RIGHTS OF WAY</v>
      </c>
      <c r="D234" s="325">
        <f>Input!C159</f>
        <v>5</v>
      </c>
      <c r="E234" s="3">
        <f>Input!D159+Input!E159</f>
        <v>942676</v>
      </c>
      <c r="F234" s="3">
        <f>ROUND(VLOOKUP($D234,'Classification Table'!$A$6:$E$77,3,FALSE)*$E234,0)</f>
        <v>0</v>
      </c>
      <c r="G234" s="3">
        <f>ROUND(VLOOKUP($D234,'Classification Table'!$A$6:$E$77,4,FALSE)*$E234,0)</f>
        <v>471338</v>
      </c>
      <c r="H234" s="3">
        <f>ROUND(VLOOKUP($D234,'Classification Table'!$A$6:$E$77,5,FALSE)*$E234,0)</f>
        <v>471338</v>
      </c>
      <c r="I234" s="3"/>
      <c r="J234" s="3"/>
      <c r="K234" s="3"/>
    </row>
    <row r="235" spans="1:11" ht="11.25" x14ac:dyDescent="0.2">
      <c r="A235" s="325">
        <f t="shared" si="30"/>
        <v>18</v>
      </c>
      <c r="B235" s="24">
        <f>Input!A160</f>
        <v>375.2</v>
      </c>
      <c r="C235" s="3" t="str">
        <f>Input!B160</f>
        <v>CITY GATE - MEAS &amp; REG STRUCTURES</v>
      </c>
      <c r="D235" s="325">
        <f>Input!C160</f>
        <v>5</v>
      </c>
      <c r="E235" s="3">
        <f>Input!D160+Input!E160</f>
        <v>2063</v>
      </c>
      <c r="F235" s="3">
        <f>ROUND(VLOOKUP($D235,'Classification Table'!$A$6:$E$77,3,FALSE)*$E235,0)</f>
        <v>0</v>
      </c>
      <c r="G235" s="3">
        <f>ROUND(VLOOKUP($D235,'Classification Table'!$A$6:$E$77,4,FALSE)*$E235,0)</f>
        <v>1032</v>
      </c>
      <c r="H235" s="3">
        <f>ROUND(VLOOKUP($D235,'Classification Table'!$A$6:$E$77,5,FALSE)*$E235,0)</f>
        <v>1032</v>
      </c>
      <c r="I235" s="3"/>
      <c r="J235" s="3"/>
      <c r="K235" s="3"/>
    </row>
    <row r="236" spans="1:11" ht="11.25" x14ac:dyDescent="0.2">
      <c r="A236" s="325">
        <f t="shared" si="30"/>
        <v>19</v>
      </c>
      <c r="B236" s="24">
        <f>Input!A161</f>
        <v>375.3</v>
      </c>
      <c r="C236" s="3" t="str">
        <f>Input!B161</f>
        <v>STRUC &amp; IMPROV-GENERAL M&amp;R</v>
      </c>
      <c r="D236" s="325">
        <f>Input!C161</f>
        <v>5</v>
      </c>
      <c r="E236" s="3">
        <f>Input!D161+Input!E161</f>
        <v>-78</v>
      </c>
      <c r="F236" s="3">
        <f>ROUND(VLOOKUP($D236,'Classification Table'!$A$6:$E$77,3,FALSE)*$E236,0)</f>
        <v>0</v>
      </c>
      <c r="G236" s="3">
        <f>ROUND(VLOOKUP($D236,'Classification Table'!$A$6:$E$77,4,FALSE)*$E236,0)</f>
        <v>-39</v>
      </c>
      <c r="H236" s="3">
        <f>ROUND(VLOOKUP($D236,'Classification Table'!$A$6:$E$77,5,FALSE)*$E236,0)</f>
        <v>-39</v>
      </c>
      <c r="I236" s="3"/>
      <c r="J236" s="3"/>
      <c r="K236" s="3"/>
    </row>
    <row r="237" spans="1:11" ht="11.25" x14ac:dyDescent="0.2">
      <c r="A237" s="325">
        <f t="shared" si="30"/>
        <v>20</v>
      </c>
      <c r="B237" s="24">
        <f>Input!A162</f>
        <v>375.4</v>
      </c>
      <c r="C237" s="3" t="str">
        <f>Input!B162</f>
        <v>STRUC &amp; IMPROV-REGULATING</v>
      </c>
      <c r="D237" s="325">
        <f>Input!C162</f>
        <v>5</v>
      </c>
      <c r="E237" s="3">
        <f>Input!D162+Input!E162-SUM(Input!G162:M162)</f>
        <v>497862.27</v>
      </c>
      <c r="F237" s="3">
        <f>ROUND(VLOOKUP($D237,'Classification Table'!$A$6:$E$77,3,FALSE)*$E237,0)</f>
        <v>0</v>
      </c>
      <c r="G237" s="3">
        <f>ROUND(VLOOKUP($D237,'Classification Table'!$A$6:$E$77,4,FALSE)*$E237,0)</f>
        <v>248931</v>
      </c>
      <c r="H237" s="3">
        <f>ROUND(VLOOKUP($D237,'Classification Table'!$A$6:$E$77,5,FALSE)*$E237,0)</f>
        <v>248931</v>
      </c>
      <c r="I237" s="3"/>
      <c r="J237" s="3"/>
      <c r="K237" s="3"/>
    </row>
    <row r="238" spans="1:11" ht="11.25" x14ac:dyDescent="0.2">
      <c r="A238" s="325">
        <f t="shared" si="30"/>
        <v>21</v>
      </c>
      <c r="B238" s="24">
        <f>B237</f>
        <v>375.4</v>
      </c>
      <c r="C238" s="3" t="str">
        <f>C156</f>
        <v>DIRECT STRUC &amp; IMPROV-REGULATING</v>
      </c>
      <c r="D238" s="325">
        <f>D237</f>
        <v>5</v>
      </c>
      <c r="E238" s="3">
        <f>SUM(Input!G162:K162)</f>
        <v>3027.73</v>
      </c>
      <c r="F238" s="3">
        <f>ROUND(VLOOKUP($D238,'Classification Table'!$A$6:$E$77,3,FALSE)*$E238,0)</f>
        <v>0</v>
      </c>
      <c r="G238" s="3">
        <f>ROUND(VLOOKUP($D238,'Classification Table'!$A$6:$E$77,4,FALSE)*$E238,0)</f>
        <v>1514</v>
      </c>
      <c r="H238" s="3">
        <f>ROUND(VLOOKUP($D238,'Classification Table'!$A$6:$E$77,5,FALSE)*$E238,0)</f>
        <v>1514</v>
      </c>
      <c r="I238" s="3"/>
      <c r="J238" s="3"/>
      <c r="K238" s="3"/>
    </row>
    <row r="239" spans="1:11" ht="11.25" x14ac:dyDescent="0.2">
      <c r="A239" s="325">
        <f t="shared" si="30"/>
        <v>22</v>
      </c>
      <c r="B239" s="24">
        <f>Input!A163</f>
        <v>375.6</v>
      </c>
      <c r="C239" s="3" t="str">
        <f>Input!B163</f>
        <v>STRUC &amp; IMPROV-DIST. IND. M &amp; R</v>
      </c>
      <c r="D239" s="325">
        <f>Input!C163</f>
        <v>8</v>
      </c>
      <c r="E239" s="3">
        <f>Input!D163+Input!E163</f>
        <v>0</v>
      </c>
      <c r="F239" s="3">
        <f>ROUND(VLOOKUP($D239,'Classification Table'!$A$6:$E$77,3,FALSE)*$E239,0)</f>
        <v>0</v>
      </c>
      <c r="G239" s="3">
        <f>ROUND(VLOOKUP($D239,'Classification Table'!$A$6:$E$77,4,FALSE)*$E239,0)</f>
        <v>0</v>
      </c>
      <c r="H239" s="3">
        <f>ROUND(VLOOKUP($D239,'Classification Table'!$A$6:$E$77,5,FALSE)*$E239,0)</f>
        <v>0</v>
      </c>
      <c r="I239" s="3"/>
      <c r="J239" s="3"/>
      <c r="K239" s="3"/>
    </row>
    <row r="240" spans="1:11" ht="11.25" x14ac:dyDescent="0.2">
      <c r="A240" s="325">
        <f t="shared" si="30"/>
        <v>23</v>
      </c>
      <c r="B240" s="24">
        <f>Input!A164</f>
        <v>375.7</v>
      </c>
      <c r="C240" s="3" t="str">
        <f>Input!B164</f>
        <v>STRUC &amp; IMPROV-OTHER DIST. SYSTEM</v>
      </c>
      <c r="D240" s="118" t="str">
        <f>IF(Input!$C$2=3,'Classification Table'!$A$12,IF(Input!$C$2=5,'Classification Table'!$A$13,IF(Input!$C$2=20,'Classification Table'!$A$14,0)))</f>
        <v>7DC</v>
      </c>
      <c r="E240" s="3">
        <f>Input!D164+Input!E164</f>
        <v>3369677</v>
      </c>
      <c r="F240" s="3">
        <f>ROUND(VLOOKUP($D240,'Classification Table'!$A$6:$E$77,3,FALSE)*$E240,0)</f>
        <v>1410111</v>
      </c>
      <c r="G240" s="3">
        <f>ROUND(VLOOKUP($D240,'Classification Table'!$A$6:$E$77,4,FALSE)*$E240,0)</f>
        <v>979783</v>
      </c>
      <c r="H240" s="3">
        <f>ROUND(VLOOKUP($D240,'Classification Table'!$A$6:$E$77,5,FALSE)*$E240,0)</f>
        <v>979783</v>
      </c>
      <c r="I240" s="3"/>
      <c r="J240" s="3"/>
      <c r="K240" s="3"/>
    </row>
    <row r="241" spans="1:11" ht="11.25" x14ac:dyDescent="0.2">
      <c r="A241" s="325">
        <f t="shared" si="30"/>
        <v>24</v>
      </c>
      <c r="B241" s="24">
        <f>Input!A165</f>
        <v>375.71</v>
      </c>
      <c r="C241" s="3" t="str">
        <f>Input!B165</f>
        <v>STRUCT &amp; IMPROV-OTHER DIST. SYSTEM-IMPROV</v>
      </c>
      <c r="D241" s="118" t="str">
        <f>IF(Input!$C$2=3,'Classification Table'!$A$12,IF(Input!$C$2=5,'Classification Table'!$A$13,IF(Input!$C$2=20,'Classification Table'!$A$14,0)))</f>
        <v>7DC</v>
      </c>
      <c r="E241" s="3">
        <f>Input!D165+Input!E165</f>
        <v>199220</v>
      </c>
      <c r="F241" s="3">
        <f>ROUND(VLOOKUP($D241,'Classification Table'!$A$6:$E$77,3,FALSE)*$E241,0)</f>
        <v>83368</v>
      </c>
      <c r="G241" s="3">
        <f>ROUND(VLOOKUP($D241,'Classification Table'!$A$6:$E$77,4,FALSE)*$E241,0)</f>
        <v>57926</v>
      </c>
      <c r="H241" s="3">
        <f>ROUND(VLOOKUP($D241,'Classification Table'!$A$6:$E$77,5,FALSE)*$E241,0)</f>
        <v>57926</v>
      </c>
      <c r="I241" s="3"/>
      <c r="J241" s="3"/>
      <c r="K241" s="3"/>
    </row>
    <row r="242" spans="1:11" ht="11.25" x14ac:dyDescent="0.2">
      <c r="A242" s="325">
        <f t="shared" si="30"/>
        <v>25</v>
      </c>
      <c r="B242" s="24">
        <f>Input!A166</f>
        <v>375.8</v>
      </c>
      <c r="C242" s="3" t="str">
        <f>Input!B166</f>
        <v>STRUC &amp; IMPROV-COMMUNICATION</v>
      </c>
      <c r="D242" s="325">
        <f>Input!C166</f>
        <v>5</v>
      </c>
      <c r="E242" s="3">
        <f>Input!D166+Input!E166</f>
        <v>0</v>
      </c>
      <c r="F242" s="3">
        <f>ROUND(VLOOKUP($D242,'Classification Table'!$A$6:$E$77,3,FALSE)*$E242,0)</f>
        <v>0</v>
      </c>
      <c r="G242" s="3">
        <f>ROUND(VLOOKUP($D242,'Classification Table'!$A$6:$E$77,4,FALSE)*$E242,0)</f>
        <v>0</v>
      </c>
      <c r="H242" s="3">
        <f>ROUND(VLOOKUP($D242,'Classification Table'!$A$6:$E$77,5,FALSE)*$E242,0)</f>
        <v>0</v>
      </c>
      <c r="I242" s="3"/>
      <c r="J242" s="3"/>
      <c r="K242" s="3"/>
    </row>
    <row r="243" spans="1:11" ht="11.25" x14ac:dyDescent="0.2">
      <c r="A243" s="325">
        <f t="shared" si="30"/>
        <v>26</v>
      </c>
      <c r="B243" s="24">
        <f>Input!A167</f>
        <v>376</v>
      </c>
      <c r="C243" s="3" t="str">
        <f>Input!B167</f>
        <v>MAINS</v>
      </c>
      <c r="D243" s="325">
        <f>Input!C167</f>
        <v>5</v>
      </c>
      <c r="E243" s="3">
        <f>Input!D167+Input!E167-SUM(Input!G167:O167)</f>
        <v>58817582.950000003</v>
      </c>
      <c r="F243" s="3">
        <f>ROUND(VLOOKUP($D243,'Classification Table'!$A$6:$E$77,3,FALSE)*$E243,0)</f>
        <v>0</v>
      </c>
      <c r="G243" s="3">
        <f>ROUND(VLOOKUP($D243,'Classification Table'!$A$6:$E$77,4,FALSE)*$E243,0)</f>
        <v>29408791</v>
      </c>
      <c r="H243" s="3">
        <f>ROUND(VLOOKUP($D243,'Classification Table'!$A$6:$E$77,5,FALSE)*$E243,0)</f>
        <v>29408791</v>
      </c>
      <c r="I243" s="3"/>
      <c r="J243" s="3"/>
      <c r="K243" s="3"/>
    </row>
    <row r="244" spans="1:11" ht="11.25" x14ac:dyDescent="0.2">
      <c r="A244" s="325">
        <f t="shared" si="30"/>
        <v>27</v>
      </c>
      <c r="B244" s="24">
        <f>Input!A167</f>
        <v>376</v>
      </c>
      <c r="C244" s="3" t="str">
        <f>"DIRECT "&amp;+Input!B167</f>
        <v>DIRECT MAINS</v>
      </c>
      <c r="D244" s="325">
        <f>D243</f>
        <v>5</v>
      </c>
      <c r="E244" s="3">
        <f>SUM(Input!G167:K167)</f>
        <v>8703.0499999999993</v>
      </c>
      <c r="F244" s="3">
        <f>ROUND(VLOOKUP($D244,'Classification Table'!$A$6:$E$77,3,FALSE)*$E244,0)</f>
        <v>0</v>
      </c>
      <c r="G244" s="3">
        <f>ROUND(VLOOKUP($D244,'Classification Table'!$A$6:$E$77,4,FALSE)*$E244,0)</f>
        <v>4352</v>
      </c>
      <c r="H244" s="3">
        <f>ROUND(VLOOKUP($D244,'Classification Table'!$A$6:$E$77,5,FALSE)*$E244,0)</f>
        <v>4352</v>
      </c>
      <c r="I244" s="3"/>
      <c r="J244" s="3"/>
      <c r="K244" s="3"/>
    </row>
    <row r="245" spans="1:11" ht="11.25" x14ac:dyDescent="0.2">
      <c r="A245" s="325">
        <f t="shared" si="30"/>
        <v>28</v>
      </c>
      <c r="B245" s="24">
        <f>Input!A168</f>
        <v>378.1</v>
      </c>
      <c r="C245" s="3" t="str">
        <f>Input!B168</f>
        <v>M &amp; R GENERAL</v>
      </c>
      <c r="D245" s="325">
        <f>Input!C168</f>
        <v>5</v>
      </c>
      <c r="E245" s="3">
        <f>Input!D168+Input!E168</f>
        <v>372072</v>
      </c>
      <c r="F245" s="3">
        <f>ROUND(VLOOKUP($D245,'Classification Table'!$A$6:$E$77,3,FALSE)*$E245,0)</f>
        <v>0</v>
      </c>
      <c r="G245" s="3">
        <f>ROUND(VLOOKUP($D245,'Classification Table'!$A$6:$E$77,4,FALSE)*$E245,0)</f>
        <v>186036</v>
      </c>
      <c r="H245" s="3">
        <f>ROUND(VLOOKUP($D245,'Classification Table'!$A$6:$E$77,5,FALSE)*$E245,0)</f>
        <v>186036</v>
      </c>
      <c r="I245" s="3"/>
      <c r="J245" s="3"/>
      <c r="K245" s="3"/>
    </row>
    <row r="246" spans="1:11" ht="11.25" x14ac:dyDescent="0.2">
      <c r="A246" s="325">
        <f t="shared" si="30"/>
        <v>29</v>
      </c>
      <c r="B246" s="24">
        <f>Input!A169</f>
        <v>378.2</v>
      </c>
      <c r="C246" s="3" t="str">
        <f>Input!B169</f>
        <v>M &amp; R GENERAL - REGULATING</v>
      </c>
      <c r="D246" s="325">
        <f>Input!C169</f>
        <v>5</v>
      </c>
      <c r="E246" s="3">
        <f>Input!D169+Input!E169</f>
        <v>3453479</v>
      </c>
      <c r="F246" s="3">
        <f>ROUND(VLOOKUP($D246,'Classification Table'!$A$6:$E$77,3,FALSE)*$E246,0)</f>
        <v>0</v>
      </c>
      <c r="G246" s="3">
        <f>ROUND(VLOOKUP($D246,'Classification Table'!$A$6:$E$77,4,FALSE)*$E246,0)</f>
        <v>1726740</v>
      </c>
      <c r="H246" s="3">
        <f>ROUND(VLOOKUP($D246,'Classification Table'!$A$6:$E$77,5,FALSE)*$E246,0)</f>
        <v>1726740</v>
      </c>
      <c r="I246" s="3"/>
      <c r="J246" s="3"/>
      <c r="K246" s="3"/>
    </row>
    <row r="247" spans="1:11" ht="11.25" x14ac:dyDescent="0.2">
      <c r="A247" s="325">
        <f t="shared" si="30"/>
        <v>30</v>
      </c>
      <c r="B247" s="24">
        <f>Input!A170</f>
        <v>378.3</v>
      </c>
      <c r="C247" s="3" t="str">
        <f>Input!B170</f>
        <v>M &amp; R EQUIP - LOCAL GAS PURCHASES</v>
      </c>
      <c r="D247" s="325">
        <f>Input!C170</f>
        <v>5</v>
      </c>
      <c r="E247" s="3">
        <f>Input!D170+Input!E170</f>
        <v>36634</v>
      </c>
      <c r="F247" s="3">
        <f>ROUND(VLOOKUP($D247,'Classification Table'!$A$6:$E$77,3,FALSE)*$E247,0)</f>
        <v>0</v>
      </c>
      <c r="G247" s="3">
        <f>ROUND(VLOOKUP($D247,'Classification Table'!$A$6:$E$77,4,FALSE)*$E247,0)</f>
        <v>18317</v>
      </c>
      <c r="H247" s="3">
        <f>ROUND(VLOOKUP($D247,'Classification Table'!$A$6:$E$77,5,FALSE)*$E247,0)</f>
        <v>18317</v>
      </c>
      <c r="I247" s="3"/>
      <c r="J247" s="3"/>
      <c r="K247" s="3"/>
    </row>
    <row r="248" spans="1:11" ht="11.25" x14ac:dyDescent="0.2">
      <c r="A248" s="325">
        <f t="shared" si="30"/>
        <v>31</v>
      </c>
      <c r="B248" s="24">
        <f>Input!A171</f>
        <v>379.1</v>
      </c>
      <c r="C248" s="3" t="str">
        <f>Input!B171</f>
        <v>STA EQUIP - CITY</v>
      </c>
      <c r="D248" s="325">
        <f>Input!C171</f>
        <v>5</v>
      </c>
      <c r="E248" s="3">
        <f>Input!D171+Input!E171</f>
        <v>267731</v>
      </c>
      <c r="F248" s="3">
        <f>ROUND(VLOOKUP($D248,'Classification Table'!$A$6:$E$77,3,FALSE)*$E248,0)</f>
        <v>0</v>
      </c>
      <c r="G248" s="3">
        <f>ROUND(VLOOKUP($D248,'Classification Table'!$A$6:$E$77,4,FALSE)*$E248,0)</f>
        <v>133866</v>
      </c>
      <c r="H248" s="3">
        <f>ROUND(VLOOKUP($D248,'Classification Table'!$A$6:$E$77,5,FALSE)*$E248,0)</f>
        <v>133866</v>
      </c>
      <c r="I248" s="3"/>
      <c r="J248" s="3"/>
      <c r="K248" s="3"/>
    </row>
    <row r="249" spans="1:11" ht="11.25" x14ac:dyDescent="0.2">
      <c r="A249" s="325">
        <f t="shared" si="30"/>
        <v>32</v>
      </c>
      <c r="B249" s="24">
        <f>Input!A172</f>
        <v>380</v>
      </c>
      <c r="C249" s="3" t="str">
        <f>Input!B172</f>
        <v>SERVICES</v>
      </c>
      <c r="D249" s="325">
        <f>Input!C172</f>
        <v>15</v>
      </c>
      <c r="E249" s="3">
        <f>Input!D172+Input!E172-SUM(Input!G172:O172)</f>
        <v>61085053</v>
      </c>
      <c r="F249" s="3">
        <f>ROUND(VLOOKUP($D249,'Classification Table'!$A$6:$E$77,3,FALSE)*$E249,0)</f>
        <v>61085053</v>
      </c>
      <c r="G249" s="3">
        <f>ROUND(VLOOKUP($D249,'Classification Table'!$A$6:$E$77,4,FALSE)*$E249,0)</f>
        <v>0</v>
      </c>
      <c r="H249" s="3">
        <f>ROUND(VLOOKUP($D249,'Classification Table'!$A$6:$E$77,5,FALSE)*$E249,0)</f>
        <v>0</v>
      </c>
      <c r="I249" s="3"/>
      <c r="J249" s="3"/>
      <c r="K249" s="3"/>
    </row>
    <row r="250" spans="1:11" ht="11.25" x14ac:dyDescent="0.2">
      <c r="A250" s="325">
        <f t="shared" si="30"/>
        <v>33</v>
      </c>
      <c r="B250" s="24">
        <f>Input!A172</f>
        <v>380</v>
      </c>
      <c r="C250" s="3" t="str">
        <f>"DIRECT "&amp;+Input!B172</f>
        <v>DIRECT SERVICES</v>
      </c>
      <c r="D250" s="325">
        <f>D249</f>
        <v>15</v>
      </c>
      <c r="E250" s="3">
        <f>SUM(Input!G172:K172)</f>
        <v>0</v>
      </c>
      <c r="F250" s="3">
        <f>ROUND(VLOOKUP($D250,'Classification Table'!$A$6:$E$77,3,FALSE)*$E250,0)</f>
        <v>0</v>
      </c>
      <c r="G250" s="3">
        <f>ROUND(VLOOKUP($D250,'Classification Table'!$A$6:$E$77,4,FALSE)*$E250,0)</f>
        <v>0</v>
      </c>
      <c r="H250" s="3">
        <f>ROUND(VLOOKUP($D250,'Classification Table'!$A$6:$E$77,5,FALSE)*$E250,0)</f>
        <v>0</v>
      </c>
      <c r="I250" s="3"/>
      <c r="J250" s="3"/>
      <c r="K250" s="3"/>
    </row>
    <row r="251" spans="1:11" ht="11.25" x14ac:dyDescent="0.2">
      <c r="A251" s="3" t="s">
        <v>811</v>
      </c>
      <c r="B251" s="3"/>
      <c r="C251" s="14"/>
      <c r="D251" s="325"/>
      <c r="E251" s="3"/>
      <c r="F251" s="325" t="str">
        <f>""&amp;+Input!$B$1</f>
        <v>COLUMBIA GAS OF KENTUCKY, INC.</v>
      </c>
      <c r="H251" s="3"/>
      <c r="I251" s="3"/>
      <c r="J251" s="3"/>
      <c r="K251" s="32" t="str">
        <f>Input!$B$2</f>
        <v>ATTACHMENT CEN-2</v>
      </c>
    </row>
    <row r="252" spans="1:11" ht="11.25" x14ac:dyDescent="0.2">
      <c r="A252" s="3" t="str">
        <f>Input!$B$7</f>
        <v>DEMAND-COMMODITY</v>
      </c>
      <c r="B252" s="3"/>
      <c r="C252" s="3"/>
      <c r="D252" s="325"/>
      <c r="E252" s="3"/>
      <c r="F252" s="325" t="s">
        <v>161</v>
      </c>
      <c r="H252" s="3"/>
      <c r="I252" s="3"/>
      <c r="J252" s="3"/>
      <c r="K252" s="32" t="str">
        <f>"PAGE 33 OF "&amp;FIXED(Input!$B$8,0,TRUE)</f>
        <v>PAGE 33 OF 129</v>
      </c>
    </row>
    <row r="253" spans="1:11" ht="11.25" x14ac:dyDescent="0.2">
      <c r="A253" s="17" t="str">
        <f>Input!$B$6</f>
        <v>FORECASTED TEST YEAR - ORIGINAL FILING</v>
      </c>
      <c r="B253" s="17"/>
      <c r="C253" s="17"/>
      <c r="D253" s="34"/>
      <c r="E253" s="18"/>
      <c r="F253" s="19" t="str">
        <f>"FOR THE TWELVE MONTHS ENDED "&amp;Input!$B$4</f>
        <v>FOR THE TWELVE MONTHS ENDED 12/31/2017</v>
      </c>
      <c r="G253" s="329"/>
      <c r="H253" s="17"/>
      <c r="I253" s="17"/>
      <c r="J253" s="17"/>
      <c r="K253" s="183" t="str">
        <f>"WITNESS: "&amp;Input!$B$5</f>
        <v>WITNESS: C. NOTESTONE</v>
      </c>
    </row>
    <row r="254" spans="1:11" ht="11.25" x14ac:dyDescent="0.2">
      <c r="A254" s="325" t="s">
        <v>5</v>
      </c>
      <c r="B254" s="3" t="s">
        <v>6</v>
      </c>
      <c r="C254" s="3"/>
      <c r="D254" s="325" t="s">
        <v>811</v>
      </c>
      <c r="E254" s="325" t="s">
        <v>8</v>
      </c>
      <c r="F254" s="325"/>
      <c r="G254" s="325"/>
      <c r="H254" s="325"/>
      <c r="I254" s="325"/>
      <c r="J254" s="325"/>
      <c r="K254" s="325"/>
    </row>
    <row r="255" spans="1:11" ht="11.25" x14ac:dyDescent="0.2">
      <c r="A255" s="341" t="s">
        <v>9</v>
      </c>
      <c r="B255" s="341" t="s">
        <v>9</v>
      </c>
      <c r="C255" s="34" t="str">
        <f>Classification!C128</f>
        <v xml:space="preserve"> ACCOUNT TITLE</v>
      </c>
      <c r="D255" s="341" t="s">
        <v>10</v>
      </c>
      <c r="E255" s="341" t="s">
        <v>11</v>
      </c>
      <c r="F255" s="341" t="s">
        <v>804</v>
      </c>
      <c r="G255" s="341" t="s">
        <v>812</v>
      </c>
      <c r="H255" s="341" t="s">
        <v>813</v>
      </c>
      <c r="I255" s="447"/>
      <c r="J255" s="447"/>
      <c r="K255" s="447"/>
    </row>
    <row r="256" spans="1:11" ht="11.25" x14ac:dyDescent="0.2">
      <c r="A256" s="325"/>
      <c r="B256" s="342" t="s">
        <v>13</v>
      </c>
      <c r="C256" s="342" t="s">
        <v>14</v>
      </c>
      <c r="D256" s="325" t="s">
        <v>15</v>
      </c>
      <c r="E256" s="325" t="s">
        <v>16</v>
      </c>
      <c r="F256" s="325" t="s">
        <v>17</v>
      </c>
      <c r="G256" s="325" t="s">
        <v>18</v>
      </c>
      <c r="H256" s="325" t="s">
        <v>19</v>
      </c>
      <c r="I256" s="325"/>
      <c r="J256" s="325"/>
      <c r="K256" s="325"/>
    </row>
    <row r="257" spans="1:11" ht="11.25" x14ac:dyDescent="0.2">
      <c r="A257" s="325"/>
      <c r="B257" s="3"/>
      <c r="C257" s="3"/>
      <c r="D257" s="325"/>
      <c r="E257" s="325" t="s">
        <v>26</v>
      </c>
      <c r="F257" s="325" t="s">
        <v>26</v>
      </c>
      <c r="G257" s="325" t="s">
        <v>26</v>
      </c>
      <c r="H257" s="325" t="s">
        <v>26</v>
      </c>
      <c r="I257" s="325"/>
      <c r="J257" s="325"/>
      <c r="K257" s="325"/>
    </row>
    <row r="258" spans="1:11" ht="11.25" x14ac:dyDescent="0.2">
      <c r="A258" s="325"/>
      <c r="B258" s="24"/>
      <c r="C258" s="36"/>
      <c r="D258" s="325"/>
      <c r="E258" s="3"/>
      <c r="F258" s="3"/>
      <c r="G258" s="3"/>
      <c r="H258" s="3"/>
      <c r="I258" s="3"/>
      <c r="J258" s="3"/>
      <c r="K258" s="3"/>
    </row>
    <row r="259" spans="1:11" ht="11.25" x14ac:dyDescent="0.2">
      <c r="A259" s="325">
        <v>1</v>
      </c>
      <c r="B259" s="24">
        <f>Input!A173</f>
        <v>381</v>
      </c>
      <c r="C259" s="3" t="str">
        <f>Input!B173</f>
        <v>METERS</v>
      </c>
      <c r="D259" s="325">
        <f>Input!C173</f>
        <v>16</v>
      </c>
      <c r="E259" s="3">
        <f>Input!D173+Input!E173</f>
        <v>6025045</v>
      </c>
      <c r="F259" s="3">
        <f>ROUND(VLOOKUP($D259,'Classification Table'!$A$6:$E$77,3,FALSE)*$E259,0)</f>
        <v>6025045</v>
      </c>
      <c r="G259" s="3">
        <f>ROUND(VLOOKUP($D259,'Classification Table'!$A$6:$E$77,4,FALSE)*$E259,0)</f>
        <v>0</v>
      </c>
      <c r="H259" s="3">
        <f>ROUND(VLOOKUP($D259,'Classification Table'!$A$6:$E$77,5,FALSE)*$E259,0)</f>
        <v>0</v>
      </c>
      <c r="I259" s="3"/>
      <c r="J259" s="3"/>
      <c r="K259" s="3"/>
    </row>
    <row r="260" spans="1:11" ht="11.25" x14ac:dyDescent="0.2">
      <c r="A260" s="325">
        <f t="shared" ref="A260:A271" si="31">A259+1</f>
        <v>2</v>
      </c>
      <c r="B260" s="24">
        <f>Input!A174</f>
        <v>382</v>
      </c>
      <c r="C260" s="3" t="str">
        <f>Input!B174</f>
        <v>METER INSTALLATIONS</v>
      </c>
      <c r="D260" s="325">
        <f>Input!C174</f>
        <v>16</v>
      </c>
      <c r="E260" s="3">
        <f>Input!D174+Input!E174</f>
        <v>4714156</v>
      </c>
      <c r="F260" s="3">
        <f>ROUND(VLOOKUP($D260,'Classification Table'!$A$6:$E$77,3,FALSE)*$E260,0)</f>
        <v>4714156</v>
      </c>
      <c r="G260" s="3">
        <f>ROUND(VLOOKUP($D260,'Classification Table'!$A$6:$E$77,4,FALSE)*$E260,0)</f>
        <v>0</v>
      </c>
      <c r="H260" s="3">
        <f>ROUND(VLOOKUP($D260,'Classification Table'!$A$6:$E$77,5,FALSE)*$E260,0)</f>
        <v>0</v>
      </c>
      <c r="I260" s="3"/>
      <c r="J260" s="3"/>
      <c r="K260" s="3"/>
    </row>
    <row r="261" spans="1:11" ht="11.25" x14ac:dyDescent="0.2">
      <c r="A261" s="325">
        <f t="shared" si="31"/>
        <v>3</v>
      </c>
      <c r="B261" s="24">
        <f>Input!A175</f>
        <v>383</v>
      </c>
      <c r="C261" s="3" t="str">
        <f>Input!B175</f>
        <v>HOUSE REGULATORS</v>
      </c>
      <c r="D261" s="325">
        <f>Input!C175</f>
        <v>16</v>
      </c>
      <c r="E261" s="3">
        <f>Input!D175+Input!E175</f>
        <v>1568587</v>
      </c>
      <c r="F261" s="3">
        <f>ROUND(VLOOKUP($D261,'Classification Table'!$A$6:$E$77,3,FALSE)*$E261,0)</f>
        <v>1568587</v>
      </c>
      <c r="G261" s="3">
        <f>ROUND(VLOOKUP($D261,'Classification Table'!$A$6:$E$77,4,FALSE)*$E261,0)</f>
        <v>0</v>
      </c>
      <c r="H261" s="3">
        <f>ROUND(VLOOKUP($D261,'Classification Table'!$A$6:$E$77,5,FALSE)*$E261,0)</f>
        <v>0</v>
      </c>
      <c r="I261" s="3"/>
      <c r="J261" s="3"/>
      <c r="K261" s="3"/>
    </row>
    <row r="262" spans="1:11" ht="11.25" x14ac:dyDescent="0.2">
      <c r="A262" s="325">
        <f t="shared" si="31"/>
        <v>4</v>
      </c>
      <c r="B262" s="24">
        <f>Input!A176</f>
        <v>384</v>
      </c>
      <c r="C262" s="3" t="str">
        <f>Input!B176</f>
        <v>HOUSE REG INSTALLATIONS</v>
      </c>
      <c r="D262" s="325">
        <f>Input!C176</f>
        <v>16</v>
      </c>
      <c r="E262" s="3">
        <f>Input!D176+Input!E176</f>
        <v>1780729</v>
      </c>
      <c r="F262" s="3">
        <f>ROUND(VLOOKUP($D262,'Classification Table'!$A$6:$E$77,3,FALSE)*$E262,0)</f>
        <v>1780729</v>
      </c>
      <c r="G262" s="3">
        <f>ROUND(VLOOKUP($D262,'Classification Table'!$A$6:$E$77,4,FALSE)*$E262,0)</f>
        <v>0</v>
      </c>
      <c r="H262" s="3">
        <f>ROUND(VLOOKUP($D262,'Classification Table'!$A$6:$E$77,5,FALSE)*$E262,0)</f>
        <v>0</v>
      </c>
      <c r="I262" s="3"/>
      <c r="J262" s="3"/>
      <c r="K262" s="3"/>
    </row>
    <row r="263" spans="1:11" ht="11.25" x14ac:dyDescent="0.2">
      <c r="A263" s="325">
        <f t="shared" si="31"/>
        <v>5</v>
      </c>
      <c r="B263" s="24">
        <f>Input!A177</f>
        <v>385</v>
      </c>
      <c r="C263" s="3" t="str">
        <f>Input!B177</f>
        <v>IND M&amp;R EQUIPMENT</v>
      </c>
      <c r="D263" s="325">
        <f>Input!C177</f>
        <v>17</v>
      </c>
      <c r="E263" s="3">
        <f>Input!D177+Input!E177-SUM(Input!G177:O177)</f>
        <v>823117.67999999993</v>
      </c>
      <c r="F263" s="3">
        <f>ROUND(VLOOKUP($D263,'Classification Table'!$A$6:$E$77,3,FALSE)*$E263,0)</f>
        <v>823118</v>
      </c>
      <c r="G263" s="3">
        <f>ROUND(VLOOKUP($D263,'Classification Table'!$A$6:$E$77,4,FALSE)*$E263,0)</f>
        <v>0</v>
      </c>
      <c r="H263" s="3">
        <f>ROUND(VLOOKUP($D263,'Classification Table'!$A$6:$E$77,5,FALSE)*$E263,0)</f>
        <v>0</v>
      </c>
      <c r="I263" s="3"/>
      <c r="J263" s="3"/>
      <c r="K263" s="3"/>
    </row>
    <row r="264" spans="1:11" ht="11.25" x14ac:dyDescent="0.2">
      <c r="A264" s="325">
        <f t="shared" si="31"/>
        <v>6</v>
      </c>
      <c r="B264" s="24">
        <f>Input!A177</f>
        <v>385</v>
      </c>
      <c r="C264" s="3" t="str">
        <f>"DIRECT "&amp;+Input!B177</f>
        <v>DIRECT IND M&amp;R EQUIPMENT</v>
      </c>
      <c r="D264" s="325">
        <f>D263</f>
        <v>17</v>
      </c>
      <c r="E264" s="3">
        <f>SUM(Input!G177:K177)</f>
        <v>133766.32</v>
      </c>
      <c r="F264" s="3">
        <f>ROUND(VLOOKUP($D264,'Classification Table'!$A$6:$E$77,3,FALSE)*$E264,0)</f>
        <v>133766</v>
      </c>
      <c r="G264" s="3">
        <f>ROUND(VLOOKUP($D264,'Classification Table'!$A$6:$E$77,4,FALSE)*$E264,0)</f>
        <v>0</v>
      </c>
      <c r="H264" s="3">
        <f>ROUND(VLOOKUP($D264,'Classification Table'!$A$6:$E$77,5,FALSE)*$E264,0)</f>
        <v>0</v>
      </c>
      <c r="I264" s="3"/>
      <c r="J264" s="3"/>
      <c r="K264" s="3"/>
    </row>
    <row r="265" spans="1:11" ht="11.25" x14ac:dyDescent="0.2">
      <c r="A265" s="325">
        <f t="shared" si="31"/>
        <v>7</v>
      </c>
      <c r="B265" s="24">
        <f>Input!A178</f>
        <v>387.2</v>
      </c>
      <c r="C265" s="3" t="str">
        <f>Input!B178</f>
        <v>ODORIZATION</v>
      </c>
      <c r="D265" s="118" t="str">
        <f>IF(Input!$C$2=3,'Classification Table'!$A$12,IF(Input!$C$2=5,'Classification Table'!$A$13,IF(Input!$C$2=20,'Classification Table'!$A$14,0)))</f>
        <v>7DC</v>
      </c>
      <c r="E265" s="3">
        <f>Input!D178+Input!E178</f>
        <v>-59912</v>
      </c>
      <c r="F265" s="3">
        <f>ROUND(VLOOKUP($D265,'Classification Table'!$A$6:$E$77,3,FALSE)*$E265,0)</f>
        <v>-25071</v>
      </c>
      <c r="G265" s="3">
        <f>ROUND(VLOOKUP($D265,'Classification Table'!$A$6:$E$77,4,FALSE)*$E265,0)</f>
        <v>-17420</v>
      </c>
      <c r="H265" s="3">
        <f>ROUND(VLOOKUP($D265,'Classification Table'!$A$6:$E$77,5,FALSE)*$E265,0)</f>
        <v>-17420</v>
      </c>
      <c r="I265" s="3"/>
      <c r="J265" s="3"/>
      <c r="K265" s="3"/>
    </row>
    <row r="266" spans="1:11" ht="11.25" x14ac:dyDescent="0.2">
      <c r="A266" s="325">
        <f t="shared" si="31"/>
        <v>8</v>
      </c>
      <c r="B266" s="24">
        <f>Input!A179</f>
        <v>387.41</v>
      </c>
      <c r="C266" s="3" t="str">
        <f>Input!B179</f>
        <v>TELEPHONE</v>
      </c>
      <c r="D266" s="118" t="str">
        <f>IF(Input!$C$2=3,'Classification Table'!$A$12,IF(Input!$C$2=5,'Classification Table'!$A$13,IF(Input!$C$2=20,'Classification Table'!$A$14,0)))</f>
        <v>7DC</v>
      </c>
      <c r="E266" s="3">
        <f>Input!D179+Input!E179</f>
        <v>399816</v>
      </c>
      <c r="F266" s="3">
        <f>ROUND(VLOOKUP($D266,'Classification Table'!$A$6:$E$77,3,FALSE)*$E266,0)</f>
        <v>167311</v>
      </c>
      <c r="G266" s="3">
        <f>ROUND(VLOOKUP($D266,'Classification Table'!$A$6:$E$77,4,FALSE)*$E266,0)</f>
        <v>116252</v>
      </c>
      <c r="H266" s="3">
        <f>ROUND(VLOOKUP($D266,'Classification Table'!$A$6:$E$77,5,FALSE)*$E266,0)</f>
        <v>116252</v>
      </c>
      <c r="I266" s="3"/>
      <c r="J266" s="3"/>
      <c r="K266" s="3"/>
    </row>
    <row r="267" spans="1:11" ht="11.25" x14ac:dyDescent="0.2">
      <c r="A267" s="325">
        <f t="shared" si="31"/>
        <v>9</v>
      </c>
      <c r="B267" s="24">
        <f>Input!A180</f>
        <v>387.42</v>
      </c>
      <c r="C267" s="3" t="str">
        <f>Input!B180</f>
        <v>RADIO</v>
      </c>
      <c r="D267" s="118" t="str">
        <f>IF(Input!$C$2=3,'Classification Table'!$A$12,IF(Input!$C$2=5,'Classification Table'!$A$13,IF(Input!$C$2=20,'Classification Table'!$A$14,0)))</f>
        <v>7DC</v>
      </c>
      <c r="E267" s="3">
        <f>Input!D180+Input!E180</f>
        <v>567414</v>
      </c>
      <c r="F267" s="3">
        <f>ROUND(VLOOKUP($D267,'Classification Table'!$A$6:$E$77,3,FALSE)*$E267,0)</f>
        <v>237446</v>
      </c>
      <c r="G267" s="3">
        <f>ROUND(VLOOKUP($D267,'Classification Table'!$A$6:$E$77,4,FALSE)*$E267,0)</f>
        <v>164984</v>
      </c>
      <c r="H267" s="3">
        <f>ROUND(VLOOKUP($D267,'Classification Table'!$A$6:$E$77,5,FALSE)*$E267,0)</f>
        <v>164984</v>
      </c>
      <c r="I267" s="3"/>
      <c r="J267" s="3"/>
      <c r="K267" s="3"/>
    </row>
    <row r="268" spans="1:11" ht="11.25" x14ac:dyDescent="0.2">
      <c r="A268" s="325">
        <f t="shared" si="31"/>
        <v>10</v>
      </c>
      <c r="B268" s="24">
        <f>Input!A181</f>
        <v>387.44</v>
      </c>
      <c r="C268" s="3" t="str">
        <f>Input!B181</f>
        <v>OTHER COMMUNICATION</v>
      </c>
      <c r="D268" s="118" t="str">
        <f>IF(Input!$C$2=3,'Classification Table'!$A$12,IF(Input!$C$2=5,'Classification Table'!$A$13,IF(Input!$C$2=20,'Classification Table'!$A$14,0)))</f>
        <v>7DC</v>
      </c>
      <c r="E268" s="3">
        <f>Input!D181+Input!E181</f>
        <v>50650</v>
      </c>
      <c r="F268" s="3">
        <f>ROUND(VLOOKUP($D268,'Classification Table'!$A$6:$E$77,3,FALSE)*$E268,0)</f>
        <v>21196</v>
      </c>
      <c r="G268" s="3">
        <f>ROUND(VLOOKUP($D268,'Classification Table'!$A$6:$E$77,4,FALSE)*$E268,0)</f>
        <v>14727</v>
      </c>
      <c r="H268" s="3">
        <f>ROUND(VLOOKUP($D268,'Classification Table'!$A$6:$E$77,5,FALSE)*$E268,0)</f>
        <v>14727</v>
      </c>
      <c r="I268" s="3"/>
      <c r="J268" s="3"/>
      <c r="K268" s="3"/>
    </row>
    <row r="269" spans="1:11" ht="11.25" x14ac:dyDescent="0.2">
      <c r="A269" s="325">
        <f t="shared" si="31"/>
        <v>11</v>
      </c>
      <c r="B269" s="24">
        <f>Input!A182</f>
        <v>387.45</v>
      </c>
      <c r="C269" s="3" t="str">
        <f>Input!B182</f>
        <v>TELEMETERING</v>
      </c>
      <c r="D269" s="118" t="str">
        <f>IF(Input!$C$2=3,'Classification Table'!$A$12,IF(Input!$C$2=5,'Classification Table'!$A$13,IF(Input!$C$2=20,'Classification Table'!$A$14,0)))</f>
        <v>7DC</v>
      </c>
      <c r="E269" s="3">
        <f>Input!D182+Input!E182</f>
        <v>529513</v>
      </c>
      <c r="F269" s="3">
        <f>ROUND(VLOOKUP($D269,'Classification Table'!$A$6:$E$77,3,FALSE)*$E269,0)</f>
        <v>221586</v>
      </c>
      <c r="G269" s="3">
        <f>ROUND(VLOOKUP($D269,'Classification Table'!$A$6:$E$77,4,FALSE)*$E269,0)</f>
        <v>153964</v>
      </c>
      <c r="H269" s="3">
        <f>ROUND(VLOOKUP($D269,'Classification Table'!$A$6:$E$77,5,FALSE)*$E269,0)</f>
        <v>153964</v>
      </c>
      <c r="I269" s="3"/>
      <c r="J269" s="3"/>
      <c r="K269" s="3"/>
    </row>
    <row r="270" spans="1:11" ht="11.25" x14ac:dyDescent="0.2">
      <c r="A270" s="325">
        <f t="shared" si="31"/>
        <v>12</v>
      </c>
      <c r="B270" s="24">
        <f>Input!A183</f>
        <v>387.46</v>
      </c>
      <c r="C270" s="3" t="str">
        <f>Input!B183</f>
        <v>CIS</v>
      </c>
      <c r="D270" s="118" t="str">
        <f>IF(Input!$C$2=3,'Classification Table'!$A$12,IF(Input!$C$2=5,'Classification Table'!$A$13,IF(Input!$C$2=20,'Classification Table'!$A$14,0)))</f>
        <v>7DC</v>
      </c>
      <c r="E270" s="26">
        <f>Input!D183+Input!E183</f>
        <v>114357</v>
      </c>
      <c r="F270" s="26">
        <f>ROUND(VLOOKUP($D270,'Classification Table'!$A$6:$E$77,3,FALSE)*$E270,0)</f>
        <v>47855</v>
      </c>
      <c r="G270" s="26">
        <f>ROUND(VLOOKUP($D270,'Classification Table'!$A$6:$E$77,4,FALSE)*$E270,0)</f>
        <v>33251</v>
      </c>
      <c r="H270" s="26">
        <f>ROUND(VLOOKUP($D270,'Classification Table'!$A$6:$E$77,5,FALSE)*$E270,0)</f>
        <v>33251</v>
      </c>
      <c r="I270" s="26"/>
      <c r="J270" s="26"/>
      <c r="K270" s="26"/>
    </row>
    <row r="271" spans="1:11" ht="11.25" x14ac:dyDescent="0.2">
      <c r="A271" s="325">
        <f t="shared" si="31"/>
        <v>13</v>
      </c>
      <c r="B271" s="3"/>
      <c r="C271" s="3" t="s">
        <v>84</v>
      </c>
      <c r="D271" s="325"/>
      <c r="E271" s="3">
        <f>SUM(Classification!E231:E250)+SUM(E259:E270)</f>
        <v>145887056</v>
      </c>
      <c r="F271" s="3">
        <f>SUM(Classification!F231:F250)+SUM(F259:F270)</f>
        <v>78294256</v>
      </c>
      <c r="G271" s="3">
        <f>SUM(Classification!G231:G250)+SUM(G259:G270)</f>
        <v>33796402</v>
      </c>
      <c r="H271" s="3">
        <f>SUM(Classification!H231:H250)+SUM(H259:H270)</f>
        <v>33796402</v>
      </c>
      <c r="I271" s="3"/>
      <c r="J271" s="3"/>
      <c r="K271" s="3"/>
    </row>
    <row r="272" spans="1:11" ht="11.25" x14ac:dyDescent="0.2">
      <c r="A272" s="325"/>
      <c r="B272" s="3"/>
      <c r="C272" s="3"/>
      <c r="D272" s="325"/>
      <c r="E272" s="3"/>
      <c r="F272" s="3"/>
      <c r="G272" s="3"/>
      <c r="H272" s="3"/>
      <c r="I272" s="3"/>
      <c r="J272" s="3"/>
      <c r="K272" s="3"/>
    </row>
    <row r="273" spans="1:11" ht="11.25" x14ac:dyDescent="0.2">
      <c r="A273" s="325">
        <f>A271+1</f>
        <v>14</v>
      </c>
      <c r="B273" s="3"/>
      <c r="C273" s="24" t="str">
        <f>Input!A186</f>
        <v>GENERAL PLANT</v>
      </c>
      <c r="D273" s="325"/>
      <c r="E273" s="3"/>
      <c r="F273" s="3"/>
      <c r="G273" s="3"/>
      <c r="H273" s="3"/>
      <c r="I273" s="3"/>
      <c r="J273" s="3"/>
      <c r="K273" s="3"/>
    </row>
    <row r="274" spans="1:11" ht="11.25" x14ac:dyDescent="0.2">
      <c r="A274" s="325"/>
      <c r="B274" s="3"/>
      <c r="C274" s="3"/>
      <c r="D274" s="325"/>
      <c r="E274" s="3"/>
      <c r="F274" s="3"/>
      <c r="G274" s="3"/>
      <c r="H274" s="3"/>
      <c r="I274" s="3"/>
      <c r="J274" s="3"/>
      <c r="K274" s="3"/>
    </row>
    <row r="275" spans="1:11" ht="11.25" x14ac:dyDescent="0.2">
      <c r="A275" s="325">
        <f>A273+1</f>
        <v>15</v>
      </c>
      <c r="B275" s="24">
        <f>Input!A187</f>
        <v>391.1</v>
      </c>
      <c r="C275" s="3" t="str">
        <f>Input!B187</f>
        <v>OFF FURN &amp; EQUIP - UNSPEC</v>
      </c>
      <c r="D275" s="118" t="str">
        <f>IF(Input!$C$2=3,'Classification Table'!$A$12,IF(Input!$C$2=5,'Classification Table'!$A$13,IF(Input!$C$2=20,'Classification Table'!$A$14,0)))</f>
        <v>7DC</v>
      </c>
      <c r="E275" s="3">
        <f>Input!D187+Input!E187</f>
        <v>-33247</v>
      </c>
      <c r="F275" s="3">
        <f>ROUND(VLOOKUP($D275,'Classification Table'!$A$6:$E$77,3,FALSE)*$E275,0)</f>
        <v>-13913</v>
      </c>
      <c r="G275" s="3">
        <f>ROUND(VLOOKUP($D275,'Classification Table'!$A$6:$E$77,4,FALSE)*$E275,0)</f>
        <v>-9667</v>
      </c>
      <c r="H275" s="3">
        <f>ROUND(VLOOKUP($D275,'Classification Table'!$A$6:$E$77,5,FALSE)*$E275,0)</f>
        <v>-9667</v>
      </c>
      <c r="I275" s="3"/>
      <c r="J275" s="3"/>
      <c r="K275" s="3"/>
    </row>
    <row r="276" spans="1:11" ht="11.25" x14ac:dyDescent="0.2">
      <c r="A276" s="325">
        <f t="shared" ref="A276:A289" si="32">A275+1</f>
        <v>16</v>
      </c>
      <c r="B276" s="24">
        <f>Input!A188</f>
        <v>391.11</v>
      </c>
      <c r="C276" s="3" t="str">
        <f>Input!B188</f>
        <v>OFF FURN &amp; EQUIP - DATA HAND</v>
      </c>
      <c r="D276" s="118" t="str">
        <f>IF(Input!$C$2=3,'Classification Table'!$A$12,IF(Input!$C$2=5,'Classification Table'!$A$13,IF(Input!$C$2=20,'Classification Table'!$A$14,0)))</f>
        <v>7DC</v>
      </c>
      <c r="E276" s="3">
        <f>Input!D188+Input!E188</f>
        <v>-11355</v>
      </c>
      <c r="F276" s="3">
        <f>ROUND(VLOOKUP($D276,'Classification Table'!$A$6:$E$77,3,FALSE)*$E276,0)</f>
        <v>-4752</v>
      </c>
      <c r="G276" s="3">
        <f>ROUND(VLOOKUP($D276,'Classification Table'!$A$6:$E$77,4,FALSE)*$E276,0)</f>
        <v>-3302</v>
      </c>
      <c r="H276" s="3">
        <f>ROUND(VLOOKUP($D276,'Classification Table'!$A$6:$E$77,5,FALSE)*$E276,0)</f>
        <v>-3302</v>
      </c>
      <c r="I276" s="3"/>
      <c r="J276" s="3"/>
      <c r="K276" s="3"/>
    </row>
    <row r="277" spans="1:11" ht="11.25" x14ac:dyDescent="0.2">
      <c r="A277" s="325">
        <f t="shared" si="32"/>
        <v>17</v>
      </c>
      <c r="B277" s="24">
        <f>Input!A189</f>
        <v>391.12</v>
      </c>
      <c r="C277" s="3" t="str">
        <f>Input!B189</f>
        <v>OFF FURN &amp; EQUIP - INFO SYSTEM</v>
      </c>
      <c r="D277" s="118" t="str">
        <f>IF(Input!$C$2=3,'Classification Table'!$A$12,IF(Input!$C$2=5,'Classification Table'!$A$13,IF(Input!$C$2=20,'Classification Table'!$A$14,0)))</f>
        <v>7DC</v>
      </c>
      <c r="E277" s="3">
        <f>Input!D189+Input!E189</f>
        <v>750133</v>
      </c>
      <c r="F277" s="3">
        <f>ROUND(VLOOKUP($D277,'Classification Table'!$A$6:$E$77,3,FALSE)*$E277,0)</f>
        <v>313909</v>
      </c>
      <c r="G277" s="3">
        <f>ROUND(VLOOKUP($D277,'Classification Table'!$A$6:$E$77,4,FALSE)*$E277,0)</f>
        <v>218112</v>
      </c>
      <c r="H277" s="3">
        <f>ROUND(VLOOKUP($D277,'Classification Table'!$A$6:$E$77,5,FALSE)*$E277,0)</f>
        <v>218112</v>
      </c>
      <c r="I277" s="3"/>
      <c r="J277" s="3"/>
      <c r="K277" s="3"/>
    </row>
    <row r="278" spans="1:11" ht="11.25" x14ac:dyDescent="0.2">
      <c r="A278" s="325">
        <f t="shared" si="32"/>
        <v>18</v>
      </c>
      <c r="B278" s="24">
        <f>Input!A190</f>
        <v>392.2</v>
      </c>
      <c r="C278" s="3" t="str">
        <f>Input!B190</f>
        <v>TR EQ - TRAILER &gt; $1,000</v>
      </c>
      <c r="D278" s="118" t="str">
        <f>IF(Input!$C$2=3,'Classification Table'!$A$12,IF(Input!$C$2=5,'Classification Table'!$A$13,IF(Input!$C$2=20,'Classification Table'!$A$14,0)))</f>
        <v>7DC</v>
      </c>
      <c r="E278" s="3">
        <f>Input!D190+Input!E190</f>
        <v>27035</v>
      </c>
      <c r="F278" s="3">
        <f>ROUND(VLOOKUP($D278,'Classification Table'!$A$6:$E$77,3,FALSE)*$E278,0)</f>
        <v>11313</v>
      </c>
      <c r="G278" s="3">
        <f>ROUND(VLOOKUP($D278,'Classification Table'!$A$6:$E$77,4,FALSE)*$E278,0)</f>
        <v>7861</v>
      </c>
      <c r="H278" s="3">
        <f>ROUND(VLOOKUP($D278,'Classification Table'!$A$6:$E$77,5,FALSE)*$E278,0)</f>
        <v>7861</v>
      </c>
      <c r="I278" s="3"/>
      <c r="J278" s="3"/>
      <c r="K278" s="3"/>
    </row>
    <row r="279" spans="1:11" ht="11.25" x14ac:dyDescent="0.2">
      <c r="A279" s="325">
        <f t="shared" si="32"/>
        <v>19</v>
      </c>
      <c r="B279" s="24">
        <f>Input!A191</f>
        <v>392.21</v>
      </c>
      <c r="C279" s="3" t="str">
        <f>Input!B191</f>
        <v>TR EQ - TRAILER &lt; $1,000</v>
      </c>
      <c r="D279" s="118" t="str">
        <f>IF(Input!$C$2=3,'Classification Table'!$A$12,IF(Input!$C$2=5,'Classification Table'!$A$13,IF(Input!$C$2=20,'Classification Table'!$A$14,0)))</f>
        <v>7DC</v>
      </c>
      <c r="E279" s="3">
        <f>Input!D191+Input!E191</f>
        <v>6309</v>
      </c>
      <c r="F279" s="3">
        <f>ROUND(VLOOKUP($D279,'Classification Table'!$A$6:$E$77,3,FALSE)*$E279,0)</f>
        <v>2640</v>
      </c>
      <c r="G279" s="3">
        <f>ROUND(VLOOKUP($D279,'Classification Table'!$A$6:$E$77,4,FALSE)*$E279,0)</f>
        <v>1834</v>
      </c>
      <c r="H279" s="3">
        <f>ROUND(VLOOKUP($D279,'Classification Table'!$A$6:$E$77,5,FALSE)*$E279,0)</f>
        <v>1834</v>
      </c>
      <c r="I279" s="3"/>
      <c r="J279" s="3"/>
      <c r="K279" s="3"/>
    </row>
    <row r="280" spans="1:11" ht="11.25" x14ac:dyDescent="0.2">
      <c r="A280" s="325">
        <f t="shared" si="32"/>
        <v>20</v>
      </c>
      <c r="B280" s="24">
        <f>Input!A192</f>
        <v>394.1</v>
      </c>
      <c r="C280" s="3" t="str">
        <f>Input!B192</f>
        <v>TOOLS,SHOP, &amp; GAR EQ-GARAGE &amp; SERV</v>
      </c>
      <c r="D280" s="118" t="str">
        <f>IF(Input!$C$2=3,'Classification Table'!$A$12,IF(Input!$C$2=5,'Classification Table'!$A$13,IF(Input!$C$2=20,'Classification Table'!$A$14,0)))</f>
        <v>7DC</v>
      </c>
      <c r="E280" s="3">
        <f>Input!D192+Input!E192</f>
        <v>15095</v>
      </c>
      <c r="F280" s="3">
        <f>ROUND(VLOOKUP($D280,'Classification Table'!$A$6:$E$77,3,FALSE)*$E280,0)</f>
        <v>6317</v>
      </c>
      <c r="G280" s="3">
        <f>ROUND(VLOOKUP($D280,'Classification Table'!$A$6:$E$77,4,FALSE)*$E280,0)</f>
        <v>4389</v>
      </c>
      <c r="H280" s="3">
        <f>ROUND(VLOOKUP($D280,'Classification Table'!$A$6:$E$77,5,FALSE)*$E280,0)</f>
        <v>4389</v>
      </c>
      <c r="I280" s="3"/>
      <c r="J280" s="3"/>
      <c r="K280" s="3"/>
    </row>
    <row r="281" spans="1:11" ht="11.25" x14ac:dyDescent="0.2">
      <c r="A281" s="325">
        <f t="shared" si="32"/>
        <v>21</v>
      </c>
      <c r="B281" s="24">
        <f>Input!A193</f>
        <v>394.13</v>
      </c>
      <c r="C281" s="3" t="str">
        <f>Input!B193</f>
        <v>TOOLS,SHOP, &amp; GAR EQ-UND TANK CLEANUP</v>
      </c>
      <c r="D281" s="118" t="str">
        <f>IF(Input!$C$2=3,'Classification Table'!$A$12,IF(Input!$C$2=5,'Classification Table'!$A$13,IF(Input!$C$2=20,'Classification Table'!$A$14,0)))</f>
        <v>7DC</v>
      </c>
      <c r="E281" s="3">
        <f>Input!D193+Input!E193</f>
        <v>37937</v>
      </c>
      <c r="F281" s="3">
        <f>ROUND(VLOOKUP($D281,'Classification Table'!$A$6:$E$77,3,FALSE)*$E281,0)</f>
        <v>15876</v>
      </c>
      <c r="G281" s="3">
        <f>ROUND(VLOOKUP($D281,'Classification Table'!$A$6:$E$77,4,FALSE)*$E281,0)</f>
        <v>11031</v>
      </c>
      <c r="H281" s="3">
        <f>ROUND(VLOOKUP($D281,'Classification Table'!$A$6:$E$77,5,FALSE)*$E281,0)</f>
        <v>11031</v>
      </c>
      <c r="I281" s="3"/>
      <c r="J281" s="3"/>
      <c r="K281" s="3"/>
    </row>
    <row r="282" spans="1:11" ht="11.25" x14ac:dyDescent="0.2">
      <c r="A282" s="325">
        <f t="shared" si="32"/>
        <v>22</v>
      </c>
      <c r="B282" s="24">
        <f>Input!A194</f>
        <v>393</v>
      </c>
      <c r="C282" s="3" t="str">
        <f>Input!B194</f>
        <v>STORES EQUIPMENT</v>
      </c>
      <c r="D282" s="118" t="str">
        <f>IF(Input!$C$2=3,'Classification Table'!$A$12,IF(Input!$C$2=5,'Classification Table'!$A$13,IF(Input!$C$2=20,'Classification Table'!$A$14,0)))</f>
        <v>7DC</v>
      </c>
      <c r="E282" s="3">
        <f>Input!D194+Input!E194</f>
        <v>0</v>
      </c>
      <c r="F282" s="3">
        <f>ROUND(VLOOKUP($D282,'Classification Table'!$A$6:$E$77,3,FALSE)*$E282,0)</f>
        <v>0</v>
      </c>
      <c r="G282" s="3">
        <f>ROUND(VLOOKUP($D282,'Classification Table'!$A$6:$E$77,4,FALSE)*$E282,0)</f>
        <v>0</v>
      </c>
      <c r="H282" s="3">
        <f>ROUND(VLOOKUP($D282,'Classification Table'!$A$6:$E$77,5,FALSE)*$E282,0)</f>
        <v>0</v>
      </c>
      <c r="I282" s="3"/>
      <c r="J282" s="3"/>
      <c r="K282" s="3"/>
    </row>
    <row r="283" spans="1:11" ht="11.25" x14ac:dyDescent="0.2">
      <c r="A283" s="325">
        <f t="shared" si="32"/>
        <v>23</v>
      </c>
      <c r="B283" s="24">
        <f>Input!A195</f>
        <v>394.2</v>
      </c>
      <c r="C283" s="3" t="str">
        <f>Input!B195</f>
        <v>SHOP EQUIPMENT</v>
      </c>
      <c r="D283" s="118" t="str">
        <f>IF(Input!$C$2=3,'Classification Table'!$A$12,IF(Input!$C$2=5,'Classification Table'!$A$13,IF(Input!$C$2=20,'Classification Table'!$A$14,0)))</f>
        <v>7DC</v>
      </c>
      <c r="E283" s="3">
        <f>Input!D195+Input!E195</f>
        <v>185</v>
      </c>
      <c r="F283" s="3">
        <f>ROUND(VLOOKUP($D283,'Classification Table'!$A$6:$E$77,3,FALSE)*$E283,0)</f>
        <v>77</v>
      </c>
      <c r="G283" s="3">
        <f>ROUND(VLOOKUP($D283,'Classification Table'!$A$6:$E$77,4,FALSE)*$E283,0)</f>
        <v>54</v>
      </c>
      <c r="H283" s="3">
        <f>ROUND(VLOOKUP($D283,'Classification Table'!$A$6:$E$77,5,FALSE)*$E283,0)</f>
        <v>54</v>
      </c>
      <c r="I283" s="3"/>
      <c r="J283" s="3"/>
      <c r="K283" s="3"/>
    </row>
    <row r="284" spans="1:11" ht="11.25" x14ac:dyDescent="0.2">
      <c r="A284" s="325">
        <f t="shared" si="32"/>
        <v>24</v>
      </c>
      <c r="B284" s="24">
        <f>Input!A196</f>
        <v>394.3</v>
      </c>
      <c r="C284" s="3" t="str">
        <f>Input!B196</f>
        <v>TOOLS &amp; OTHER EQUIPMENT</v>
      </c>
      <c r="D284" s="118" t="str">
        <f>IF(Input!$C$2=3,'Classification Table'!$A$12,IF(Input!$C$2=5,'Classification Table'!$A$13,IF(Input!$C$2=20,'Classification Table'!$A$14,0)))</f>
        <v>7DC</v>
      </c>
      <c r="E284" s="3">
        <f>Input!D196+Input!E196</f>
        <v>1333005</v>
      </c>
      <c r="F284" s="3">
        <f>ROUND(VLOOKUP($D284,'Classification Table'!$A$6:$E$77,3,FALSE)*$E284,0)</f>
        <v>557824</v>
      </c>
      <c r="G284" s="3">
        <f>ROUND(VLOOKUP($D284,'Classification Table'!$A$6:$E$77,4,FALSE)*$E284,0)</f>
        <v>387591</v>
      </c>
      <c r="H284" s="3">
        <f>ROUND(VLOOKUP($D284,'Classification Table'!$A$6:$E$77,5,FALSE)*$E284,0)</f>
        <v>387591</v>
      </c>
      <c r="I284" s="3"/>
      <c r="J284" s="3"/>
      <c r="K284" s="3"/>
    </row>
    <row r="285" spans="1:11" ht="11.25" x14ac:dyDescent="0.2">
      <c r="A285" s="325">
        <f t="shared" si="32"/>
        <v>25</v>
      </c>
      <c r="B285" s="24">
        <f>Input!A197</f>
        <v>395</v>
      </c>
      <c r="C285" s="3" t="str">
        <f>Input!B197</f>
        <v>LABORATORY EQUIPMENT</v>
      </c>
      <c r="D285" s="118" t="str">
        <f>IF(Input!$C$2=3,'Classification Table'!$A$12,IF(Input!$C$2=5,'Classification Table'!$A$13,IF(Input!$C$2=20,'Classification Table'!$A$14,0)))</f>
        <v>7DC</v>
      </c>
      <c r="E285" s="3">
        <f>Input!D197+Input!E197</f>
        <v>7764</v>
      </c>
      <c r="F285" s="3">
        <f>ROUND(VLOOKUP($D285,'Classification Table'!$A$6:$E$77,3,FALSE)*$E285,0)</f>
        <v>3249</v>
      </c>
      <c r="G285" s="3">
        <f>ROUND(VLOOKUP($D285,'Classification Table'!$A$6:$E$77,4,FALSE)*$E285,0)</f>
        <v>2257</v>
      </c>
      <c r="H285" s="3">
        <f>ROUND(VLOOKUP($D285,'Classification Table'!$A$6:$E$77,5,FALSE)*$E285,0)</f>
        <v>2257</v>
      </c>
      <c r="I285" s="3"/>
      <c r="J285" s="3"/>
      <c r="K285" s="3"/>
    </row>
    <row r="286" spans="1:11" ht="11.25" x14ac:dyDescent="0.2">
      <c r="A286" s="325">
        <f t="shared" si="32"/>
        <v>26</v>
      </c>
      <c r="B286" s="24">
        <f>Input!A198</f>
        <v>396</v>
      </c>
      <c r="C286" s="3" t="str">
        <f>Input!B198</f>
        <v>POWER OP EQUIP-GEN TOOLS</v>
      </c>
      <c r="D286" s="118" t="str">
        <f>IF(Input!$C$2=3,'Classification Table'!$A$12,IF(Input!$C$2=5,'Classification Table'!$A$13,IF(Input!$C$2=20,'Classification Table'!$A$14,0)))</f>
        <v>7DC</v>
      </c>
      <c r="E286" s="3">
        <f>Input!D198+Input!E198</f>
        <v>202598</v>
      </c>
      <c r="F286" s="3">
        <f>ROUND(VLOOKUP($D286,'Classification Table'!$A$6:$E$77,3,FALSE)*$E286,0)</f>
        <v>84781</v>
      </c>
      <c r="G286" s="3">
        <f>ROUND(VLOOKUP($D286,'Classification Table'!$A$6:$E$77,4,FALSE)*$E286,0)</f>
        <v>58908</v>
      </c>
      <c r="H286" s="3">
        <f>ROUND(VLOOKUP($D286,'Classification Table'!$A$6:$E$77,5,FALSE)*$E286,0)</f>
        <v>58908</v>
      </c>
      <c r="I286" s="3"/>
      <c r="J286" s="3"/>
      <c r="K286" s="3"/>
    </row>
    <row r="287" spans="1:11" ht="11.25" x14ac:dyDescent="0.2">
      <c r="A287" s="325">
        <f t="shared" si="32"/>
        <v>27</v>
      </c>
      <c r="B287" s="24"/>
      <c r="C287" s="3" t="str">
        <f>Input!B199</f>
        <v>RETIREMENT WORK IN PROGRESS</v>
      </c>
      <c r="D287" s="118" t="str">
        <f>IF(Input!$C$2=3,'Classification Table'!$A$12,IF(Input!$C$2=5,'Classification Table'!$A$13,IF(Input!$C$2=20,'Classification Table'!$A$14,0)))</f>
        <v>7DC</v>
      </c>
      <c r="E287" s="3">
        <f>Input!D199+Input!E199</f>
        <v>0</v>
      </c>
      <c r="F287" s="3">
        <f>ROUND(VLOOKUP($D287,'Classification Table'!$A$6:$E$77,3,FALSE)*$E287,0)</f>
        <v>0</v>
      </c>
      <c r="G287" s="3">
        <f>ROUND(VLOOKUP($D287,'Classification Table'!$A$6:$E$77,4,FALSE)*$E287,0)</f>
        <v>0</v>
      </c>
      <c r="H287" s="3">
        <f>ROUND(VLOOKUP($D287,'Classification Table'!$A$6:$E$77,5,FALSE)*$E287,0)</f>
        <v>0</v>
      </c>
      <c r="I287" s="3"/>
      <c r="J287" s="3"/>
      <c r="K287" s="3"/>
    </row>
    <row r="288" spans="1:11" ht="11.25" x14ac:dyDescent="0.2">
      <c r="A288" s="325">
        <f t="shared" si="32"/>
        <v>28</v>
      </c>
      <c r="B288" s="24">
        <f>Input!A200</f>
        <v>398</v>
      </c>
      <c r="C288" s="3" t="str">
        <f>Input!B200</f>
        <v>MISCELLANEOUS EQUIPMENT</v>
      </c>
      <c r="D288" s="118" t="str">
        <f>IF(Input!$C$2=3,'Classification Table'!$A$12,IF(Input!$C$2=5,'Classification Table'!$A$13,IF(Input!$C$2=20,'Classification Table'!$A$14,0)))</f>
        <v>7DC</v>
      </c>
      <c r="E288" s="3">
        <f>Input!D200+Input!E200</f>
        <v>12094</v>
      </c>
      <c r="F288" s="26">
        <f>ROUND(VLOOKUP($D288,'Classification Table'!$A$6:$E$77,3,FALSE)*$E288,0)</f>
        <v>5061</v>
      </c>
      <c r="G288" s="26">
        <f>ROUND(VLOOKUP($D288,'Classification Table'!$A$6:$E$77,4,FALSE)*$E288,0)</f>
        <v>3517</v>
      </c>
      <c r="H288" s="26">
        <f>ROUND(VLOOKUP($D288,'Classification Table'!$A$6:$E$77,5,FALSE)*$E288,0)</f>
        <v>3517</v>
      </c>
      <c r="I288" s="3"/>
      <c r="J288" s="26"/>
      <c r="K288" s="26"/>
    </row>
    <row r="289" spans="1:11" ht="11.25" x14ac:dyDescent="0.2">
      <c r="A289" s="325">
        <f t="shared" si="32"/>
        <v>29</v>
      </c>
      <c r="B289" s="24"/>
      <c r="C289" s="25" t="s">
        <v>90</v>
      </c>
      <c r="D289" s="325"/>
      <c r="E289" s="26">
        <f t="shared" ref="E289:H289" si="33">SUM(E275:E288)</f>
        <v>2347553</v>
      </c>
      <c r="F289" s="26">
        <f t="shared" si="33"/>
        <v>982382</v>
      </c>
      <c r="G289" s="26">
        <f t="shared" si="33"/>
        <v>682585</v>
      </c>
      <c r="H289" s="26">
        <f t="shared" si="33"/>
        <v>682585</v>
      </c>
      <c r="I289" s="26"/>
      <c r="J289" s="26"/>
      <c r="K289" s="26"/>
    </row>
    <row r="290" spans="1:11" ht="11.25" x14ac:dyDescent="0.2">
      <c r="A290" s="325"/>
      <c r="B290" s="24"/>
      <c r="C290" s="3"/>
      <c r="D290" s="325"/>
      <c r="E290" s="3"/>
      <c r="F290" s="3"/>
      <c r="G290" s="3"/>
      <c r="H290" s="3"/>
      <c r="I290" s="3"/>
      <c r="J290" s="3"/>
      <c r="K290" s="3"/>
    </row>
    <row r="291" spans="1:11" ht="11.25" x14ac:dyDescent="0.2">
      <c r="A291" s="325">
        <f>A289+1</f>
        <v>30</v>
      </c>
      <c r="B291" s="3"/>
      <c r="C291" s="25" t="s">
        <v>162</v>
      </c>
      <c r="D291" s="325"/>
      <c r="E291" s="3">
        <f>Classification!E220+Classification!E227+E271+E289</f>
        <v>151708251</v>
      </c>
      <c r="F291" s="3">
        <f>Classification!F220+Classification!F227+F271+F289</f>
        <v>80730256</v>
      </c>
      <c r="G291" s="3">
        <f>Classification!G220+Classification!G227+G271+G289</f>
        <v>35488999</v>
      </c>
      <c r="H291" s="3">
        <f>Classification!H220+Classification!H227+H271+H289</f>
        <v>35488999</v>
      </c>
      <c r="I291" s="3"/>
      <c r="J291" s="3"/>
      <c r="K291" s="3"/>
    </row>
    <row r="292" spans="1:11" ht="11.25" x14ac:dyDescent="0.2">
      <c r="A292" s="3" t="s">
        <v>811</v>
      </c>
      <c r="B292" s="3"/>
      <c r="C292" s="14"/>
      <c r="D292" s="325"/>
      <c r="E292" s="3"/>
      <c r="F292" s="325" t="str">
        <f>" "&amp;+Input!$B$1</f>
        <v xml:space="preserve"> COLUMBIA GAS OF KENTUCKY, INC.</v>
      </c>
      <c r="H292" s="3"/>
      <c r="I292" s="3"/>
      <c r="J292" s="3"/>
      <c r="K292" s="32" t="str">
        <f>Input!$B$2</f>
        <v>ATTACHMENT CEN-2</v>
      </c>
    </row>
    <row r="293" spans="1:11" ht="11.25" x14ac:dyDescent="0.2">
      <c r="A293" s="3" t="str">
        <f>Input!$B$7</f>
        <v>DEMAND-COMMODITY</v>
      </c>
      <c r="B293" s="3"/>
      <c r="C293" s="3"/>
      <c r="D293" s="325"/>
      <c r="E293" s="3"/>
      <c r="F293" s="325" t="s">
        <v>165</v>
      </c>
      <c r="H293" s="3"/>
      <c r="I293" s="3"/>
      <c r="J293" s="3"/>
      <c r="K293" s="32" t="str">
        <f>"PAGE 34 OF "&amp;FIXED(Input!$B$8,0,TRUE)</f>
        <v>PAGE 34 OF 129</v>
      </c>
    </row>
    <row r="294" spans="1:11" ht="11.25" x14ac:dyDescent="0.2">
      <c r="A294" s="17" t="str">
        <f>Input!$B$6</f>
        <v>FORECASTED TEST YEAR - ORIGINAL FILING</v>
      </c>
      <c r="B294" s="17"/>
      <c r="C294" s="17"/>
      <c r="D294" s="34"/>
      <c r="E294" s="18"/>
      <c r="F294" s="19" t="str">
        <f>"FOR THE TWELVE MONTHS ENDED "&amp;Input!$B$4</f>
        <v>FOR THE TWELVE MONTHS ENDED 12/31/2017</v>
      </c>
      <c r="G294" s="329"/>
      <c r="H294" s="17"/>
      <c r="I294" s="17"/>
      <c r="J294" s="17"/>
      <c r="K294" s="183" t="str">
        <f>"WITNESS: "&amp;Input!$B$5</f>
        <v>WITNESS: C. NOTESTONE</v>
      </c>
    </row>
    <row r="295" spans="1:11" ht="11.25" x14ac:dyDescent="0.2">
      <c r="A295" s="325" t="s">
        <v>5</v>
      </c>
      <c r="B295" s="3" t="s">
        <v>6</v>
      </c>
      <c r="C295" s="3"/>
      <c r="D295" s="325" t="s">
        <v>811</v>
      </c>
      <c r="E295" s="325" t="s">
        <v>8</v>
      </c>
      <c r="F295" s="3"/>
      <c r="G295" s="3"/>
      <c r="H295" s="3"/>
      <c r="I295" s="3"/>
      <c r="J295" s="3"/>
      <c r="K295" s="3"/>
    </row>
    <row r="296" spans="1:11" ht="11.25" x14ac:dyDescent="0.2">
      <c r="A296" s="341" t="s">
        <v>9</v>
      </c>
      <c r="B296" s="341" t="s">
        <v>9</v>
      </c>
      <c r="C296" s="34" t="str">
        <f>Classification!C128</f>
        <v xml:space="preserve"> ACCOUNT TITLE</v>
      </c>
      <c r="D296" s="341" t="s">
        <v>10</v>
      </c>
      <c r="E296" s="341" t="s">
        <v>11</v>
      </c>
      <c r="F296" s="341" t="s">
        <v>804</v>
      </c>
      <c r="G296" s="341" t="s">
        <v>812</v>
      </c>
      <c r="H296" s="341" t="s">
        <v>813</v>
      </c>
      <c r="I296" s="447"/>
      <c r="J296" s="447"/>
      <c r="K296" s="447"/>
    </row>
    <row r="297" spans="1:11" ht="11.25" x14ac:dyDescent="0.2">
      <c r="A297" s="3"/>
      <c r="B297" s="342" t="s">
        <v>13</v>
      </c>
      <c r="C297" s="342" t="s">
        <v>14</v>
      </c>
      <c r="D297" s="325" t="s">
        <v>15</v>
      </c>
      <c r="E297" s="325" t="s">
        <v>16</v>
      </c>
      <c r="F297" s="325" t="s">
        <v>17</v>
      </c>
      <c r="G297" s="325" t="s">
        <v>18</v>
      </c>
      <c r="H297" s="325" t="s">
        <v>19</v>
      </c>
      <c r="I297" s="325"/>
      <c r="J297" s="325"/>
      <c r="K297" s="325"/>
    </row>
    <row r="298" spans="1:11" ht="11.25" x14ac:dyDescent="0.2">
      <c r="A298" s="3"/>
      <c r="B298" s="3"/>
      <c r="C298" s="3"/>
      <c r="D298" s="325"/>
      <c r="E298" s="325" t="s">
        <v>26</v>
      </c>
      <c r="F298" s="325" t="s">
        <v>26</v>
      </c>
      <c r="G298" s="325" t="s">
        <v>26</v>
      </c>
      <c r="H298" s="325" t="s">
        <v>26</v>
      </c>
      <c r="I298" s="325"/>
      <c r="J298" s="325"/>
      <c r="K298" s="325"/>
    </row>
    <row r="299" spans="1:11" ht="11.25" x14ac:dyDescent="0.2">
      <c r="A299" s="3"/>
      <c r="B299" s="3"/>
      <c r="C299" s="3" t="str">
        <f>Input!A209</f>
        <v>INTANGIBLE PLANT</v>
      </c>
      <c r="D299" s="325"/>
      <c r="E299" s="3"/>
      <c r="F299" s="3"/>
      <c r="G299" s="3"/>
      <c r="H299" s="3"/>
      <c r="I299" s="3"/>
      <c r="J299" s="3"/>
      <c r="K299" s="3"/>
    </row>
    <row r="300" spans="1:11" ht="11.25" x14ac:dyDescent="0.2">
      <c r="A300" s="3"/>
      <c r="B300" s="3"/>
      <c r="C300" s="3"/>
      <c r="D300" s="325"/>
      <c r="E300" s="3"/>
      <c r="F300" s="3"/>
      <c r="G300" s="3"/>
      <c r="H300" s="3"/>
      <c r="I300" s="3"/>
      <c r="J300" s="3"/>
      <c r="K300" s="3"/>
    </row>
    <row r="301" spans="1:11" ht="11.25" x14ac:dyDescent="0.2">
      <c r="A301" s="3">
        <v>1</v>
      </c>
      <c r="B301" s="24">
        <f>Input!A210</f>
        <v>301</v>
      </c>
      <c r="C301" s="3" t="str">
        <f>Input!B210</f>
        <v>ORGANIZATION</v>
      </c>
      <c r="D301" s="118" t="str">
        <f>IF(Input!$C$2=3,'Classification Table'!$A$12,IF(Input!$C$2=5,'Classification Table'!$A$13,IF(Input!$C$2=20,'Classification Table'!$A$14,0)))</f>
        <v>7DC</v>
      </c>
      <c r="E301" s="3">
        <f>Input!D210</f>
        <v>0</v>
      </c>
      <c r="F301" s="3">
        <f>ROUND(VLOOKUP($D301,'Classification Table'!$A$6:$E$77,3,FALSE)*$E301,0)</f>
        <v>0</v>
      </c>
      <c r="G301" s="3">
        <f>ROUND(VLOOKUP($D301,'Classification Table'!$A$6:$E$77,4,FALSE)*$E301,0)</f>
        <v>0</v>
      </c>
      <c r="H301" s="3">
        <f>ROUND(VLOOKUP($D301,'Classification Table'!$A$6:$E$77,5,FALSE)*$E301,0)</f>
        <v>0</v>
      </c>
      <c r="I301" s="3"/>
      <c r="J301" s="3"/>
      <c r="K301" s="3"/>
    </row>
    <row r="302" spans="1:11" ht="11.25" x14ac:dyDescent="0.2">
      <c r="A302" s="3">
        <f>A301+1</f>
        <v>2</v>
      </c>
      <c r="B302" s="24">
        <f>Input!A211</f>
        <v>303</v>
      </c>
      <c r="C302" s="3" t="str">
        <f>Input!B211</f>
        <v>MISC. INTANGIBLE PLANT</v>
      </c>
      <c r="D302" s="118" t="str">
        <f>IF(Input!$C$2=3,'Classification Table'!$A$12,IF(Input!$C$2=5,'Classification Table'!$A$13,IF(Input!$C$2=20,'Classification Table'!$A$14,0)))</f>
        <v>7DC</v>
      </c>
      <c r="E302" s="3">
        <f>Input!D211</f>
        <v>2478.2400000000002</v>
      </c>
      <c r="F302" s="3">
        <f>ROUND(VLOOKUP($D302,'Classification Table'!$A$6:$E$77,3,FALSE)*$E302,0)</f>
        <v>1037</v>
      </c>
      <c r="G302" s="3">
        <f>ROUND(VLOOKUP($D302,'Classification Table'!$A$6:$E$77,4,FALSE)*$E302,0)</f>
        <v>721</v>
      </c>
      <c r="H302" s="3">
        <f>ROUND(VLOOKUP($D302,'Classification Table'!$A$6:$E$77,5,FALSE)*$E302,0)</f>
        <v>721</v>
      </c>
      <c r="I302" s="3"/>
      <c r="J302" s="3"/>
      <c r="K302" s="3"/>
    </row>
    <row r="303" spans="1:11" ht="11.25" x14ac:dyDescent="0.2">
      <c r="A303" s="3">
        <f>A302+1</f>
        <v>3</v>
      </c>
      <c r="B303" s="24">
        <f>Input!A212</f>
        <v>303.10000000000002</v>
      </c>
      <c r="C303" s="3" t="str">
        <f>Input!B212</f>
        <v>DIS SOFTWARE</v>
      </c>
      <c r="D303" s="118" t="str">
        <f>IF(Input!$C$2=3,'Classification Table'!$A$12,IF(Input!$C$2=5,'Classification Table'!$A$13,IF(Input!$C$2=20,'Classification Table'!$A$14,0)))</f>
        <v>7DC</v>
      </c>
      <c r="E303" s="3">
        <f>Input!D212</f>
        <v>0</v>
      </c>
      <c r="F303" s="3">
        <f>ROUND(VLOOKUP($D303,'Classification Table'!$A$6:$E$77,3,FALSE)*$E303,0)</f>
        <v>0</v>
      </c>
      <c r="G303" s="3">
        <f>ROUND(VLOOKUP($D303,'Classification Table'!$A$6:$E$77,4,FALSE)*$E303,0)</f>
        <v>0</v>
      </c>
      <c r="H303" s="3">
        <f>ROUND(VLOOKUP($D303,'Classification Table'!$A$6:$E$77,5,FALSE)*$E303,0)</f>
        <v>0</v>
      </c>
      <c r="I303" s="3"/>
      <c r="J303" s="3"/>
      <c r="K303" s="3"/>
    </row>
    <row r="304" spans="1:11" ht="11.25" x14ac:dyDescent="0.2">
      <c r="A304" s="3">
        <f>A303+1</f>
        <v>4</v>
      </c>
      <c r="B304" s="24">
        <f>Input!A213</f>
        <v>303.2</v>
      </c>
      <c r="C304" s="3" t="str">
        <f>Input!B213</f>
        <v>FARA SOFTWARE</v>
      </c>
      <c r="D304" s="118" t="str">
        <f>IF(Input!$C$2=3,'Classification Table'!$A$12,IF(Input!$C$2=5,'Classification Table'!$A$13,IF(Input!$C$2=20,'Classification Table'!$A$14,0)))</f>
        <v>7DC</v>
      </c>
      <c r="E304" s="3">
        <f>Input!D213</f>
        <v>0</v>
      </c>
      <c r="F304" s="3">
        <f>ROUND(VLOOKUP($D304,'Classification Table'!$A$6:$E$77,3,FALSE)*$E304,0)</f>
        <v>0</v>
      </c>
      <c r="G304" s="3">
        <f>ROUND(VLOOKUP($D304,'Classification Table'!$A$6:$E$77,4,FALSE)*$E304,0)</f>
        <v>0</v>
      </c>
      <c r="H304" s="3">
        <f>ROUND(VLOOKUP($D304,'Classification Table'!$A$6:$E$77,5,FALSE)*$E304,0)</f>
        <v>0</v>
      </c>
      <c r="I304" s="3"/>
      <c r="J304" s="3"/>
      <c r="K304" s="3"/>
    </row>
    <row r="305" spans="1:11" ht="11.25" x14ac:dyDescent="0.2">
      <c r="A305" s="3">
        <f>A304+1</f>
        <v>5</v>
      </c>
      <c r="B305" s="24">
        <f>Input!A214</f>
        <v>303.3</v>
      </c>
      <c r="C305" s="3" t="str">
        <f>Input!B214</f>
        <v>OTHER SOFTWARE</v>
      </c>
      <c r="D305" s="118" t="str">
        <f>IF(Input!$C$2=3,'Classification Table'!$A$12,IF(Input!$C$2=5,'Classification Table'!$A$13,IF(Input!$C$2=20,'Classification Table'!$A$14,0)))</f>
        <v>7DC</v>
      </c>
      <c r="E305" s="26">
        <f>Input!D214</f>
        <v>1271617.3233508226</v>
      </c>
      <c r="F305" s="26">
        <f>ROUND(VLOOKUP($D305,'Classification Table'!$A$6:$E$77,3,FALSE)*$E305,0)</f>
        <v>532135</v>
      </c>
      <c r="G305" s="26">
        <f>ROUND(VLOOKUP($D305,'Classification Table'!$A$6:$E$77,4,FALSE)*$E305,0)</f>
        <v>369741</v>
      </c>
      <c r="H305" s="26">
        <f>ROUND(VLOOKUP($D305,'Classification Table'!$A$6:$E$77,5,FALSE)*$E305,0)</f>
        <v>369741</v>
      </c>
      <c r="I305" s="3"/>
      <c r="J305" s="26"/>
      <c r="K305" s="26"/>
    </row>
    <row r="306" spans="1:11" ht="11.25" x14ac:dyDescent="0.2">
      <c r="A306" s="3">
        <f>A305+1</f>
        <v>6</v>
      </c>
      <c r="B306" s="24"/>
      <c r="C306" s="3" t="s">
        <v>159</v>
      </c>
      <c r="D306" s="325"/>
      <c r="E306" s="3">
        <f t="shared" ref="E306:H306" si="34">SUM(E301:E305)</f>
        <v>1274095.5633508225</v>
      </c>
      <c r="F306" s="3">
        <f t="shared" si="34"/>
        <v>533172</v>
      </c>
      <c r="G306" s="3">
        <f t="shared" si="34"/>
        <v>370462</v>
      </c>
      <c r="H306" s="3">
        <f t="shared" si="34"/>
        <v>370462</v>
      </c>
      <c r="I306" s="3"/>
      <c r="J306" s="3"/>
      <c r="K306" s="3"/>
    </row>
    <row r="307" spans="1:11" ht="11.25" x14ac:dyDescent="0.2">
      <c r="A307" s="3"/>
      <c r="B307" s="3"/>
      <c r="C307" s="3"/>
      <c r="D307" s="325"/>
      <c r="E307" s="3"/>
      <c r="F307" s="3"/>
      <c r="G307" s="3"/>
      <c r="H307" s="3"/>
      <c r="I307" s="3"/>
      <c r="J307" s="3"/>
      <c r="K307" s="3"/>
    </row>
    <row r="308" spans="1:11" ht="11.25" x14ac:dyDescent="0.2">
      <c r="A308" s="3">
        <f>A306+1</f>
        <v>7</v>
      </c>
      <c r="B308" s="3"/>
      <c r="C308" s="24" t="str">
        <f>Input!A215</f>
        <v>PRODUCTION PLANT</v>
      </c>
      <c r="D308" s="325"/>
      <c r="E308" s="3"/>
      <c r="F308" s="3"/>
      <c r="G308" s="3"/>
      <c r="H308" s="3"/>
      <c r="I308" s="3"/>
      <c r="J308" s="3"/>
      <c r="K308" s="3"/>
    </row>
    <row r="309" spans="1:11" ht="11.25" x14ac:dyDescent="0.2">
      <c r="A309" s="3"/>
      <c r="B309" s="3"/>
      <c r="C309" s="3"/>
      <c r="D309" s="325"/>
      <c r="E309" s="3"/>
      <c r="F309" s="3"/>
      <c r="G309" s="3"/>
      <c r="H309" s="3"/>
      <c r="I309" s="3"/>
      <c r="J309" s="3"/>
      <c r="K309" s="3"/>
    </row>
    <row r="310" spans="1:11" ht="11.25" x14ac:dyDescent="0.2">
      <c r="A310" s="3">
        <f>A308+1</f>
        <v>8</v>
      </c>
      <c r="B310" s="24">
        <f>Input!A216</f>
        <v>304.10000000000002</v>
      </c>
      <c r="C310" s="24" t="str">
        <f>Input!B216</f>
        <v>LAND</v>
      </c>
      <c r="D310" s="249">
        <f>D224</f>
        <v>2</v>
      </c>
      <c r="E310" s="3">
        <f>Input!D216</f>
        <v>0</v>
      </c>
      <c r="F310" s="3">
        <f>ROUND(VLOOKUP($D310,'Classification Table'!$A$6:$E$77,3,FALSE)*$E310,0)</f>
        <v>0</v>
      </c>
      <c r="G310" s="3">
        <f>ROUND(VLOOKUP($D310,'Classification Table'!$A$6:$E$77,4,FALSE)*$E310,0)</f>
        <v>0</v>
      </c>
      <c r="H310" s="3">
        <f>ROUND(VLOOKUP($D310,'Classification Table'!$A$6:$E$77,5,FALSE)*$E310,0)</f>
        <v>0</v>
      </c>
      <c r="I310" s="3"/>
      <c r="J310" s="3"/>
      <c r="K310" s="3"/>
    </row>
    <row r="311" spans="1:11" ht="11.25" x14ac:dyDescent="0.2">
      <c r="A311" s="3">
        <f>A310+1</f>
        <v>9</v>
      </c>
      <c r="B311" s="24">
        <f>Input!A217</f>
        <v>305</v>
      </c>
      <c r="C311" s="24" t="str">
        <f>Input!B217</f>
        <v>STRUCTURES &amp; IMPROVEMENTS</v>
      </c>
      <c r="D311" s="249">
        <f t="shared" ref="D311:D312" si="35">D225</f>
        <v>2</v>
      </c>
      <c r="E311" s="3">
        <f>Input!D217</f>
        <v>0</v>
      </c>
      <c r="F311" s="3">
        <f>ROUND(VLOOKUP($D311,'Classification Table'!$A$6:$E$77,3,FALSE)*$E311,0)</f>
        <v>0</v>
      </c>
      <c r="G311" s="3">
        <f>ROUND(VLOOKUP($D311,'Classification Table'!$A$6:$E$77,4,FALSE)*$E311,0)</f>
        <v>0</v>
      </c>
      <c r="H311" s="3">
        <f>ROUND(VLOOKUP($D311,'Classification Table'!$A$6:$E$77,5,FALSE)*$E311,0)</f>
        <v>0</v>
      </c>
      <c r="I311" s="3"/>
      <c r="J311" s="3"/>
      <c r="K311" s="3"/>
    </row>
    <row r="312" spans="1:11" ht="11.25" x14ac:dyDescent="0.2">
      <c r="A312" s="3">
        <f>A311+1</f>
        <v>10</v>
      </c>
      <c r="B312" s="24">
        <f>Input!A218</f>
        <v>311</v>
      </c>
      <c r="C312" s="24" t="str">
        <f>Input!B218</f>
        <v>LIQUEFIED PETROLEUM GAS EQUIP</v>
      </c>
      <c r="D312" s="249">
        <f t="shared" si="35"/>
        <v>2</v>
      </c>
      <c r="E312" s="26">
        <f>Input!D218</f>
        <v>0</v>
      </c>
      <c r="F312" s="26">
        <f>ROUND(VLOOKUP($D312,'Classification Table'!$A$6:$E$77,3,FALSE)*$E312,0)</f>
        <v>0</v>
      </c>
      <c r="G312" s="26">
        <f>ROUND(VLOOKUP($D312,'Classification Table'!$A$6:$E$77,4,FALSE)*$E312,0)</f>
        <v>0</v>
      </c>
      <c r="H312" s="26">
        <f>ROUND(VLOOKUP($D312,'Classification Table'!$A$6:$E$77,5,FALSE)*$E312,0)</f>
        <v>0</v>
      </c>
      <c r="I312" s="26"/>
      <c r="J312" s="26"/>
      <c r="K312" s="26"/>
    </row>
    <row r="313" spans="1:11" ht="11.25" x14ac:dyDescent="0.2">
      <c r="A313" s="3">
        <f>A312+1</f>
        <v>11</v>
      </c>
      <c r="B313" s="24"/>
      <c r="C313" s="3" t="s">
        <v>160</v>
      </c>
      <c r="D313" s="325"/>
      <c r="E313" s="3">
        <f t="shared" ref="E313:H313" si="36">SUM(E310:E312)</f>
        <v>0</v>
      </c>
      <c r="F313" s="3">
        <f t="shared" si="36"/>
        <v>0</v>
      </c>
      <c r="G313" s="3">
        <f t="shared" si="36"/>
        <v>0</v>
      </c>
      <c r="H313" s="3">
        <f t="shared" si="36"/>
        <v>0</v>
      </c>
      <c r="I313" s="3"/>
      <c r="J313" s="3"/>
      <c r="K313" s="3"/>
    </row>
    <row r="314" spans="1:11" ht="11.25" x14ac:dyDescent="0.2">
      <c r="A314" s="3"/>
      <c r="B314" s="3"/>
      <c r="C314" s="3"/>
      <c r="D314" s="325"/>
      <c r="E314" s="3"/>
      <c r="F314" s="3"/>
      <c r="G314" s="3"/>
      <c r="H314" s="3"/>
      <c r="I314" s="3"/>
      <c r="J314" s="3"/>
      <c r="K314" s="3"/>
    </row>
    <row r="315" spans="1:11" ht="11.25" x14ac:dyDescent="0.2">
      <c r="A315" s="3">
        <f>A313+1</f>
        <v>12</v>
      </c>
      <c r="B315" s="3"/>
      <c r="C315" s="3" t="str">
        <f>Input!A219</f>
        <v>DISTRIBUTION PLANT</v>
      </c>
      <c r="D315" s="325"/>
      <c r="E315" s="3"/>
      <c r="F315" s="3"/>
      <c r="G315" s="3"/>
      <c r="H315" s="3"/>
      <c r="I315" s="3"/>
      <c r="J315" s="3"/>
      <c r="K315" s="3"/>
    </row>
    <row r="316" spans="1:11" ht="11.25" x14ac:dyDescent="0.2">
      <c r="A316" s="3"/>
      <c r="B316" s="3"/>
      <c r="C316" s="3"/>
      <c r="D316" s="325"/>
      <c r="E316" s="3"/>
      <c r="F316" s="3"/>
      <c r="G316" s="3"/>
      <c r="H316" s="3"/>
      <c r="I316" s="3"/>
      <c r="J316" s="3"/>
      <c r="K316" s="3"/>
    </row>
    <row r="317" spans="1:11" ht="11.25" x14ac:dyDescent="0.2">
      <c r="A317" s="3">
        <f>A315+1</f>
        <v>13</v>
      </c>
      <c r="B317" s="24">
        <f>Input!A220</f>
        <v>374.1</v>
      </c>
      <c r="C317" s="3" t="str">
        <f>Input!B220</f>
        <v>LAND - CITY GATE &amp; M/L IND M&amp;R</v>
      </c>
      <c r="D317" s="325">
        <f>D231</f>
        <v>5</v>
      </c>
      <c r="E317" s="3">
        <f>Input!D220</f>
        <v>0</v>
      </c>
      <c r="F317" s="3">
        <f>ROUND(VLOOKUP($D317,'Classification Table'!$A$6:$E$77,3,FALSE)*$E317,0)</f>
        <v>0</v>
      </c>
      <c r="G317" s="3">
        <f>ROUND(VLOOKUP($D317,'Classification Table'!$A$6:$E$77,4,FALSE)*$E317,0)</f>
        <v>0</v>
      </c>
      <c r="H317" s="3">
        <f>ROUND(VLOOKUP($D317,'Classification Table'!$A$6:$E$77,5,FALSE)*$E317,0)</f>
        <v>0</v>
      </c>
      <c r="I317" s="3"/>
      <c r="J317" s="3"/>
      <c r="K317" s="3"/>
    </row>
    <row r="318" spans="1:11" ht="11.25" x14ac:dyDescent="0.2">
      <c r="A318" s="3">
        <f t="shared" ref="A318:A336" si="37">A317+1</f>
        <v>14</v>
      </c>
      <c r="B318" s="24">
        <f>Input!A221</f>
        <v>374.2</v>
      </c>
      <c r="C318" s="3" t="str">
        <f>Input!B221</f>
        <v>LAND - OTHER DISTRIBUTION</v>
      </c>
      <c r="D318" s="325">
        <f t="shared" ref="D318:D336" si="38">D232</f>
        <v>5</v>
      </c>
      <c r="E318" s="3">
        <f>Input!D221</f>
        <v>0</v>
      </c>
      <c r="F318" s="3">
        <f>ROUND(VLOOKUP($D318,'Classification Table'!$A$6:$E$77,3,FALSE)*$E318,0)</f>
        <v>0</v>
      </c>
      <c r="G318" s="3">
        <f>ROUND(VLOOKUP($D318,'Classification Table'!$A$6:$E$77,4,FALSE)*$E318,0)</f>
        <v>0</v>
      </c>
      <c r="H318" s="3">
        <f>ROUND(VLOOKUP($D318,'Classification Table'!$A$6:$E$77,5,FALSE)*$E318,0)</f>
        <v>0</v>
      </c>
      <c r="I318" s="3"/>
      <c r="J318" s="3"/>
      <c r="K318" s="3"/>
    </row>
    <row r="319" spans="1:11" ht="11.25" x14ac:dyDescent="0.2">
      <c r="A319" s="3">
        <f t="shared" si="37"/>
        <v>15</v>
      </c>
      <c r="B319" s="24">
        <f>Input!A222</f>
        <v>374.4</v>
      </c>
      <c r="C319" s="3" t="str">
        <f>Input!B222</f>
        <v>LAND RIGHTS - OTHER DISTRIBUTION</v>
      </c>
      <c r="D319" s="325">
        <f t="shared" si="38"/>
        <v>5</v>
      </c>
      <c r="E319" s="3">
        <f>Input!D222</f>
        <v>11508</v>
      </c>
      <c r="F319" s="3">
        <f>ROUND(VLOOKUP($D319,'Classification Table'!$A$6:$E$77,3,FALSE)*$E319,0)</f>
        <v>0</v>
      </c>
      <c r="G319" s="3">
        <f>ROUND(VLOOKUP($D319,'Classification Table'!$A$6:$E$77,4,FALSE)*$E319,0)</f>
        <v>5754</v>
      </c>
      <c r="H319" s="3">
        <f>ROUND(VLOOKUP($D319,'Classification Table'!$A$6:$E$77,5,FALSE)*$E319,0)</f>
        <v>5754</v>
      </c>
      <c r="I319" s="3"/>
      <c r="J319" s="3"/>
      <c r="K319" s="3"/>
    </row>
    <row r="320" spans="1:11" ht="11.25" x14ac:dyDescent="0.2">
      <c r="A320" s="3">
        <f t="shared" si="37"/>
        <v>16</v>
      </c>
      <c r="B320" s="24">
        <f>Input!A223</f>
        <v>374.5</v>
      </c>
      <c r="C320" s="3" t="str">
        <f>Input!B223</f>
        <v>RIGHTS OF WAY</v>
      </c>
      <c r="D320" s="325">
        <f t="shared" si="38"/>
        <v>5</v>
      </c>
      <c r="E320" s="3">
        <f>Input!D223</f>
        <v>35215</v>
      </c>
      <c r="F320" s="3">
        <f>ROUND(VLOOKUP($D320,'Classification Table'!$A$6:$E$77,3,FALSE)*$E320,0)</f>
        <v>0</v>
      </c>
      <c r="G320" s="3">
        <f>ROUND(VLOOKUP($D320,'Classification Table'!$A$6:$E$77,4,FALSE)*$E320,0)</f>
        <v>17608</v>
      </c>
      <c r="H320" s="3">
        <f>ROUND(VLOOKUP($D320,'Classification Table'!$A$6:$E$77,5,FALSE)*$E320,0)</f>
        <v>17608</v>
      </c>
      <c r="I320" s="3"/>
      <c r="J320" s="3"/>
      <c r="K320" s="3"/>
    </row>
    <row r="321" spans="1:11" ht="11.25" x14ac:dyDescent="0.2">
      <c r="A321" s="3">
        <f t="shared" si="37"/>
        <v>17</v>
      </c>
      <c r="B321" s="24">
        <f>Input!A224</f>
        <v>375.2</v>
      </c>
      <c r="C321" s="3" t="str">
        <f>Input!B224</f>
        <v>CITY GATE - MEAS &amp; REG STRUCTURES</v>
      </c>
      <c r="D321" s="325">
        <f t="shared" si="38"/>
        <v>5</v>
      </c>
      <c r="E321" s="3">
        <f>Input!D224</f>
        <v>72</v>
      </c>
      <c r="F321" s="3">
        <f>ROUND(VLOOKUP($D321,'Classification Table'!$A$6:$E$77,3,FALSE)*$E321,0)</f>
        <v>0</v>
      </c>
      <c r="G321" s="3">
        <f>ROUND(VLOOKUP($D321,'Classification Table'!$A$6:$E$77,4,FALSE)*$E321,0)</f>
        <v>36</v>
      </c>
      <c r="H321" s="3">
        <f>ROUND(VLOOKUP($D321,'Classification Table'!$A$6:$E$77,5,FALSE)*$E321,0)</f>
        <v>36</v>
      </c>
      <c r="I321" s="3"/>
      <c r="J321" s="3"/>
      <c r="K321" s="3"/>
    </row>
    <row r="322" spans="1:11" ht="11.25" x14ac:dyDescent="0.2">
      <c r="A322" s="3">
        <f t="shared" si="37"/>
        <v>18</v>
      </c>
      <c r="B322" s="24">
        <f>Input!A225</f>
        <v>375.3</v>
      </c>
      <c r="C322" s="3" t="str">
        <f>Input!B225</f>
        <v>STRUC &amp; IMPROV-GENERAL M&amp;R</v>
      </c>
      <c r="D322" s="325">
        <f t="shared" si="38"/>
        <v>5</v>
      </c>
      <c r="E322" s="3">
        <f>Input!D225</f>
        <v>0</v>
      </c>
      <c r="F322" s="3">
        <f>ROUND(VLOOKUP($D322,'Classification Table'!$A$6:$E$77,3,FALSE)*$E322,0)</f>
        <v>0</v>
      </c>
      <c r="G322" s="3">
        <f>ROUND(VLOOKUP($D322,'Classification Table'!$A$6:$E$77,4,FALSE)*$E322,0)</f>
        <v>0</v>
      </c>
      <c r="H322" s="3">
        <f>ROUND(VLOOKUP($D322,'Classification Table'!$A$6:$E$77,5,FALSE)*$E322,0)</f>
        <v>0</v>
      </c>
      <c r="I322" s="3"/>
      <c r="J322" s="3"/>
      <c r="K322" s="3"/>
    </row>
    <row r="323" spans="1:11" ht="11.25" x14ac:dyDescent="0.2">
      <c r="A323" s="3">
        <f t="shared" si="37"/>
        <v>19</v>
      </c>
      <c r="B323" s="24">
        <f>Input!A226</f>
        <v>375.4</v>
      </c>
      <c r="C323" s="3" t="str">
        <f>Input!B226</f>
        <v>STRUC &amp; IMPROV-REGULATING</v>
      </c>
      <c r="D323" s="325">
        <f t="shared" si="38"/>
        <v>5</v>
      </c>
      <c r="E323" s="3">
        <f>Input!D226-SUM(Input!G226:K226)</f>
        <v>69888.009999999995</v>
      </c>
      <c r="F323" s="3">
        <f>ROUND(VLOOKUP($D323,'Classification Table'!$A$6:$E$77,3,FALSE)*$E323,0)</f>
        <v>0</v>
      </c>
      <c r="G323" s="3">
        <f>ROUND(VLOOKUP($D323,'Classification Table'!$A$6:$E$77,4,FALSE)*$E323,0)</f>
        <v>34944</v>
      </c>
      <c r="H323" s="3">
        <f>ROUND(VLOOKUP($D323,'Classification Table'!$A$6:$E$77,5,FALSE)*$E323,0)</f>
        <v>34944</v>
      </c>
      <c r="I323" s="3"/>
      <c r="J323" s="3"/>
      <c r="K323" s="3"/>
    </row>
    <row r="324" spans="1:11" ht="11.25" x14ac:dyDescent="0.2">
      <c r="A324" s="3">
        <f t="shared" si="37"/>
        <v>20</v>
      </c>
      <c r="B324" s="24">
        <f>B323</f>
        <v>375.4</v>
      </c>
      <c r="C324" s="3" t="str">
        <f>"DIRECT "&amp;C323</f>
        <v>DIRECT STRUC &amp; IMPROV-REGULATING</v>
      </c>
      <c r="D324" s="325">
        <f t="shared" si="38"/>
        <v>5</v>
      </c>
      <c r="E324" s="3">
        <f>SUM(Input!G226:K226)</f>
        <v>743.99</v>
      </c>
      <c r="F324" s="3">
        <f>ROUND(VLOOKUP($D324,'Classification Table'!$A$6:$E$77,3,FALSE)*$E324,0)</f>
        <v>0</v>
      </c>
      <c r="G324" s="3">
        <f>ROUND(VLOOKUP($D324,'Classification Table'!$A$6:$E$77,4,FALSE)*$E324,0)</f>
        <v>372</v>
      </c>
      <c r="H324" s="3">
        <f>ROUND(VLOOKUP($D324,'Classification Table'!$A$6:$E$77,5,FALSE)*$E324,0)</f>
        <v>372</v>
      </c>
      <c r="I324" s="3"/>
      <c r="J324" s="3"/>
      <c r="K324" s="3"/>
    </row>
    <row r="325" spans="1:11" ht="11.25" x14ac:dyDescent="0.2">
      <c r="A325" s="3">
        <f t="shared" si="37"/>
        <v>21</v>
      </c>
      <c r="B325" s="24">
        <f>Input!A227</f>
        <v>375.6</v>
      </c>
      <c r="C325" s="3" t="str">
        <f>Input!B227</f>
        <v>STRUC &amp; IMPROV-DIST. IND. M &amp; R</v>
      </c>
      <c r="D325" s="325">
        <f t="shared" si="38"/>
        <v>8</v>
      </c>
      <c r="E325" s="3">
        <f>Input!D227</f>
        <v>0</v>
      </c>
      <c r="F325" s="3">
        <f>ROUND(VLOOKUP($D325,'Classification Table'!$A$6:$E$77,3,FALSE)*$E325,0)</f>
        <v>0</v>
      </c>
      <c r="G325" s="3">
        <f>ROUND(VLOOKUP($D325,'Classification Table'!$A$6:$E$77,4,FALSE)*$E325,0)</f>
        <v>0</v>
      </c>
      <c r="H325" s="3">
        <f>ROUND(VLOOKUP($D325,'Classification Table'!$A$6:$E$77,5,FALSE)*$E325,0)</f>
        <v>0</v>
      </c>
      <c r="I325" s="3"/>
      <c r="J325" s="3"/>
      <c r="K325" s="3"/>
    </row>
    <row r="326" spans="1:11" ht="11.25" x14ac:dyDescent="0.2">
      <c r="A326" s="3">
        <f t="shared" si="37"/>
        <v>22</v>
      </c>
      <c r="B326" s="24">
        <f>Input!A228</f>
        <v>375.7</v>
      </c>
      <c r="C326" s="3" t="str">
        <f>Input!B228</f>
        <v>STRUC &amp; IMPROV-OTHER DIST. SYSTEM</v>
      </c>
      <c r="D326" s="325" t="str">
        <f t="shared" si="38"/>
        <v>7DC</v>
      </c>
      <c r="E326" s="3">
        <f>Input!D228</f>
        <v>185730</v>
      </c>
      <c r="F326" s="3">
        <f>ROUND(VLOOKUP($D326,'Classification Table'!$A$6:$E$77,3,FALSE)*$E326,0)</f>
        <v>77723</v>
      </c>
      <c r="G326" s="3">
        <f>ROUND(VLOOKUP($D326,'Classification Table'!$A$6:$E$77,4,FALSE)*$E326,0)</f>
        <v>54004</v>
      </c>
      <c r="H326" s="3">
        <f>ROUND(VLOOKUP($D326,'Classification Table'!$A$6:$E$77,5,FALSE)*$E326,0)</f>
        <v>54004</v>
      </c>
      <c r="I326" s="3"/>
      <c r="J326" s="3"/>
      <c r="K326" s="3"/>
    </row>
    <row r="327" spans="1:11" ht="11.25" x14ac:dyDescent="0.2">
      <c r="A327" s="3">
        <f t="shared" si="37"/>
        <v>23</v>
      </c>
      <c r="B327" s="24">
        <f>Input!A229</f>
        <v>375.71</v>
      </c>
      <c r="C327" s="3" t="str">
        <f>Input!B229</f>
        <v>STRUCT &amp; IMPROV-OTHER DIST. SYSTEM-IMPROV</v>
      </c>
      <c r="D327" s="325" t="str">
        <f t="shared" si="38"/>
        <v>7DC</v>
      </c>
      <c r="E327" s="3">
        <f>Input!D229</f>
        <v>33049</v>
      </c>
      <c r="F327" s="3">
        <f>ROUND(VLOOKUP($D327,'Classification Table'!$A$6:$E$77,3,FALSE)*$E327,0)</f>
        <v>13830</v>
      </c>
      <c r="G327" s="3">
        <f>ROUND(VLOOKUP($D327,'Classification Table'!$A$6:$E$77,4,FALSE)*$E327,0)</f>
        <v>9609</v>
      </c>
      <c r="H327" s="3">
        <f>ROUND(VLOOKUP($D327,'Classification Table'!$A$6:$E$77,5,FALSE)*$E327,0)</f>
        <v>9609</v>
      </c>
      <c r="I327" s="3"/>
      <c r="J327" s="3"/>
      <c r="K327" s="3"/>
    </row>
    <row r="328" spans="1:11" ht="11.25" x14ac:dyDescent="0.2">
      <c r="A328" s="3">
        <f t="shared" si="37"/>
        <v>24</v>
      </c>
      <c r="B328" s="24">
        <f>Input!A230</f>
        <v>375.8</v>
      </c>
      <c r="C328" s="3" t="str">
        <f>Input!B230</f>
        <v>STRUC &amp; IMPROV-COMMUNICATION</v>
      </c>
      <c r="D328" s="325">
        <f t="shared" si="38"/>
        <v>5</v>
      </c>
      <c r="E328" s="3">
        <f>Input!D230</f>
        <v>0</v>
      </c>
      <c r="F328" s="3">
        <f>ROUND(VLOOKUP($D328,'Classification Table'!$A$6:$E$77,3,FALSE)*$E328,0)</f>
        <v>0</v>
      </c>
      <c r="G328" s="3">
        <f>ROUND(VLOOKUP($D328,'Classification Table'!$A$6:$E$77,4,FALSE)*$E328,0)</f>
        <v>0</v>
      </c>
      <c r="H328" s="3">
        <f>ROUND(VLOOKUP($D328,'Classification Table'!$A$6:$E$77,5,FALSE)*$E328,0)</f>
        <v>0</v>
      </c>
      <c r="I328" s="3"/>
      <c r="J328" s="3"/>
      <c r="K328" s="3"/>
    </row>
    <row r="329" spans="1:11" ht="11.25" x14ac:dyDescent="0.2">
      <c r="A329" s="3">
        <f t="shared" si="37"/>
        <v>25</v>
      </c>
      <c r="B329" s="24">
        <f>Input!A231</f>
        <v>376</v>
      </c>
      <c r="C329" s="3" t="str">
        <f>Input!B231</f>
        <v>MAINS</v>
      </c>
      <c r="D329" s="325">
        <f t="shared" si="38"/>
        <v>5</v>
      </c>
      <c r="E329" s="3">
        <f>Input!D231-SUM(Input!G231:O231)</f>
        <v>5087613.3</v>
      </c>
      <c r="F329" s="3">
        <f>ROUND(VLOOKUP($D329,'Classification Table'!$A$6:$E$77,3,FALSE)*$E329,0)</f>
        <v>0</v>
      </c>
      <c r="G329" s="3">
        <f>ROUND(VLOOKUP($D329,'Classification Table'!$A$6:$E$77,4,FALSE)*$E329,0)</f>
        <v>2543807</v>
      </c>
      <c r="H329" s="3">
        <f>ROUND(VLOOKUP($D329,'Classification Table'!$A$6:$E$77,5,FALSE)*$E329,0)</f>
        <v>2543807</v>
      </c>
      <c r="I329" s="3"/>
      <c r="J329" s="3"/>
      <c r="K329" s="3"/>
    </row>
    <row r="330" spans="1:11" ht="11.25" x14ac:dyDescent="0.2">
      <c r="A330" s="3">
        <f t="shared" si="37"/>
        <v>26</v>
      </c>
      <c r="B330" s="24">
        <f>Input!A231</f>
        <v>376</v>
      </c>
      <c r="C330" s="3" t="str">
        <f>"DIRECT "&amp;+Input!B231</f>
        <v>DIRECT MAINS</v>
      </c>
      <c r="D330" s="325">
        <f t="shared" si="38"/>
        <v>5</v>
      </c>
      <c r="E330" s="3">
        <f>SUM(Input!G231:K231)</f>
        <v>150.69999999999999</v>
      </c>
      <c r="F330" s="3">
        <f>ROUND(VLOOKUP($D330,'Classification Table'!$A$6:$E$77,3,FALSE)*$E330,0)</f>
        <v>0</v>
      </c>
      <c r="G330" s="3">
        <f>ROUND(VLOOKUP($D330,'Classification Table'!$A$6:$E$77,4,FALSE)*$E330,0)</f>
        <v>75</v>
      </c>
      <c r="H330" s="3">
        <f>ROUND(VLOOKUP($D330,'Classification Table'!$A$6:$E$77,5,FALSE)*$E330,0)</f>
        <v>75</v>
      </c>
      <c r="I330" s="3"/>
      <c r="J330" s="3"/>
      <c r="K330" s="3"/>
    </row>
    <row r="331" spans="1:11" ht="11.25" x14ac:dyDescent="0.2">
      <c r="A331" s="3">
        <f t="shared" si="37"/>
        <v>27</v>
      </c>
      <c r="B331" s="24">
        <f>Input!A232</f>
        <v>378.1</v>
      </c>
      <c r="C331" s="3" t="str">
        <f>Input!B232</f>
        <v>M &amp; R GENERAL</v>
      </c>
      <c r="D331" s="325">
        <f t="shared" si="38"/>
        <v>5</v>
      </c>
      <c r="E331" s="3">
        <f>Input!D232</f>
        <v>17220</v>
      </c>
      <c r="F331" s="3">
        <f>ROUND(VLOOKUP($D331,'Classification Table'!$A$6:$E$77,3,FALSE)*$E331,0)</f>
        <v>0</v>
      </c>
      <c r="G331" s="3">
        <f>ROUND(VLOOKUP($D331,'Classification Table'!$A$6:$E$77,4,FALSE)*$E331,0)</f>
        <v>8610</v>
      </c>
      <c r="H331" s="3">
        <f>ROUND(VLOOKUP($D331,'Classification Table'!$A$6:$E$77,5,FALSE)*$E331,0)</f>
        <v>8610</v>
      </c>
      <c r="I331" s="3"/>
      <c r="J331" s="3"/>
      <c r="K331" s="3"/>
    </row>
    <row r="332" spans="1:11" ht="11.25" x14ac:dyDescent="0.2">
      <c r="A332" s="3">
        <f t="shared" si="37"/>
        <v>28</v>
      </c>
      <c r="B332" s="24">
        <f>Input!A233</f>
        <v>378.2</v>
      </c>
      <c r="C332" s="3" t="str">
        <f>Input!B233</f>
        <v>M &amp; R GENERAL - REGULATING</v>
      </c>
      <c r="D332" s="325">
        <f t="shared" si="38"/>
        <v>5</v>
      </c>
      <c r="E332" s="3">
        <f>Input!D233</f>
        <v>304399</v>
      </c>
      <c r="F332" s="3">
        <f>ROUND(VLOOKUP($D332,'Classification Table'!$A$6:$E$77,3,FALSE)*$E332,0)</f>
        <v>0</v>
      </c>
      <c r="G332" s="3">
        <f>ROUND(VLOOKUP($D332,'Classification Table'!$A$6:$E$77,4,FALSE)*$E332,0)</f>
        <v>152200</v>
      </c>
      <c r="H332" s="3">
        <f>ROUND(VLOOKUP($D332,'Classification Table'!$A$6:$E$77,5,FALSE)*$E332,0)</f>
        <v>152200</v>
      </c>
      <c r="I332" s="3"/>
      <c r="J332" s="3"/>
      <c r="K332" s="3"/>
    </row>
    <row r="333" spans="1:11" ht="11.25" x14ac:dyDescent="0.2">
      <c r="A333" s="3">
        <f t="shared" si="37"/>
        <v>29</v>
      </c>
      <c r="B333" s="24">
        <f>Input!A234</f>
        <v>378.3</v>
      </c>
      <c r="C333" s="3" t="str">
        <f>Input!B234</f>
        <v>M &amp; R EQUIP - LOCAL GAS PURCHASES</v>
      </c>
      <c r="D333" s="325">
        <f t="shared" si="38"/>
        <v>5</v>
      </c>
      <c r="E333" s="3">
        <f>Input!D234</f>
        <v>1512</v>
      </c>
      <c r="F333" s="3">
        <f>ROUND(VLOOKUP($D333,'Classification Table'!$A$6:$E$77,3,FALSE)*$E333,0)</f>
        <v>0</v>
      </c>
      <c r="G333" s="3">
        <f>ROUND(VLOOKUP($D333,'Classification Table'!$A$6:$E$77,4,FALSE)*$E333,0)</f>
        <v>756</v>
      </c>
      <c r="H333" s="3">
        <f>ROUND(VLOOKUP($D333,'Classification Table'!$A$6:$E$77,5,FALSE)*$E333,0)</f>
        <v>756</v>
      </c>
      <c r="I333" s="3"/>
      <c r="J333" s="3"/>
      <c r="K333" s="3"/>
    </row>
    <row r="334" spans="1:11" ht="11.25" x14ac:dyDescent="0.2">
      <c r="A334" s="3">
        <f t="shared" si="37"/>
        <v>30</v>
      </c>
      <c r="B334" s="24">
        <f>Input!A235</f>
        <v>379.1</v>
      </c>
      <c r="C334" s="3" t="str">
        <f>Input!B235</f>
        <v>STA EQUIP - CITY</v>
      </c>
      <c r="D334" s="325">
        <f t="shared" si="38"/>
        <v>5</v>
      </c>
      <c r="E334" s="3">
        <f>Input!D235</f>
        <v>0</v>
      </c>
      <c r="F334" s="3">
        <f>ROUND(VLOOKUP($D334,'Classification Table'!$A$6:$E$77,3,FALSE)*$E334,0)</f>
        <v>0</v>
      </c>
      <c r="G334" s="3">
        <f>ROUND(VLOOKUP($D334,'Classification Table'!$A$6:$E$77,4,FALSE)*$E334,0)</f>
        <v>0</v>
      </c>
      <c r="H334" s="3">
        <f>ROUND(VLOOKUP($D334,'Classification Table'!$A$6:$E$77,5,FALSE)*$E334,0)</f>
        <v>0</v>
      </c>
      <c r="I334" s="3"/>
      <c r="J334" s="3"/>
      <c r="K334" s="3"/>
    </row>
    <row r="335" spans="1:11" ht="11.25" x14ac:dyDescent="0.2">
      <c r="A335" s="3">
        <f t="shared" si="37"/>
        <v>31</v>
      </c>
      <c r="B335" s="24">
        <f>Input!A236</f>
        <v>380</v>
      </c>
      <c r="C335" s="1" t="str">
        <f>Input!B236</f>
        <v>SERVICES</v>
      </c>
      <c r="D335" s="325">
        <f t="shared" si="38"/>
        <v>15</v>
      </c>
      <c r="E335" s="3">
        <f>Input!D236-SUM(Input!G236:O236)</f>
        <v>6496995</v>
      </c>
      <c r="F335" s="3">
        <f>ROUND(VLOOKUP($D335,'Classification Table'!$A$6:$E$77,3,FALSE)*$E335,0)</f>
        <v>6496995</v>
      </c>
      <c r="G335" s="3">
        <f>ROUND(VLOOKUP($D335,'Classification Table'!$A$6:$E$77,4,FALSE)*$E335,0)</f>
        <v>0</v>
      </c>
      <c r="H335" s="3">
        <f>ROUND(VLOOKUP($D335,'Classification Table'!$A$6:$E$77,5,FALSE)*$E335,0)</f>
        <v>0</v>
      </c>
      <c r="I335" s="3"/>
      <c r="J335" s="3"/>
      <c r="K335" s="3"/>
    </row>
    <row r="336" spans="1:11" ht="11.25" x14ac:dyDescent="0.2">
      <c r="A336" s="3">
        <f t="shared" si="37"/>
        <v>32</v>
      </c>
      <c r="B336" s="24">
        <f>Input!A236</f>
        <v>380</v>
      </c>
      <c r="C336" s="1" t="s">
        <v>815</v>
      </c>
      <c r="D336" s="325">
        <f t="shared" si="38"/>
        <v>15</v>
      </c>
      <c r="E336" s="3">
        <f>SUM(Input!G236:K236)</f>
        <v>0</v>
      </c>
      <c r="F336" s="3">
        <f>ROUND(VLOOKUP($D336,'Classification Table'!$A$6:$E$77,3,FALSE)*$E336,0)</f>
        <v>0</v>
      </c>
      <c r="G336" s="3">
        <f>ROUND(VLOOKUP($D336,'Classification Table'!$A$6:$E$77,4,FALSE)*$E336,0)</f>
        <v>0</v>
      </c>
      <c r="H336" s="3">
        <f>ROUND(VLOOKUP($D336,'Classification Table'!$A$6:$E$77,5,FALSE)*$E336,0)</f>
        <v>0</v>
      </c>
      <c r="I336" s="3"/>
      <c r="J336" s="3"/>
      <c r="K336" s="3"/>
    </row>
    <row r="337" spans="1:11" ht="11.25" x14ac:dyDescent="0.2">
      <c r="A337" s="3" t="s">
        <v>811</v>
      </c>
      <c r="B337" s="3"/>
      <c r="C337" s="14"/>
      <c r="D337" s="325"/>
      <c r="E337" s="15"/>
      <c r="F337" s="325" t="str">
        <f>""&amp;+Input!$B$1</f>
        <v>COLUMBIA GAS OF KENTUCKY, INC.</v>
      </c>
      <c r="H337" s="3"/>
      <c r="I337" s="3"/>
      <c r="J337" s="3"/>
      <c r="K337" s="32" t="str">
        <f>Input!$B$2</f>
        <v>ATTACHMENT CEN-2</v>
      </c>
    </row>
    <row r="338" spans="1:11" ht="11.25" x14ac:dyDescent="0.2">
      <c r="A338" s="3" t="str">
        <f>Input!$B$7</f>
        <v>DEMAND-COMMODITY</v>
      </c>
      <c r="B338" s="3"/>
      <c r="C338" s="3"/>
      <c r="D338" s="325"/>
      <c r="E338" s="3"/>
      <c r="F338" s="325" t="s">
        <v>579</v>
      </c>
      <c r="H338" s="3"/>
      <c r="I338" s="3"/>
      <c r="J338" s="3"/>
      <c r="K338" s="32" t="s">
        <v>1111</v>
      </c>
    </row>
    <row r="339" spans="1:11" ht="11.25" x14ac:dyDescent="0.2">
      <c r="A339" s="17" t="str">
        <f>Input!$B$6</f>
        <v>FORECASTED TEST YEAR - ORIGINAL FILING</v>
      </c>
      <c r="B339" s="17"/>
      <c r="C339" s="17"/>
      <c r="D339" s="34"/>
      <c r="E339" s="17"/>
      <c r="F339" s="19" t="str">
        <f>"FOR THE TWELVE MONTHS ENDED "&amp;Input!$B$4</f>
        <v>FOR THE TWELVE MONTHS ENDED 12/31/2017</v>
      </c>
      <c r="G339" s="329"/>
      <c r="H339" s="17"/>
      <c r="I339" s="17"/>
      <c r="J339" s="17"/>
      <c r="K339" s="183" t="str">
        <f>"WITNESS: "&amp;Input!$B$5</f>
        <v>WITNESS: C. NOTESTONE</v>
      </c>
    </row>
    <row r="340" spans="1:11" ht="11.25" x14ac:dyDescent="0.2">
      <c r="A340" s="325" t="s">
        <v>5</v>
      </c>
      <c r="B340" s="3" t="s">
        <v>6</v>
      </c>
      <c r="C340" s="3"/>
      <c r="D340" s="325" t="s">
        <v>811</v>
      </c>
      <c r="E340" s="325" t="s">
        <v>8</v>
      </c>
      <c r="F340" s="3"/>
      <c r="G340" s="3"/>
      <c r="H340" s="3"/>
      <c r="I340" s="3"/>
      <c r="J340" s="3"/>
      <c r="K340" s="3"/>
    </row>
    <row r="341" spans="1:11" ht="11.25" x14ac:dyDescent="0.2">
      <c r="A341" s="341" t="s">
        <v>9</v>
      </c>
      <c r="B341" s="341" t="s">
        <v>9</v>
      </c>
      <c r="C341" s="34" t="str">
        <f>Classification!C128</f>
        <v xml:space="preserve"> ACCOUNT TITLE</v>
      </c>
      <c r="D341" s="341" t="s">
        <v>10</v>
      </c>
      <c r="E341" s="341" t="s">
        <v>11</v>
      </c>
      <c r="F341" s="341" t="s">
        <v>804</v>
      </c>
      <c r="G341" s="341" t="s">
        <v>812</v>
      </c>
      <c r="H341" s="341" t="s">
        <v>813</v>
      </c>
      <c r="I341" s="447"/>
      <c r="J341" s="447"/>
      <c r="K341" s="447"/>
    </row>
    <row r="342" spans="1:11" ht="11.25" x14ac:dyDescent="0.2">
      <c r="A342" s="3"/>
      <c r="B342" s="342" t="s">
        <v>13</v>
      </c>
      <c r="C342" s="342" t="s">
        <v>14</v>
      </c>
      <c r="D342" s="325" t="s">
        <v>15</v>
      </c>
      <c r="E342" s="325" t="s">
        <v>16</v>
      </c>
      <c r="F342" s="325" t="s">
        <v>17</v>
      </c>
      <c r="G342" s="325" t="s">
        <v>18</v>
      </c>
      <c r="H342" s="325" t="s">
        <v>19</v>
      </c>
      <c r="I342" s="325"/>
      <c r="J342" s="325"/>
      <c r="K342" s="325"/>
    </row>
    <row r="343" spans="1:11" ht="11.25" x14ac:dyDescent="0.2">
      <c r="A343" s="3"/>
      <c r="B343" s="3"/>
      <c r="C343" s="3"/>
      <c r="D343" s="325"/>
      <c r="E343" s="325" t="s">
        <v>26</v>
      </c>
      <c r="F343" s="325" t="s">
        <v>26</v>
      </c>
      <c r="G343" s="325" t="s">
        <v>26</v>
      </c>
      <c r="H343" s="325" t="s">
        <v>26</v>
      </c>
      <c r="I343" s="325"/>
      <c r="J343" s="325"/>
      <c r="K343" s="325"/>
    </row>
    <row r="344" spans="1:11" ht="11.25" x14ac:dyDescent="0.2">
      <c r="A344" s="3">
        <v>1</v>
      </c>
      <c r="B344" s="24">
        <f>Input!A237</f>
        <v>381</v>
      </c>
      <c r="C344" s="3" t="str">
        <f>Input!B237</f>
        <v>METERS</v>
      </c>
      <c r="D344" s="325">
        <f>D259</f>
        <v>16</v>
      </c>
      <c r="E344" s="3">
        <f>Input!D237</f>
        <v>1172264</v>
      </c>
      <c r="F344" s="3">
        <f>ROUND(VLOOKUP($D344,'Classification Table'!$A$6:$E$77,3,FALSE)*$E344,0)</f>
        <v>1172264</v>
      </c>
      <c r="G344" s="3">
        <f>ROUND(VLOOKUP($D344,'Classification Table'!$A$6:$E$77,4,FALSE)*$E344,0)</f>
        <v>0</v>
      </c>
      <c r="H344" s="3">
        <f>ROUND(VLOOKUP($D344,'Classification Table'!$A$6:$E$77,5,FALSE)*$E344,0)</f>
        <v>0</v>
      </c>
      <c r="I344" s="3"/>
      <c r="J344" s="3"/>
      <c r="K344" s="3"/>
    </row>
    <row r="345" spans="1:11" ht="11.25" x14ac:dyDescent="0.2">
      <c r="A345" s="3">
        <f t="shared" ref="A345:A356" si="39">A344+1</f>
        <v>2</v>
      </c>
      <c r="B345" s="24">
        <f>Input!A238</f>
        <v>382</v>
      </c>
      <c r="C345" s="3" t="str">
        <f>Input!B238</f>
        <v>METER INSTALLATIONS</v>
      </c>
      <c r="D345" s="325">
        <f t="shared" ref="D345:D355" si="40">D260</f>
        <v>16</v>
      </c>
      <c r="E345" s="3">
        <f>Input!D238</f>
        <v>230831</v>
      </c>
      <c r="F345" s="3">
        <f>ROUND(VLOOKUP($D345,'Classification Table'!$A$6:$E$77,3,FALSE)*$E345,0)</f>
        <v>230831</v>
      </c>
      <c r="G345" s="3">
        <f>ROUND(VLOOKUP($D345,'Classification Table'!$A$6:$E$77,4,FALSE)*$E345,0)</f>
        <v>0</v>
      </c>
      <c r="H345" s="3">
        <f>ROUND(VLOOKUP($D345,'Classification Table'!$A$6:$E$77,5,FALSE)*$E345,0)</f>
        <v>0</v>
      </c>
      <c r="I345" s="3"/>
      <c r="J345" s="3"/>
      <c r="K345" s="3"/>
    </row>
    <row r="346" spans="1:11" ht="11.25" x14ac:dyDescent="0.2">
      <c r="A346" s="3">
        <f t="shared" si="39"/>
        <v>3</v>
      </c>
      <c r="B346" s="24">
        <f>Input!A239</f>
        <v>383</v>
      </c>
      <c r="C346" s="3" t="str">
        <f>Input!B239</f>
        <v>HOUSE REGULATORS</v>
      </c>
      <c r="D346" s="325">
        <f t="shared" si="40"/>
        <v>16</v>
      </c>
      <c r="E346" s="3">
        <f>Input!D239</f>
        <v>157520</v>
      </c>
      <c r="F346" s="3">
        <f>ROUND(VLOOKUP($D346,'Classification Table'!$A$6:$E$77,3,FALSE)*$E346,0)</f>
        <v>157520</v>
      </c>
      <c r="G346" s="3">
        <f>ROUND(VLOOKUP($D346,'Classification Table'!$A$6:$E$77,4,FALSE)*$E346,0)</f>
        <v>0</v>
      </c>
      <c r="H346" s="3">
        <f>ROUND(VLOOKUP($D346,'Classification Table'!$A$6:$E$77,5,FALSE)*$E346,0)</f>
        <v>0</v>
      </c>
      <c r="I346" s="3"/>
      <c r="J346" s="3"/>
      <c r="K346" s="3"/>
    </row>
    <row r="347" spans="1:11" ht="11.25" x14ac:dyDescent="0.2">
      <c r="A347" s="3">
        <f t="shared" si="39"/>
        <v>4</v>
      </c>
      <c r="B347" s="24">
        <f>Input!A240</f>
        <v>384</v>
      </c>
      <c r="C347" s="3" t="str">
        <f>Input!B240</f>
        <v>HOUSE REG INSTALLATIONS</v>
      </c>
      <c r="D347" s="325">
        <f t="shared" si="40"/>
        <v>16</v>
      </c>
      <c r="E347" s="3">
        <f>Input!D240</f>
        <v>22800</v>
      </c>
      <c r="F347" s="3">
        <f>ROUND(VLOOKUP($D347,'Classification Table'!$A$6:$E$77,3,FALSE)*$E347,0)</f>
        <v>22800</v>
      </c>
      <c r="G347" s="3">
        <f>ROUND(VLOOKUP($D347,'Classification Table'!$A$6:$E$77,4,FALSE)*$E347,0)</f>
        <v>0</v>
      </c>
      <c r="H347" s="3">
        <f>ROUND(VLOOKUP($D347,'Classification Table'!$A$6:$E$77,5,FALSE)*$E347,0)</f>
        <v>0</v>
      </c>
      <c r="I347" s="3"/>
      <c r="J347" s="3"/>
      <c r="K347" s="3"/>
    </row>
    <row r="348" spans="1:11" ht="11.25" x14ac:dyDescent="0.2">
      <c r="A348" s="3">
        <f t="shared" si="39"/>
        <v>5</v>
      </c>
      <c r="B348" s="24">
        <f>Input!A241</f>
        <v>385</v>
      </c>
      <c r="C348" s="3" t="str">
        <f>Input!B241</f>
        <v>IND M&amp;R EQUIPMENT</v>
      </c>
      <c r="D348" s="325">
        <f t="shared" si="40"/>
        <v>17</v>
      </c>
      <c r="E348" s="221">
        <f>Input!D241-SUM(Input!G241:M241)</f>
        <v>158315.82999999999</v>
      </c>
      <c r="F348" s="3">
        <f>ROUND(VLOOKUP($D348,'Classification Table'!$A$6:$E$77,3,FALSE)*$E348,0)</f>
        <v>158316</v>
      </c>
      <c r="G348" s="3">
        <f>ROUND(VLOOKUP($D348,'Classification Table'!$A$6:$E$77,4,FALSE)*$E348,0)</f>
        <v>0</v>
      </c>
      <c r="H348" s="3">
        <f>ROUND(VLOOKUP($D348,'Classification Table'!$A$6:$E$77,5,FALSE)*$E348,0)</f>
        <v>0</v>
      </c>
      <c r="I348" s="3"/>
      <c r="J348" s="3"/>
      <c r="K348" s="3"/>
    </row>
    <row r="349" spans="1:11" ht="11.25" x14ac:dyDescent="0.2">
      <c r="A349" s="3">
        <f t="shared" si="39"/>
        <v>6</v>
      </c>
      <c r="B349" s="24">
        <f>'Total Co'!B349</f>
        <v>385</v>
      </c>
      <c r="C349" s="24" t="str">
        <f>'Total Co'!C349</f>
        <v>DIRECT IND M&amp;R EQUIPMENT</v>
      </c>
      <c r="D349" s="325">
        <f t="shared" si="40"/>
        <v>17</v>
      </c>
      <c r="E349" s="3">
        <f>SUM(Input!G241:M241)</f>
        <v>13065.17</v>
      </c>
      <c r="F349" s="3">
        <f>ROUND(VLOOKUP($D349,'Classification Table'!$A$6:$E$77,3,FALSE)*$E349,0)</f>
        <v>13065</v>
      </c>
      <c r="G349" s="3">
        <f>ROUND(VLOOKUP($D349,'Classification Table'!$A$6:$E$77,4,FALSE)*$E349,0)</f>
        <v>0</v>
      </c>
      <c r="H349" s="3">
        <f>ROUND(VLOOKUP($D349,'Classification Table'!$A$6:$E$77,5,FALSE)*$E349,0)</f>
        <v>0</v>
      </c>
      <c r="I349" s="3"/>
      <c r="J349" s="3"/>
      <c r="K349" s="3"/>
    </row>
    <row r="350" spans="1:11" ht="11.25" x14ac:dyDescent="0.2">
      <c r="A350" s="3">
        <f t="shared" si="39"/>
        <v>7</v>
      </c>
      <c r="B350" s="24">
        <f>Input!A242</f>
        <v>387.2</v>
      </c>
      <c r="C350" s="3" t="str">
        <f>Input!B242</f>
        <v>ODORIZATION</v>
      </c>
      <c r="D350" s="325" t="str">
        <f t="shared" si="40"/>
        <v>7DC</v>
      </c>
      <c r="E350" s="3">
        <f>Input!D242</f>
        <v>0</v>
      </c>
      <c r="F350" s="3">
        <f>ROUND(VLOOKUP($D350,'Classification Table'!$A$6:$E$77,3,FALSE)*$E350,0)</f>
        <v>0</v>
      </c>
      <c r="G350" s="3">
        <f>ROUND(VLOOKUP($D350,'Classification Table'!$A$6:$E$77,4,FALSE)*$E350,0)</f>
        <v>0</v>
      </c>
      <c r="H350" s="3">
        <f>ROUND(VLOOKUP($D350,'Classification Table'!$A$6:$E$77,5,FALSE)*$E350,0)</f>
        <v>0</v>
      </c>
      <c r="I350" s="3"/>
      <c r="J350" s="3"/>
      <c r="K350" s="3"/>
    </row>
    <row r="351" spans="1:11" ht="11.25" x14ac:dyDescent="0.2">
      <c r="A351" s="3">
        <f t="shared" si="39"/>
        <v>8</v>
      </c>
      <c r="B351" s="24">
        <f>Input!A243</f>
        <v>387.41</v>
      </c>
      <c r="C351" s="3" t="str">
        <f>Input!B243</f>
        <v>TELEPHONE</v>
      </c>
      <c r="D351" s="325" t="str">
        <f t="shared" si="40"/>
        <v>7DC</v>
      </c>
      <c r="E351" s="3">
        <f>Input!D243</f>
        <v>27516</v>
      </c>
      <c r="F351" s="3">
        <f>ROUND(VLOOKUP($D351,'Classification Table'!$A$6:$E$77,3,FALSE)*$E351,0)</f>
        <v>11515</v>
      </c>
      <c r="G351" s="3">
        <f>ROUND(VLOOKUP($D351,'Classification Table'!$A$6:$E$77,4,FALSE)*$E351,0)</f>
        <v>8001</v>
      </c>
      <c r="H351" s="3">
        <f>ROUND(VLOOKUP($D351,'Classification Table'!$A$6:$E$77,5,FALSE)*$E351,0)</f>
        <v>8001</v>
      </c>
      <c r="I351" s="3"/>
      <c r="J351" s="3"/>
      <c r="K351" s="3"/>
    </row>
    <row r="352" spans="1:11" ht="11.25" x14ac:dyDescent="0.2">
      <c r="A352" s="3">
        <f t="shared" si="39"/>
        <v>9</v>
      </c>
      <c r="B352" s="24">
        <f>Input!A244</f>
        <v>387.42</v>
      </c>
      <c r="C352" s="3" t="str">
        <f>Input!B244</f>
        <v>RADIO</v>
      </c>
      <c r="D352" s="325" t="str">
        <f t="shared" si="40"/>
        <v>7DC</v>
      </c>
      <c r="E352" s="3">
        <f>Input!D244</f>
        <v>29736</v>
      </c>
      <c r="F352" s="3">
        <f>ROUND(VLOOKUP($D352,'Classification Table'!$A$6:$E$77,3,FALSE)*$E352,0)</f>
        <v>12444</v>
      </c>
      <c r="G352" s="3">
        <f>ROUND(VLOOKUP($D352,'Classification Table'!$A$6:$E$77,4,FALSE)*$E352,0)</f>
        <v>8646</v>
      </c>
      <c r="H352" s="3">
        <f>ROUND(VLOOKUP($D352,'Classification Table'!$A$6:$E$77,5,FALSE)*$E352,0)</f>
        <v>8646</v>
      </c>
      <c r="I352" s="3"/>
      <c r="J352" s="3"/>
      <c r="K352" s="3"/>
    </row>
    <row r="353" spans="1:11" ht="11.25" x14ac:dyDescent="0.2">
      <c r="A353" s="3">
        <f t="shared" si="39"/>
        <v>10</v>
      </c>
      <c r="B353" s="24">
        <f>Input!A245</f>
        <v>387.44</v>
      </c>
      <c r="C353" s="3" t="str">
        <f>Input!B245</f>
        <v>OTHER COMMUNICATION</v>
      </c>
      <c r="D353" s="325" t="str">
        <f t="shared" si="40"/>
        <v>7DC</v>
      </c>
      <c r="E353" s="3">
        <f>Input!D245</f>
        <v>4992</v>
      </c>
      <c r="F353" s="3">
        <f>ROUND(VLOOKUP($D353,'Classification Table'!$A$6:$E$77,3,FALSE)*$E353,0)</f>
        <v>2089</v>
      </c>
      <c r="G353" s="3">
        <f>ROUND(VLOOKUP($D353,'Classification Table'!$A$6:$E$77,4,FALSE)*$E353,0)</f>
        <v>1451</v>
      </c>
      <c r="H353" s="3">
        <f>ROUND(VLOOKUP($D353,'Classification Table'!$A$6:$E$77,5,FALSE)*$E353,0)</f>
        <v>1451</v>
      </c>
      <c r="I353" s="3"/>
      <c r="J353" s="3"/>
      <c r="K353" s="3"/>
    </row>
    <row r="354" spans="1:11" ht="11.25" x14ac:dyDescent="0.2">
      <c r="A354" s="3">
        <f t="shared" si="39"/>
        <v>11</v>
      </c>
      <c r="B354" s="24">
        <f>Input!A246</f>
        <v>387.45</v>
      </c>
      <c r="C354" s="3" t="str">
        <f>Input!B246</f>
        <v>TELEMETERING</v>
      </c>
      <c r="D354" s="325" t="str">
        <f t="shared" si="40"/>
        <v>7DC</v>
      </c>
      <c r="E354" s="3">
        <f>Input!D246</f>
        <v>140832</v>
      </c>
      <c r="F354" s="3">
        <f>ROUND(VLOOKUP($D354,'Classification Table'!$A$6:$E$77,3,FALSE)*$E354,0)</f>
        <v>58934</v>
      </c>
      <c r="G354" s="3">
        <f>ROUND(VLOOKUP($D354,'Classification Table'!$A$6:$E$77,4,FALSE)*$E354,0)</f>
        <v>40949</v>
      </c>
      <c r="H354" s="3">
        <f>ROUND(VLOOKUP($D354,'Classification Table'!$A$6:$E$77,5,FALSE)*$E354,0)</f>
        <v>40949</v>
      </c>
      <c r="I354" s="3"/>
      <c r="J354" s="3"/>
      <c r="K354" s="3"/>
    </row>
    <row r="355" spans="1:11" ht="11.25" x14ac:dyDescent="0.2">
      <c r="A355" s="3">
        <f t="shared" si="39"/>
        <v>12</v>
      </c>
      <c r="B355" s="24">
        <f>Input!A247</f>
        <v>387.46</v>
      </c>
      <c r="C355" s="3" t="str">
        <f>Input!B247</f>
        <v>CIS</v>
      </c>
      <c r="D355" s="325" t="str">
        <f t="shared" si="40"/>
        <v>7DC</v>
      </c>
      <c r="E355" s="26">
        <f>Input!D247</f>
        <v>4248</v>
      </c>
      <c r="F355" s="26">
        <f>ROUND(VLOOKUP($D355,'Classification Table'!$A$6:$E$77,3,FALSE)*$E355,0)</f>
        <v>1778</v>
      </c>
      <c r="G355" s="26">
        <f>ROUND(VLOOKUP($D355,'Classification Table'!$A$6:$E$77,4,FALSE)*$E355,0)</f>
        <v>1235</v>
      </c>
      <c r="H355" s="26">
        <f>ROUND(VLOOKUP($D355,'Classification Table'!$A$6:$E$77,5,FALSE)*$E355,0)</f>
        <v>1235</v>
      </c>
      <c r="I355" s="26"/>
      <c r="J355" s="26"/>
      <c r="K355" s="26"/>
    </row>
    <row r="356" spans="1:11" ht="11.25" x14ac:dyDescent="0.2">
      <c r="A356" s="3">
        <f t="shared" si="39"/>
        <v>13</v>
      </c>
      <c r="B356" s="3"/>
      <c r="C356" s="3" t="s">
        <v>84</v>
      </c>
      <c r="D356" s="325"/>
      <c r="E356" s="3">
        <f>SUM(Classification!E317:E336)+SUM(E344:E355)</f>
        <v>14206216</v>
      </c>
      <c r="F356" s="3">
        <f>SUM(Classification!F317:F336)+SUM(F344:F355)</f>
        <v>8430104</v>
      </c>
      <c r="G356" s="3">
        <f>SUM(Classification!G317:G336)+SUM(G344:G355)</f>
        <v>2888057</v>
      </c>
      <c r="H356" s="3">
        <f>SUM(Classification!H317:H336)+SUM(H344:H355)</f>
        <v>2888057</v>
      </c>
      <c r="I356" s="3"/>
      <c r="J356" s="3"/>
      <c r="K356" s="3"/>
    </row>
    <row r="357" spans="1:11" ht="11.25" x14ac:dyDescent="0.2">
      <c r="A357" s="3"/>
      <c r="B357" s="3"/>
      <c r="C357" s="3"/>
      <c r="D357" s="325"/>
      <c r="E357" s="3"/>
      <c r="F357" s="3"/>
      <c r="G357" s="3"/>
      <c r="H357" s="3"/>
      <c r="I357" s="3"/>
      <c r="J357" s="3"/>
      <c r="K357" s="3"/>
    </row>
    <row r="358" spans="1:11" ht="11.25" x14ac:dyDescent="0.2">
      <c r="A358" s="3">
        <f>A356+1</f>
        <v>14</v>
      </c>
      <c r="B358" s="3"/>
      <c r="C358" s="24" t="str">
        <f>Input!A248</f>
        <v>GENERAL PLANT</v>
      </c>
      <c r="D358" s="325"/>
      <c r="E358" s="3"/>
      <c r="F358" s="3"/>
      <c r="G358" s="3"/>
      <c r="H358" s="3"/>
      <c r="I358" s="3"/>
      <c r="J358" s="3"/>
      <c r="K358" s="3"/>
    </row>
    <row r="359" spans="1:11" ht="11.25" x14ac:dyDescent="0.2">
      <c r="A359" s="3"/>
      <c r="B359" s="3"/>
      <c r="C359" s="3"/>
      <c r="D359" s="325"/>
      <c r="E359" s="3"/>
      <c r="F359" s="3"/>
      <c r="G359" s="3"/>
      <c r="H359" s="3"/>
      <c r="I359" s="3"/>
      <c r="J359" s="3"/>
      <c r="K359" s="3"/>
    </row>
    <row r="360" spans="1:11" ht="11.25" x14ac:dyDescent="0.2">
      <c r="A360" s="3">
        <f>A358+1</f>
        <v>15</v>
      </c>
      <c r="B360" s="24">
        <f>Input!A249</f>
        <v>391.1</v>
      </c>
      <c r="C360" s="3" t="str">
        <f>Input!B249</f>
        <v>OFF FURN &amp; EQUIP - UNSPEC</v>
      </c>
      <c r="D360" s="325" t="str">
        <f>D275</f>
        <v>7DC</v>
      </c>
      <c r="E360" s="3">
        <f>Input!D249</f>
        <v>36561</v>
      </c>
      <c r="F360" s="3">
        <f>ROUND(VLOOKUP($D360,'Classification Table'!$A$6:$E$77,3,FALSE)*$E360,0)</f>
        <v>15300</v>
      </c>
      <c r="G360" s="3">
        <f>ROUND(VLOOKUP($D360,'Classification Table'!$A$6:$E$77,4,FALSE)*$E360,0)</f>
        <v>10631</v>
      </c>
      <c r="H360" s="3">
        <f>ROUND(VLOOKUP($D360,'Classification Table'!$A$6:$E$77,5,FALSE)*$E360,0)</f>
        <v>10631</v>
      </c>
      <c r="I360" s="3"/>
      <c r="J360" s="3"/>
      <c r="K360" s="3"/>
    </row>
    <row r="361" spans="1:11" ht="11.25" x14ac:dyDescent="0.2">
      <c r="A361" s="3">
        <f t="shared" ref="A361:A373" si="41">A360+1</f>
        <v>16</v>
      </c>
      <c r="B361" s="24">
        <f>Input!A250</f>
        <v>391.11</v>
      </c>
      <c r="C361" s="3" t="str">
        <f>Input!B250</f>
        <v>OFF FURN &amp; EQUIP - DATA HAND</v>
      </c>
      <c r="D361" s="325" t="str">
        <f t="shared" ref="D361:D372" si="42">D276</f>
        <v>7DC</v>
      </c>
      <c r="E361" s="3">
        <f>Input!D250</f>
        <v>1260</v>
      </c>
      <c r="F361" s="3">
        <f>ROUND(VLOOKUP($D361,'Classification Table'!$A$6:$E$77,3,FALSE)*$E361,0)</f>
        <v>527</v>
      </c>
      <c r="G361" s="3">
        <f>ROUND(VLOOKUP($D361,'Classification Table'!$A$6:$E$77,4,FALSE)*$E361,0)</f>
        <v>366</v>
      </c>
      <c r="H361" s="3">
        <f>ROUND(VLOOKUP($D361,'Classification Table'!$A$6:$E$77,5,FALSE)*$E361,0)</f>
        <v>366</v>
      </c>
      <c r="I361" s="3"/>
      <c r="J361" s="3"/>
      <c r="K361" s="3"/>
    </row>
    <row r="362" spans="1:11" ht="11.25" x14ac:dyDescent="0.2">
      <c r="A362" s="3">
        <f t="shared" si="41"/>
        <v>17</v>
      </c>
      <c r="B362" s="24">
        <f>Input!A251</f>
        <v>391.12</v>
      </c>
      <c r="C362" s="3" t="str">
        <f>Input!B251</f>
        <v>OFF FURN &amp; EQUIP - INFO SYSTEM</v>
      </c>
      <c r="D362" s="325" t="str">
        <f t="shared" si="42"/>
        <v>7DC</v>
      </c>
      <c r="E362" s="3">
        <f>Input!D251</f>
        <v>253397</v>
      </c>
      <c r="F362" s="3">
        <f>ROUND(VLOOKUP($D362,'Classification Table'!$A$6:$E$77,3,FALSE)*$E362,0)</f>
        <v>106039</v>
      </c>
      <c r="G362" s="3">
        <f>ROUND(VLOOKUP($D362,'Classification Table'!$A$6:$E$77,4,FALSE)*$E362,0)</f>
        <v>73679</v>
      </c>
      <c r="H362" s="3">
        <f>ROUND(VLOOKUP($D362,'Classification Table'!$A$6:$E$77,5,FALSE)*$E362,0)</f>
        <v>73679</v>
      </c>
      <c r="I362" s="3"/>
      <c r="J362" s="3"/>
      <c r="K362" s="3"/>
    </row>
    <row r="363" spans="1:11" ht="11.25" x14ac:dyDescent="0.2">
      <c r="A363" s="3">
        <f t="shared" si="41"/>
        <v>18</v>
      </c>
      <c r="B363" s="24">
        <f>Input!A252</f>
        <v>392.2</v>
      </c>
      <c r="C363" s="3" t="str">
        <f>Input!B252</f>
        <v>TR EQ - TRAILER &gt; $1,000</v>
      </c>
      <c r="D363" s="325" t="str">
        <f t="shared" si="42"/>
        <v>7DC</v>
      </c>
      <c r="E363" s="3">
        <f>Input!D252</f>
        <v>8760</v>
      </c>
      <c r="F363" s="3">
        <f>ROUND(VLOOKUP($D363,'Classification Table'!$A$6:$E$77,3,FALSE)*$E363,0)</f>
        <v>3666</v>
      </c>
      <c r="G363" s="3">
        <f>ROUND(VLOOKUP($D363,'Classification Table'!$A$6:$E$77,4,FALSE)*$E363,0)</f>
        <v>2547</v>
      </c>
      <c r="H363" s="3">
        <f>ROUND(VLOOKUP($D363,'Classification Table'!$A$6:$E$77,5,FALSE)*$E363,0)</f>
        <v>2547</v>
      </c>
      <c r="I363" s="3"/>
      <c r="J363" s="3"/>
      <c r="K363" s="3"/>
    </row>
    <row r="364" spans="1:11" ht="11.25" x14ac:dyDescent="0.2">
      <c r="A364" s="3">
        <f t="shared" si="41"/>
        <v>19</v>
      </c>
      <c r="B364" s="24">
        <f>Input!A253</f>
        <v>392.21</v>
      </c>
      <c r="C364" s="3" t="str">
        <f>Input!B253</f>
        <v>TR EQ - TRAILER &lt; $1,000</v>
      </c>
      <c r="D364" s="325" t="str">
        <f t="shared" si="42"/>
        <v>7DC</v>
      </c>
      <c r="E364" s="3">
        <f>Input!D253</f>
        <v>2244</v>
      </c>
      <c r="F364" s="3">
        <f>ROUND(VLOOKUP($D364,'Classification Table'!$A$6:$E$77,3,FALSE)*$E364,0)</f>
        <v>939</v>
      </c>
      <c r="G364" s="3">
        <f>ROUND(VLOOKUP($D364,'Classification Table'!$A$6:$E$77,4,FALSE)*$E364,0)</f>
        <v>652</v>
      </c>
      <c r="H364" s="3">
        <f>ROUND(VLOOKUP($D364,'Classification Table'!$A$6:$E$77,5,FALSE)*$E364,0)</f>
        <v>652</v>
      </c>
      <c r="I364" s="3"/>
      <c r="J364" s="3"/>
      <c r="K364" s="3"/>
    </row>
    <row r="365" spans="1:11" ht="11.25" x14ac:dyDescent="0.2">
      <c r="A365" s="3">
        <f t="shared" si="41"/>
        <v>20</v>
      </c>
      <c r="B365" s="24">
        <f>Input!A254</f>
        <v>394.1</v>
      </c>
      <c r="C365" s="3" t="str">
        <f>Input!B254</f>
        <v>TOOLS,SHOP, &amp; GAR EQ-GARAGE &amp; SERV</v>
      </c>
      <c r="D365" s="325" t="str">
        <f t="shared" si="42"/>
        <v>7DC</v>
      </c>
      <c r="E365" s="3">
        <f>Input!D254</f>
        <v>972</v>
      </c>
      <c r="F365" s="3">
        <f>ROUND(VLOOKUP($D365,'Classification Table'!$A$6:$E$77,3,FALSE)*$E365,0)</f>
        <v>407</v>
      </c>
      <c r="G365" s="3">
        <f>ROUND(VLOOKUP($D365,'Classification Table'!$A$6:$E$77,4,FALSE)*$E365,0)</f>
        <v>283</v>
      </c>
      <c r="H365" s="3">
        <f>ROUND(VLOOKUP($D365,'Classification Table'!$A$6:$E$77,5,FALSE)*$E365,0)</f>
        <v>283</v>
      </c>
      <c r="I365" s="3"/>
      <c r="J365" s="3"/>
      <c r="K365" s="3"/>
    </row>
    <row r="366" spans="1:11" ht="11.25" x14ac:dyDescent="0.2">
      <c r="A366" s="3">
        <f t="shared" si="41"/>
        <v>21</v>
      </c>
      <c r="B366" s="24">
        <f>Input!A255</f>
        <v>394.13</v>
      </c>
      <c r="C366" s="3" t="str">
        <f>Input!B255</f>
        <v>TOOLS,SHOP, &amp; GAR EQ-UND TANK CLEANUP</v>
      </c>
      <c r="D366" s="325" t="str">
        <f t="shared" si="42"/>
        <v>7DC</v>
      </c>
      <c r="E366" s="3">
        <f>Input!D255</f>
        <v>0</v>
      </c>
      <c r="F366" s="3">
        <f>ROUND(VLOOKUP($D366,'Classification Table'!$A$6:$E$77,3,FALSE)*$E366,0)</f>
        <v>0</v>
      </c>
      <c r="G366" s="3">
        <f>ROUND(VLOOKUP($D366,'Classification Table'!$A$6:$E$77,4,FALSE)*$E366,0)</f>
        <v>0</v>
      </c>
      <c r="H366" s="3">
        <f>ROUND(VLOOKUP($D366,'Classification Table'!$A$6:$E$77,5,FALSE)*$E366,0)</f>
        <v>0</v>
      </c>
      <c r="I366" s="3"/>
      <c r="J366" s="3"/>
      <c r="K366" s="3"/>
    </row>
    <row r="367" spans="1:11" ht="11.25" x14ac:dyDescent="0.2">
      <c r="A367" s="3">
        <f t="shared" si="41"/>
        <v>22</v>
      </c>
      <c r="B367" s="24">
        <f>Input!A256</f>
        <v>393</v>
      </c>
      <c r="C367" s="3" t="str">
        <f>Input!B256</f>
        <v>STORES EQUIPMENT</v>
      </c>
      <c r="D367" s="325" t="str">
        <f t="shared" si="42"/>
        <v>7DC</v>
      </c>
      <c r="E367" s="3">
        <f>Input!D256</f>
        <v>0</v>
      </c>
      <c r="F367" s="3">
        <f>ROUND(VLOOKUP($D367,'Classification Table'!$A$6:$E$77,3,FALSE)*$E367,0)</f>
        <v>0</v>
      </c>
      <c r="G367" s="3">
        <f>ROUND(VLOOKUP($D367,'Classification Table'!$A$6:$E$77,4,FALSE)*$E367,0)</f>
        <v>0</v>
      </c>
      <c r="H367" s="3">
        <f>ROUND(VLOOKUP($D367,'Classification Table'!$A$6:$E$77,5,FALSE)*$E367,0)</f>
        <v>0</v>
      </c>
      <c r="I367" s="3"/>
      <c r="J367" s="3"/>
      <c r="K367" s="3"/>
    </row>
    <row r="368" spans="1:11" ht="11.25" x14ac:dyDescent="0.2">
      <c r="A368" s="3">
        <f t="shared" si="41"/>
        <v>23</v>
      </c>
      <c r="B368" s="24">
        <f>Input!A257</f>
        <v>394.2</v>
      </c>
      <c r="C368" s="3" t="str">
        <f>Input!B257</f>
        <v>SHOP EQUIPMENT</v>
      </c>
      <c r="D368" s="325" t="str">
        <f t="shared" si="42"/>
        <v>7DC</v>
      </c>
      <c r="E368" s="3">
        <f>Input!D257</f>
        <v>0</v>
      </c>
      <c r="F368" s="3">
        <f>ROUND(VLOOKUP($D368,'Classification Table'!$A$6:$E$77,3,FALSE)*$E368,0)</f>
        <v>0</v>
      </c>
      <c r="G368" s="3">
        <f>ROUND(VLOOKUP($D368,'Classification Table'!$A$6:$E$77,4,FALSE)*$E368,0)</f>
        <v>0</v>
      </c>
      <c r="H368" s="3">
        <f>ROUND(VLOOKUP($D368,'Classification Table'!$A$6:$E$77,5,FALSE)*$E368,0)</f>
        <v>0</v>
      </c>
      <c r="I368" s="3"/>
      <c r="J368" s="3"/>
      <c r="K368" s="3"/>
    </row>
    <row r="369" spans="1:11" ht="11.25" x14ac:dyDescent="0.2">
      <c r="A369" s="3">
        <f t="shared" si="41"/>
        <v>24</v>
      </c>
      <c r="B369" s="24">
        <f>Input!A258</f>
        <v>394.3</v>
      </c>
      <c r="C369" s="3" t="str">
        <f>Input!B258</f>
        <v>TOOLS &amp; OTHER EQUIPMENT</v>
      </c>
      <c r="D369" s="325" t="str">
        <f t="shared" si="42"/>
        <v>7DC</v>
      </c>
      <c r="E369" s="3">
        <f>Input!D258</f>
        <v>129657</v>
      </c>
      <c r="F369" s="3">
        <f>ROUND(VLOOKUP($D369,'Classification Table'!$A$6:$E$77,3,FALSE)*$E369,0)</f>
        <v>54258</v>
      </c>
      <c r="G369" s="3">
        <f>ROUND(VLOOKUP($D369,'Classification Table'!$A$6:$E$77,4,FALSE)*$E369,0)</f>
        <v>37700</v>
      </c>
      <c r="H369" s="3">
        <f>ROUND(VLOOKUP($D369,'Classification Table'!$A$6:$E$77,5,FALSE)*$E369,0)</f>
        <v>37700</v>
      </c>
      <c r="I369" s="3"/>
      <c r="J369" s="3"/>
      <c r="K369" s="3"/>
    </row>
    <row r="370" spans="1:11" ht="11.25" x14ac:dyDescent="0.2">
      <c r="A370" s="3">
        <f t="shared" si="41"/>
        <v>25</v>
      </c>
      <c r="B370" s="24">
        <f>Input!A259</f>
        <v>395</v>
      </c>
      <c r="C370" s="3" t="str">
        <f>Input!B259</f>
        <v>LABORATORY EQUIPMENT</v>
      </c>
      <c r="D370" s="325" t="str">
        <f t="shared" si="42"/>
        <v>7DC</v>
      </c>
      <c r="E370" s="3">
        <f>Input!D259</f>
        <v>468</v>
      </c>
      <c r="F370" s="3">
        <f>ROUND(VLOOKUP($D370,'Classification Table'!$A$6:$E$77,3,FALSE)*$E370,0)</f>
        <v>196</v>
      </c>
      <c r="G370" s="3">
        <f>ROUND(VLOOKUP($D370,'Classification Table'!$A$6:$E$77,4,FALSE)*$E370,0)</f>
        <v>136</v>
      </c>
      <c r="H370" s="3">
        <f>ROUND(VLOOKUP($D370,'Classification Table'!$A$6:$E$77,5,FALSE)*$E370,0)</f>
        <v>136</v>
      </c>
      <c r="I370" s="3"/>
      <c r="J370" s="3"/>
      <c r="K370" s="3"/>
    </row>
    <row r="371" spans="1:11" ht="11.25" x14ac:dyDescent="0.2">
      <c r="A371" s="3">
        <f t="shared" si="41"/>
        <v>26</v>
      </c>
      <c r="B371" s="24">
        <f>Input!A260</f>
        <v>396</v>
      </c>
      <c r="C371" s="3" t="str">
        <f>Input!B260</f>
        <v>POWER OP EQUIP-GEN TOOLS</v>
      </c>
      <c r="D371" s="325" t="str">
        <f t="shared" si="42"/>
        <v>7DC</v>
      </c>
      <c r="E371" s="3">
        <f>Input!D260</f>
        <v>6552</v>
      </c>
      <c r="F371" s="3">
        <f>ROUND(VLOOKUP($D371,'Classification Table'!$A$6:$E$77,3,FALSE)*$E371,0)</f>
        <v>2742</v>
      </c>
      <c r="G371" s="3">
        <f>ROUND(VLOOKUP($D371,'Classification Table'!$A$6:$E$77,4,FALSE)*$E371,0)</f>
        <v>1905</v>
      </c>
      <c r="H371" s="3">
        <f>ROUND(VLOOKUP($D371,'Classification Table'!$A$6:$E$77,5,FALSE)*$E371,0)</f>
        <v>1905</v>
      </c>
      <c r="I371" s="3"/>
      <c r="J371" s="3"/>
      <c r="K371" s="3"/>
    </row>
    <row r="372" spans="1:11" ht="11.25" x14ac:dyDescent="0.2">
      <c r="A372" s="3">
        <f t="shared" si="41"/>
        <v>27</v>
      </c>
      <c r="B372" s="24">
        <f>Input!A262</f>
        <v>398</v>
      </c>
      <c r="C372" s="3" t="str">
        <f>Input!B262</f>
        <v>MISCELLANEOUS EQUIPMENT</v>
      </c>
      <c r="D372" s="325" t="str">
        <f t="shared" si="42"/>
        <v>7DC</v>
      </c>
      <c r="E372" s="26">
        <f>Input!D262</f>
        <v>19604</v>
      </c>
      <c r="F372" s="26">
        <f>ROUND(VLOOKUP($D372,'Classification Table'!$A$6:$E$77,3,FALSE)*$E372,0)</f>
        <v>8204</v>
      </c>
      <c r="G372" s="26">
        <f>ROUND(VLOOKUP($D372,'Classification Table'!$A$6:$E$77,4,FALSE)*$E372,0)</f>
        <v>5700</v>
      </c>
      <c r="H372" s="26">
        <f>ROUND(VLOOKUP($D372,'Classification Table'!$A$6:$E$77,5,FALSE)*$E372,0)</f>
        <v>5700</v>
      </c>
      <c r="I372" s="3"/>
      <c r="J372" s="26"/>
      <c r="K372" s="26"/>
    </row>
    <row r="373" spans="1:11" ht="11.25" x14ac:dyDescent="0.2">
      <c r="A373" s="3">
        <f t="shared" si="41"/>
        <v>28</v>
      </c>
      <c r="B373" s="3"/>
      <c r="C373" s="3" t="s">
        <v>90</v>
      </c>
      <c r="D373" s="325"/>
      <c r="E373" s="3">
        <f t="shared" ref="E373:H373" si="43">SUM(E360:E372)</f>
        <v>459475</v>
      </c>
      <c r="F373" s="3">
        <f t="shared" si="43"/>
        <v>192278</v>
      </c>
      <c r="G373" s="3">
        <f t="shared" si="43"/>
        <v>133599</v>
      </c>
      <c r="H373" s="3">
        <f t="shared" si="43"/>
        <v>133599</v>
      </c>
      <c r="I373" s="3"/>
      <c r="J373" s="3"/>
      <c r="K373" s="3"/>
    </row>
    <row r="374" spans="1:11" ht="11.25" x14ac:dyDescent="0.2">
      <c r="A374" s="3"/>
      <c r="B374" s="3"/>
      <c r="C374" s="3"/>
      <c r="D374" s="325"/>
      <c r="E374" s="3"/>
      <c r="F374" s="3"/>
      <c r="G374" s="3"/>
      <c r="H374" s="3"/>
      <c r="I374" s="3"/>
      <c r="J374" s="3"/>
      <c r="K374" s="3"/>
    </row>
    <row r="375" spans="1:11" ht="11.25" x14ac:dyDescent="0.2">
      <c r="A375" s="3">
        <f>A373+1</f>
        <v>29</v>
      </c>
      <c r="B375" s="3"/>
      <c r="C375" s="25" t="s">
        <v>166</v>
      </c>
      <c r="D375" s="325"/>
      <c r="E375" s="3">
        <f>Classification!E306+Classification!E313+E356+E373</f>
        <v>15939786.563350823</v>
      </c>
      <c r="F375" s="3">
        <f>Classification!F306+Classification!F313+F356+F373</f>
        <v>9155554</v>
      </c>
      <c r="G375" s="3">
        <f>Classification!G306+Classification!G313+G356+G373</f>
        <v>3392118</v>
      </c>
      <c r="H375" s="3">
        <f>Classification!H306+Classification!H313+H356+H373</f>
        <v>3392118</v>
      </c>
      <c r="I375" s="3"/>
      <c r="J375" s="3"/>
      <c r="K375" s="3"/>
    </row>
    <row r="376" spans="1:11" ht="11.25" x14ac:dyDescent="0.2">
      <c r="A376" s="3" t="s">
        <v>811</v>
      </c>
      <c r="B376" s="3"/>
      <c r="C376" s="3"/>
      <c r="D376" s="325"/>
      <c r="E376" s="3"/>
      <c r="F376" s="325" t="str">
        <f>""&amp;+Input!$B$1</f>
        <v>COLUMBIA GAS OF KENTUCKY, INC.</v>
      </c>
      <c r="H376" s="3"/>
      <c r="I376" s="3"/>
      <c r="J376" s="3"/>
      <c r="K376" s="32" t="str">
        <f>Input!$B$2</f>
        <v>ATTACHMENT CEN-2</v>
      </c>
    </row>
    <row r="377" spans="1:11" ht="11.25" x14ac:dyDescent="0.2">
      <c r="A377" s="3" t="str">
        <f>Input!$B$7</f>
        <v>DEMAND-COMMODITY</v>
      </c>
      <c r="B377" s="3"/>
      <c r="C377" s="3"/>
      <c r="D377" s="325"/>
      <c r="E377" s="3"/>
      <c r="F377" s="325" t="s">
        <v>57</v>
      </c>
      <c r="H377" s="3"/>
      <c r="I377" s="3"/>
      <c r="J377" s="3"/>
      <c r="K377" s="32" t="s">
        <v>1112</v>
      </c>
    </row>
    <row r="378" spans="1:11" ht="11.25" x14ac:dyDescent="0.2">
      <c r="A378" s="17" t="str">
        <f>Input!$B$6</f>
        <v>FORECASTED TEST YEAR - ORIGINAL FILING</v>
      </c>
      <c r="B378" s="17"/>
      <c r="C378" s="17"/>
      <c r="D378" s="34"/>
      <c r="E378" s="18"/>
      <c r="F378" s="19" t="str">
        <f>"FOR THE TWELVE MONTHS ENDED "&amp;Input!$B$4</f>
        <v>FOR THE TWELVE MONTHS ENDED 12/31/2017</v>
      </c>
      <c r="G378" s="329"/>
      <c r="H378" s="17"/>
      <c r="I378" s="17"/>
      <c r="J378" s="17"/>
      <c r="K378" s="183" t="str">
        <f>"WITNESS: "&amp;Input!$B$5</f>
        <v>WITNESS: C. NOTESTONE</v>
      </c>
    </row>
    <row r="379" spans="1:11" ht="11.25" x14ac:dyDescent="0.2">
      <c r="A379" s="325" t="s">
        <v>5</v>
      </c>
      <c r="B379" s="3" t="s">
        <v>6</v>
      </c>
      <c r="C379" s="3"/>
      <c r="D379" s="325" t="s">
        <v>811</v>
      </c>
      <c r="E379" s="325" t="s">
        <v>8</v>
      </c>
      <c r="F379" s="3"/>
      <c r="G379" s="3"/>
      <c r="H379" s="3"/>
      <c r="I379" s="3"/>
      <c r="J379" s="3"/>
      <c r="K379" s="3"/>
    </row>
    <row r="380" spans="1:11" ht="11.25" x14ac:dyDescent="0.2">
      <c r="A380" s="341" t="s">
        <v>9</v>
      </c>
      <c r="B380" s="341" t="s">
        <v>9</v>
      </c>
      <c r="C380" s="34" t="str">
        <f>Classification!C128</f>
        <v xml:space="preserve"> ACCOUNT TITLE</v>
      </c>
      <c r="D380" s="341" t="s">
        <v>10</v>
      </c>
      <c r="E380" s="341" t="s">
        <v>11</v>
      </c>
      <c r="F380" s="341" t="s">
        <v>804</v>
      </c>
      <c r="G380" s="341" t="s">
        <v>812</v>
      </c>
      <c r="H380" s="341" t="s">
        <v>813</v>
      </c>
      <c r="I380" s="447"/>
      <c r="J380" s="447"/>
      <c r="K380" s="447"/>
    </row>
    <row r="381" spans="1:11" ht="11.25" x14ac:dyDescent="0.2">
      <c r="A381" s="3"/>
      <c r="B381" s="342" t="s">
        <v>13</v>
      </c>
      <c r="C381" s="342" t="s">
        <v>14</v>
      </c>
      <c r="D381" s="325" t="s">
        <v>15</v>
      </c>
      <c r="E381" s="325" t="s">
        <v>16</v>
      </c>
      <c r="F381" s="325" t="s">
        <v>17</v>
      </c>
      <c r="G381" s="325" t="s">
        <v>18</v>
      </c>
      <c r="H381" s="325" t="s">
        <v>19</v>
      </c>
      <c r="I381" s="325"/>
      <c r="J381" s="325"/>
      <c r="K381" s="325"/>
    </row>
    <row r="382" spans="1:11" ht="11.25" x14ac:dyDescent="0.2">
      <c r="A382" s="3"/>
      <c r="B382" s="3"/>
      <c r="C382" s="3"/>
      <c r="D382" s="325"/>
      <c r="E382" s="325" t="s">
        <v>26</v>
      </c>
      <c r="F382" s="325" t="s">
        <v>26</v>
      </c>
      <c r="G382" s="325" t="s">
        <v>26</v>
      </c>
      <c r="H382" s="325" t="s">
        <v>26</v>
      </c>
      <c r="I382" s="325"/>
      <c r="J382" s="325"/>
      <c r="K382" s="325"/>
    </row>
    <row r="383" spans="1:11" ht="11.25" x14ac:dyDescent="0.2">
      <c r="A383" s="3">
        <v>1</v>
      </c>
      <c r="B383" s="3" t="s">
        <v>27</v>
      </c>
      <c r="C383" s="3"/>
      <c r="D383" s="325"/>
      <c r="E383" s="3"/>
      <c r="F383" s="3"/>
      <c r="G383" s="3"/>
      <c r="H383" s="3"/>
      <c r="I383" s="3"/>
      <c r="J383" s="3"/>
      <c r="K383" s="3"/>
    </row>
    <row r="384" spans="1:11" ht="11.25" x14ac:dyDescent="0.2">
      <c r="A384" s="3"/>
      <c r="B384" s="3"/>
      <c r="C384" s="3"/>
      <c r="D384" s="325"/>
      <c r="E384" s="3"/>
      <c r="F384" s="3"/>
      <c r="G384" s="3"/>
      <c r="H384" s="3"/>
      <c r="I384" s="3"/>
      <c r="J384" s="3"/>
      <c r="K384" s="3"/>
    </row>
    <row r="385" spans="1:11" ht="11.25" x14ac:dyDescent="0.2">
      <c r="A385" s="3">
        <f>A383+1</f>
        <v>2</v>
      </c>
      <c r="B385" s="24" t="str">
        <f>Input!A273</f>
        <v>480.00</v>
      </c>
      <c r="C385" s="24" t="s">
        <v>169</v>
      </c>
      <c r="D385" s="118">
        <f>'Classification Table'!$A$43</f>
        <v>22</v>
      </c>
      <c r="E385" s="3">
        <f>Input!D273</f>
        <v>49696061.100000001</v>
      </c>
      <c r="F385" s="3">
        <f ca="1">Customer!E385</f>
        <v>17486899</v>
      </c>
      <c r="G385" s="3">
        <f ca="1">Commodity!E385</f>
        <v>22106059.589999996</v>
      </c>
      <c r="H385" s="3">
        <f ca="1">Demand!E385</f>
        <v>10103102.510000005</v>
      </c>
      <c r="I385" s="3"/>
      <c r="J385" s="3"/>
      <c r="K385" s="3"/>
    </row>
    <row r="386" spans="1:11" ht="11.25" x14ac:dyDescent="0.2">
      <c r="A386" s="3">
        <f>A385+1</f>
        <v>3</v>
      </c>
      <c r="B386" s="24" t="str">
        <f>Input!A274</f>
        <v>481.10</v>
      </c>
      <c r="C386" s="24" t="s">
        <v>171</v>
      </c>
      <c r="D386" s="118">
        <f>'Classification Table'!$A$43</f>
        <v>22</v>
      </c>
      <c r="E386" s="3">
        <f>Input!D274</f>
        <v>18520317.479999997</v>
      </c>
      <c r="F386" s="3">
        <f ca="1">Customer!E386</f>
        <v>5563210</v>
      </c>
      <c r="G386" s="3">
        <f ca="1">Commodity!E386</f>
        <v>9742948</v>
      </c>
      <c r="H386" s="3">
        <f ca="1">Demand!E386</f>
        <v>3214159.4799999967</v>
      </c>
      <c r="I386" s="3"/>
      <c r="J386" s="3"/>
      <c r="K386" s="3"/>
    </row>
    <row r="387" spans="1:11" ht="11.25" x14ac:dyDescent="0.2">
      <c r="A387" s="3">
        <f>A386+1</f>
        <v>4</v>
      </c>
      <c r="B387" s="24" t="str">
        <f>Input!A275</f>
        <v>481.20</v>
      </c>
      <c r="C387" s="24" t="s">
        <v>173</v>
      </c>
      <c r="D387" s="118">
        <f>'Classification Table'!$A$43</f>
        <v>22</v>
      </c>
      <c r="E387" s="26">
        <f>Input!D275+Input!D276</f>
        <v>1458725.93</v>
      </c>
      <c r="F387" s="26">
        <f ca="1">Customer!E387</f>
        <v>434929</v>
      </c>
      <c r="G387" s="26">
        <f ca="1">Commodity!E387</f>
        <v>772515.56</v>
      </c>
      <c r="H387" s="26">
        <f ca="1">Demand!E387</f>
        <v>251281.36999999988</v>
      </c>
      <c r="I387" s="26"/>
      <c r="J387" s="26"/>
      <c r="K387" s="26"/>
    </row>
    <row r="388" spans="1:11" ht="11.25" x14ac:dyDescent="0.2">
      <c r="A388" s="3">
        <f>A387+1</f>
        <v>5</v>
      </c>
      <c r="B388" s="3"/>
      <c r="C388" s="24" t="s">
        <v>239</v>
      </c>
      <c r="D388" s="118"/>
      <c r="E388" s="3">
        <f t="shared" ref="E388:H388" si="44">SUM(E385:E387)</f>
        <v>69675104.510000005</v>
      </c>
      <c r="F388" s="3">
        <f t="shared" ca="1" si="44"/>
        <v>23485038</v>
      </c>
      <c r="G388" s="3">
        <f t="shared" ca="1" si="44"/>
        <v>32621523.149999995</v>
      </c>
      <c r="H388" s="3">
        <f t="shared" ca="1" si="44"/>
        <v>13568543.360000001</v>
      </c>
      <c r="I388" s="3"/>
      <c r="J388" s="3"/>
      <c r="K388" s="3"/>
    </row>
    <row r="389" spans="1:11" ht="11.25" x14ac:dyDescent="0.2">
      <c r="A389" s="3"/>
      <c r="B389" s="3"/>
      <c r="C389" s="3"/>
      <c r="D389" s="118"/>
      <c r="E389" s="3"/>
      <c r="F389" s="3"/>
      <c r="G389" s="3"/>
      <c r="H389" s="3"/>
      <c r="I389" s="3"/>
      <c r="J389" s="3"/>
      <c r="K389" s="3"/>
    </row>
    <row r="390" spans="1:11" ht="11.25" x14ac:dyDescent="0.2">
      <c r="A390" s="3">
        <f>A388+1</f>
        <v>6</v>
      </c>
      <c r="B390" s="24" t="str">
        <f>Input!A277</f>
        <v>487.00</v>
      </c>
      <c r="C390" s="24" t="str">
        <f>Input!B277</f>
        <v>FORFEITED DISCOUNTS</v>
      </c>
      <c r="D390" s="118">
        <f>'Classification Table'!$A$43</f>
        <v>22</v>
      </c>
      <c r="E390" s="1">
        <f>Input!D277</f>
        <v>476000</v>
      </c>
      <c r="F390" s="3">
        <f ca="1">Customer!E390</f>
        <v>231930</v>
      </c>
      <c r="G390" s="3">
        <f ca="1">Commodity!E390</f>
        <v>109434</v>
      </c>
      <c r="H390" s="3">
        <f ca="1">Demand!E390</f>
        <v>134636</v>
      </c>
      <c r="I390" s="1"/>
      <c r="J390" s="3"/>
      <c r="K390" s="3"/>
    </row>
    <row r="391" spans="1:11" ht="11.25" x14ac:dyDescent="0.2">
      <c r="A391" s="3">
        <f>A390+1</f>
        <v>7</v>
      </c>
      <c r="B391" s="24" t="str">
        <f>Input!A278</f>
        <v>488.00</v>
      </c>
      <c r="C391" s="24" t="str">
        <f>Input!B278</f>
        <v>MISC. SERVICE REVENUE</v>
      </c>
      <c r="D391" s="118">
        <f>Input!C278</f>
        <v>6</v>
      </c>
      <c r="E391" s="3">
        <f>Input!D278</f>
        <v>137000</v>
      </c>
      <c r="F391" s="3">
        <f>ROUND(VLOOKUP($D391,'Classification Table'!$A$6:$E$77,3,FALSE)*$E391,0)</f>
        <v>137000</v>
      </c>
      <c r="G391" s="3">
        <f>ROUND(VLOOKUP($D391,'Classification Table'!$A$6:$E$77,4,FALSE)*$E391,0)</f>
        <v>0</v>
      </c>
      <c r="H391" s="3">
        <f>ROUND(VLOOKUP($D391,'Classification Table'!$A$6:$E$77,5,FALSE)*$E391,0)</f>
        <v>0</v>
      </c>
      <c r="I391" s="3"/>
      <c r="J391" s="3"/>
      <c r="K391" s="3"/>
    </row>
    <row r="392" spans="1:11" ht="11.25" x14ac:dyDescent="0.2">
      <c r="A392" s="3">
        <f>A391+1</f>
        <v>8</v>
      </c>
      <c r="B392" s="24" t="str">
        <f>Input!A279</f>
        <v>489.00</v>
      </c>
      <c r="C392" s="24" t="s">
        <v>177</v>
      </c>
      <c r="D392" s="118">
        <f>'Classification Table'!$A$43</f>
        <v>22</v>
      </c>
      <c r="E392" s="221">
        <f>SUM(Input!D279:'Input'!D282)</f>
        <v>21807062.239999998</v>
      </c>
      <c r="F392" s="3">
        <f ca="1">Customer!E392</f>
        <v>10625492</v>
      </c>
      <c r="G392" s="3">
        <f ca="1">Commodity!E392</f>
        <v>5042664</v>
      </c>
      <c r="H392" s="3">
        <f ca="1">Demand!E392</f>
        <v>6138906.2399999993</v>
      </c>
      <c r="I392" s="3"/>
      <c r="J392" s="3"/>
      <c r="K392" s="3"/>
    </row>
    <row r="393" spans="1:11" ht="11.25" x14ac:dyDescent="0.2">
      <c r="A393" s="3">
        <f>A392+1</f>
        <v>9</v>
      </c>
      <c r="B393" s="24">
        <f>Input!A283</f>
        <v>495</v>
      </c>
      <c r="C393" s="24" t="str">
        <f>Input!B283</f>
        <v>OTHER</v>
      </c>
      <c r="D393" s="118">
        <f>Input!C283</f>
        <v>6</v>
      </c>
      <c r="E393" s="26">
        <f>Input!D283</f>
        <v>587000</v>
      </c>
      <c r="F393" s="26">
        <f>ROUND(VLOOKUP($D393,'Classification Table'!$A$6:$E$77,3,FALSE)*$E393,0)</f>
        <v>587000</v>
      </c>
      <c r="G393" s="26">
        <f>ROUND(VLOOKUP($D393,'Classification Table'!$A$6:$E$77,4,FALSE)*$E393,0)</f>
        <v>0</v>
      </c>
      <c r="H393" s="26">
        <f>ROUND(VLOOKUP($D393,'Classification Table'!$A$6:$E$77,5,FALSE)*$E393,0)</f>
        <v>0</v>
      </c>
      <c r="I393" s="26"/>
      <c r="J393" s="26"/>
      <c r="K393" s="26"/>
    </row>
    <row r="394" spans="1:11" ht="11.25" x14ac:dyDescent="0.2">
      <c r="A394" s="3">
        <f>A393+1</f>
        <v>10</v>
      </c>
      <c r="B394" s="3"/>
      <c r="C394" s="3" t="s">
        <v>253</v>
      </c>
      <c r="D394" s="118"/>
      <c r="E394" s="26">
        <f t="shared" ref="E394:H394" si="45">SUM(E390:E393)</f>
        <v>23007062.239999998</v>
      </c>
      <c r="F394" s="26">
        <f t="shared" ca="1" si="45"/>
        <v>11581422</v>
      </c>
      <c r="G394" s="26">
        <f t="shared" ca="1" si="45"/>
        <v>5152098</v>
      </c>
      <c r="H394" s="26">
        <f t="shared" ca="1" si="45"/>
        <v>6273542.2399999993</v>
      </c>
      <c r="I394" s="26"/>
      <c r="J394" s="26"/>
      <c r="K394" s="26"/>
    </row>
    <row r="395" spans="1:11" ht="11.25" x14ac:dyDescent="0.2">
      <c r="A395" s="3"/>
      <c r="B395" s="3"/>
      <c r="C395" s="3"/>
      <c r="D395" s="325"/>
      <c r="E395" s="3"/>
      <c r="F395" s="3"/>
      <c r="G395" s="3"/>
      <c r="H395" s="3"/>
      <c r="I395" s="3"/>
      <c r="J395" s="3"/>
      <c r="K395" s="3"/>
    </row>
    <row r="396" spans="1:11" ht="11.25" x14ac:dyDescent="0.2">
      <c r="A396" s="3">
        <f>A394+1</f>
        <v>11</v>
      </c>
      <c r="B396" s="3"/>
      <c r="C396" s="3" t="s">
        <v>256</v>
      </c>
      <c r="D396" s="325"/>
      <c r="E396" s="3">
        <f t="shared" ref="E396:H396" si="46">E388+E394</f>
        <v>92682166.75</v>
      </c>
      <c r="F396" s="3">
        <f t="shared" ca="1" si="46"/>
        <v>35066460</v>
      </c>
      <c r="G396" s="3">
        <f t="shared" ca="1" si="46"/>
        <v>37773621.149999991</v>
      </c>
      <c r="H396" s="3">
        <f t="shared" ca="1" si="46"/>
        <v>19842085.600000001</v>
      </c>
      <c r="I396" s="3"/>
      <c r="J396" s="3"/>
      <c r="K396" s="3"/>
    </row>
    <row r="397" spans="1:11" ht="11.25" x14ac:dyDescent="0.2">
      <c r="A397" s="3" t="s">
        <v>811</v>
      </c>
      <c r="B397" s="3"/>
      <c r="C397" s="3"/>
      <c r="D397" s="325"/>
      <c r="E397" s="3"/>
      <c r="F397" s="325" t="str">
        <f>" "&amp;+Input!$B$1</f>
        <v xml:space="preserve"> COLUMBIA GAS OF KENTUCKY, INC.</v>
      </c>
      <c r="H397" s="3"/>
      <c r="I397" s="3"/>
      <c r="J397" s="3"/>
      <c r="K397" s="32" t="str">
        <f>Input!$B$2</f>
        <v>ATTACHMENT CEN-2</v>
      </c>
    </row>
    <row r="398" spans="1:11" ht="11.25" x14ac:dyDescent="0.2">
      <c r="A398" s="3" t="str">
        <f>Input!$B$7</f>
        <v>DEMAND-COMMODITY</v>
      </c>
      <c r="B398" s="3"/>
      <c r="C398" s="3"/>
      <c r="D398" s="325"/>
      <c r="E398" s="3"/>
      <c r="F398" s="325" t="s">
        <v>60</v>
      </c>
      <c r="H398" s="3"/>
      <c r="I398" s="3"/>
      <c r="J398" s="3"/>
      <c r="K398" s="32" t="s">
        <v>1113</v>
      </c>
    </row>
    <row r="399" spans="1:11" ht="11.25" x14ac:dyDescent="0.2">
      <c r="A399" s="17" t="str">
        <f>Input!$B$6</f>
        <v>FORECASTED TEST YEAR - ORIGINAL FILING</v>
      </c>
      <c r="B399" s="17"/>
      <c r="C399" s="17"/>
      <c r="D399" s="34"/>
      <c r="E399" s="18"/>
      <c r="F399" s="19" t="str">
        <f>"FOR THE TWELVE MONTHS ENDED "&amp;Input!$B$4</f>
        <v>FOR THE TWELVE MONTHS ENDED 12/31/2017</v>
      </c>
      <c r="G399" s="329"/>
      <c r="H399" s="17"/>
      <c r="I399" s="17"/>
      <c r="J399" s="17"/>
      <c r="K399" s="183" t="str">
        <f>"WITNESS: "&amp;Input!$B$5</f>
        <v>WITNESS: C. NOTESTONE</v>
      </c>
    </row>
    <row r="400" spans="1:11" ht="11.25" x14ac:dyDescent="0.2">
      <c r="A400" s="325" t="s">
        <v>5</v>
      </c>
      <c r="B400" s="3" t="s">
        <v>6</v>
      </c>
      <c r="C400" s="3"/>
      <c r="D400" s="325" t="s">
        <v>811</v>
      </c>
      <c r="E400" s="325" t="s">
        <v>8</v>
      </c>
      <c r="F400" s="3"/>
      <c r="G400" s="3"/>
      <c r="H400" s="3"/>
      <c r="I400" s="3"/>
      <c r="J400" s="3"/>
      <c r="K400" s="3"/>
    </row>
    <row r="401" spans="1:11" ht="11.25" x14ac:dyDescent="0.2">
      <c r="A401" s="341" t="s">
        <v>9</v>
      </c>
      <c r="B401" s="341" t="s">
        <v>9</v>
      </c>
      <c r="C401" s="34" t="str">
        <f>Classification!C128</f>
        <v xml:space="preserve"> ACCOUNT TITLE</v>
      </c>
      <c r="D401" s="341" t="s">
        <v>10</v>
      </c>
      <c r="E401" s="341" t="s">
        <v>11</v>
      </c>
      <c r="F401" s="341" t="s">
        <v>804</v>
      </c>
      <c r="G401" s="341" t="s">
        <v>812</v>
      </c>
      <c r="H401" s="341" t="s">
        <v>813</v>
      </c>
      <c r="I401" s="447"/>
      <c r="J401" s="447"/>
      <c r="K401" s="447"/>
    </row>
    <row r="402" spans="1:11" ht="11.25" x14ac:dyDescent="0.2">
      <c r="A402" s="3"/>
      <c r="B402" s="342" t="s">
        <v>13</v>
      </c>
      <c r="C402" s="342" t="s">
        <v>14</v>
      </c>
      <c r="D402" s="325" t="s">
        <v>15</v>
      </c>
      <c r="E402" s="325" t="s">
        <v>16</v>
      </c>
      <c r="F402" s="325" t="s">
        <v>17</v>
      </c>
      <c r="G402" s="325" t="s">
        <v>18</v>
      </c>
      <c r="H402" s="325" t="s">
        <v>19</v>
      </c>
      <c r="I402" s="325"/>
      <c r="J402" s="325"/>
      <c r="K402" s="325"/>
    </row>
    <row r="403" spans="1:11" ht="11.25" x14ac:dyDescent="0.2">
      <c r="A403" s="3"/>
      <c r="B403" s="3"/>
      <c r="C403" s="3"/>
      <c r="D403" s="325"/>
      <c r="E403" s="325" t="s">
        <v>26</v>
      </c>
      <c r="F403" s="325" t="s">
        <v>26</v>
      </c>
      <c r="G403" s="325" t="s">
        <v>26</v>
      </c>
      <c r="H403" s="325" t="s">
        <v>26</v>
      </c>
      <c r="I403" s="325"/>
      <c r="J403" s="325"/>
      <c r="K403" s="325"/>
    </row>
    <row r="404" spans="1:11" ht="11.25" x14ac:dyDescent="0.2">
      <c r="A404" s="3">
        <v>1</v>
      </c>
      <c r="B404" s="3" t="s">
        <v>263</v>
      </c>
      <c r="C404" s="3"/>
      <c r="D404" s="325"/>
      <c r="E404" s="3"/>
      <c r="F404" s="3"/>
      <c r="G404" s="3"/>
      <c r="H404" s="3"/>
      <c r="I404" s="3"/>
      <c r="J404" s="3"/>
      <c r="K404" s="3"/>
    </row>
    <row r="405" spans="1:11" ht="11.25" x14ac:dyDescent="0.2">
      <c r="A405" s="3"/>
      <c r="B405" s="3"/>
      <c r="C405" s="3"/>
      <c r="D405" s="325"/>
      <c r="E405" s="3"/>
      <c r="F405" s="3"/>
      <c r="G405" s="3"/>
      <c r="H405" s="3"/>
      <c r="I405" s="3"/>
      <c r="J405" s="3"/>
      <c r="K405" s="3"/>
    </row>
    <row r="406" spans="1:11" ht="11.25" x14ac:dyDescent="0.2">
      <c r="A406" s="3">
        <f>A404+1</f>
        <v>2</v>
      </c>
      <c r="B406" s="3"/>
      <c r="C406" s="3" t="s">
        <v>266</v>
      </c>
      <c r="D406" s="325"/>
      <c r="E406" s="3"/>
      <c r="F406" s="3"/>
      <c r="G406" s="3"/>
      <c r="H406" s="3"/>
      <c r="I406" s="3"/>
      <c r="J406" s="3"/>
      <c r="K406" s="3"/>
    </row>
    <row r="407" spans="1:11" ht="11.25" x14ac:dyDescent="0.2">
      <c r="A407" s="3"/>
      <c r="B407" s="3"/>
      <c r="C407" s="3"/>
      <c r="D407" s="325"/>
      <c r="E407" s="3"/>
      <c r="F407" s="3"/>
      <c r="G407" s="3"/>
      <c r="H407" s="3"/>
      <c r="I407" s="3"/>
      <c r="J407" s="3"/>
      <c r="K407" s="3"/>
    </row>
    <row r="408" spans="1:11" ht="11.25" x14ac:dyDescent="0.2">
      <c r="A408" s="3">
        <f>A406+1</f>
        <v>3</v>
      </c>
      <c r="B408" s="24" t="str">
        <f>Input!A317</f>
        <v>717</v>
      </c>
      <c r="C408" s="24" t="str">
        <f>Input!B317</f>
        <v>LIQUE PETRO GAS EXP - LABOR</v>
      </c>
      <c r="D408" s="325">
        <f>Input!C317</f>
        <v>2</v>
      </c>
      <c r="E408" s="3">
        <f>Input!D317</f>
        <v>0</v>
      </c>
      <c r="F408" s="3">
        <f>ROUND(VLOOKUP($D408,'Classification Table'!$A$6:$E$77,3,FALSE)*$E408,0)</f>
        <v>0</v>
      </c>
      <c r="G408" s="3">
        <f>ROUND(VLOOKUP($D408,'Classification Table'!$A$6:$E$77,4,FALSE)*$E408,0)</f>
        <v>0</v>
      </c>
      <c r="H408" s="3">
        <f>ROUND(VLOOKUP($D408,'Classification Table'!$A$6:$E$77,5,FALSE)*$E408,0)</f>
        <v>0</v>
      </c>
      <c r="I408" s="3"/>
      <c r="J408" s="3"/>
      <c r="K408" s="3"/>
    </row>
    <row r="409" spans="1:11" ht="11.25" x14ac:dyDescent="0.2">
      <c r="A409" s="3">
        <f>A408+1</f>
        <v>4</v>
      </c>
      <c r="B409" s="24" t="str">
        <f>Input!A318</f>
        <v>717</v>
      </c>
      <c r="C409" s="24" t="str">
        <f>Input!B318</f>
        <v>LIQUE PETRO GAS EXP - M&amp;E</v>
      </c>
      <c r="D409" s="325">
        <f>Input!C318</f>
        <v>2</v>
      </c>
      <c r="E409" s="3">
        <f>Input!D318</f>
        <v>2139</v>
      </c>
      <c r="F409" s="3">
        <f>ROUND(VLOOKUP($D409,'Classification Table'!$A$6:$E$77,3,FALSE)*$E409,0)</f>
        <v>0</v>
      </c>
      <c r="G409" s="3">
        <f>ROUND(VLOOKUP($D409,'Classification Table'!$A$6:$E$77,4,FALSE)*$E409,0)</f>
        <v>0</v>
      </c>
      <c r="H409" s="3">
        <f>ROUND(VLOOKUP($D409,'Classification Table'!$A$6:$E$77,5,FALSE)*$E409,0)</f>
        <v>2139</v>
      </c>
      <c r="I409" s="3"/>
      <c r="J409" s="3"/>
      <c r="K409" s="3"/>
    </row>
    <row r="410" spans="1:11" ht="11.25" x14ac:dyDescent="0.2">
      <c r="A410" s="3">
        <f>A409+1</f>
        <v>5</v>
      </c>
      <c r="B410" s="24" t="str">
        <f>Input!A319</f>
        <v>723</v>
      </c>
      <c r="C410" s="24" t="str">
        <f>Input!B319</f>
        <v>LIQUIFIED PETROLEUM GAS PROCESS</v>
      </c>
      <c r="D410" s="325">
        <f>Input!C319</f>
        <v>2</v>
      </c>
      <c r="E410" s="3">
        <f>Input!D319</f>
        <v>0</v>
      </c>
      <c r="F410" s="3">
        <f>ROUND(VLOOKUP($D410,'Classification Table'!$A$6:$E$77,3,FALSE)*$E410,0)</f>
        <v>0</v>
      </c>
      <c r="G410" s="3">
        <f>ROUND(VLOOKUP($D410,'Classification Table'!$A$6:$E$77,4,FALSE)*$E410,0)</f>
        <v>0</v>
      </c>
      <c r="H410" s="3">
        <f>ROUND(VLOOKUP($D410,'Classification Table'!$A$6:$E$77,5,FALSE)*$E410,0)</f>
        <v>0</v>
      </c>
      <c r="I410" s="3"/>
      <c r="J410" s="3"/>
      <c r="K410" s="3"/>
    </row>
    <row r="411" spans="1:11" ht="11.25" x14ac:dyDescent="0.2">
      <c r="A411" s="3">
        <f>A410+1</f>
        <v>6</v>
      </c>
      <c r="B411" s="24" t="str">
        <f>Input!A320</f>
        <v>728</v>
      </c>
      <c r="C411" s="24" t="str">
        <f>Input!B320</f>
        <v xml:space="preserve">LIQUIFIED PETROLEUM GAS </v>
      </c>
      <c r="D411" s="325">
        <f>Input!C320</f>
        <v>2</v>
      </c>
      <c r="E411" s="26">
        <f>Input!D320</f>
        <v>0</v>
      </c>
      <c r="F411" s="26">
        <f>ROUND(VLOOKUP($D411,'Classification Table'!$A$6:$E$77,3,FALSE)*$E411,0)</f>
        <v>0</v>
      </c>
      <c r="G411" s="26">
        <f>ROUND(VLOOKUP($D411,'Classification Table'!$A$6:$E$77,4,FALSE)*$E411,0)</f>
        <v>0</v>
      </c>
      <c r="H411" s="26">
        <f>ROUND(VLOOKUP($D411,'Classification Table'!$A$6:$E$77,5,FALSE)*$E411,0)</f>
        <v>0</v>
      </c>
      <c r="I411" s="26"/>
      <c r="J411" s="26"/>
      <c r="K411" s="26"/>
    </row>
    <row r="412" spans="1:11" ht="11.25" x14ac:dyDescent="0.2">
      <c r="A412" s="3">
        <f>A411+1</f>
        <v>7</v>
      </c>
      <c r="B412" s="3"/>
      <c r="C412" s="3" t="s">
        <v>271</v>
      </c>
      <c r="D412" s="325"/>
      <c r="E412" s="3">
        <f t="shared" ref="E412:H412" si="47">SUM(E408:E411)</f>
        <v>2139</v>
      </c>
      <c r="F412" s="3">
        <f t="shared" si="47"/>
        <v>0</v>
      </c>
      <c r="G412" s="3">
        <f t="shared" si="47"/>
        <v>0</v>
      </c>
      <c r="H412" s="3">
        <f t="shared" si="47"/>
        <v>2139</v>
      </c>
      <c r="I412" s="3"/>
      <c r="J412" s="3"/>
      <c r="K412" s="3"/>
    </row>
    <row r="413" spans="1:11" ht="11.25" x14ac:dyDescent="0.2">
      <c r="A413" s="3"/>
      <c r="B413" s="3"/>
      <c r="C413" s="3"/>
      <c r="D413" s="325"/>
      <c r="E413" s="3"/>
      <c r="F413" s="3"/>
      <c r="G413" s="3"/>
      <c r="H413" s="3"/>
      <c r="I413" s="3"/>
      <c r="J413" s="3"/>
      <c r="K413" s="3"/>
    </row>
    <row r="414" spans="1:11" ht="11.25" x14ac:dyDescent="0.2">
      <c r="A414" s="3">
        <f>A412+1</f>
        <v>8</v>
      </c>
      <c r="B414" s="3"/>
      <c r="C414" s="3" t="s">
        <v>272</v>
      </c>
      <c r="D414" s="325"/>
      <c r="E414" s="3"/>
      <c r="F414" s="3"/>
      <c r="G414" s="3"/>
      <c r="H414" s="3"/>
      <c r="I414" s="3"/>
      <c r="J414" s="3"/>
      <c r="K414" s="3"/>
    </row>
    <row r="415" spans="1:11" ht="11.25" x14ac:dyDescent="0.2">
      <c r="A415" s="3"/>
      <c r="B415" s="3"/>
      <c r="C415" s="3"/>
      <c r="D415" s="325"/>
      <c r="E415" s="3"/>
      <c r="F415" s="3"/>
      <c r="G415" s="3"/>
      <c r="H415" s="3"/>
      <c r="I415" s="3"/>
      <c r="J415" s="3"/>
      <c r="K415" s="3"/>
    </row>
    <row r="416" spans="1:11" ht="11.25" x14ac:dyDescent="0.2">
      <c r="A416" s="3">
        <f>A414+1</f>
        <v>9</v>
      </c>
      <c r="B416" s="24" t="str">
        <f>Input!A321</f>
        <v>741</v>
      </c>
      <c r="C416" s="24" t="str">
        <f>Input!B321</f>
        <v>STRUCTURES &amp; IMPROV - LABOR</v>
      </c>
      <c r="D416" s="325">
        <f>Input!C321</f>
        <v>2</v>
      </c>
      <c r="E416" s="3">
        <f>Input!D321</f>
        <v>0</v>
      </c>
      <c r="F416" s="3">
        <f>ROUND(VLOOKUP($D416,'Classification Table'!$A$6:$E$77,3,FALSE)*$E416,0)</f>
        <v>0</v>
      </c>
      <c r="G416" s="3">
        <f>ROUND(VLOOKUP($D416,'Classification Table'!$A$6:$E$77,4,FALSE)*$E416,0)</f>
        <v>0</v>
      </c>
      <c r="H416" s="3">
        <f>ROUND(VLOOKUP($D416,'Classification Table'!$A$6:$E$77,5,FALSE)*$E416,0)</f>
        <v>0</v>
      </c>
      <c r="I416" s="3"/>
      <c r="J416" s="3"/>
      <c r="K416" s="3"/>
    </row>
    <row r="417" spans="1:11" ht="11.25" x14ac:dyDescent="0.2">
      <c r="A417" s="3">
        <f>A416+1</f>
        <v>10</v>
      </c>
      <c r="B417" s="24" t="str">
        <f>Input!A322</f>
        <v>741</v>
      </c>
      <c r="C417" s="24" t="str">
        <f>Input!B322</f>
        <v>STRUCTURES &amp; IMPROV - M&amp;E</v>
      </c>
      <c r="D417" s="325">
        <f>Input!C322</f>
        <v>2</v>
      </c>
      <c r="E417" s="3">
        <f>Input!D322</f>
        <v>0</v>
      </c>
      <c r="F417" s="3">
        <f>ROUND(VLOOKUP($D417,'Classification Table'!$A$6:$E$77,3,FALSE)*$E417,0)</f>
        <v>0</v>
      </c>
      <c r="G417" s="3">
        <f>ROUND(VLOOKUP($D417,'Classification Table'!$A$6:$E$77,4,FALSE)*$E417,0)</f>
        <v>0</v>
      </c>
      <c r="H417" s="3">
        <f>ROUND(VLOOKUP($D417,'Classification Table'!$A$6:$E$77,5,FALSE)*$E417,0)</f>
        <v>0</v>
      </c>
      <c r="I417" s="3"/>
      <c r="J417" s="3"/>
      <c r="K417" s="3"/>
    </row>
    <row r="418" spans="1:11" ht="11.25" x14ac:dyDescent="0.2">
      <c r="A418" s="3">
        <f>A417+1</f>
        <v>11</v>
      </c>
      <c r="B418" s="24" t="str">
        <f>Input!A323</f>
        <v>742</v>
      </c>
      <c r="C418" s="24" t="str">
        <f>Input!B323</f>
        <v>PRODUCTION EQUIPMENT - LABOR</v>
      </c>
      <c r="D418" s="325">
        <f>Input!C323</f>
        <v>2</v>
      </c>
      <c r="E418" s="3">
        <f>Input!D323</f>
        <v>0</v>
      </c>
      <c r="F418" s="3">
        <f>ROUND(VLOOKUP($D418,'Classification Table'!$A$6:$E$77,3,FALSE)*$E418,0)</f>
        <v>0</v>
      </c>
      <c r="G418" s="3">
        <f>ROUND(VLOOKUP($D418,'Classification Table'!$A$6:$E$77,4,FALSE)*$E418,0)</f>
        <v>0</v>
      </c>
      <c r="H418" s="3">
        <f>ROUND(VLOOKUP($D418,'Classification Table'!$A$6:$E$77,5,FALSE)*$E418,0)</f>
        <v>0</v>
      </c>
      <c r="I418" s="3"/>
      <c r="J418" s="3"/>
      <c r="K418" s="3"/>
    </row>
    <row r="419" spans="1:11" ht="11.25" x14ac:dyDescent="0.2">
      <c r="A419" s="3">
        <f>A418+1</f>
        <v>12</v>
      </c>
      <c r="B419" s="24" t="str">
        <f>Input!A324</f>
        <v>742</v>
      </c>
      <c r="C419" s="24" t="str">
        <f>Input!B324</f>
        <v>PRODUCTION EQUIPMENT - M&amp;E</v>
      </c>
      <c r="D419" s="325">
        <f>Input!C324</f>
        <v>2</v>
      </c>
      <c r="E419" s="26">
        <f>Input!D324</f>
        <v>0</v>
      </c>
      <c r="F419" s="26">
        <f>ROUND(VLOOKUP($D419,'Classification Table'!$A$6:$E$77,3,FALSE)*$E419,0)</f>
        <v>0</v>
      </c>
      <c r="G419" s="26">
        <f>ROUND(VLOOKUP($D419,'Classification Table'!$A$6:$E$77,4,FALSE)*$E419,0)</f>
        <v>0</v>
      </c>
      <c r="H419" s="26">
        <f>ROUND(VLOOKUP($D419,'Classification Table'!$A$6:$E$77,5,FALSE)*$E419,0)</f>
        <v>0</v>
      </c>
      <c r="I419" s="26"/>
      <c r="J419" s="26"/>
      <c r="K419" s="26"/>
    </row>
    <row r="420" spans="1:11" ht="11.25" x14ac:dyDescent="0.2">
      <c r="A420" s="3">
        <f>A419+1</f>
        <v>13</v>
      </c>
      <c r="B420" s="3"/>
      <c r="C420" s="3" t="s">
        <v>273</v>
      </c>
      <c r="D420" s="325"/>
      <c r="E420" s="26">
        <f t="shared" ref="E420:H420" si="48">SUM(E416:E419)</f>
        <v>0</v>
      </c>
      <c r="F420" s="26">
        <f t="shared" si="48"/>
        <v>0</v>
      </c>
      <c r="G420" s="26">
        <f t="shared" si="48"/>
        <v>0</v>
      </c>
      <c r="H420" s="26">
        <f t="shared" si="48"/>
        <v>0</v>
      </c>
      <c r="I420" s="26"/>
      <c r="J420" s="26"/>
      <c r="K420" s="26"/>
    </row>
    <row r="421" spans="1:11" ht="11.25" x14ac:dyDescent="0.2">
      <c r="A421" s="3"/>
      <c r="B421" s="3"/>
      <c r="C421" s="3"/>
      <c r="D421" s="325"/>
      <c r="E421" s="3"/>
      <c r="F421" s="3"/>
      <c r="G421" s="3"/>
      <c r="H421" s="3"/>
      <c r="I421" s="3"/>
      <c r="J421" s="3"/>
      <c r="K421" s="3"/>
    </row>
    <row r="422" spans="1:11" ht="11.25" x14ac:dyDescent="0.2">
      <c r="A422" s="3">
        <f>A420+1</f>
        <v>14</v>
      </c>
      <c r="B422" s="3"/>
      <c r="C422" s="3" t="s">
        <v>274</v>
      </c>
      <c r="D422" s="325"/>
      <c r="E422" s="3">
        <f t="shared" ref="E422:H422" si="49">E412+E420</f>
        <v>2139</v>
      </c>
      <c r="F422" s="3">
        <f t="shared" si="49"/>
        <v>0</v>
      </c>
      <c r="G422" s="3">
        <f t="shared" si="49"/>
        <v>0</v>
      </c>
      <c r="H422" s="3">
        <f t="shared" si="49"/>
        <v>2139</v>
      </c>
      <c r="I422" s="3"/>
      <c r="J422" s="3"/>
      <c r="K422" s="3"/>
    </row>
    <row r="423" spans="1:11" ht="11.25" x14ac:dyDescent="0.2">
      <c r="A423" s="3"/>
      <c r="B423" s="3"/>
      <c r="C423" s="3"/>
      <c r="D423" s="325"/>
      <c r="E423" s="3"/>
      <c r="F423" s="3"/>
      <c r="G423" s="3"/>
      <c r="H423" s="3"/>
      <c r="I423" s="3"/>
      <c r="J423" s="3"/>
      <c r="K423" s="3"/>
    </row>
    <row r="424" spans="1:11" ht="11.25" x14ac:dyDescent="0.2">
      <c r="A424" s="3">
        <f>A422+1</f>
        <v>15</v>
      </c>
      <c r="B424" s="3"/>
      <c r="C424" s="3" t="s">
        <v>275</v>
      </c>
      <c r="D424" s="325"/>
      <c r="E424" s="3"/>
      <c r="F424" s="3"/>
      <c r="G424" s="3"/>
      <c r="H424" s="3"/>
      <c r="I424" s="3"/>
      <c r="J424" s="3"/>
      <c r="K424" s="3"/>
    </row>
    <row r="425" spans="1:11" ht="11.25" x14ac:dyDescent="0.2">
      <c r="A425" s="3"/>
      <c r="B425" s="3"/>
      <c r="C425" s="3"/>
      <c r="D425" s="325"/>
      <c r="E425" s="3"/>
      <c r="F425" s="3"/>
      <c r="G425" s="3"/>
      <c r="H425" s="3"/>
      <c r="I425" s="3"/>
      <c r="J425" s="3"/>
      <c r="K425" s="3"/>
    </row>
    <row r="426" spans="1:11" ht="11.25" x14ac:dyDescent="0.2">
      <c r="A426" s="3">
        <f>A424+1</f>
        <v>16</v>
      </c>
      <c r="B426" s="24" t="s">
        <v>276</v>
      </c>
      <c r="C426" s="3"/>
      <c r="D426" s="325"/>
      <c r="E426" s="3"/>
      <c r="F426" s="3"/>
      <c r="G426" s="3"/>
      <c r="H426" s="3"/>
      <c r="I426" s="3"/>
      <c r="J426" s="3"/>
      <c r="K426" s="3"/>
    </row>
    <row r="427" spans="1:11" ht="11.25" x14ac:dyDescent="0.2">
      <c r="A427" s="3">
        <f>A426+1</f>
        <v>17</v>
      </c>
      <c r="B427" s="3" t="s">
        <v>277</v>
      </c>
      <c r="C427" s="3" t="str">
        <f>Input!B325</f>
        <v>COST OF GAS @ CITY GATE</v>
      </c>
      <c r="D427" s="325">
        <f>Input!C325</f>
        <v>9</v>
      </c>
      <c r="E427" s="3">
        <f>Input!D325</f>
        <v>21475950.109999996</v>
      </c>
      <c r="F427" s="3">
        <f>ROUND(VLOOKUP($D427,'Classification Table'!$A$6:$E$77,3,FALSE)*$E427,0)</f>
        <v>0</v>
      </c>
      <c r="G427" s="3">
        <f>ROUND(VLOOKUP($D427,'Classification Table'!$A$6:$E$77,4,FALSE)*$E427,0)</f>
        <v>21475950</v>
      </c>
      <c r="H427" s="3">
        <f>ROUND(VLOOKUP($D427,'Classification Table'!$A$6:$E$77,5,FALSE)*$E427,0)</f>
        <v>0</v>
      </c>
      <c r="I427" s="3"/>
      <c r="J427" s="3"/>
      <c r="K427" s="3"/>
    </row>
    <row r="428" spans="1:11" ht="11.25" x14ac:dyDescent="0.2">
      <c r="A428" s="3">
        <f>A427+1</f>
        <v>18</v>
      </c>
      <c r="B428" s="24" t="str">
        <f>Input!A326</f>
        <v>807</v>
      </c>
      <c r="C428" s="3" t="str">
        <f>Input!B326</f>
        <v>OTHER PURCHASED GAS - LABOR</v>
      </c>
      <c r="D428" s="325">
        <f>Input!C326</f>
        <v>9</v>
      </c>
      <c r="E428" s="3">
        <f>Input!D326</f>
        <v>0</v>
      </c>
      <c r="F428" s="3">
        <f>ROUND(VLOOKUP($D428,'Classification Table'!$A$6:$E$77,3,FALSE)*$E428,0)</f>
        <v>0</v>
      </c>
      <c r="G428" s="3">
        <f>ROUND(VLOOKUP($D428,'Classification Table'!$A$6:$E$77,4,FALSE)*$E428,0)</f>
        <v>0</v>
      </c>
      <c r="H428" s="3">
        <f>ROUND(VLOOKUP($D428,'Classification Table'!$A$6:$E$77,5,FALSE)*$E428,0)</f>
        <v>0</v>
      </c>
      <c r="I428" s="3"/>
      <c r="J428" s="3"/>
      <c r="K428" s="3"/>
    </row>
    <row r="429" spans="1:11" ht="11.25" x14ac:dyDescent="0.2">
      <c r="A429" s="3">
        <f>A428+1</f>
        <v>19</v>
      </c>
      <c r="B429" s="24" t="str">
        <f>Input!A327</f>
        <v>807</v>
      </c>
      <c r="C429" s="3" t="str">
        <f>Input!B327</f>
        <v xml:space="preserve">OTHER PURCHASED GAS - M &amp; E </v>
      </c>
      <c r="D429" s="325">
        <f>Input!C327</f>
        <v>9</v>
      </c>
      <c r="E429" s="3">
        <f>Input!D327</f>
        <v>341557</v>
      </c>
      <c r="F429" s="3">
        <f>ROUND(VLOOKUP($D429,'Classification Table'!$A$6:$E$77,3,FALSE)*$E429,0)</f>
        <v>0</v>
      </c>
      <c r="G429" s="3">
        <f>ROUND(VLOOKUP($D429,'Classification Table'!$A$6:$E$77,4,FALSE)*$E429,0)</f>
        <v>341557</v>
      </c>
      <c r="H429" s="3">
        <f>ROUND(VLOOKUP($D429,'Classification Table'!$A$6:$E$77,5,FALSE)*$E429,0)</f>
        <v>0</v>
      </c>
      <c r="I429" s="3"/>
      <c r="J429" s="3"/>
      <c r="K429" s="3"/>
    </row>
    <row r="430" spans="1:11" ht="11.25" x14ac:dyDescent="0.2">
      <c r="A430" s="3">
        <f>A429+1</f>
        <v>20</v>
      </c>
      <c r="B430" s="3" t="str">
        <f>Input!A328</f>
        <v>812</v>
      </c>
      <c r="C430" s="3" t="str">
        <f>Input!B328</f>
        <v>GAS USED IN OPERATIONS</v>
      </c>
      <c r="D430" s="325">
        <f>Input!C328</f>
        <v>9</v>
      </c>
      <c r="E430" s="26">
        <f>Input!D328</f>
        <v>0</v>
      </c>
      <c r="F430" s="26">
        <f>ROUND(VLOOKUP($D430,'Classification Table'!$A$6:$E$77,3,FALSE)*$E430,0)</f>
        <v>0</v>
      </c>
      <c r="G430" s="26">
        <f>ROUND(VLOOKUP($D430,'Classification Table'!$A$6:$E$77,4,FALSE)*$E430,0)</f>
        <v>0</v>
      </c>
      <c r="H430" s="26">
        <f>ROUND(VLOOKUP($D430,'Classification Table'!$A$6:$E$77,5,FALSE)*$E430,0)</f>
        <v>0</v>
      </c>
      <c r="I430" s="26"/>
      <c r="J430" s="26"/>
      <c r="K430" s="26"/>
    </row>
    <row r="431" spans="1:11" ht="11.25" x14ac:dyDescent="0.2">
      <c r="A431" s="3">
        <f>A430+1</f>
        <v>21</v>
      </c>
      <c r="B431" s="3"/>
      <c r="C431" s="3" t="s">
        <v>278</v>
      </c>
      <c r="D431" s="325"/>
      <c r="E431" s="26">
        <f t="shared" ref="E431:H431" si="50">SUM(E427:E430)</f>
        <v>21817507.109999996</v>
      </c>
      <c r="F431" s="26">
        <f t="shared" si="50"/>
        <v>0</v>
      </c>
      <c r="G431" s="26">
        <f t="shared" si="50"/>
        <v>21817507</v>
      </c>
      <c r="H431" s="26">
        <f t="shared" si="50"/>
        <v>0</v>
      </c>
      <c r="I431" s="26"/>
      <c r="J431" s="26"/>
      <c r="K431" s="26"/>
    </row>
    <row r="432" spans="1:11" ht="11.25" x14ac:dyDescent="0.2">
      <c r="A432" s="3"/>
      <c r="B432" s="3"/>
      <c r="C432" s="3"/>
      <c r="D432" s="325"/>
      <c r="E432" s="3"/>
      <c r="F432" s="3"/>
      <c r="G432" s="3"/>
      <c r="H432" s="3"/>
      <c r="I432" s="3"/>
      <c r="J432" s="3"/>
      <c r="K432" s="3"/>
    </row>
    <row r="433" spans="1:11" ht="11.25" x14ac:dyDescent="0.2">
      <c r="A433" s="3">
        <f>A431+1</f>
        <v>22</v>
      </c>
      <c r="B433" s="3"/>
      <c r="C433" s="3" t="s">
        <v>279</v>
      </c>
      <c r="D433" s="325"/>
      <c r="E433" s="3">
        <f t="shared" ref="E433:H433" si="51">E422+E431</f>
        <v>21819646.109999996</v>
      </c>
      <c r="F433" s="3">
        <f t="shared" si="51"/>
        <v>0</v>
      </c>
      <c r="G433" s="3">
        <f t="shared" si="51"/>
        <v>21817507</v>
      </c>
      <c r="H433" s="3">
        <f t="shared" si="51"/>
        <v>2139</v>
      </c>
      <c r="I433" s="3"/>
      <c r="J433" s="3"/>
      <c r="K433" s="3"/>
    </row>
    <row r="434" spans="1:11" ht="11.25" x14ac:dyDescent="0.2">
      <c r="A434" s="3" t="s">
        <v>811</v>
      </c>
      <c r="B434" s="3"/>
      <c r="C434" s="3"/>
      <c r="D434" s="325"/>
      <c r="E434" s="3"/>
      <c r="F434" s="325" t="str">
        <f>""&amp;+Input!$B$1</f>
        <v>COLUMBIA GAS OF KENTUCKY, INC.</v>
      </c>
      <c r="H434" s="3"/>
      <c r="I434" s="3"/>
      <c r="J434" s="3"/>
      <c r="K434" s="32" t="str">
        <f>Input!$B$2</f>
        <v>ATTACHMENT CEN-2</v>
      </c>
    </row>
    <row r="435" spans="1:11" ht="11.25" x14ac:dyDescent="0.2">
      <c r="A435" s="3" t="str">
        <f>Input!$B$7</f>
        <v>DEMAND-COMMODITY</v>
      </c>
      <c r="B435" s="3"/>
      <c r="C435" s="3"/>
      <c r="D435" s="325"/>
      <c r="E435" s="3"/>
      <c r="F435" s="325" t="s">
        <v>568</v>
      </c>
      <c r="H435" s="3"/>
      <c r="I435" s="3"/>
      <c r="J435" s="3"/>
      <c r="K435" s="32" t="s">
        <v>1114</v>
      </c>
    </row>
    <row r="436" spans="1:11" ht="11.25" x14ac:dyDescent="0.2">
      <c r="A436" s="17" t="str">
        <f>Input!$B$6</f>
        <v>FORECASTED TEST YEAR - ORIGINAL FILING</v>
      </c>
      <c r="B436" s="17"/>
      <c r="C436" s="17"/>
      <c r="D436" s="34"/>
      <c r="E436" s="18"/>
      <c r="F436" s="19" t="str">
        <f>"FOR THE TWELVE MONTHS ENDED "&amp;Input!$B$4</f>
        <v>FOR THE TWELVE MONTHS ENDED 12/31/2017</v>
      </c>
      <c r="G436" s="329"/>
      <c r="H436" s="17"/>
      <c r="I436" s="17"/>
      <c r="J436" s="17"/>
      <c r="K436" s="183" t="str">
        <f>"WITNESS: "&amp;Input!$B$5</f>
        <v>WITNESS: C. NOTESTONE</v>
      </c>
    </row>
    <row r="437" spans="1:11" ht="11.25" x14ac:dyDescent="0.2">
      <c r="A437" s="325" t="s">
        <v>5</v>
      </c>
      <c r="B437" s="3" t="s">
        <v>6</v>
      </c>
      <c r="C437" s="3"/>
      <c r="D437" s="325" t="s">
        <v>811</v>
      </c>
      <c r="E437" s="325" t="s">
        <v>8</v>
      </c>
      <c r="F437" s="3"/>
      <c r="G437" s="3"/>
      <c r="H437" s="3"/>
      <c r="I437" s="3"/>
      <c r="J437" s="3"/>
      <c r="K437" s="3"/>
    </row>
    <row r="438" spans="1:11" ht="11.25" x14ac:dyDescent="0.2">
      <c r="A438" s="341" t="s">
        <v>9</v>
      </c>
      <c r="B438" s="341" t="s">
        <v>9</v>
      </c>
      <c r="C438" s="34" t="str">
        <f>Classification!C128</f>
        <v xml:space="preserve"> ACCOUNT TITLE</v>
      </c>
      <c r="D438" s="341" t="s">
        <v>10</v>
      </c>
      <c r="E438" s="341" t="s">
        <v>11</v>
      </c>
      <c r="F438" s="341" t="s">
        <v>804</v>
      </c>
      <c r="G438" s="341" t="s">
        <v>812</v>
      </c>
      <c r="H438" s="341" t="s">
        <v>813</v>
      </c>
      <c r="I438" s="447"/>
      <c r="J438" s="447"/>
      <c r="K438" s="447"/>
    </row>
    <row r="439" spans="1:11" ht="11.25" x14ac:dyDescent="0.2">
      <c r="A439" s="3"/>
      <c r="B439" s="342" t="s">
        <v>13</v>
      </c>
      <c r="C439" s="342" t="s">
        <v>14</v>
      </c>
      <c r="D439" s="325" t="s">
        <v>15</v>
      </c>
      <c r="E439" s="325" t="s">
        <v>16</v>
      </c>
      <c r="F439" s="325" t="s">
        <v>17</v>
      </c>
      <c r="G439" s="325" t="s">
        <v>18</v>
      </c>
      <c r="H439" s="325" t="s">
        <v>19</v>
      </c>
      <c r="I439" s="3"/>
      <c r="J439" s="325"/>
      <c r="K439" s="325"/>
    </row>
    <row r="440" spans="1:11" ht="11.25" x14ac:dyDescent="0.2">
      <c r="A440" s="3"/>
      <c r="B440" s="3"/>
      <c r="C440" s="3"/>
      <c r="D440" s="325"/>
      <c r="E440" s="325" t="s">
        <v>26</v>
      </c>
      <c r="F440" s="325" t="s">
        <v>26</v>
      </c>
      <c r="G440" s="325" t="s">
        <v>26</v>
      </c>
      <c r="H440" s="325" t="s">
        <v>26</v>
      </c>
      <c r="I440" s="325"/>
      <c r="J440" s="325"/>
      <c r="K440" s="325"/>
    </row>
    <row r="441" spans="1:11" ht="11.25" x14ac:dyDescent="0.2">
      <c r="A441" s="3">
        <v>1</v>
      </c>
      <c r="B441" s="3"/>
      <c r="C441" s="3" t="str">
        <f>Input!A338</f>
        <v>DISTRIBUTION EXPENSES</v>
      </c>
      <c r="D441" s="325"/>
      <c r="E441" s="3"/>
      <c r="F441" s="3"/>
      <c r="G441" s="3"/>
      <c r="H441" s="3"/>
      <c r="I441" s="3"/>
      <c r="J441" s="3"/>
      <c r="K441" s="3"/>
    </row>
    <row r="442" spans="1:11" ht="11.25" x14ac:dyDescent="0.2">
      <c r="A442" s="3"/>
      <c r="B442" s="3"/>
      <c r="C442" s="3"/>
      <c r="D442" s="325"/>
      <c r="E442" s="3"/>
      <c r="F442" s="3"/>
      <c r="G442" s="3"/>
      <c r="H442" s="3"/>
      <c r="I442" s="3"/>
      <c r="J442" s="3"/>
      <c r="K442" s="3"/>
    </row>
    <row r="443" spans="1:11" ht="11.25" x14ac:dyDescent="0.2">
      <c r="A443" s="3">
        <f>A441+1</f>
        <v>2</v>
      </c>
      <c r="B443" s="3" t="str">
        <f>Input!A341</f>
        <v>870</v>
      </c>
      <c r="C443" s="3" t="str">
        <f>Input!B341</f>
        <v>SUPERVISION &amp; ENGINEERING</v>
      </c>
      <c r="D443" s="118" t="str">
        <f>IF(Input!$C$2=3,'Classification Table'!$A$17,IF(Input!$C$2=5,'Classification Table'!$A$18,IF(Input!$C$2=20,'Classification Table'!$A$19,0)))</f>
        <v>10DC</v>
      </c>
      <c r="E443" s="1">
        <f>Input!D341</f>
        <v>97461</v>
      </c>
      <c r="F443" s="3">
        <f>ROUND(VLOOKUP($D443,'Classification Table'!$A$6:$E$77,3,FALSE)*$E443,0)</f>
        <v>60564</v>
      </c>
      <c r="G443" s="3">
        <f>ROUND(VLOOKUP($D443,'Classification Table'!$A$6:$E$77,4,FALSE)*$E443,0)</f>
        <v>18980</v>
      </c>
      <c r="H443" s="3">
        <f>ROUND(VLOOKUP($D443,'Classification Table'!$A$6:$E$77,5,FALSE)*$E443,0)</f>
        <v>17917</v>
      </c>
      <c r="I443" s="3"/>
      <c r="J443" s="3"/>
      <c r="K443" s="3"/>
    </row>
    <row r="444" spans="1:11" ht="11.25" x14ac:dyDescent="0.2">
      <c r="A444" s="1">
        <f t="shared" ref="A444:A452" si="52">A443+1</f>
        <v>3</v>
      </c>
      <c r="B444" s="1" t="str">
        <f>Input!A342</f>
        <v>871</v>
      </c>
      <c r="C444" s="1" t="str">
        <f>Input!B342</f>
        <v>DISTRIBUTION LOAD DISPATCH</v>
      </c>
      <c r="D444" s="118">
        <f>Input!C342</f>
        <v>4</v>
      </c>
      <c r="E444" s="1">
        <f>Input!D342</f>
        <v>66644</v>
      </c>
      <c r="F444" s="3">
        <f>ROUND(VLOOKUP($D444,'Classification Table'!$A$6:$E$77,3,FALSE)*$E444,0)</f>
        <v>0</v>
      </c>
      <c r="G444" s="3">
        <f>ROUND(VLOOKUP($D444,'Classification Table'!$A$6:$E$77,4,FALSE)*$E444,0)</f>
        <v>66644</v>
      </c>
      <c r="H444" s="3">
        <f>ROUND(VLOOKUP($D444,'Classification Table'!$A$6:$E$77,5,FALSE)*$E444,0)</f>
        <v>0</v>
      </c>
      <c r="I444" s="3"/>
      <c r="J444" s="3"/>
      <c r="K444" s="3"/>
    </row>
    <row r="445" spans="1:11" ht="11.25" x14ac:dyDescent="0.2">
      <c r="A445" s="1">
        <f t="shared" si="52"/>
        <v>4</v>
      </c>
      <c r="B445" s="1" t="str">
        <f>Input!A343</f>
        <v>874</v>
      </c>
      <c r="C445" s="1" t="str">
        <f>Input!B343</f>
        <v>MAINS &amp; SERVICES</v>
      </c>
      <c r="D445" s="118" t="str">
        <f>IF(Input!$C$2=3,'Classification Table'!$A$29,IF(Input!$C$2=5,'Classification Table'!$A$30,IF(Input!$C$2=20,'Classification Table'!$A$31,0)))</f>
        <v>14DC</v>
      </c>
      <c r="E445" s="1">
        <f>Input!D343</f>
        <v>1726536</v>
      </c>
      <c r="F445" s="3">
        <f>ROUND(VLOOKUP($D445,'Classification Table'!$A$6:$E$77,3,FALSE)*$E445,0)</f>
        <v>630991</v>
      </c>
      <c r="G445" s="3">
        <f>ROUND(VLOOKUP($D445,'Classification Table'!$A$6:$E$77,4,FALSE)*$E445,0)</f>
        <v>547773</v>
      </c>
      <c r="H445" s="3">
        <f>ROUND(VLOOKUP($D445,'Classification Table'!$A$6:$E$77,5,FALSE)*$E445,0)</f>
        <v>547773</v>
      </c>
      <c r="I445" s="3"/>
      <c r="J445" s="3"/>
      <c r="K445" s="3"/>
    </row>
    <row r="446" spans="1:11" ht="11.25" x14ac:dyDescent="0.2">
      <c r="A446" s="1">
        <f t="shared" si="52"/>
        <v>5</v>
      </c>
      <c r="B446" s="1" t="str">
        <f>Input!A344</f>
        <v>875</v>
      </c>
      <c r="C446" s="1" t="str">
        <f>Input!B344</f>
        <v>M &amp; R - GENERAL</v>
      </c>
      <c r="D446" s="118" t="str">
        <f>IF(Input!$C$2=3,'Classification Table'!$A$35,IF(Input!$C$2=5,'Classification Table'!$A$36,IF(Input!$C$2=20,'Classification Table'!$A$37,0)))</f>
        <v>18DC</v>
      </c>
      <c r="E446" s="1">
        <f>Input!D344</f>
        <v>82347</v>
      </c>
      <c r="F446" s="3">
        <f>ROUND(VLOOKUP($D446,'Classification Table'!$A$6:$E$77,3,FALSE)*$E446,0)</f>
        <v>0</v>
      </c>
      <c r="G446" s="3">
        <f>ROUND(VLOOKUP($D446,'Classification Table'!$A$6:$E$77,4,FALSE)*$E446,0)</f>
        <v>41174</v>
      </c>
      <c r="H446" s="3">
        <f>ROUND(VLOOKUP($D446,'Classification Table'!$A$6:$E$77,5,FALSE)*$E446,0)</f>
        <v>41174</v>
      </c>
      <c r="I446" s="3"/>
      <c r="J446" s="3"/>
      <c r="K446" s="3"/>
    </row>
    <row r="447" spans="1:11" ht="11.25" x14ac:dyDescent="0.2">
      <c r="A447" s="1">
        <f t="shared" si="52"/>
        <v>6</v>
      </c>
      <c r="B447" s="1" t="str">
        <f>Input!A345</f>
        <v>876</v>
      </c>
      <c r="C447" s="1" t="str">
        <f>Input!B345</f>
        <v>M &amp; R - INDUSTRIAL</v>
      </c>
      <c r="D447" s="118">
        <f>Input!C345</f>
        <v>8</v>
      </c>
      <c r="E447" s="1">
        <f>Input!D345</f>
        <v>38736</v>
      </c>
      <c r="F447" s="3">
        <f>ROUND(VLOOKUP($D447,'Classification Table'!$A$6:$E$77,3,FALSE)*$E447,0)</f>
        <v>38736</v>
      </c>
      <c r="G447" s="3">
        <f>ROUND(VLOOKUP($D447,'Classification Table'!$A$6:$E$77,4,FALSE)*$E447,0)</f>
        <v>0</v>
      </c>
      <c r="H447" s="3">
        <f>ROUND(VLOOKUP($D447,'Classification Table'!$A$6:$E$77,5,FALSE)*$E447,0)</f>
        <v>0</v>
      </c>
      <c r="I447" s="3"/>
      <c r="J447" s="3"/>
      <c r="K447" s="3"/>
    </row>
    <row r="448" spans="1:11" ht="11.25" x14ac:dyDescent="0.2">
      <c r="A448" s="1">
        <f t="shared" si="52"/>
        <v>7</v>
      </c>
      <c r="B448" s="1" t="str">
        <f>Input!A346</f>
        <v>878</v>
      </c>
      <c r="C448" s="1" t="str">
        <f>Input!B346</f>
        <v>METERS &amp; HOUSE REGULATORS</v>
      </c>
      <c r="D448" s="118">
        <f>Input!C346</f>
        <v>16</v>
      </c>
      <c r="E448" s="1">
        <f>Input!D346</f>
        <v>1279637</v>
      </c>
      <c r="F448" s="3">
        <f>ROUND(VLOOKUP($D448,'Classification Table'!$A$6:$E$77,3,FALSE)*$E448,0)</f>
        <v>1279637</v>
      </c>
      <c r="G448" s="3">
        <f>ROUND(VLOOKUP($D448,'Classification Table'!$A$6:$E$77,4,FALSE)*$E448,0)</f>
        <v>0</v>
      </c>
      <c r="H448" s="3">
        <f>ROUND(VLOOKUP($D448,'Classification Table'!$A$6:$E$77,5,FALSE)*$E448,0)</f>
        <v>0</v>
      </c>
      <c r="I448" s="3"/>
      <c r="J448" s="3"/>
      <c r="K448" s="3"/>
    </row>
    <row r="449" spans="1:11" ht="11.25" x14ac:dyDescent="0.2">
      <c r="A449" s="1">
        <f t="shared" si="52"/>
        <v>8</v>
      </c>
      <c r="B449" s="1" t="str">
        <f>Input!A347</f>
        <v>879</v>
      </c>
      <c r="C449" s="1" t="str">
        <f>Input!B347</f>
        <v xml:space="preserve">CUSTOMER INSTALLATION </v>
      </c>
      <c r="D449" s="118">
        <f>Input!C347</f>
        <v>16</v>
      </c>
      <c r="E449" s="1">
        <f>Input!D347</f>
        <v>1500691</v>
      </c>
      <c r="F449" s="3">
        <f>ROUND(VLOOKUP($D449,'Classification Table'!$A$6:$E$77,3,FALSE)*$E449,0)</f>
        <v>1500691</v>
      </c>
      <c r="G449" s="3">
        <f>ROUND(VLOOKUP($D449,'Classification Table'!$A$6:$E$77,4,FALSE)*$E449,0)</f>
        <v>0</v>
      </c>
      <c r="H449" s="3">
        <f>ROUND(VLOOKUP($D449,'Classification Table'!$A$6:$E$77,5,FALSE)*$E449,0)</f>
        <v>0</v>
      </c>
      <c r="I449" s="3"/>
      <c r="J449" s="3"/>
      <c r="K449" s="3"/>
    </row>
    <row r="450" spans="1:11" ht="11.25" x14ac:dyDescent="0.2">
      <c r="A450" s="1">
        <f t="shared" si="52"/>
        <v>9</v>
      </c>
      <c r="B450" s="1" t="str">
        <f>Input!A348</f>
        <v>880</v>
      </c>
      <c r="C450" s="1" t="str">
        <f>Input!B348</f>
        <v>OTHER</v>
      </c>
      <c r="D450" s="118" t="str">
        <f>IF(Input!$C$2=3,'Classification Table'!$A$17,IF(Input!$C$2=5,'Classification Table'!$A$18,IF(Input!$C$2=20,'Classification Table'!$A$19,0)))</f>
        <v>10DC</v>
      </c>
      <c r="E450" s="1">
        <f>Input!D348</f>
        <v>547972</v>
      </c>
      <c r="F450" s="3">
        <f>ROUND(VLOOKUP($D450,'Classification Table'!$A$6:$E$77,3,FALSE)*$E450,0)</f>
        <v>340519</v>
      </c>
      <c r="G450" s="3">
        <f>ROUND(VLOOKUP($D450,'Classification Table'!$A$6:$E$77,4,FALSE)*$E450,0)</f>
        <v>106716</v>
      </c>
      <c r="H450" s="3">
        <f>ROUND(VLOOKUP($D450,'Classification Table'!$A$6:$E$77,5,FALSE)*$E450,0)</f>
        <v>100736</v>
      </c>
      <c r="I450" s="3"/>
      <c r="J450" s="3"/>
      <c r="K450" s="3"/>
    </row>
    <row r="451" spans="1:11" ht="11.25" x14ac:dyDescent="0.2">
      <c r="A451" s="1">
        <f t="shared" si="52"/>
        <v>10</v>
      </c>
      <c r="B451" s="1" t="str">
        <f>Input!A349</f>
        <v>881</v>
      </c>
      <c r="C451" s="1" t="str">
        <f>Input!B349</f>
        <v>RENTS</v>
      </c>
      <c r="D451" s="118" t="str">
        <f>IF(Input!$C$2=3,'Classification Table'!$A$17,IF(Input!$C$2=5,'Classification Table'!$A$18,IF(Input!$C$2=20,'Classification Table'!$A$19,0)))</f>
        <v>10DC</v>
      </c>
      <c r="E451" s="116">
        <f>Input!D349</f>
        <v>0</v>
      </c>
      <c r="F451" s="26">
        <f>ROUND(VLOOKUP($D451,'Classification Table'!$A$6:$E$77,3,FALSE)*$E451,0)</f>
        <v>0</v>
      </c>
      <c r="G451" s="26">
        <f>ROUND(VLOOKUP($D451,'Classification Table'!$A$6:$E$77,4,FALSE)*$E451,0)</f>
        <v>0</v>
      </c>
      <c r="H451" s="26">
        <f>ROUND(VLOOKUP($D451,'Classification Table'!$A$6:$E$77,5,FALSE)*$E451,0)</f>
        <v>0</v>
      </c>
      <c r="I451" s="3"/>
      <c r="J451" s="26"/>
      <c r="K451" s="26"/>
    </row>
    <row r="452" spans="1:11" ht="11.25" x14ac:dyDescent="0.2">
      <c r="A452" s="1">
        <f t="shared" si="52"/>
        <v>11</v>
      </c>
      <c r="B452" s="1"/>
      <c r="C452" s="1" t="s">
        <v>271</v>
      </c>
      <c r="D452" s="118"/>
      <c r="E452" s="1">
        <f t="shared" ref="E452:H452" si="53">SUM(E443:E451)</f>
        <v>5340024</v>
      </c>
      <c r="F452" s="3">
        <f t="shared" si="53"/>
        <v>3851138</v>
      </c>
      <c r="G452" s="3">
        <f t="shared" si="53"/>
        <v>781287</v>
      </c>
      <c r="H452" s="3">
        <f t="shared" si="53"/>
        <v>707600</v>
      </c>
      <c r="I452" s="3"/>
      <c r="J452" s="3"/>
      <c r="K452" s="3"/>
    </row>
    <row r="453" spans="1:11" ht="11.25" x14ac:dyDescent="0.2">
      <c r="A453" s="1"/>
      <c r="B453" s="1"/>
      <c r="C453" s="1"/>
      <c r="D453" s="118"/>
      <c r="E453" s="1"/>
      <c r="F453" s="3"/>
      <c r="G453" s="3"/>
      <c r="H453" s="3"/>
      <c r="I453" s="3"/>
      <c r="J453" s="3"/>
      <c r="K453" s="3"/>
    </row>
    <row r="454" spans="1:11" ht="11.25" x14ac:dyDescent="0.2">
      <c r="A454" s="1">
        <f>A452+1</f>
        <v>12</v>
      </c>
      <c r="B454" s="1"/>
      <c r="C454" s="1" t="str">
        <f>Input!A350</f>
        <v>MAINTENANCE</v>
      </c>
      <c r="D454" s="118"/>
      <c r="E454" s="1"/>
      <c r="F454" s="3"/>
      <c r="G454" s="3"/>
      <c r="H454" s="3"/>
      <c r="I454" s="3"/>
      <c r="J454" s="3"/>
      <c r="K454" s="3"/>
    </row>
    <row r="455" spans="1:11" ht="11.25" x14ac:dyDescent="0.2">
      <c r="A455" s="1"/>
      <c r="B455" s="1"/>
      <c r="C455" s="1"/>
      <c r="D455" s="118"/>
      <c r="E455" s="1"/>
      <c r="F455" s="3"/>
      <c r="G455" s="3"/>
      <c r="H455" s="3"/>
      <c r="I455" s="3"/>
      <c r="J455" s="3"/>
      <c r="K455" s="3"/>
    </row>
    <row r="456" spans="1:11" ht="11.25" x14ac:dyDescent="0.2">
      <c r="A456" s="1">
        <f>A454+1</f>
        <v>13</v>
      </c>
      <c r="B456" s="1" t="str">
        <f>Input!A351</f>
        <v>885</v>
      </c>
      <c r="C456" s="1" t="str">
        <f>Input!B351</f>
        <v>SUPERVISION &amp; ENGINEERING</v>
      </c>
      <c r="D456" s="118" t="str">
        <f>IF(Input!$C$2=3,'Classification Table'!$A$17,IF(Input!$C$2=5,'Classification Table'!$A$18,IF(Input!$C$2=20,'Classification Table'!$A$19,0)))</f>
        <v>10DC</v>
      </c>
      <c r="E456" s="1">
        <f>Input!D351</f>
        <v>8649</v>
      </c>
      <c r="F456" s="3">
        <f>ROUND(VLOOKUP($D456,'Classification Table'!$A$6:$E$77,3,FALSE)*$E456,0)</f>
        <v>5375</v>
      </c>
      <c r="G456" s="3">
        <f>ROUND(VLOOKUP($D456,'Classification Table'!$A$6:$E$77,4,FALSE)*$E456,0)</f>
        <v>1684</v>
      </c>
      <c r="H456" s="3">
        <f>ROUND(VLOOKUP($D456,'Classification Table'!$A$6:$E$77,5,FALSE)*$E456,0)</f>
        <v>1590</v>
      </c>
      <c r="I456" s="3"/>
      <c r="J456" s="3"/>
      <c r="K456" s="3"/>
    </row>
    <row r="457" spans="1:11" ht="11.25" x14ac:dyDescent="0.2">
      <c r="A457" s="1">
        <f t="shared" ref="A457:A464" si="54">A456+1</f>
        <v>14</v>
      </c>
      <c r="B457" s="1" t="str">
        <f>Input!A352</f>
        <v>886</v>
      </c>
      <c r="C457" s="1" t="str">
        <f>Input!B352</f>
        <v>STRUCTURES &amp; IMPROVEMENTS</v>
      </c>
      <c r="D457" s="118" t="str">
        <f>IF(Input!$C$2=3,'Classification Table'!$A$35,IF(Input!$C$2=5,'Classification Table'!$A$36,IF(Input!$C$2=20,'Classification Table'!$A$37,0)))</f>
        <v>18DC</v>
      </c>
      <c r="E457" s="1">
        <f>Input!D352</f>
        <v>2509</v>
      </c>
      <c r="F457" s="3">
        <f>ROUND(VLOOKUP($D457,'Classification Table'!$A$6:$E$77,3,FALSE)*$E457,0)</f>
        <v>0</v>
      </c>
      <c r="G457" s="3">
        <f>ROUND(VLOOKUP($D457,'Classification Table'!$A$6:$E$77,4,FALSE)*$E457,0)</f>
        <v>1255</v>
      </c>
      <c r="H457" s="3">
        <f>ROUND(VLOOKUP($D457,'Classification Table'!$A$6:$E$77,5,FALSE)*$E457,0)</f>
        <v>1255</v>
      </c>
      <c r="I457" s="3"/>
      <c r="J457" s="3"/>
      <c r="K457" s="3"/>
    </row>
    <row r="458" spans="1:11" ht="11.25" x14ac:dyDescent="0.2">
      <c r="A458" s="1">
        <f t="shared" si="54"/>
        <v>15</v>
      </c>
      <c r="B458" s="1" t="str">
        <f>Input!A353</f>
        <v>887</v>
      </c>
      <c r="C458" s="1" t="str">
        <f>Input!B353</f>
        <v>MAINS</v>
      </c>
      <c r="D458" s="118" t="str">
        <f>IF(Input!$C$2=3,'Classification Table'!$A$35,IF(Input!$C$2=5,'Classification Table'!$A$36,IF(Input!$C$2=20,'Classification Table'!$A$37,0)))</f>
        <v>18DC</v>
      </c>
      <c r="E458" s="1">
        <f>Input!D353</f>
        <v>926354</v>
      </c>
      <c r="F458" s="3">
        <f>ROUND(VLOOKUP($D458,'Classification Table'!$A$6:$E$77,3,FALSE)*$E458,0)</f>
        <v>0</v>
      </c>
      <c r="G458" s="3">
        <f>ROUND(VLOOKUP($D458,'Classification Table'!$A$6:$E$77,4,FALSE)*$E458,0)</f>
        <v>463177</v>
      </c>
      <c r="H458" s="3">
        <f>ROUND(VLOOKUP($D458,'Classification Table'!$A$6:$E$77,5,FALSE)*$E458,0)</f>
        <v>463177</v>
      </c>
      <c r="I458" s="3"/>
      <c r="J458" s="3"/>
      <c r="K458" s="3"/>
    </row>
    <row r="459" spans="1:11" ht="11.25" x14ac:dyDescent="0.2">
      <c r="A459" s="1">
        <f t="shared" si="54"/>
        <v>16</v>
      </c>
      <c r="B459" s="1" t="str">
        <f>Input!A354</f>
        <v>889</v>
      </c>
      <c r="C459" s="1" t="str">
        <f>Input!B354</f>
        <v>M &amp; R - GENERAL</v>
      </c>
      <c r="D459" s="118" t="str">
        <f>IF(Input!$C$2=3,'Classification Table'!$A$35,IF(Input!$C$2=5,'Classification Table'!$A$36,IF(Input!$C$2=20,'Classification Table'!$A$37,0)))</f>
        <v>18DC</v>
      </c>
      <c r="E459" s="1">
        <f>Input!D354</f>
        <v>138594</v>
      </c>
      <c r="F459" s="3">
        <f>ROUND(VLOOKUP($D459,'Classification Table'!$A$6:$E$77,3,FALSE)*$E459,0)</f>
        <v>0</v>
      </c>
      <c r="G459" s="3">
        <f>ROUND(VLOOKUP($D459,'Classification Table'!$A$6:$E$77,4,FALSE)*$E459,0)</f>
        <v>69297</v>
      </c>
      <c r="H459" s="3">
        <f>ROUND(VLOOKUP($D459,'Classification Table'!$A$6:$E$77,5,FALSE)*$E459,0)</f>
        <v>69297</v>
      </c>
      <c r="I459" s="3"/>
      <c r="J459" s="3"/>
      <c r="K459" s="3"/>
    </row>
    <row r="460" spans="1:11" ht="11.25" x14ac:dyDescent="0.2">
      <c r="A460" s="1">
        <f t="shared" si="54"/>
        <v>17</v>
      </c>
      <c r="B460" s="1" t="str">
        <f>Input!A355</f>
        <v>890</v>
      </c>
      <c r="C460" s="1" t="str">
        <f>Input!B355</f>
        <v>M &amp; R - INDUSTRIAL</v>
      </c>
      <c r="D460" s="118">
        <f>Input!C355</f>
        <v>8</v>
      </c>
      <c r="E460" s="1">
        <f>Input!D355</f>
        <v>19419</v>
      </c>
      <c r="F460" s="3">
        <f>ROUND(VLOOKUP($D460,'Classification Table'!$A$6:$E$77,3,FALSE)*$E460,0)</f>
        <v>19419</v>
      </c>
      <c r="G460" s="3">
        <f>ROUND(VLOOKUP($D460,'Classification Table'!$A$6:$E$77,4,FALSE)*$E460,0)</f>
        <v>0</v>
      </c>
      <c r="H460" s="3">
        <f>ROUND(VLOOKUP($D460,'Classification Table'!$A$6:$E$77,5,FALSE)*$E460,0)</f>
        <v>0</v>
      </c>
      <c r="I460" s="3"/>
      <c r="J460" s="3"/>
      <c r="K460" s="3"/>
    </row>
    <row r="461" spans="1:11" ht="11.25" x14ac:dyDescent="0.2">
      <c r="A461" s="1">
        <f t="shared" si="54"/>
        <v>18</v>
      </c>
      <c r="B461" s="1" t="str">
        <f>Input!A356</f>
        <v>892</v>
      </c>
      <c r="C461" s="1" t="str">
        <f>Input!B356</f>
        <v>SERVICES</v>
      </c>
      <c r="D461" s="118">
        <f>Input!C356</f>
        <v>15</v>
      </c>
      <c r="E461" s="1">
        <f>Input!D356</f>
        <v>298657</v>
      </c>
      <c r="F461" s="3">
        <f>ROUND(VLOOKUP($D461,'Classification Table'!$A$6:$E$77,3,FALSE)*$E461,0)</f>
        <v>298657</v>
      </c>
      <c r="G461" s="3">
        <f>ROUND(VLOOKUP($D461,'Classification Table'!$A$6:$E$77,4,FALSE)*$E461,0)</f>
        <v>0</v>
      </c>
      <c r="H461" s="3">
        <f>ROUND(VLOOKUP($D461,'Classification Table'!$A$6:$E$77,5,FALSE)*$E461,0)</f>
        <v>0</v>
      </c>
      <c r="I461" s="3"/>
      <c r="J461" s="3"/>
      <c r="K461" s="3"/>
    </row>
    <row r="462" spans="1:11" ht="11.25" x14ac:dyDescent="0.2">
      <c r="A462" s="1">
        <f t="shared" si="54"/>
        <v>19</v>
      </c>
      <c r="B462" s="1" t="str">
        <f>Input!A357</f>
        <v>893</v>
      </c>
      <c r="C462" s="1" t="str">
        <f>Input!B357</f>
        <v>METERS &amp; HOUSE REGULATORS</v>
      </c>
      <c r="D462" s="118">
        <f>Input!C357</f>
        <v>16</v>
      </c>
      <c r="E462" s="1">
        <f>Input!D357</f>
        <v>26851</v>
      </c>
      <c r="F462" s="3">
        <f>ROUND(VLOOKUP($D462,'Classification Table'!$A$6:$E$77,3,FALSE)*$E462,0)</f>
        <v>26851</v>
      </c>
      <c r="G462" s="3">
        <f>ROUND(VLOOKUP($D462,'Classification Table'!$A$6:$E$77,4,FALSE)*$E462,0)</f>
        <v>0</v>
      </c>
      <c r="H462" s="3">
        <f>ROUND(VLOOKUP($D462,'Classification Table'!$A$6:$E$77,5,FALSE)*$E462,0)</f>
        <v>0</v>
      </c>
      <c r="I462" s="3"/>
      <c r="J462" s="3"/>
      <c r="K462" s="3"/>
    </row>
    <row r="463" spans="1:11" ht="11.25" x14ac:dyDescent="0.2">
      <c r="A463" s="1">
        <f t="shared" si="54"/>
        <v>20</v>
      </c>
      <c r="B463" s="1" t="str">
        <f>Input!A358</f>
        <v>894</v>
      </c>
      <c r="C463" s="1" t="str">
        <f>Input!B358</f>
        <v>OTHER EQUIPMENT</v>
      </c>
      <c r="D463" s="118" t="str">
        <f>IF(Input!$C$2=3,'Classification Table'!$A$17,IF(Input!$C$2=5,'Classification Table'!$A$18,IF(Input!$C$2=20,'Classification Table'!$A$19,0)))</f>
        <v>10DC</v>
      </c>
      <c r="E463" s="116">
        <f>Input!D358</f>
        <v>124180</v>
      </c>
      <c r="F463" s="26">
        <f>ROUND(VLOOKUP($D463,'Classification Table'!$A$6:$E$77,3,FALSE)*$E463,0)</f>
        <v>77168</v>
      </c>
      <c r="G463" s="26">
        <f>ROUND(VLOOKUP($D463,'Classification Table'!$A$6:$E$77,4,FALSE)*$E463,0)</f>
        <v>24184</v>
      </c>
      <c r="H463" s="26">
        <f>ROUND(VLOOKUP($D463,'Classification Table'!$A$6:$E$77,5,FALSE)*$E463,0)</f>
        <v>22829</v>
      </c>
      <c r="I463" s="3"/>
      <c r="J463" s="26"/>
      <c r="K463" s="26"/>
    </row>
    <row r="464" spans="1:11" ht="11.25" x14ac:dyDescent="0.2">
      <c r="A464" s="1">
        <f t="shared" si="54"/>
        <v>21</v>
      </c>
      <c r="B464" s="1"/>
      <c r="C464" s="1" t="s">
        <v>280</v>
      </c>
      <c r="D464" s="118"/>
      <c r="E464" s="1">
        <f t="shared" ref="E464:H464" si="55">SUM(E456:E463)</f>
        <v>1545213</v>
      </c>
      <c r="F464" s="3">
        <f t="shared" si="55"/>
        <v>427470</v>
      </c>
      <c r="G464" s="3">
        <f t="shared" si="55"/>
        <v>559597</v>
      </c>
      <c r="H464" s="3">
        <f t="shared" si="55"/>
        <v>558148</v>
      </c>
      <c r="I464" s="3"/>
      <c r="J464" s="3"/>
      <c r="K464" s="3"/>
    </row>
    <row r="465" spans="1:11" ht="11.25" x14ac:dyDescent="0.2">
      <c r="A465" s="3" t="s">
        <v>811</v>
      </c>
      <c r="B465" s="3"/>
      <c r="C465" s="3"/>
      <c r="D465" s="325"/>
      <c r="E465" s="1"/>
      <c r="F465" s="325" t="str">
        <f>""&amp;+Input!$B$1</f>
        <v>COLUMBIA GAS OF KENTUCKY, INC.</v>
      </c>
      <c r="H465" s="3"/>
      <c r="I465" s="3"/>
      <c r="J465" s="3"/>
      <c r="K465" s="32" t="str">
        <f>Input!$B$2</f>
        <v>ATTACHMENT CEN-2</v>
      </c>
    </row>
    <row r="466" spans="1:11" ht="11.25" x14ac:dyDescent="0.2">
      <c r="A466" s="3" t="str">
        <f>Input!$B$7</f>
        <v>DEMAND-COMMODITY</v>
      </c>
      <c r="B466" s="3"/>
      <c r="C466" s="3"/>
      <c r="D466" s="325"/>
      <c r="E466" s="1"/>
      <c r="F466" s="325" t="s">
        <v>568</v>
      </c>
      <c r="H466" s="3"/>
      <c r="I466" s="3"/>
      <c r="J466" s="3"/>
      <c r="K466" s="32" t="s">
        <v>1115</v>
      </c>
    </row>
    <row r="467" spans="1:11" ht="11.25" x14ac:dyDescent="0.2">
      <c r="A467" s="17" t="str">
        <f>Input!$B$6</f>
        <v>FORECASTED TEST YEAR - ORIGINAL FILING</v>
      </c>
      <c r="B467" s="17"/>
      <c r="C467" s="17"/>
      <c r="D467" s="34"/>
      <c r="E467" s="117"/>
      <c r="F467" s="19" t="str">
        <f>"FOR THE TWELVE MONTHS ENDED "&amp;Input!$B$4</f>
        <v>FOR THE TWELVE MONTHS ENDED 12/31/2017</v>
      </c>
      <c r="G467" s="329"/>
      <c r="H467" s="17"/>
      <c r="I467" s="17"/>
      <c r="J467" s="17"/>
      <c r="K467" s="183" t="str">
        <f>"WITNESS: "&amp;Input!$B$5</f>
        <v>WITNESS: C. NOTESTONE</v>
      </c>
    </row>
    <row r="468" spans="1:11" ht="11.25" x14ac:dyDescent="0.2">
      <c r="A468" s="325" t="s">
        <v>5</v>
      </c>
      <c r="B468" s="3" t="s">
        <v>6</v>
      </c>
      <c r="C468" s="3"/>
      <c r="D468" s="325" t="s">
        <v>811</v>
      </c>
      <c r="E468" s="118" t="s">
        <v>8</v>
      </c>
      <c r="F468" s="3"/>
      <c r="G468" s="3"/>
      <c r="H468" s="3"/>
      <c r="I468" s="3"/>
      <c r="J468" s="3"/>
      <c r="K468" s="3"/>
    </row>
    <row r="469" spans="1:11" ht="11.25" x14ac:dyDescent="0.2">
      <c r="A469" s="341" t="s">
        <v>9</v>
      </c>
      <c r="B469" s="341" t="s">
        <v>9</v>
      </c>
      <c r="C469" s="34" t="str">
        <f>Classification!C128</f>
        <v xml:space="preserve"> ACCOUNT TITLE</v>
      </c>
      <c r="D469" s="341" t="s">
        <v>10</v>
      </c>
      <c r="E469" s="119" t="s">
        <v>11</v>
      </c>
      <c r="F469" s="341" t="s">
        <v>804</v>
      </c>
      <c r="G469" s="341" t="s">
        <v>812</v>
      </c>
      <c r="H469" s="341" t="s">
        <v>813</v>
      </c>
      <c r="I469" s="447"/>
      <c r="J469" s="447"/>
      <c r="K469" s="447"/>
    </row>
    <row r="470" spans="1:11" ht="11.25" x14ac:dyDescent="0.2">
      <c r="A470" s="3"/>
      <c r="B470" s="342" t="s">
        <v>13</v>
      </c>
      <c r="C470" s="342" t="s">
        <v>14</v>
      </c>
      <c r="D470" s="325" t="s">
        <v>15</v>
      </c>
      <c r="E470" s="118" t="s">
        <v>16</v>
      </c>
      <c r="F470" s="325" t="s">
        <v>17</v>
      </c>
      <c r="G470" s="325" t="s">
        <v>18</v>
      </c>
      <c r="H470" s="325" t="s">
        <v>19</v>
      </c>
      <c r="I470" s="325"/>
      <c r="J470" s="325"/>
      <c r="K470" s="325"/>
    </row>
    <row r="471" spans="1:11" ht="11.25" x14ac:dyDescent="0.2">
      <c r="A471" s="3"/>
      <c r="B471" s="3"/>
      <c r="C471" s="3"/>
      <c r="D471" s="325"/>
      <c r="E471" s="118" t="s">
        <v>26</v>
      </c>
      <c r="F471" s="325" t="s">
        <v>26</v>
      </c>
      <c r="G471" s="325" t="s">
        <v>26</v>
      </c>
      <c r="H471" s="325" t="s">
        <v>26</v>
      </c>
      <c r="I471" s="325"/>
      <c r="J471" s="325"/>
      <c r="K471" s="325"/>
    </row>
    <row r="472" spans="1:11" ht="11.25" x14ac:dyDescent="0.2">
      <c r="A472" s="3">
        <v>1</v>
      </c>
      <c r="B472" s="3"/>
      <c r="C472" s="3" t="str">
        <f>Input!A359</f>
        <v>CUSTOMER ACCOUNTS</v>
      </c>
      <c r="D472" s="325"/>
      <c r="E472" s="1"/>
      <c r="F472" s="3"/>
      <c r="G472" s="3"/>
      <c r="H472" s="3"/>
      <c r="I472" s="3"/>
      <c r="J472" s="3"/>
      <c r="K472" s="3"/>
    </row>
    <row r="473" spans="1:11" ht="11.25" x14ac:dyDescent="0.2">
      <c r="A473" s="3"/>
      <c r="B473" s="3"/>
      <c r="C473" s="3"/>
      <c r="D473" s="325"/>
      <c r="E473" s="1"/>
      <c r="F473" s="3"/>
      <c r="G473" s="3"/>
      <c r="H473" s="3"/>
      <c r="I473" s="3"/>
      <c r="J473" s="3"/>
      <c r="K473" s="3"/>
    </row>
    <row r="474" spans="1:11" ht="11.25" x14ac:dyDescent="0.2">
      <c r="A474" s="3">
        <f>A472+1</f>
        <v>2</v>
      </c>
      <c r="B474" s="3" t="str">
        <f>Input!A360</f>
        <v>901</v>
      </c>
      <c r="C474" s="3" t="str">
        <f>Input!B360</f>
        <v>SUPERVISION</v>
      </c>
      <c r="D474" s="325">
        <f>Input!C360</f>
        <v>6</v>
      </c>
      <c r="E474" s="1">
        <f>Input!D360</f>
        <v>0</v>
      </c>
      <c r="F474" s="3">
        <f>ROUND(VLOOKUP($D474,'Classification Table'!$A$6:$E$77,3,FALSE)*$E474,0)</f>
        <v>0</v>
      </c>
      <c r="G474" s="3">
        <f>ROUND(VLOOKUP($D474,'Classification Table'!$A$6:$E$77,4,FALSE)*$E474,0)</f>
        <v>0</v>
      </c>
      <c r="H474" s="3">
        <f>ROUND(VLOOKUP($D474,'Classification Table'!$A$6:$E$77,5,FALSE)*$E474,0)</f>
        <v>0</v>
      </c>
      <c r="I474" s="3"/>
      <c r="J474" s="3"/>
      <c r="K474" s="3"/>
    </row>
    <row r="475" spans="1:11" ht="11.25" x14ac:dyDescent="0.2">
      <c r="A475" s="3">
        <f t="shared" ref="A475:A483" si="56">A474+1</f>
        <v>3</v>
      </c>
      <c r="B475" s="3" t="str">
        <f>Input!A361</f>
        <v>902</v>
      </c>
      <c r="C475" s="3" t="str">
        <f>Input!B361</f>
        <v>METER READING</v>
      </c>
      <c r="D475" s="325">
        <f>Input!C361</f>
        <v>6</v>
      </c>
      <c r="E475" s="1">
        <f>Input!D361</f>
        <v>165331</v>
      </c>
      <c r="F475" s="3">
        <f>ROUND(VLOOKUP($D475,'Classification Table'!$A$6:$E$77,3,FALSE)*$E475,0)</f>
        <v>165331</v>
      </c>
      <c r="G475" s="3">
        <f>ROUND(VLOOKUP($D475,'Classification Table'!$A$6:$E$77,4,FALSE)*$E475,0)</f>
        <v>0</v>
      </c>
      <c r="H475" s="3">
        <f>ROUND(VLOOKUP($D475,'Classification Table'!$A$6:$E$77,5,FALSE)*$E475,0)</f>
        <v>0</v>
      </c>
      <c r="I475" s="3"/>
      <c r="J475" s="3"/>
      <c r="K475" s="3"/>
    </row>
    <row r="476" spans="1:11" ht="11.25" x14ac:dyDescent="0.2">
      <c r="A476" s="3">
        <f t="shared" si="56"/>
        <v>4</v>
      </c>
      <c r="B476" s="3" t="str">
        <f>Input!A362</f>
        <v>903</v>
      </c>
      <c r="C476" s="3" t="str">
        <f>Input!B362</f>
        <v>CUSTOMER RECORDS &amp; COLLECTIONS</v>
      </c>
      <c r="D476" s="325">
        <f>Input!C362</f>
        <v>6</v>
      </c>
      <c r="E476" s="1">
        <f>Input!D362</f>
        <v>692556</v>
      </c>
      <c r="F476" s="3">
        <f>ROUND(VLOOKUP($D476,'Classification Table'!$A$6:$E$77,3,FALSE)*$E476,0)</f>
        <v>692556</v>
      </c>
      <c r="G476" s="3">
        <f>ROUND(VLOOKUP($D476,'Classification Table'!$A$6:$E$77,4,FALSE)*$E476,0)</f>
        <v>0</v>
      </c>
      <c r="H476" s="3">
        <f>ROUND(VLOOKUP($D476,'Classification Table'!$A$6:$E$77,5,FALSE)*$E476,0)</f>
        <v>0</v>
      </c>
      <c r="I476" s="3"/>
      <c r="J476" s="3"/>
      <c r="K476" s="3"/>
    </row>
    <row r="477" spans="1:11" ht="11.25" x14ac:dyDescent="0.2">
      <c r="A477" s="3">
        <f t="shared" si="56"/>
        <v>5</v>
      </c>
      <c r="B477" s="3" t="str">
        <f>Input!A364</f>
        <v>904</v>
      </c>
      <c r="C477" s="3" t="str">
        <f>Input!B364</f>
        <v>UNCOLLECTIBLE ACCOUNTS</v>
      </c>
      <c r="D477" s="325">
        <f>Input!C364</f>
        <v>21</v>
      </c>
      <c r="E477" s="1">
        <f>Input!D364</f>
        <v>0</v>
      </c>
      <c r="F477" s="3">
        <f>ROUND(VLOOKUP($D477,'Classification Table'!$A$6:$E$77,3,FALSE)*$E477,0)</f>
        <v>0</v>
      </c>
      <c r="G477" s="3">
        <f>ROUND(VLOOKUP($D477,'Classification Table'!$A$6:$E$77,4,FALSE)*$E477,0)</f>
        <v>0</v>
      </c>
      <c r="H477" s="3">
        <f>ROUND(VLOOKUP($D477,'Classification Table'!$A$6:$E$77,5,FALSE)*$E477,0)</f>
        <v>0</v>
      </c>
      <c r="I477" s="3"/>
      <c r="J477" s="3"/>
      <c r="K477" s="3"/>
    </row>
    <row r="478" spans="1:11" ht="11.25" x14ac:dyDescent="0.2">
      <c r="A478" s="3">
        <f t="shared" si="56"/>
        <v>6</v>
      </c>
      <c r="B478" s="3" t="str">
        <f>Input!A365</f>
        <v>905</v>
      </c>
      <c r="C478" s="3" t="str">
        <f>Input!B365</f>
        <v>MISC.</v>
      </c>
      <c r="D478" s="325">
        <f>Input!C365</f>
        <v>6</v>
      </c>
      <c r="E478" s="1">
        <f>Input!D365</f>
        <v>0</v>
      </c>
      <c r="F478" s="3">
        <f>ROUND(VLOOKUP($D478,'Classification Table'!$A$6:$E$77,3,FALSE)*$E478,0)</f>
        <v>0</v>
      </c>
      <c r="G478" s="3">
        <f>ROUND(VLOOKUP($D478,'Classification Table'!$A$6:$E$77,4,FALSE)*$E478,0)</f>
        <v>0</v>
      </c>
      <c r="H478" s="3">
        <f>ROUND(VLOOKUP($D478,'Classification Table'!$A$6:$E$77,5,FALSE)*$E478,0)</f>
        <v>0</v>
      </c>
      <c r="I478" s="3"/>
      <c r="J478" s="3"/>
      <c r="K478" s="3"/>
    </row>
    <row r="479" spans="1:11" ht="11.25" x14ac:dyDescent="0.2">
      <c r="A479" s="3">
        <f t="shared" si="56"/>
        <v>7</v>
      </c>
      <c r="B479" s="3" t="str">
        <f>Input!A366</f>
        <v>920</v>
      </c>
      <c r="C479" s="3" t="str">
        <f>Input!B366</f>
        <v>SALARIES</v>
      </c>
      <c r="D479" s="325">
        <f>Input!C366</f>
        <v>6</v>
      </c>
      <c r="E479" s="1">
        <f>Input!D366</f>
        <v>0</v>
      </c>
      <c r="F479" s="3">
        <f>ROUND(VLOOKUP($D479,'Classification Table'!$A$6:$E$77,3,FALSE)*$E479,0)</f>
        <v>0</v>
      </c>
      <c r="G479" s="3">
        <f>ROUND(VLOOKUP($D479,'Classification Table'!$A$6:$E$77,4,FALSE)*$E479,0)</f>
        <v>0</v>
      </c>
      <c r="H479" s="3">
        <f>ROUND(VLOOKUP($D479,'Classification Table'!$A$6:$E$77,5,FALSE)*$E479,0)</f>
        <v>0</v>
      </c>
      <c r="I479" s="3"/>
      <c r="J479" s="3"/>
      <c r="K479" s="3"/>
    </row>
    <row r="480" spans="1:11" ht="11.25" x14ac:dyDescent="0.2">
      <c r="A480" s="3">
        <f t="shared" si="56"/>
        <v>8</v>
      </c>
      <c r="B480" s="3" t="str">
        <f>Input!A367</f>
        <v>921</v>
      </c>
      <c r="C480" s="3" t="str">
        <f>Input!B367</f>
        <v>OFFICE SUPPLIES AND EXPENSE</v>
      </c>
      <c r="D480" s="325">
        <f>Input!C367</f>
        <v>6</v>
      </c>
      <c r="E480" s="1">
        <f>Input!D367</f>
        <v>0</v>
      </c>
      <c r="F480" s="3">
        <f>ROUND(VLOOKUP($D480,'Classification Table'!$A$6:$E$77,3,FALSE)*$E480,0)</f>
        <v>0</v>
      </c>
      <c r="G480" s="3">
        <f>ROUND(VLOOKUP($D480,'Classification Table'!$A$6:$E$77,4,FALSE)*$E480,0)</f>
        <v>0</v>
      </c>
      <c r="H480" s="3">
        <f>ROUND(VLOOKUP($D480,'Classification Table'!$A$6:$E$77,5,FALSE)*$E480,0)</f>
        <v>0</v>
      </c>
      <c r="I480" s="3"/>
      <c r="J480" s="3"/>
      <c r="K480" s="3"/>
    </row>
    <row r="481" spans="1:11" ht="11.25" x14ac:dyDescent="0.2">
      <c r="A481" s="3">
        <f t="shared" si="56"/>
        <v>9</v>
      </c>
      <c r="B481" s="3" t="str">
        <f>Input!A368</f>
        <v>931</v>
      </c>
      <c r="C481" s="3" t="str">
        <f>Input!B368</f>
        <v>RENTS</v>
      </c>
      <c r="D481" s="325">
        <f>Input!C368</f>
        <v>6</v>
      </c>
      <c r="E481" s="1">
        <f>Input!D368</f>
        <v>0</v>
      </c>
      <c r="F481" s="3">
        <f>ROUND(VLOOKUP($D481,'Classification Table'!$A$6:$E$77,3,FALSE)*$E481,0)</f>
        <v>0</v>
      </c>
      <c r="G481" s="3">
        <f>ROUND(VLOOKUP($D481,'Classification Table'!$A$6:$E$77,4,FALSE)*$E481,0)</f>
        <v>0</v>
      </c>
      <c r="H481" s="3">
        <f>ROUND(VLOOKUP($D481,'Classification Table'!$A$6:$E$77,5,FALSE)*$E481,0)</f>
        <v>0</v>
      </c>
      <c r="I481" s="3"/>
      <c r="J481" s="3"/>
      <c r="K481" s="3"/>
    </row>
    <row r="482" spans="1:11" ht="11.25" x14ac:dyDescent="0.2">
      <c r="A482" s="3">
        <f t="shared" si="56"/>
        <v>10</v>
      </c>
      <c r="B482" s="3" t="str">
        <f>Input!A369</f>
        <v>935</v>
      </c>
      <c r="C482" s="3" t="str">
        <f>Input!B369</f>
        <v>GENERAL PLANT MAINTENANCE</v>
      </c>
      <c r="D482" s="325">
        <f>Input!C369</f>
        <v>6</v>
      </c>
      <c r="E482" s="116">
        <f>Input!D369</f>
        <v>0</v>
      </c>
      <c r="F482" s="26">
        <f>ROUND(VLOOKUP($D482,'Classification Table'!$A$6:$E$77,3,FALSE)*$E482,0)</f>
        <v>0</v>
      </c>
      <c r="G482" s="26">
        <f>ROUND(VLOOKUP($D482,'Classification Table'!$A$6:$E$77,4,FALSE)*$E482,0)</f>
        <v>0</v>
      </c>
      <c r="H482" s="26">
        <f>ROUND(VLOOKUP($D482,'Classification Table'!$A$6:$E$77,5,FALSE)*$E482,0)</f>
        <v>0</v>
      </c>
      <c r="I482" s="26"/>
      <c r="J482" s="26"/>
      <c r="K482" s="26"/>
    </row>
    <row r="483" spans="1:11" ht="11.25" x14ac:dyDescent="0.2">
      <c r="A483" s="3">
        <f t="shared" si="56"/>
        <v>11</v>
      </c>
      <c r="B483" s="3"/>
      <c r="C483" s="3" t="s">
        <v>301</v>
      </c>
      <c r="D483" s="325"/>
      <c r="E483" s="1">
        <f t="shared" ref="E483:H483" si="57">SUM(E474:E482)</f>
        <v>857887</v>
      </c>
      <c r="F483" s="3">
        <f t="shared" si="57"/>
        <v>857887</v>
      </c>
      <c r="G483" s="3">
        <f t="shared" si="57"/>
        <v>0</v>
      </c>
      <c r="H483" s="3">
        <f t="shared" si="57"/>
        <v>0</v>
      </c>
      <c r="I483" s="3"/>
      <c r="J483" s="3"/>
      <c r="K483" s="3"/>
    </row>
    <row r="484" spans="1:11" ht="11.25" x14ac:dyDescent="0.2">
      <c r="A484" s="3"/>
      <c r="B484" s="3"/>
      <c r="C484" s="3"/>
      <c r="D484" s="325"/>
      <c r="E484" s="1"/>
      <c r="F484" s="3"/>
      <c r="G484" s="3"/>
      <c r="H484" s="3"/>
      <c r="I484" s="3"/>
      <c r="J484" s="3"/>
      <c r="K484" s="3"/>
    </row>
    <row r="485" spans="1:11" ht="11.25" x14ac:dyDescent="0.2">
      <c r="A485" s="3">
        <f>A483+1</f>
        <v>12</v>
      </c>
      <c r="B485" s="3"/>
      <c r="C485" s="3" t="str">
        <f>Input!A370</f>
        <v>CUSTOMER SERVICE &amp; INFORMATIONAL</v>
      </c>
      <c r="D485" s="325"/>
      <c r="E485" s="1"/>
      <c r="F485" s="3"/>
      <c r="G485" s="3"/>
      <c r="H485" s="3"/>
      <c r="I485" s="3"/>
      <c r="J485" s="3"/>
      <c r="K485" s="3"/>
    </row>
    <row r="486" spans="1:11" ht="11.25" x14ac:dyDescent="0.2">
      <c r="A486" s="3"/>
      <c r="B486" s="3"/>
      <c r="C486" s="3"/>
      <c r="D486" s="325"/>
      <c r="E486" s="1"/>
      <c r="F486" s="3"/>
      <c r="G486" s="3"/>
      <c r="H486" s="3"/>
      <c r="I486" s="3"/>
      <c r="J486" s="3"/>
      <c r="K486" s="3"/>
    </row>
    <row r="487" spans="1:11" ht="11.25" x14ac:dyDescent="0.2">
      <c r="A487" s="3">
        <f>A485+1</f>
        <v>13</v>
      </c>
      <c r="B487" s="3" t="str">
        <f>Input!A371</f>
        <v>907</v>
      </c>
      <c r="C487" s="3" t="str">
        <f>Input!B371</f>
        <v>SUPERVISION</v>
      </c>
      <c r="D487" s="325">
        <f>Input!C371</f>
        <v>6</v>
      </c>
      <c r="E487" s="1">
        <f>Input!D371</f>
        <v>0</v>
      </c>
      <c r="F487" s="3">
        <f>ROUND(VLOOKUP($D487,'Classification Table'!$A$6:$E$77,3,FALSE)*$E487,0)</f>
        <v>0</v>
      </c>
      <c r="G487" s="3">
        <f>ROUND(VLOOKUP($D487,'Classification Table'!$A$6:$E$77,4,FALSE)*$E487,0)</f>
        <v>0</v>
      </c>
      <c r="H487" s="3">
        <f>ROUND(VLOOKUP($D487,'Classification Table'!$A$6:$E$77,5,FALSE)*$E487,0)</f>
        <v>0</v>
      </c>
      <c r="I487" s="3"/>
      <c r="J487" s="3"/>
      <c r="K487" s="3"/>
    </row>
    <row r="488" spans="1:11" ht="11.25" x14ac:dyDescent="0.2">
      <c r="A488" s="3">
        <f t="shared" ref="A488:A495" si="58">A487+1</f>
        <v>14</v>
      </c>
      <c r="B488" s="3" t="str">
        <f>Input!A373</f>
        <v>908</v>
      </c>
      <c r="C488" s="3" t="str">
        <f>Input!B373</f>
        <v>CUSTOMER ASSISTANCE</v>
      </c>
      <c r="D488" s="325">
        <f>Input!C373</f>
        <v>6</v>
      </c>
      <c r="E488" s="1">
        <f>Input!D373</f>
        <v>12982</v>
      </c>
      <c r="F488" s="3">
        <f>ROUND(VLOOKUP($D488,'Classification Table'!$A$6:$E$77,3,FALSE)*$E488,0)</f>
        <v>12982</v>
      </c>
      <c r="G488" s="3">
        <f>ROUND(VLOOKUP($D488,'Classification Table'!$A$6:$E$77,4,FALSE)*$E488,0)</f>
        <v>0</v>
      </c>
      <c r="H488" s="3">
        <f>ROUND(VLOOKUP($D488,'Classification Table'!$A$6:$E$77,5,FALSE)*$E488,0)</f>
        <v>0</v>
      </c>
      <c r="I488" s="3"/>
      <c r="J488" s="3"/>
      <c r="K488" s="3"/>
    </row>
    <row r="489" spans="1:11" ht="11.25" x14ac:dyDescent="0.2">
      <c r="A489" s="3">
        <f t="shared" si="58"/>
        <v>15</v>
      </c>
      <c r="B489" s="3" t="str">
        <f>Input!A375</f>
        <v>909</v>
      </c>
      <c r="C489" s="3" t="str">
        <f>Input!B375</f>
        <v>INFO. &amp; INSTRUCTIONAL</v>
      </c>
      <c r="D489" s="325">
        <f>Input!C375</f>
        <v>6</v>
      </c>
      <c r="E489" s="1">
        <f>Input!D375</f>
        <v>0</v>
      </c>
      <c r="F489" s="3">
        <f>ROUND(VLOOKUP($D489,'Classification Table'!$A$6:$E$77,3,FALSE)*$E489,0)</f>
        <v>0</v>
      </c>
      <c r="G489" s="3">
        <f>ROUND(VLOOKUP($D489,'Classification Table'!$A$6:$E$77,4,FALSE)*$E489,0)</f>
        <v>0</v>
      </c>
      <c r="H489" s="3">
        <f>ROUND(VLOOKUP($D489,'Classification Table'!$A$6:$E$77,5,FALSE)*$E489,0)</f>
        <v>0</v>
      </c>
      <c r="I489" s="3"/>
      <c r="J489" s="3"/>
      <c r="K489" s="3"/>
    </row>
    <row r="490" spans="1:11" ht="11.25" x14ac:dyDescent="0.2">
      <c r="A490" s="3">
        <f t="shared" si="58"/>
        <v>16</v>
      </c>
      <c r="B490" s="3" t="str">
        <f>Input!A376</f>
        <v>910</v>
      </c>
      <c r="C490" s="3" t="str">
        <f>Input!B376</f>
        <v>MISCELLANEOUS</v>
      </c>
      <c r="D490" s="325">
        <f>Input!C376</f>
        <v>6</v>
      </c>
      <c r="E490" s="1">
        <f>Input!D376</f>
        <v>0</v>
      </c>
      <c r="F490" s="3">
        <f>ROUND(VLOOKUP($D490,'Classification Table'!$A$6:$E$77,3,FALSE)*$E490,0)</f>
        <v>0</v>
      </c>
      <c r="G490" s="3">
        <f>ROUND(VLOOKUP($D490,'Classification Table'!$A$6:$E$77,4,FALSE)*$E490,0)</f>
        <v>0</v>
      </c>
      <c r="H490" s="3">
        <f>ROUND(VLOOKUP($D490,'Classification Table'!$A$6:$E$77,5,FALSE)*$E490,0)</f>
        <v>0</v>
      </c>
      <c r="I490" s="3"/>
      <c r="J490" s="3"/>
      <c r="K490" s="3"/>
    </row>
    <row r="491" spans="1:11" ht="11.25" x14ac:dyDescent="0.2">
      <c r="A491" s="3">
        <f t="shared" si="58"/>
        <v>17</v>
      </c>
      <c r="B491" s="3" t="str">
        <f>Input!A377</f>
        <v>920</v>
      </c>
      <c r="C491" s="3" t="str">
        <f>Input!B377</f>
        <v>SALARIES</v>
      </c>
      <c r="D491" s="325">
        <f>Input!C377</f>
        <v>6</v>
      </c>
      <c r="E491" s="1">
        <f>Input!D377</f>
        <v>0</v>
      </c>
      <c r="F491" s="3">
        <f>ROUND(VLOOKUP($D491,'Classification Table'!$A$6:$E$77,3,FALSE)*$E491,0)</f>
        <v>0</v>
      </c>
      <c r="G491" s="3">
        <f>ROUND(VLOOKUP($D491,'Classification Table'!$A$6:$E$77,4,FALSE)*$E491,0)</f>
        <v>0</v>
      </c>
      <c r="H491" s="3">
        <f>ROUND(VLOOKUP($D491,'Classification Table'!$A$6:$E$77,5,FALSE)*$E491,0)</f>
        <v>0</v>
      </c>
      <c r="I491" s="3"/>
      <c r="J491" s="3"/>
      <c r="K491" s="3"/>
    </row>
    <row r="492" spans="1:11" ht="11.25" x14ac:dyDescent="0.2">
      <c r="A492" s="3">
        <f t="shared" si="58"/>
        <v>18</v>
      </c>
      <c r="B492" s="3" t="str">
        <f>Input!A378</f>
        <v>921</v>
      </c>
      <c r="C492" s="3" t="str">
        <f>Input!B378</f>
        <v>OFFICE SUPPLIES AND EXPENSE</v>
      </c>
      <c r="D492" s="325">
        <f>Input!C378</f>
        <v>6</v>
      </c>
      <c r="E492" s="1">
        <f>Input!D378</f>
        <v>0</v>
      </c>
      <c r="F492" s="3">
        <f>ROUND(VLOOKUP($D492,'Classification Table'!$A$6:$E$77,3,FALSE)*$E492,0)</f>
        <v>0</v>
      </c>
      <c r="G492" s="3">
        <f>ROUND(VLOOKUP($D492,'Classification Table'!$A$6:$E$77,4,FALSE)*$E492,0)</f>
        <v>0</v>
      </c>
      <c r="H492" s="3">
        <f>ROUND(VLOOKUP($D492,'Classification Table'!$A$6:$E$77,5,FALSE)*$E492,0)</f>
        <v>0</v>
      </c>
      <c r="I492" s="3"/>
      <c r="J492" s="3"/>
      <c r="K492" s="3"/>
    </row>
    <row r="493" spans="1:11" ht="11.25" x14ac:dyDescent="0.2">
      <c r="A493" s="3">
        <f t="shared" si="58"/>
        <v>19</v>
      </c>
      <c r="B493" s="3" t="str">
        <f>Input!A379</f>
        <v>931</v>
      </c>
      <c r="C493" s="3" t="str">
        <f>Input!B379</f>
        <v>RENTS</v>
      </c>
      <c r="D493" s="325">
        <f>Input!C379</f>
        <v>6</v>
      </c>
      <c r="E493" s="1">
        <f>Input!D379</f>
        <v>0</v>
      </c>
      <c r="F493" s="3">
        <f>ROUND(VLOOKUP($D493,'Classification Table'!$A$6:$E$77,3,FALSE)*$E493,0)</f>
        <v>0</v>
      </c>
      <c r="G493" s="3">
        <f>ROUND(VLOOKUP($D493,'Classification Table'!$A$6:$E$77,4,FALSE)*$E493,0)</f>
        <v>0</v>
      </c>
      <c r="H493" s="3">
        <f>ROUND(VLOOKUP($D493,'Classification Table'!$A$6:$E$77,5,FALSE)*$E493,0)</f>
        <v>0</v>
      </c>
      <c r="I493" s="3"/>
      <c r="J493" s="3"/>
      <c r="K493" s="3"/>
    </row>
    <row r="494" spans="1:11" ht="11.25" x14ac:dyDescent="0.2">
      <c r="A494" s="3">
        <f t="shared" si="58"/>
        <v>20</v>
      </c>
      <c r="B494" s="3" t="str">
        <f>Input!A380</f>
        <v>935</v>
      </c>
      <c r="C494" s="3" t="str">
        <f>Input!B380</f>
        <v>GENERAL PLANT MAINTENANCE</v>
      </c>
      <c r="D494" s="325">
        <f>Input!C380</f>
        <v>6</v>
      </c>
      <c r="E494" s="116">
        <f>Input!D380</f>
        <v>0</v>
      </c>
      <c r="F494" s="26">
        <f>ROUND(VLOOKUP($D494,'Classification Table'!$A$6:$E$77,3,FALSE)*$E494,0)</f>
        <v>0</v>
      </c>
      <c r="G494" s="26">
        <f>ROUND(VLOOKUP($D494,'Classification Table'!$A$6:$E$77,4,FALSE)*$E494,0)</f>
        <v>0</v>
      </c>
      <c r="H494" s="26">
        <f>ROUND(VLOOKUP($D494,'Classification Table'!$A$6:$E$77,5,FALSE)*$E494,0)</f>
        <v>0</v>
      </c>
      <c r="I494" s="26"/>
      <c r="J494" s="26"/>
      <c r="K494" s="26"/>
    </row>
    <row r="495" spans="1:11" ht="11.25" x14ac:dyDescent="0.2">
      <c r="A495" s="3">
        <f t="shared" si="58"/>
        <v>21</v>
      </c>
      <c r="B495" s="3"/>
      <c r="C495" s="3" t="s">
        <v>309</v>
      </c>
      <c r="D495" s="325"/>
      <c r="E495" s="1">
        <f t="shared" ref="E495:H495" si="59">SUM(E487:E494)</f>
        <v>12982</v>
      </c>
      <c r="F495" s="3">
        <f t="shared" si="59"/>
        <v>12982</v>
      </c>
      <c r="G495" s="3">
        <f t="shared" si="59"/>
        <v>0</v>
      </c>
      <c r="H495" s="3">
        <f t="shared" si="59"/>
        <v>0</v>
      </c>
      <c r="I495" s="3"/>
      <c r="J495" s="3"/>
      <c r="K495" s="3"/>
    </row>
    <row r="496" spans="1:11" ht="11.25" x14ac:dyDescent="0.2">
      <c r="A496" s="3" t="s">
        <v>811</v>
      </c>
      <c r="B496" s="3"/>
      <c r="C496" s="3"/>
      <c r="D496" s="325"/>
      <c r="E496" s="1"/>
      <c r="F496" s="325" t="str">
        <f>""&amp;+Input!$B$1</f>
        <v>COLUMBIA GAS OF KENTUCKY, INC.</v>
      </c>
      <c r="H496" s="3"/>
      <c r="I496" s="3"/>
      <c r="J496" s="3"/>
      <c r="K496" s="32" t="str">
        <f>Input!$B$2</f>
        <v>ATTACHMENT CEN-2</v>
      </c>
    </row>
    <row r="497" spans="1:11" ht="11.25" x14ac:dyDescent="0.2">
      <c r="A497" s="3" t="str">
        <f>Input!$B$7</f>
        <v>DEMAND-COMMODITY</v>
      </c>
      <c r="B497" s="3"/>
      <c r="C497" s="3"/>
      <c r="D497" s="325"/>
      <c r="E497" s="1"/>
      <c r="F497" s="325" t="s">
        <v>310</v>
      </c>
      <c r="H497" s="3"/>
      <c r="I497" s="3"/>
      <c r="J497" s="3"/>
      <c r="K497" s="32" t="s">
        <v>1116</v>
      </c>
    </row>
    <row r="498" spans="1:11" ht="11.25" x14ac:dyDescent="0.2">
      <c r="A498" s="17" t="str">
        <f>Input!$B$6</f>
        <v>FORECASTED TEST YEAR - ORIGINAL FILING</v>
      </c>
      <c r="B498" s="17"/>
      <c r="C498" s="17"/>
      <c r="D498" s="34"/>
      <c r="E498" s="117"/>
      <c r="F498" s="19" t="str">
        <f>"FORTHETWELVEMONTHSENDED"&amp;Input!$B$4</f>
        <v>FORTHETWELVEMONTHSENDED12/31/2017</v>
      </c>
      <c r="G498" s="329"/>
      <c r="H498" s="17"/>
      <c r="I498" s="17"/>
      <c r="J498" s="17"/>
      <c r="K498" s="183" t="str">
        <f>"WITNESS: "&amp;Input!$B$5</f>
        <v>WITNESS: C. NOTESTONE</v>
      </c>
    </row>
    <row r="499" spans="1:11" ht="11.25" x14ac:dyDescent="0.2">
      <c r="A499" s="325" t="s">
        <v>5</v>
      </c>
      <c r="B499" s="3" t="s">
        <v>6</v>
      </c>
      <c r="C499" s="3"/>
      <c r="D499" s="325" t="s">
        <v>811</v>
      </c>
      <c r="E499" s="118" t="s">
        <v>8</v>
      </c>
      <c r="F499" s="3"/>
      <c r="G499" s="3"/>
      <c r="H499" s="3"/>
      <c r="I499" s="3"/>
      <c r="J499" s="3"/>
      <c r="K499" s="3"/>
    </row>
    <row r="500" spans="1:11" ht="11.25" x14ac:dyDescent="0.2">
      <c r="A500" s="341" t="s">
        <v>9</v>
      </c>
      <c r="B500" s="341" t="s">
        <v>9</v>
      </c>
      <c r="C500" s="34" t="str">
        <f>Classification!C128</f>
        <v xml:space="preserve"> ACCOUNT TITLE</v>
      </c>
      <c r="D500" s="341" t="s">
        <v>10</v>
      </c>
      <c r="E500" s="119" t="s">
        <v>11</v>
      </c>
      <c r="F500" s="341" t="s">
        <v>804</v>
      </c>
      <c r="G500" s="341" t="s">
        <v>812</v>
      </c>
      <c r="H500" s="341" t="s">
        <v>813</v>
      </c>
      <c r="I500" s="447"/>
      <c r="J500" s="447"/>
      <c r="K500" s="447"/>
    </row>
    <row r="501" spans="1:11" ht="11.25" x14ac:dyDescent="0.2">
      <c r="A501" s="3"/>
      <c r="B501" s="342" t="s">
        <v>13</v>
      </c>
      <c r="C501" s="342" t="s">
        <v>14</v>
      </c>
      <c r="D501" s="325" t="s">
        <v>15</v>
      </c>
      <c r="E501" s="118" t="s">
        <v>16</v>
      </c>
      <c r="F501" s="325" t="s">
        <v>17</v>
      </c>
      <c r="G501" s="325" t="s">
        <v>18</v>
      </c>
      <c r="H501" s="325" t="s">
        <v>19</v>
      </c>
      <c r="I501" s="325"/>
      <c r="J501" s="325"/>
      <c r="K501" s="325"/>
    </row>
    <row r="502" spans="1:11" ht="11.25" x14ac:dyDescent="0.2">
      <c r="A502" s="3"/>
      <c r="B502" s="3"/>
      <c r="C502" s="3"/>
      <c r="D502" s="325"/>
      <c r="E502" s="118" t="s">
        <v>26</v>
      </c>
      <c r="F502" s="325" t="s">
        <v>26</v>
      </c>
      <c r="G502" s="325" t="s">
        <v>26</v>
      </c>
      <c r="H502" s="325" t="s">
        <v>26</v>
      </c>
      <c r="I502" s="325"/>
      <c r="J502" s="325"/>
      <c r="K502" s="325"/>
    </row>
    <row r="503" spans="1:11" ht="11.25" x14ac:dyDescent="0.2">
      <c r="A503" s="3">
        <v>1</v>
      </c>
      <c r="B503" s="25"/>
      <c r="C503" s="3" t="str">
        <f>Input!A381</f>
        <v>SALES</v>
      </c>
      <c r="D503" s="325"/>
      <c r="E503" s="1"/>
      <c r="F503" s="3"/>
      <c r="G503" s="3"/>
      <c r="H503" s="3"/>
      <c r="I503" s="3"/>
      <c r="J503" s="3"/>
      <c r="K503" s="3"/>
    </row>
    <row r="504" spans="1:11" ht="11.25" x14ac:dyDescent="0.2">
      <c r="A504" s="3"/>
      <c r="B504" s="3"/>
      <c r="C504" s="3"/>
      <c r="D504" s="325"/>
      <c r="E504" s="1"/>
      <c r="F504" s="3"/>
      <c r="G504" s="3"/>
      <c r="H504" s="3"/>
      <c r="I504" s="3"/>
      <c r="J504" s="3"/>
      <c r="K504" s="3"/>
    </row>
    <row r="505" spans="1:11" ht="11.25" x14ac:dyDescent="0.2">
      <c r="A505" s="3">
        <f>A503+1</f>
        <v>2</v>
      </c>
      <c r="B505" s="3" t="str">
        <f>Input!A382</f>
        <v>911</v>
      </c>
      <c r="C505" s="3" t="str">
        <f>Input!B382</f>
        <v>SUPERVISION</v>
      </c>
      <c r="D505" s="325">
        <f>Input!C382</f>
        <v>6</v>
      </c>
      <c r="E505" s="1">
        <f>Input!D382</f>
        <v>0</v>
      </c>
      <c r="F505" s="3">
        <f>ROUND(VLOOKUP($D505,'Classification Table'!$A$6:$E$77,3,FALSE)*$E505,0)</f>
        <v>0</v>
      </c>
      <c r="G505" s="3">
        <f>ROUND(VLOOKUP($D505,'Classification Table'!$A$6:$E$77,4,FALSE)*$E505,0)</f>
        <v>0</v>
      </c>
      <c r="H505" s="3">
        <f>ROUND(VLOOKUP($D505,'Classification Table'!$A$6:$E$77,5,FALSE)*$E505,0)</f>
        <v>0</v>
      </c>
      <c r="I505" s="3"/>
      <c r="J505" s="3"/>
      <c r="K505" s="3"/>
    </row>
    <row r="506" spans="1:11" ht="11.25" x14ac:dyDescent="0.2">
      <c r="A506" s="3">
        <f>A505+1</f>
        <v>3</v>
      </c>
      <c r="B506" s="3" t="str">
        <f>Input!A383</f>
        <v>912</v>
      </c>
      <c r="C506" s="3" t="str">
        <f>Input!B383</f>
        <v>DEMONSTRATION &amp; SELLING</v>
      </c>
      <c r="D506" s="325">
        <f>Input!C383</f>
        <v>6</v>
      </c>
      <c r="E506" s="1">
        <f>Input!D383</f>
        <v>0</v>
      </c>
      <c r="F506" s="3">
        <f>ROUND(VLOOKUP($D506,'Classification Table'!$A$6:$E$77,3,FALSE)*$E506,0)</f>
        <v>0</v>
      </c>
      <c r="G506" s="3">
        <f>ROUND(VLOOKUP($D506,'Classification Table'!$A$6:$E$77,4,FALSE)*$E506,0)</f>
        <v>0</v>
      </c>
      <c r="H506" s="3">
        <f>ROUND(VLOOKUP($D506,'Classification Table'!$A$6:$E$77,5,FALSE)*$E506,0)</f>
        <v>0</v>
      </c>
      <c r="I506" s="3"/>
      <c r="J506" s="3"/>
      <c r="K506" s="3"/>
    </row>
    <row r="507" spans="1:11" ht="11.25" x14ac:dyDescent="0.2">
      <c r="A507" s="3">
        <f>A506+1</f>
        <v>4</v>
      </c>
      <c r="B507" s="3" t="str">
        <f>Input!A384</f>
        <v>913</v>
      </c>
      <c r="C507" s="3" t="str">
        <f>Input!B384</f>
        <v>ADVERTISING</v>
      </c>
      <c r="D507" s="325">
        <f>Input!C384</f>
        <v>6</v>
      </c>
      <c r="E507" s="1">
        <f>Input!D384</f>
        <v>0</v>
      </c>
      <c r="F507" s="3">
        <f>ROUND(VLOOKUP($D507,'Classification Table'!$A$6:$E$77,3,FALSE)*$E507,0)</f>
        <v>0</v>
      </c>
      <c r="G507" s="3">
        <f>ROUND(VLOOKUP($D507,'Classification Table'!$A$6:$E$77,4,FALSE)*$E507,0)</f>
        <v>0</v>
      </c>
      <c r="H507" s="3">
        <f>ROUND(VLOOKUP($D507,'Classification Table'!$A$6:$E$77,5,FALSE)*$E507,0)</f>
        <v>0</v>
      </c>
      <c r="I507" s="3"/>
      <c r="J507" s="3"/>
      <c r="K507" s="3"/>
    </row>
    <row r="508" spans="1:11" ht="11.25" x14ac:dyDescent="0.2">
      <c r="A508" s="3">
        <f>A507+1</f>
        <v>5</v>
      </c>
      <c r="B508" s="3" t="str">
        <f>Input!A385</f>
        <v>916</v>
      </c>
      <c r="C508" s="3" t="str">
        <f>Input!B385</f>
        <v>MISC.</v>
      </c>
      <c r="D508" s="325">
        <f>Input!C385</f>
        <v>6</v>
      </c>
      <c r="E508" s="116">
        <f>Input!D385</f>
        <v>0</v>
      </c>
      <c r="F508" s="3">
        <f>ROUND(VLOOKUP($D508,'Classification Table'!$A$6:$E$77,3,FALSE)*$E508,0)</f>
        <v>0</v>
      </c>
      <c r="G508" s="3">
        <f>ROUND(VLOOKUP($D508,'Classification Table'!$A$6:$E$77,4,FALSE)*$E508,0)</f>
        <v>0</v>
      </c>
      <c r="H508" s="3">
        <f>ROUND(VLOOKUP($D508,'Classification Table'!$A$6:$E$77,5,FALSE)*$E508,0)</f>
        <v>0</v>
      </c>
      <c r="I508" s="26"/>
      <c r="J508" s="26"/>
      <c r="K508" s="26"/>
    </row>
    <row r="509" spans="1:11" ht="11.25" x14ac:dyDescent="0.2">
      <c r="A509" s="3">
        <f>A508+1</f>
        <v>6</v>
      </c>
      <c r="B509" s="3"/>
      <c r="C509" s="3" t="s">
        <v>312</v>
      </c>
      <c r="D509" s="325"/>
      <c r="E509" s="116">
        <f t="shared" ref="E509:H509" si="60">SUM(E505:E508)</f>
        <v>0</v>
      </c>
      <c r="F509" s="116">
        <f t="shared" si="60"/>
        <v>0</v>
      </c>
      <c r="G509" s="116">
        <f t="shared" si="60"/>
        <v>0</v>
      </c>
      <c r="H509" s="116">
        <f t="shared" si="60"/>
        <v>0</v>
      </c>
      <c r="I509" s="26"/>
      <c r="J509" s="26"/>
      <c r="K509" s="26"/>
    </row>
    <row r="510" spans="1:11" ht="11.25" x14ac:dyDescent="0.2">
      <c r="A510" s="3"/>
      <c r="B510" s="3"/>
      <c r="C510" s="3"/>
      <c r="D510" s="325"/>
      <c r="E510" s="3"/>
      <c r="F510" s="3"/>
      <c r="G510" s="3"/>
      <c r="H510" s="3"/>
      <c r="I510" s="3"/>
      <c r="J510" s="3"/>
      <c r="K510" s="3"/>
    </row>
    <row r="511" spans="1:11" ht="11.25" x14ac:dyDescent="0.2">
      <c r="A511" s="3">
        <f>A509+1</f>
        <v>7</v>
      </c>
      <c r="B511" s="3"/>
      <c r="C511" s="3" t="s">
        <v>314</v>
      </c>
      <c r="D511" s="325"/>
      <c r="E511" s="3">
        <f>Classification!E452+Classification!E464+Classification!E483+Classification!E495+E509</f>
        <v>7756106</v>
      </c>
      <c r="F511" s="3">
        <f>Classification!F452+Classification!F464+Classification!F483+Classification!F495+F509</f>
        <v>5149477</v>
      </c>
      <c r="G511" s="3">
        <f>Classification!G452+Classification!G464+Classification!G483+Classification!G495+G509</f>
        <v>1340884</v>
      </c>
      <c r="H511" s="3">
        <f>Classification!H452+Classification!H464+Classification!H483+Classification!H495+H509</f>
        <v>1265748</v>
      </c>
      <c r="I511" s="3"/>
      <c r="J511" s="3"/>
      <c r="K511" s="3"/>
    </row>
    <row r="512" spans="1:11" ht="11.25" x14ac:dyDescent="0.2">
      <c r="A512" s="3"/>
      <c r="B512" s="3"/>
      <c r="C512" s="3"/>
      <c r="D512" s="325"/>
      <c r="E512" s="3"/>
      <c r="F512" s="3"/>
      <c r="G512" s="3"/>
      <c r="H512" s="3"/>
      <c r="I512" s="3"/>
      <c r="J512" s="3"/>
      <c r="K512" s="3"/>
    </row>
    <row r="513" spans="1:11" ht="11.25" x14ac:dyDescent="0.2">
      <c r="A513" s="3">
        <f>A511+1</f>
        <v>8</v>
      </c>
      <c r="B513" s="3"/>
      <c r="C513" s="3" t="str">
        <f>Input!A452</f>
        <v>ADMINISTRATIVE &amp; GENERAL</v>
      </c>
      <c r="D513" s="325"/>
      <c r="E513" s="3"/>
      <c r="F513" s="3"/>
      <c r="G513" s="3"/>
      <c r="H513" s="3"/>
      <c r="I513" s="3"/>
      <c r="J513" s="3"/>
      <c r="K513" s="3"/>
    </row>
    <row r="514" spans="1:11" ht="11.25" x14ac:dyDescent="0.2">
      <c r="A514" s="3"/>
      <c r="B514" s="3"/>
      <c r="C514" s="3"/>
      <c r="D514" s="325"/>
      <c r="E514" s="3"/>
      <c r="F514" s="3"/>
      <c r="G514" s="3"/>
      <c r="H514" s="3"/>
      <c r="I514" s="3"/>
      <c r="J514" s="3"/>
      <c r="K514" s="3"/>
    </row>
    <row r="515" spans="1:11" ht="11.25" x14ac:dyDescent="0.2">
      <c r="A515" s="3">
        <f>A513+1</f>
        <v>9</v>
      </c>
      <c r="B515" s="3" t="str">
        <f>Input!A453</f>
        <v>920</v>
      </c>
      <c r="C515" s="3" t="str">
        <f>Input!B453</f>
        <v>SALARIES</v>
      </c>
      <c r="D515" s="118" t="str">
        <f>IF(Input!$C$2=3,'Classification Table'!$A$23,IF(Input!$C$2=5,'Classification Table'!$A$24,IF(Input!$C$2=20,'Classification Table'!$A$25,0)))</f>
        <v>12DC</v>
      </c>
      <c r="E515" s="3">
        <f>Input!D453</f>
        <v>1597984</v>
      </c>
      <c r="F515" s="3">
        <f>ROUND(VLOOKUP($D515,'Classification Table'!$A$6:$E$77,3,FALSE)*$E515,0)</f>
        <v>1060942</v>
      </c>
      <c r="G515" s="1">
        <f>ROUND(VLOOKUP($D515,'Classification Table'!$A$6:$E$77,4,FALSE)*$E515,0)</f>
        <v>276261</v>
      </c>
      <c r="H515" s="3">
        <f>ROUND(VLOOKUP($D515,'Classification Table'!$A$6:$E$77,5,FALSE)*$E515,0)</f>
        <v>260781</v>
      </c>
      <c r="I515" s="3"/>
      <c r="J515" s="3"/>
      <c r="K515" s="3"/>
    </row>
    <row r="516" spans="1:11" ht="11.25" x14ac:dyDescent="0.2">
      <c r="A516" s="3">
        <f t="shared" ref="A516:A529" si="61">A515+1</f>
        <v>10</v>
      </c>
      <c r="B516" s="3" t="str">
        <f>Input!A454</f>
        <v>921</v>
      </c>
      <c r="C516" s="3" t="str">
        <f>Input!B454</f>
        <v>OFFICE SUPPLIES &amp; EXPENSES</v>
      </c>
      <c r="D516" s="118" t="str">
        <f>IF(Input!$C$2=3,'Classification Table'!$A$23,IF(Input!$C$2=5,'Classification Table'!$A$24,IF(Input!$C$2=20,'Classification Table'!$A$25,0)))</f>
        <v>12DC</v>
      </c>
      <c r="E516" s="3">
        <f>Input!D454</f>
        <v>0</v>
      </c>
      <c r="F516" s="3">
        <f>ROUND(VLOOKUP($D516,'Classification Table'!$A$6:$E$77,3,FALSE)*$E516,0)</f>
        <v>0</v>
      </c>
      <c r="G516" s="3">
        <f>ROUND(VLOOKUP($D516,'Classification Table'!$A$6:$E$77,4,FALSE)*$E516,0)</f>
        <v>0</v>
      </c>
      <c r="H516" s="3">
        <f>ROUND(VLOOKUP($D516,'Classification Table'!$A$6:$E$77,5,FALSE)*$E516,0)</f>
        <v>0</v>
      </c>
      <c r="I516" s="3"/>
      <c r="J516" s="3"/>
      <c r="K516" s="3"/>
    </row>
    <row r="517" spans="1:11" ht="11.25" x14ac:dyDescent="0.2">
      <c r="A517" s="3">
        <f t="shared" si="61"/>
        <v>11</v>
      </c>
      <c r="B517" s="3" t="str">
        <f>Input!A455</f>
        <v>922</v>
      </c>
      <c r="C517" s="3" t="str">
        <f>Input!B455</f>
        <v>ADMIN. EXPENSES TRANSFERED</v>
      </c>
      <c r="D517" s="118" t="str">
        <f>IF(Input!$C$2=3,'Classification Table'!$A$23,IF(Input!$C$2=5,'Classification Table'!$A$24,IF(Input!$C$2=20,'Classification Table'!$A$25,0)))</f>
        <v>12DC</v>
      </c>
      <c r="E517" s="3">
        <f>Input!D455</f>
        <v>0</v>
      </c>
      <c r="F517" s="3">
        <f>ROUND(VLOOKUP($D517,'Classification Table'!$A$6:$E$77,3,FALSE)*$E517,0)</f>
        <v>0</v>
      </c>
      <c r="G517" s="3">
        <f>ROUND(VLOOKUP($D517,'Classification Table'!$A$6:$E$77,4,FALSE)*$E517,0)</f>
        <v>0</v>
      </c>
      <c r="H517" s="3">
        <f>ROUND(VLOOKUP($D517,'Classification Table'!$A$6:$E$77,5,FALSE)*$E517,0)</f>
        <v>0</v>
      </c>
      <c r="I517" s="3"/>
      <c r="J517" s="3"/>
      <c r="K517" s="3"/>
    </row>
    <row r="518" spans="1:11" ht="11.25" x14ac:dyDescent="0.2">
      <c r="A518" s="3">
        <f t="shared" si="61"/>
        <v>12</v>
      </c>
      <c r="B518" s="3" t="str">
        <f>Input!A456</f>
        <v>923</v>
      </c>
      <c r="C518" s="3" t="str">
        <f>Input!B456</f>
        <v xml:space="preserve">OUTSIDE SERVICES </v>
      </c>
      <c r="D518" s="118" t="str">
        <f>IF(Input!$C$2=3,'Classification Table'!$A$23,IF(Input!$C$2=5,'Classification Table'!$A$24,IF(Input!$C$2=20,'Classification Table'!$A$25,0)))</f>
        <v>12DC</v>
      </c>
      <c r="E518" s="3">
        <f>Input!D456</f>
        <v>4636.4399999998277</v>
      </c>
      <c r="F518" s="3">
        <f>ROUND(VLOOKUP($D518,'Classification Table'!$A$6:$E$77,3,FALSE)*$E518,0)</f>
        <v>3078</v>
      </c>
      <c r="G518" s="3">
        <f>ROUND(VLOOKUP($D518,'Classification Table'!$A$6:$E$77,4,FALSE)*$E518,0)</f>
        <v>802</v>
      </c>
      <c r="H518" s="3">
        <f>ROUND(VLOOKUP($D518,'Classification Table'!$A$6:$E$77,5,FALSE)*$E518,0)</f>
        <v>757</v>
      </c>
      <c r="I518" s="3"/>
      <c r="J518" s="3"/>
      <c r="K518" s="3"/>
    </row>
    <row r="519" spans="1:11" ht="11.25" x14ac:dyDescent="0.2">
      <c r="A519" s="3">
        <f t="shared" si="61"/>
        <v>13</v>
      </c>
      <c r="B519" s="3" t="str">
        <f>Input!A457</f>
        <v>924</v>
      </c>
      <c r="C519" s="3" t="str">
        <f>Input!B457</f>
        <v>PROPERTY INSURANCE</v>
      </c>
      <c r="D519" s="118" t="str">
        <f>IF(Input!$C$2=3,'Classification Table'!$A$23,IF(Input!$C$2=5,'Classification Table'!$A$24,IF(Input!$C$2=20,'Classification Table'!$A$25,0)))</f>
        <v>12DC</v>
      </c>
      <c r="E519" s="3">
        <f>Input!D457</f>
        <v>0</v>
      </c>
      <c r="F519" s="3">
        <f>ROUND(VLOOKUP($D519,'Classification Table'!$A$6:$E$77,3,FALSE)*$E519,0)</f>
        <v>0</v>
      </c>
      <c r="G519" s="3">
        <f>ROUND(VLOOKUP($D519,'Classification Table'!$A$6:$E$77,4,FALSE)*$E519,0)</f>
        <v>0</v>
      </c>
      <c r="H519" s="3">
        <f>ROUND(VLOOKUP($D519,'Classification Table'!$A$6:$E$77,5,FALSE)*$E519,0)</f>
        <v>0</v>
      </c>
      <c r="I519" s="3"/>
      <c r="J519" s="3"/>
      <c r="K519" s="3"/>
    </row>
    <row r="520" spans="1:11" ht="11.25" x14ac:dyDescent="0.2">
      <c r="A520" s="3">
        <f t="shared" si="61"/>
        <v>14</v>
      </c>
      <c r="B520" s="3" t="str">
        <f>Input!A458</f>
        <v>925</v>
      </c>
      <c r="C520" s="3" t="str">
        <f>Input!B458</f>
        <v>INJURIES AND DAMAGES</v>
      </c>
      <c r="D520" s="118" t="str">
        <f>IF(Input!$C$2=3,'Classification Table'!$A$23,IF(Input!$C$2=5,'Classification Table'!$A$24,IF(Input!$C$2=20,'Classification Table'!$A$25,0)))</f>
        <v>12DC</v>
      </c>
      <c r="E520" s="3">
        <f>Input!D458</f>
        <v>0</v>
      </c>
      <c r="F520" s="3">
        <f>ROUND(VLOOKUP($D520,'Classification Table'!$A$6:$E$77,3,FALSE)*$E520,0)</f>
        <v>0</v>
      </c>
      <c r="G520" s="3">
        <f>ROUND(VLOOKUP($D520,'Classification Table'!$A$6:$E$77,4,FALSE)*$E520,0)</f>
        <v>0</v>
      </c>
      <c r="H520" s="3">
        <f>ROUND(VLOOKUP($D520,'Classification Table'!$A$6:$E$77,5,FALSE)*$E520,0)</f>
        <v>0</v>
      </c>
      <c r="I520" s="3"/>
      <c r="J520" s="3"/>
      <c r="K520" s="3"/>
    </row>
    <row r="521" spans="1:11" ht="11.25" x14ac:dyDescent="0.2">
      <c r="A521" s="3">
        <f t="shared" si="61"/>
        <v>15</v>
      </c>
      <c r="B521" s="3" t="str">
        <f>Input!A459</f>
        <v>926</v>
      </c>
      <c r="C521" s="3" t="str">
        <f>Input!B459</f>
        <v>EMPLOYEE PENSIONS &amp; BENEFITS</v>
      </c>
      <c r="D521" s="118" t="str">
        <f>IF(Input!$C$2=3,'Classification Table'!$A$23,IF(Input!$C$2=5,'Classification Table'!$A$24,IF(Input!$C$2=20,'Classification Table'!$A$25,0)))</f>
        <v>12DC</v>
      </c>
      <c r="E521" s="3">
        <f>Input!D459</f>
        <v>0</v>
      </c>
      <c r="F521" s="3">
        <f>ROUND(VLOOKUP($D521,'Classification Table'!$A$6:$E$77,3,FALSE)*$E521,0)</f>
        <v>0</v>
      </c>
      <c r="G521" s="3">
        <f>ROUND(VLOOKUP($D521,'Classification Table'!$A$6:$E$77,4,FALSE)*$E521,0)</f>
        <v>0</v>
      </c>
      <c r="H521" s="3">
        <f>ROUND(VLOOKUP($D521,'Classification Table'!$A$6:$E$77,5,FALSE)*$E521,0)</f>
        <v>0</v>
      </c>
      <c r="I521" s="3"/>
      <c r="J521" s="3"/>
      <c r="K521" s="3"/>
    </row>
    <row r="522" spans="1:11" ht="11.25" x14ac:dyDescent="0.2">
      <c r="A522" s="3">
        <f t="shared" si="61"/>
        <v>16</v>
      </c>
      <c r="B522" s="3" t="str">
        <f>Input!A460</f>
        <v>928</v>
      </c>
      <c r="C522" s="3" t="str">
        <f>Input!B460</f>
        <v>REG COMMISSION EXP - GENERAL</v>
      </c>
      <c r="D522" s="118" t="str">
        <f>IF(Input!$C$2=3,'Classification Table'!$A$23,IF(Input!$C$2=5,'Classification Table'!$A$24,IF(Input!$C$2=20,'Classification Table'!$A$25,0)))</f>
        <v>12DC</v>
      </c>
      <c r="E522" s="3">
        <f>Input!D460</f>
        <v>0</v>
      </c>
      <c r="F522" s="3">
        <f>ROUND(VLOOKUP($D522,'Classification Table'!$A$6:$E$77,3,FALSE)*$E522,0)</f>
        <v>0</v>
      </c>
      <c r="G522" s="3">
        <f>ROUND(VLOOKUP($D522,'Classification Table'!$A$6:$E$77,4,FALSE)*$E522,0)</f>
        <v>0</v>
      </c>
      <c r="H522" s="3">
        <f>ROUND(VLOOKUP($D522,'Classification Table'!$A$6:$E$77,5,FALSE)*$E522,0)</f>
        <v>0</v>
      </c>
      <c r="I522" s="3"/>
      <c r="J522" s="3"/>
      <c r="K522" s="3"/>
    </row>
    <row r="523" spans="1:11" ht="11.25" x14ac:dyDescent="0.2">
      <c r="A523" s="3">
        <f t="shared" si="61"/>
        <v>17</v>
      </c>
      <c r="B523" s="3" t="str">
        <f>Input!A461</f>
        <v>930.10</v>
      </c>
      <c r="C523" s="3" t="str">
        <f>Input!B461</f>
        <v>MISC. - INSTITUT &amp; GOODWILL ADV</v>
      </c>
      <c r="D523" s="118" t="str">
        <f>IF(Input!$C$2=3,'Classification Table'!$A$23,IF(Input!$C$2=5,'Classification Table'!$A$24,IF(Input!$C$2=20,'Classification Table'!$A$25,0)))</f>
        <v>12DC</v>
      </c>
      <c r="E523" s="3">
        <f>Input!D461</f>
        <v>0</v>
      </c>
      <c r="F523" s="3">
        <f>ROUND(VLOOKUP($D523,'Classification Table'!$A$6:$E$77,3,FALSE)*$E523,0)</f>
        <v>0</v>
      </c>
      <c r="G523" s="3">
        <f>ROUND(VLOOKUP($D523,'Classification Table'!$A$6:$E$77,4,FALSE)*$E523,0)</f>
        <v>0</v>
      </c>
      <c r="H523" s="3">
        <f>ROUND(VLOOKUP($D523,'Classification Table'!$A$6:$E$77,5,FALSE)*$E523,0)</f>
        <v>0</v>
      </c>
      <c r="I523" s="3"/>
      <c r="J523" s="3"/>
      <c r="K523" s="3"/>
    </row>
    <row r="524" spans="1:11" ht="11.25" x14ac:dyDescent="0.2">
      <c r="A524" s="3">
        <f t="shared" si="61"/>
        <v>18</v>
      </c>
      <c r="B524" s="3" t="str">
        <f>Input!A462</f>
        <v>930.20</v>
      </c>
      <c r="C524" s="3" t="str">
        <f>Input!B462</f>
        <v>MISC. - GENERAL</v>
      </c>
      <c r="D524" s="118" t="str">
        <f>IF(Input!$C$2=3,'Classification Table'!$A$23,IF(Input!$C$2=5,'Classification Table'!$A$24,IF(Input!$C$2=20,'Classification Table'!$A$25,0)))</f>
        <v>12DC</v>
      </c>
      <c r="E524" s="3">
        <f>Input!D462</f>
        <v>0</v>
      </c>
      <c r="F524" s="3">
        <f>ROUND(VLOOKUP($D524,'Classification Table'!$A$6:$E$77,3,FALSE)*$E524,0)</f>
        <v>0</v>
      </c>
      <c r="G524" s="3">
        <f>ROUND(VLOOKUP($D524,'Classification Table'!$A$6:$E$77,4,FALSE)*$E524,0)</f>
        <v>0</v>
      </c>
      <c r="H524" s="3">
        <f>ROUND(VLOOKUP($D524,'Classification Table'!$A$6:$E$77,5,FALSE)*$E524,0)</f>
        <v>0</v>
      </c>
      <c r="I524" s="3"/>
      <c r="J524" s="3"/>
      <c r="K524" s="3"/>
    </row>
    <row r="525" spans="1:11" ht="11.25" x14ac:dyDescent="0.2">
      <c r="A525" s="3">
        <f t="shared" si="61"/>
        <v>19</v>
      </c>
      <c r="B525" s="3" t="str">
        <f>Input!A463</f>
        <v>931</v>
      </c>
      <c r="C525" s="3" t="str">
        <f>Input!B463</f>
        <v>RENTS</v>
      </c>
      <c r="D525" s="118" t="str">
        <f>IF(Input!$C$2=3,'Classification Table'!$A$23,IF(Input!$C$2=5,'Classification Table'!$A$24,IF(Input!$C$2=20,'Classification Table'!$A$25,0)))</f>
        <v>12DC</v>
      </c>
      <c r="E525" s="3">
        <f>Input!D463</f>
        <v>0</v>
      </c>
      <c r="F525" s="3">
        <f>ROUND(VLOOKUP($D525,'Classification Table'!$A$6:$E$77,3,FALSE)*$E525,0)</f>
        <v>0</v>
      </c>
      <c r="G525" s="3">
        <f>ROUND(VLOOKUP($D525,'Classification Table'!$A$6:$E$77,4,FALSE)*$E525,0)</f>
        <v>0</v>
      </c>
      <c r="H525" s="3">
        <f>ROUND(VLOOKUP($D525,'Classification Table'!$A$6:$E$77,5,FALSE)*$E525,0)</f>
        <v>0</v>
      </c>
      <c r="I525" s="3"/>
      <c r="J525" s="3"/>
      <c r="K525" s="3"/>
    </row>
    <row r="526" spans="1:11" ht="11.25" x14ac:dyDescent="0.2">
      <c r="A526" s="3">
        <f t="shared" si="61"/>
        <v>20</v>
      </c>
      <c r="B526" s="3" t="str">
        <f>Input!A464</f>
        <v>935.13</v>
      </c>
      <c r="C526" s="3" t="str">
        <f>Input!B464</f>
        <v>MAINT. STRUCTURES &amp; IMPROV.</v>
      </c>
      <c r="D526" s="118" t="str">
        <f>IF(Input!$C$2=3,'Classification Table'!$A$23,IF(Input!$C$2=5,'Classification Table'!$A$24,IF(Input!$C$2=20,'Classification Table'!$A$25,0)))</f>
        <v>12DC</v>
      </c>
      <c r="E526" s="3">
        <f>Input!D464</f>
        <v>0</v>
      </c>
      <c r="F526" s="3">
        <f>ROUND(VLOOKUP($D526,'Classification Table'!$A$6:$E$77,3,FALSE)*$E526,0)</f>
        <v>0</v>
      </c>
      <c r="G526" s="3">
        <f>ROUND(VLOOKUP($D526,'Classification Table'!$A$6:$E$77,4,FALSE)*$E526,0)</f>
        <v>0</v>
      </c>
      <c r="H526" s="3">
        <f>ROUND(VLOOKUP($D526,'Classification Table'!$A$6:$E$77,5,FALSE)*$E526,0)</f>
        <v>0</v>
      </c>
      <c r="I526" s="3"/>
      <c r="J526" s="3"/>
      <c r="K526" s="3"/>
    </row>
    <row r="527" spans="1:11" ht="11.25" x14ac:dyDescent="0.2">
      <c r="A527" s="3">
        <f t="shared" si="61"/>
        <v>21</v>
      </c>
      <c r="B527" s="3" t="str">
        <f>Input!A465</f>
        <v>935.23</v>
      </c>
      <c r="C527" s="3" t="str">
        <f>Input!B465</f>
        <v xml:space="preserve">MAINT. - GEN'L OFFICE </v>
      </c>
      <c r="D527" s="118"/>
      <c r="E527" s="3"/>
      <c r="F527" s="3"/>
      <c r="G527" s="3"/>
      <c r="H527" s="3"/>
      <c r="I527" s="3"/>
      <c r="J527" s="3"/>
      <c r="K527" s="3"/>
    </row>
    <row r="528" spans="1:11" ht="11.25" x14ac:dyDescent="0.2">
      <c r="A528" s="3">
        <f t="shared" si="61"/>
        <v>22</v>
      </c>
      <c r="B528" s="3"/>
      <c r="C528" s="3" t="str">
        <f>Input!B466</f>
        <v>FURNITURE &amp; EQUIPMENT</v>
      </c>
      <c r="D528" s="118" t="str">
        <f>IF(Input!$C$2=3,'Classification Table'!$A$23,IF(Input!$C$2=5,'Classification Table'!$A$24,IF(Input!$C$2=20,'Classification Table'!$A$25,0)))</f>
        <v>12DC</v>
      </c>
      <c r="E528" s="3">
        <f>Input!D466</f>
        <v>0</v>
      </c>
      <c r="F528" s="3">
        <f>ROUND(VLOOKUP($D528,'Classification Table'!$A$6:$E$77,3,FALSE)*$E528,0)</f>
        <v>0</v>
      </c>
      <c r="G528" s="3">
        <f>ROUND(VLOOKUP($D528,'Classification Table'!$A$6:$E$77,4,FALSE)*$E528,0)</f>
        <v>0</v>
      </c>
      <c r="H528" s="3">
        <f>ROUND(VLOOKUP($D528,'Classification Table'!$A$6:$E$77,5,FALSE)*$E528,0)</f>
        <v>0</v>
      </c>
      <c r="I528" s="3"/>
      <c r="J528" s="3"/>
      <c r="K528" s="3"/>
    </row>
    <row r="529" spans="1:11" ht="11.25" x14ac:dyDescent="0.2">
      <c r="A529" s="3">
        <f t="shared" si="61"/>
        <v>23</v>
      </c>
      <c r="B529" s="3">
        <f>Input!A467</f>
        <v>932</v>
      </c>
      <c r="C529" s="3" t="str">
        <f>Input!B467</f>
        <v>MAINT.-MISCELLANEOUS</v>
      </c>
      <c r="D529" s="118" t="str">
        <f>IF(Input!$C$2=3,'Classification Table'!$A$23,IF(Input!$C$2=5,'Classification Table'!$A$24,IF(Input!$C$2=20,'Classification Table'!$A$25,0)))</f>
        <v>12DC</v>
      </c>
      <c r="E529" s="26">
        <f>Input!D467</f>
        <v>0</v>
      </c>
      <c r="F529" s="26">
        <f>ROUND(VLOOKUP($D529,'Classification Table'!$A$6:$E$77,3,FALSE)*$E529,0)</f>
        <v>0</v>
      </c>
      <c r="G529" s="26">
        <f>ROUND(VLOOKUP($D529,'Classification Table'!$A$6:$E$77,4,FALSE)*$E529,0)</f>
        <v>0</v>
      </c>
      <c r="H529" s="26">
        <f>ROUND(VLOOKUP($D529,'Classification Table'!$A$6:$E$77,5,FALSE)*$E529,0)</f>
        <v>0</v>
      </c>
      <c r="I529" s="3"/>
      <c r="J529" s="26"/>
      <c r="K529" s="26"/>
    </row>
    <row r="530" spans="1:11" ht="11.25" x14ac:dyDescent="0.2">
      <c r="A530" s="3">
        <f>A529+1</f>
        <v>24</v>
      </c>
      <c r="B530" s="3"/>
      <c r="C530" s="3" t="s">
        <v>317</v>
      </c>
      <c r="D530" s="325"/>
      <c r="E530" s="26">
        <f t="shared" ref="E530:H530" si="62">SUM(E515:E529)</f>
        <v>1602620.44</v>
      </c>
      <c r="F530" s="26">
        <f t="shared" si="62"/>
        <v>1064020</v>
      </c>
      <c r="G530" s="26">
        <f t="shared" si="62"/>
        <v>277063</v>
      </c>
      <c r="H530" s="26">
        <f t="shared" si="62"/>
        <v>261538</v>
      </c>
      <c r="I530" s="3"/>
      <c r="J530" s="26"/>
      <c r="K530" s="26"/>
    </row>
    <row r="531" spans="1:11" ht="11.25" x14ac:dyDescent="0.2">
      <c r="A531" s="3"/>
      <c r="B531" s="3"/>
      <c r="C531" s="3"/>
      <c r="D531" s="325"/>
      <c r="E531" s="3"/>
      <c r="F531" s="3"/>
      <c r="G531" s="3"/>
      <c r="H531" s="3"/>
      <c r="I531" s="3"/>
      <c r="J531" s="3"/>
      <c r="K531" s="3"/>
    </row>
    <row r="532" spans="1:11" ht="11.25" x14ac:dyDescent="0.2">
      <c r="A532" s="3">
        <f>A530+1</f>
        <v>25</v>
      </c>
      <c r="B532" s="3"/>
      <c r="C532" s="3" t="s">
        <v>318</v>
      </c>
      <c r="D532" s="325"/>
      <c r="E532" s="3">
        <f>Classification!E408+Classification!E416+Classification!E418+Classification!E428+E511+E530</f>
        <v>9358726.4399999995</v>
      </c>
      <c r="F532" s="3">
        <f>Classification!F408+Classification!F416+Classification!F418+Classification!F428+F511+F530</f>
        <v>6213497</v>
      </c>
      <c r="G532" s="3">
        <f>Classification!G408+Classification!G416+Classification!G418+Classification!G428+G511+G530</f>
        <v>1617947</v>
      </c>
      <c r="H532" s="3">
        <f>Classification!H408+Classification!H416+Classification!H418+Classification!H428+H511+H530</f>
        <v>1527286</v>
      </c>
      <c r="I532" s="3"/>
      <c r="J532" s="3"/>
      <c r="K532" s="3"/>
    </row>
    <row r="533" spans="1:11" ht="11.25" x14ac:dyDescent="0.2">
      <c r="A533" s="3" t="s">
        <v>811</v>
      </c>
      <c r="B533" s="3"/>
      <c r="C533" s="3"/>
      <c r="D533" s="325"/>
      <c r="E533" s="3"/>
      <c r="F533" s="325" t="str">
        <f>""&amp;+Input!$B$1</f>
        <v>COLUMBIA GAS OF KENTUCKY, INC.</v>
      </c>
      <c r="H533" s="3"/>
      <c r="I533" s="3"/>
      <c r="J533" s="3"/>
      <c r="K533" s="32" t="str">
        <f>Input!$B$2</f>
        <v>ATTACHMENT CEN-2</v>
      </c>
    </row>
    <row r="534" spans="1:11" ht="11.25" x14ac:dyDescent="0.2">
      <c r="A534" s="3" t="str">
        <f>Input!$B$7</f>
        <v>DEMAND-COMMODITY</v>
      </c>
      <c r="B534" s="3"/>
      <c r="C534" s="3"/>
      <c r="D534" s="325"/>
      <c r="E534" s="3"/>
      <c r="F534" s="325" t="s">
        <v>569</v>
      </c>
      <c r="H534" s="3"/>
      <c r="I534" s="3"/>
      <c r="J534" s="3"/>
      <c r="K534" s="32" t="s">
        <v>1117</v>
      </c>
    </row>
    <row r="535" spans="1:11" ht="11.25" x14ac:dyDescent="0.2">
      <c r="A535" s="17" t="str">
        <f>Input!$B$6</f>
        <v>FORECASTED TEST YEAR - ORIGINAL FILING</v>
      </c>
      <c r="B535" s="17"/>
      <c r="C535" s="17"/>
      <c r="D535" s="34"/>
      <c r="E535" s="17"/>
      <c r="F535" s="19" t="str">
        <f>"FOR THE TWELVE MONTHS ENDED "&amp;Input!$B$4</f>
        <v>FOR THE TWELVE MONTHS ENDED 12/31/2017</v>
      </c>
      <c r="G535" s="329"/>
      <c r="H535" s="17"/>
      <c r="I535" s="17"/>
      <c r="J535" s="17"/>
      <c r="K535" s="183" t="str">
        <f>"WITNESS: "&amp;Input!$B$5</f>
        <v>WITNESS: C. NOTESTONE</v>
      </c>
    </row>
    <row r="536" spans="1:11" ht="11.25" x14ac:dyDescent="0.2">
      <c r="A536" s="325" t="s">
        <v>5</v>
      </c>
      <c r="B536" s="3" t="s">
        <v>6</v>
      </c>
      <c r="C536" s="3"/>
      <c r="D536" s="325" t="s">
        <v>811</v>
      </c>
      <c r="E536" s="325" t="s">
        <v>8</v>
      </c>
      <c r="F536" s="3"/>
      <c r="G536" s="3"/>
      <c r="H536" s="3"/>
      <c r="I536" s="3"/>
      <c r="J536" s="3"/>
      <c r="K536" s="3"/>
    </row>
    <row r="537" spans="1:11" ht="11.25" x14ac:dyDescent="0.2">
      <c r="A537" s="341" t="s">
        <v>9</v>
      </c>
      <c r="B537" s="341" t="s">
        <v>9</v>
      </c>
      <c r="C537" s="34" t="str">
        <f>Classification!C128</f>
        <v xml:space="preserve"> ACCOUNT TITLE</v>
      </c>
      <c r="D537" s="341" t="s">
        <v>10</v>
      </c>
      <c r="E537" s="341" t="s">
        <v>11</v>
      </c>
      <c r="F537" s="341" t="s">
        <v>804</v>
      </c>
      <c r="G537" s="341" t="s">
        <v>812</v>
      </c>
      <c r="H537" s="341" t="s">
        <v>813</v>
      </c>
      <c r="I537" s="447"/>
      <c r="J537" s="447"/>
      <c r="K537" s="447"/>
    </row>
    <row r="538" spans="1:11" ht="11.25" x14ac:dyDescent="0.2">
      <c r="A538" s="3"/>
      <c r="B538" s="342" t="s">
        <v>13</v>
      </c>
      <c r="C538" s="342" t="s">
        <v>14</v>
      </c>
      <c r="D538" s="325" t="s">
        <v>15</v>
      </c>
      <c r="E538" s="325" t="s">
        <v>16</v>
      </c>
      <c r="F538" s="325" t="s">
        <v>17</v>
      </c>
      <c r="G538" s="325" t="s">
        <v>18</v>
      </c>
      <c r="H538" s="325" t="s">
        <v>19</v>
      </c>
      <c r="I538" s="325"/>
      <c r="J538" s="325"/>
      <c r="K538" s="325"/>
    </row>
    <row r="539" spans="1:11" ht="11.25" x14ac:dyDescent="0.2">
      <c r="A539" s="3"/>
      <c r="B539" s="3"/>
      <c r="C539" s="3"/>
      <c r="D539" s="325"/>
      <c r="E539" s="325" t="s">
        <v>26</v>
      </c>
      <c r="F539" s="325" t="s">
        <v>26</v>
      </c>
      <c r="G539" s="325" t="s">
        <v>26</v>
      </c>
      <c r="H539" s="325" t="s">
        <v>26</v>
      </c>
      <c r="I539" s="325"/>
      <c r="J539" s="325"/>
      <c r="K539" s="325"/>
    </row>
    <row r="540" spans="1:11" ht="11.25" x14ac:dyDescent="0.2">
      <c r="A540" s="3">
        <v>1</v>
      </c>
      <c r="B540" s="3"/>
      <c r="C540" s="3" t="str">
        <f>Input!A393</f>
        <v>DISTRIBUTION EXPENSES</v>
      </c>
      <c r="D540" s="325"/>
      <c r="E540" s="3"/>
      <c r="F540" s="3"/>
      <c r="G540" s="3"/>
      <c r="H540" s="3"/>
      <c r="I540" s="3"/>
      <c r="J540" s="3"/>
      <c r="K540" s="3"/>
    </row>
    <row r="541" spans="1:11" ht="11.25" x14ac:dyDescent="0.2">
      <c r="A541" s="3"/>
      <c r="B541" s="3"/>
      <c r="C541" s="3"/>
      <c r="D541" s="325"/>
      <c r="E541" s="3"/>
      <c r="F541" s="3"/>
      <c r="G541" s="3"/>
      <c r="H541" s="3"/>
      <c r="I541" s="3"/>
      <c r="J541" s="3"/>
      <c r="K541" s="3"/>
    </row>
    <row r="542" spans="1:11" ht="11.25" x14ac:dyDescent="0.2">
      <c r="A542" s="3">
        <f>A540+1</f>
        <v>2</v>
      </c>
      <c r="B542" s="3" t="str">
        <f>Input!A396</f>
        <v>870</v>
      </c>
      <c r="C542" s="3" t="str">
        <f>Input!B396</f>
        <v>SUPERVISION &amp; ENGINEERING</v>
      </c>
      <c r="D542" s="118" t="str">
        <f>IF(Input!$C$2=3,'Classification Table'!$A$20,IF(Input!$C$2=5,'Classification Table'!$A$21,IF(Input!$C$2=20,'Classification Table'!$A$22,0)))</f>
        <v>11DC</v>
      </c>
      <c r="E542" s="1">
        <f>Input!D396-Classification!E443</f>
        <v>783470</v>
      </c>
      <c r="F542" s="3">
        <f>ROUND(VLOOKUP($D542,'Classification Table'!$A$6:$E$77,3,FALSE)*$E542,0)</f>
        <v>296842</v>
      </c>
      <c r="G542" s="3">
        <f>ROUND(VLOOKUP($D542,'Classification Table'!$A$6:$E$77,4,FALSE)*$E542,0)</f>
        <v>244067</v>
      </c>
      <c r="H542" s="3">
        <f>ROUND(VLOOKUP($D542,'Classification Table'!$A$6:$E$77,5,FALSE)*$E542,0)</f>
        <v>242561</v>
      </c>
      <c r="I542" s="3"/>
      <c r="J542" s="3"/>
      <c r="K542" s="3"/>
    </row>
    <row r="543" spans="1:11" ht="11.25" x14ac:dyDescent="0.2">
      <c r="A543" s="3">
        <f t="shared" ref="A543:A551" si="63">A542+1</f>
        <v>3</v>
      </c>
      <c r="B543" s="3" t="str">
        <f>Input!A397</f>
        <v>871</v>
      </c>
      <c r="C543" s="3" t="str">
        <f>Input!B397</f>
        <v>DISTRIBUTION LOAD DISPATCH</v>
      </c>
      <c r="D543" s="325">
        <f>Input!C397</f>
        <v>4</v>
      </c>
      <c r="E543" s="1">
        <f>Input!D397-Classification!E444</f>
        <v>17885</v>
      </c>
      <c r="F543" s="3">
        <f>ROUND(VLOOKUP($D543,'Classification Table'!$A$6:$E$77,3,FALSE)*$E543,0)</f>
        <v>0</v>
      </c>
      <c r="G543" s="3">
        <f>ROUND(VLOOKUP($D543,'Classification Table'!$A$6:$E$77,4,FALSE)*$E543,0)</f>
        <v>17885</v>
      </c>
      <c r="H543" s="3">
        <f>ROUND(VLOOKUP($D543,'Classification Table'!$A$6:$E$77,5,FALSE)*$E543,0)</f>
        <v>0</v>
      </c>
      <c r="I543" s="3"/>
      <c r="J543" s="3"/>
      <c r="K543" s="3"/>
    </row>
    <row r="544" spans="1:11" ht="11.25" x14ac:dyDescent="0.2">
      <c r="A544" s="3">
        <f t="shared" si="63"/>
        <v>4</v>
      </c>
      <c r="B544" s="3" t="str">
        <f>Input!A398</f>
        <v>874</v>
      </c>
      <c r="C544" s="3" t="str">
        <f>Input!B398</f>
        <v>MAINS &amp; SERVICES</v>
      </c>
      <c r="D544" s="118" t="str">
        <f>IF(Input!$C$2=3,'Classification Table'!$A$29,IF(Input!$C$2=5,'Classification Table'!$A$30,IF(Input!$C$2=20,'Classification Table'!$A$31,0)))</f>
        <v>14DC</v>
      </c>
      <c r="E544" s="1">
        <f>Input!D398-Classification!E445</f>
        <v>4797660</v>
      </c>
      <c r="F544" s="3">
        <f>ROUND(VLOOKUP($D544,'Classification Table'!$A$6:$E$77,3,FALSE)*$E544,0)</f>
        <v>1753384</v>
      </c>
      <c r="G544" s="3">
        <f>ROUND(VLOOKUP($D544,'Classification Table'!$A$6:$E$77,4,FALSE)*$E544,0)</f>
        <v>1522138</v>
      </c>
      <c r="H544" s="3">
        <f>ROUND(VLOOKUP($D544,'Classification Table'!$A$6:$E$77,5,FALSE)*$E544,0)</f>
        <v>1522138</v>
      </c>
      <c r="I544" s="3"/>
      <c r="J544" s="3"/>
      <c r="K544" s="3"/>
    </row>
    <row r="545" spans="1:11" ht="11.25" x14ac:dyDescent="0.2">
      <c r="A545" s="3">
        <f t="shared" si="63"/>
        <v>5</v>
      </c>
      <c r="B545" s="3" t="str">
        <f>Input!A399</f>
        <v>875</v>
      </c>
      <c r="C545" s="3" t="str">
        <f>Input!B399</f>
        <v>M &amp; R - GENERAL</v>
      </c>
      <c r="D545" s="118" t="str">
        <f>IF(Input!$C$2=3,'Classification Table'!$A$35,IF(Input!$C$2=5,'Classification Table'!$A$36,IF(Input!$C$2=20,'Classification Table'!$A$37,0)))</f>
        <v>18DC</v>
      </c>
      <c r="E545" s="1">
        <f>Input!D399-Classification!E446</f>
        <v>118379.09999999998</v>
      </c>
      <c r="F545" s="3">
        <f>ROUND(VLOOKUP($D545,'Classification Table'!$A$6:$E$77,3,FALSE)*$E545,0)</f>
        <v>0</v>
      </c>
      <c r="G545" s="3">
        <f>ROUND(VLOOKUP($D545,'Classification Table'!$A$6:$E$77,4,FALSE)*$E545,0)</f>
        <v>59190</v>
      </c>
      <c r="H545" s="3">
        <f>ROUND(VLOOKUP($D545,'Classification Table'!$A$6:$E$77,5,FALSE)*$E545,0)</f>
        <v>59190</v>
      </c>
      <c r="I545" s="3"/>
      <c r="J545" s="3"/>
      <c r="K545" s="3"/>
    </row>
    <row r="546" spans="1:11" ht="11.25" x14ac:dyDescent="0.2">
      <c r="A546" s="3">
        <f t="shared" si="63"/>
        <v>6</v>
      </c>
      <c r="B546" s="3" t="str">
        <f>Input!A400</f>
        <v>876</v>
      </c>
      <c r="C546" s="3" t="str">
        <f>Input!B400</f>
        <v>M &amp; R - INDUSTRIAL</v>
      </c>
      <c r="D546" s="325">
        <f>Input!C400</f>
        <v>8</v>
      </c>
      <c r="E546" s="1">
        <f>Input!D400-Classification!E447</f>
        <v>29602</v>
      </c>
      <c r="F546" s="3">
        <f>ROUND(VLOOKUP($D546,'Classification Table'!$A$6:$E$77,3,FALSE)*$E546,0)</f>
        <v>29602</v>
      </c>
      <c r="G546" s="3">
        <f>ROUND(VLOOKUP($D546,'Classification Table'!$A$6:$E$77,4,FALSE)*$E546,0)</f>
        <v>0</v>
      </c>
      <c r="H546" s="3">
        <f>ROUND(VLOOKUP($D546,'Classification Table'!$A$6:$E$77,5,FALSE)*$E546,0)</f>
        <v>0</v>
      </c>
      <c r="I546" s="3"/>
      <c r="J546" s="3"/>
      <c r="K546" s="3"/>
    </row>
    <row r="547" spans="1:11" ht="11.25" x14ac:dyDescent="0.2">
      <c r="A547" s="3">
        <f t="shared" si="63"/>
        <v>7</v>
      </c>
      <c r="B547" s="3" t="str">
        <f>Input!A401</f>
        <v>878</v>
      </c>
      <c r="C547" s="3" t="str">
        <f>Input!B401</f>
        <v>METERS &amp; HOUSE REGULATORS</v>
      </c>
      <c r="D547" s="325">
        <f>Input!C401</f>
        <v>16</v>
      </c>
      <c r="E547" s="1">
        <f>Input!D401-Classification!E448</f>
        <v>485057.0299999998</v>
      </c>
      <c r="F547" s="3">
        <f>ROUND(VLOOKUP($D547,'Classification Table'!$A$6:$E$77,3,FALSE)*$E547,0)</f>
        <v>485057</v>
      </c>
      <c r="G547" s="3">
        <f>ROUND(VLOOKUP($D547,'Classification Table'!$A$6:$E$77,4,FALSE)*$E547,0)</f>
        <v>0</v>
      </c>
      <c r="H547" s="3">
        <f>ROUND(VLOOKUP($D547,'Classification Table'!$A$6:$E$77,5,FALSE)*$E547,0)</f>
        <v>0</v>
      </c>
      <c r="I547" s="3"/>
      <c r="J547" s="3"/>
      <c r="K547" s="3"/>
    </row>
    <row r="548" spans="1:11" ht="11.25" x14ac:dyDescent="0.2">
      <c r="A548" s="3">
        <f t="shared" si="63"/>
        <v>8</v>
      </c>
      <c r="B548" s="3" t="str">
        <f>Input!A402</f>
        <v>879</v>
      </c>
      <c r="C548" s="3" t="str">
        <f>Input!B402</f>
        <v xml:space="preserve">CUSTOMER INSTALLATION </v>
      </c>
      <c r="D548" s="325">
        <f>Input!C402</f>
        <v>16</v>
      </c>
      <c r="E548" s="1">
        <f>Input!D402-Classification!E449</f>
        <v>655940.9700000002</v>
      </c>
      <c r="F548" s="3">
        <f>ROUND(VLOOKUP($D548,'Classification Table'!$A$6:$E$77,3,FALSE)*$E548,0)</f>
        <v>655941</v>
      </c>
      <c r="G548" s="3">
        <f>ROUND(VLOOKUP($D548,'Classification Table'!$A$6:$E$77,4,FALSE)*$E548,0)</f>
        <v>0</v>
      </c>
      <c r="H548" s="3">
        <f>ROUND(VLOOKUP($D548,'Classification Table'!$A$6:$E$77,5,FALSE)*$E548,0)</f>
        <v>0</v>
      </c>
      <c r="I548" s="3"/>
      <c r="J548" s="3"/>
      <c r="K548" s="3"/>
    </row>
    <row r="549" spans="1:11" ht="11.25" x14ac:dyDescent="0.2">
      <c r="A549" s="3">
        <f t="shared" si="63"/>
        <v>9</v>
      </c>
      <c r="B549" s="3" t="str">
        <f>Input!A403</f>
        <v>880</v>
      </c>
      <c r="C549" s="3" t="str">
        <f>Input!B403</f>
        <v>OTHER</v>
      </c>
      <c r="D549" s="118" t="str">
        <f>IF(Input!$C$2=3,'Classification Table'!$A$20,IF(Input!$C$2=5,'Classification Table'!$A$21,IF(Input!$C$2=20,'Classification Table'!$A$22,0)))</f>
        <v>11DC</v>
      </c>
      <c r="E549" s="1">
        <f>Input!D403-Classification!E450</f>
        <v>1211487</v>
      </c>
      <c r="F549" s="3">
        <f>ROUND(VLOOKUP($D549,'Classification Table'!$A$6:$E$77,3,FALSE)*$E549,0)</f>
        <v>459009</v>
      </c>
      <c r="G549" s="3">
        <f>ROUND(VLOOKUP($D549,'Classification Table'!$A$6:$E$77,4,FALSE)*$E549,0)</f>
        <v>377403</v>
      </c>
      <c r="H549" s="3">
        <f>ROUND(VLOOKUP($D549,'Classification Table'!$A$6:$E$77,5,FALSE)*$E549,0)</f>
        <v>375075</v>
      </c>
      <c r="I549" s="3"/>
      <c r="J549" s="3"/>
      <c r="K549" s="3"/>
    </row>
    <row r="550" spans="1:11" ht="11.25" x14ac:dyDescent="0.2">
      <c r="A550" s="3">
        <f t="shared" si="63"/>
        <v>10</v>
      </c>
      <c r="B550" s="3" t="str">
        <f>Input!A404</f>
        <v>881</v>
      </c>
      <c r="C550" s="3" t="str">
        <f>Input!B404</f>
        <v>RENTS</v>
      </c>
      <c r="D550" s="118" t="str">
        <f>IF(Input!$C$2=3,'Classification Table'!$A$20,IF(Input!$C$2=5,'Classification Table'!$A$21,IF(Input!$C$2=20,'Classification Table'!$A$22,0)))</f>
        <v>11DC</v>
      </c>
      <c r="E550" s="116">
        <f>Input!D404-Classification!E451</f>
        <v>82157</v>
      </c>
      <c r="F550" s="26">
        <f>ROUND(VLOOKUP($D550,'Classification Table'!$A$6:$E$77,3,FALSE)*$E550,0)</f>
        <v>31128</v>
      </c>
      <c r="G550" s="26">
        <f>ROUND(VLOOKUP($D550,'Classification Table'!$A$6:$E$77,4,FALSE)*$E550,0)</f>
        <v>25594</v>
      </c>
      <c r="H550" s="26">
        <f>ROUND(VLOOKUP($D550,'Classification Table'!$A$6:$E$77,5,FALSE)*$E550,0)</f>
        <v>25436</v>
      </c>
      <c r="I550" s="3"/>
      <c r="J550" s="26"/>
      <c r="K550" s="26"/>
    </row>
    <row r="551" spans="1:11" ht="11.25" x14ac:dyDescent="0.2">
      <c r="A551" s="3">
        <f t="shared" si="63"/>
        <v>11</v>
      </c>
      <c r="B551" s="3"/>
      <c r="C551" s="3" t="s">
        <v>271</v>
      </c>
      <c r="D551" s="325"/>
      <c r="E551" s="1">
        <f t="shared" ref="E551:H551" si="64">SUM(E542:E550)</f>
        <v>8181638.0999999996</v>
      </c>
      <c r="F551" s="3">
        <f t="shared" si="64"/>
        <v>3710963</v>
      </c>
      <c r="G551" s="3">
        <f t="shared" si="64"/>
        <v>2246277</v>
      </c>
      <c r="H551" s="3">
        <f t="shared" si="64"/>
        <v>2224400</v>
      </c>
      <c r="I551" s="3"/>
      <c r="J551" s="3"/>
      <c r="K551" s="3"/>
    </row>
    <row r="552" spans="1:11" ht="11.25" x14ac:dyDescent="0.2">
      <c r="A552" s="3"/>
      <c r="B552" s="3"/>
      <c r="C552" s="3"/>
      <c r="D552" s="325"/>
      <c r="E552" s="1"/>
      <c r="F552" s="3"/>
      <c r="G552" s="3"/>
      <c r="H552" s="3"/>
      <c r="I552" s="3"/>
      <c r="J552" s="3"/>
      <c r="K552" s="3"/>
    </row>
    <row r="553" spans="1:11" ht="11.25" x14ac:dyDescent="0.2">
      <c r="A553" s="3">
        <f>A551+1</f>
        <v>12</v>
      </c>
      <c r="B553" s="3"/>
      <c r="C553" s="3" t="str">
        <f>Input!A405</f>
        <v>MAINTENANCE</v>
      </c>
      <c r="D553" s="325"/>
      <c r="E553" s="1"/>
      <c r="F553" s="3"/>
      <c r="G553" s="3"/>
      <c r="H553" s="3"/>
      <c r="I553" s="3"/>
      <c r="J553" s="3"/>
      <c r="K553" s="3"/>
    </row>
    <row r="554" spans="1:11" ht="11.25" x14ac:dyDescent="0.2">
      <c r="A554" s="3"/>
      <c r="B554" s="3"/>
      <c r="C554" s="3"/>
      <c r="D554" s="325"/>
      <c r="E554" s="1"/>
      <c r="F554" s="3"/>
      <c r="G554" s="3"/>
      <c r="H554" s="3"/>
      <c r="I554" s="3"/>
      <c r="J554" s="3"/>
      <c r="K554" s="3"/>
    </row>
    <row r="555" spans="1:11" ht="11.25" x14ac:dyDescent="0.2">
      <c r="A555" s="3">
        <f>A553+1</f>
        <v>13</v>
      </c>
      <c r="B555" s="3" t="str">
        <f>Input!A406</f>
        <v>885</v>
      </c>
      <c r="C555" s="3" t="str">
        <f>Input!B406</f>
        <v>SUPERVISION &amp; ENGINEERING</v>
      </c>
      <c r="D555" s="118" t="str">
        <f>IF(Input!$C$2=3,'Classification Table'!$A$20,IF(Input!$C$2=5,'Classification Table'!$A$21,IF(Input!$C$2=20,'Classification Table'!$A$22,0)))</f>
        <v>11DC</v>
      </c>
      <c r="E555" s="1">
        <f>Input!D406-Classification!E456</f>
        <v>2570.9999999999982</v>
      </c>
      <c r="F555" s="3">
        <f>ROUND(VLOOKUP($D555,'Classification Table'!$A$6:$E$77,3,FALSE)*$E555,0)</f>
        <v>974</v>
      </c>
      <c r="G555" s="3">
        <f>ROUND(VLOOKUP($D555,'Classification Table'!$A$6:$E$77,4,FALSE)*$E555,0)</f>
        <v>801</v>
      </c>
      <c r="H555" s="3">
        <f>ROUND(VLOOKUP($D555,'Classification Table'!$A$6:$E$77,5,FALSE)*$E555,0)</f>
        <v>796</v>
      </c>
      <c r="I555" s="3"/>
      <c r="J555" s="3"/>
      <c r="K555" s="3"/>
    </row>
    <row r="556" spans="1:11" ht="11.25" x14ac:dyDescent="0.2">
      <c r="A556" s="3">
        <f t="shared" ref="A556:A563" si="65">A555+1</f>
        <v>14</v>
      </c>
      <c r="B556" s="3" t="str">
        <f>Input!A407</f>
        <v>886</v>
      </c>
      <c r="C556" s="3" t="str">
        <f>Input!B407</f>
        <v>STRUCTURES &amp; IMPROVEMENTS</v>
      </c>
      <c r="D556" s="118" t="str">
        <f>IF(Input!$C$2=3,'Classification Table'!$A$35,IF(Input!$C$2=5,'Classification Table'!$A$36,IF(Input!$C$2=20,'Classification Table'!$A$37,0)))</f>
        <v>18DC</v>
      </c>
      <c r="E556" s="1">
        <f>Input!D407-Classification!E457</f>
        <v>251838.08000000002</v>
      </c>
      <c r="F556" s="3">
        <f>ROUND(VLOOKUP($D556,'Classification Table'!$A$6:$E$77,3,FALSE)*$E556,0)</f>
        <v>0</v>
      </c>
      <c r="G556" s="3">
        <f>ROUND(VLOOKUP($D556,'Classification Table'!$A$6:$E$77,4,FALSE)*$E556,0)</f>
        <v>125919</v>
      </c>
      <c r="H556" s="3">
        <f>ROUND(VLOOKUP($D556,'Classification Table'!$A$6:$E$77,5,FALSE)*$E556,0)</f>
        <v>125919</v>
      </c>
      <c r="I556" s="3"/>
      <c r="J556" s="3"/>
      <c r="K556" s="3"/>
    </row>
    <row r="557" spans="1:11" ht="11.25" x14ac:dyDescent="0.2">
      <c r="A557" s="3">
        <f t="shared" si="65"/>
        <v>15</v>
      </c>
      <c r="B557" s="3" t="str">
        <f>Input!A408</f>
        <v>887</v>
      </c>
      <c r="C557" s="3" t="str">
        <f>Input!B408</f>
        <v>MAINS</v>
      </c>
      <c r="D557" s="118" t="str">
        <f>IF(Input!$C$2=3,'Classification Table'!$A$35,IF(Input!$C$2=5,'Classification Table'!$A$36,IF(Input!$C$2=20,'Classification Table'!$A$37,0)))</f>
        <v>18DC</v>
      </c>
      <c r="E557" s="1">
        <f>Input!D408-Classification!E458</f>
        <v>2202076.0000000005</v>
      </c>
      <c r="F557" s="3">
        <f>ROUND(VLOOKUP($D557,'Classification Table'!$A$6:$E$77,3,FALSE)*$E557,0)</f>
        <v>0</v>
      </c>
      <c r="G557" s="3">
        <f>ROUND(VLOOKUP($D557,'Classification Table'!$A$6:$E$77,4,FALSE)*$E557,0)</f>
        <v>1101038</v>
      </c>
      <c r="H557" s="3">
        <f>ROUND(VLOOKUP($D557,'Classification Table'!$A$6:$E$77,5,FALSE)*$E557,0)</f>
        <v>1101038</v>
      </c>
      <c r="I557" s="3"/>
      <c r="J557" s="3"/>
      <c r="K557" s="3"/>
    </row>
    <row r="558" spans="1:11" ht="11.25" x14ac:dyDescent="0.2">
      <c r="A558" s="3">
        <f t="shared" si="65"/>
        <v>16</v>
      </c>
      <c r="B558" s="3" t="str">
        <f>Input!A409</f>
        <v>889</v>
      </c>
      <c r="C558" s="3" t="str">
        <f>Input!B409</f>
        <v>M &amp; R - GENERAL</v>
      </c>
      <c r="D558" s="118" t="str">
        <f>IF(Input!$C$2=3,'Classification Table'!$A$35,IF(Input!$C$2=5,'Classification Table'!$A$36,IF(Input!$C$2=20,'Classification Table'!$A$37,0)))</f>
        <v>18DC</v>
      </c>
      <c r="E558" s="1">
        <f>Input!D409-Classification!E459</f>
        <v>144735.98999999993</v>
      </c>
      <c r="F558" s="3">
        <f>ROUND(VLOOKUP($D558,'Classification Table'!$A$6:$E$77,3,FALSE)*$E558,0)</f>
        <v>0</v>
      </c>
      <c r="G558" s="3">
        <f>ROUND(VLOOKUP($D558,'Classification Table'!$A$6:$E$77,4,FALSE)*$E558,0)</f>
        <v>72368</v>
      </c>
      <c r="H558" s="3">
        <f>ROUND(VLOOKUP($D558,'Classification Table'!$A$6:$E$77,5,FALSE)*$E558,0)</f>
        <v>72368</v>
      </c>
      <c r="I558" s="3"/>
      <c r="J558" s="3"/>
      <c r="K558" s="3"/>
    </row>
    <row r="559" spans="1:11" ht="11.25" x14ac:dyDescent="0.2">
      <c r="A559" s="3">
        <f t="shared" si="65"/>
        <v>17</v>
      </c>
      <c r="B559" s="3" t="str">
        <f>Input!A410</f>
        <v>890</v>
      </c>
      <c r="C559" s="3" t="str">
        <f>Input!B410</f>
        <v>M &amp; R - INDUSTRIAL</v>
      </c>
      <c r="D559" s="325">
        <f>Input!C410</f>
        <v>8</v>
      </c>
      <c r="E559" s="1">
        <f>Input!D410-Classification!E460</f>
        <v>51880</v>
      </c>
      <c r="F559" s="3">
        <f>ROUND(VLOOKUP($D559,'Classification Table'!$A$6:$E$77,3,FALSE)*$E559,0)</f>
        <v>51880</v>
      </c>
      <c r="G559" s="3">
        <f>ROUND(VLOOKUP($D559,'Classification Table'!$A$6:$E$77,4,FALSE)*$E559,0)</f>
        <v>0</v>
      </c>
      <c r="H559" s="3">
        <f>ROUND(VLOOKUP($D559,'Classification Table'!$A$6:$E$77,5,FALSE)*$E559,0)</f>
        <v>0</v>
      </c>
      <c r="I559" s="3"/>
      <c r="J559" s="3"/>
      <c r="K559" s="3"/>
    </row>
    <row r="560" spans="1:11" ht="11.25" x14ac:dyDescent="0.2">
      <c r="A560" s="3">
        <f t="shared" si="65"/>
        <v>18</v>
      </c>
      <c r="B560" s="3" t="str">
        <f>Input!A411</f>
        <v>892</v>
      </c>
      <c r="C560" s="3" t="str">
        <f>Input!B411</f>
        <v>SERVICES</v>
      </c>
      <c r="D560" s="325">
        <f>Input!C411</f>
        <v>15</v>
      </c>
      <c r="E560" s="1">
        <f>Input!D411-Classification!E461</f>
        <v>431251</v>
      </c>
      <c r="F560" s="3">
        <f>ROUND(VLOOKUP($D560,'Classification Table'!$A$6:$E$77,3,FALSE)*$E560,0)</f>
        <v>431251</v>
      </c>
      <c r="G560" s="3">
        <f>ROUND(VLOOKUP($D560,'Classification Table'!$A$6:$E$77,4,FALSE)*$E560,0)</f>
        <v>0</v>
      </c>
      <c r="H560" s="3">
        <f>ROUND(VLOOKUP($D560,'Classification Table'!$A$6:$E$77,5,FALSE)*$E560,0)</f>
        <v>0</v>
      </c>
      <c r="I560" s="3"/>
      <c r="J560" s="3"/>
      <c r="K560" s="3"/>
    </row>
    <row r="561" spans="1:11" ht="11.25" x14ac:dyDescent="0.2">
      <c r="A561" s="3">
        <f t="shared" si="65"/>
        <v>19</v>
      </c>
      <c r="B561" s="3" t="str">
        <f>Input!A412</f>
        <v>893</v>
      </c>
      <c r="C561" s="3" t="str">
        <f>Input!B412</f>
        <v>METERS &amp; HOUSE REGULATORS</v>
      </c>
      <c r="D561" s="325">
        <f>Input!C412</f>
        <v>16</v>
      </c>
      <c r="E561" s="1">
        <f>Input!D412-Classification!E462</f>
        <v>118176</v>
      </c>
      <c r="F561" s="3">
        <f>ROUND(VLOOKUP($D561,'Classification Table'!$A$6:$E$77,3,FALSE)*$E561,0)</f>
        <v>118176</v>
      </c>
      <c r="G561" s="3">
        <f>ROUND(VLOOKUP($D561,'Classification Table'!$A$6:$E$77,4,FALSE)*$E561,0)</f>
        <v>0</v>
      </c>
      <c r="H561" s="3">
        <f>ROUND(VLOOKUP($D561,'Classification Table'!$A$6:$E$77,5,FALSE)*$E561,0)</f>
        <v>0</v>
      </c>
      <c r="I561" s="3"/>
      <c r="J561" s="3"/>
      <c r="K561" s="3"/>
    </row>
    <row r="562" spans="1:11" ht="11.25" x14ac:dyDescent="0.2">
      <c r="A562" s="3">
        <f t="shared" si="65"/>
        <v>20</v>
      </c>
      <c r="B562" s="3" t="str">
        <f>Input!A413</f>
        <v>894</v>
      </c>
      <c r="C562" s="3" t="str">
        <f>Input!B413</f>
        <v>OTHER EQUIPMENT</v>
      </c>
      <c r="D562" s="118" t="str">
        <f>IF(Input!$C$2=3,'Classification Table'!$A$20,IF(Input!$C$2=5,'Classification Table'!$A$21,IF(Input!$C$2=20,'Classification Table'!$A$22,0)))</f>
        <v>11DC</v>
      </c>
      <c r="E562" s="116">
        <f>Input!D413-Classification!E463</f>
        <v>199573</v>
      </c>
      <c r="F562" s="26">
        <f>ROUND(VLOOKUP($D562,'Classification Table'!$A$6:$E$77,3,FALSE)*$E562,0)</f>
        <v>75614</v>
      </c>
      <c r="G562" s="26">
        <f>ROUND(VLOOKUP($D562,'Classification Table'!$A$6:$E$77,4,FALSE)*$E562,0)</f>
        <v>62171</v>
      </c>
      <c r="H562" s="26">
        <f>ROUND(VLOOKUP($D562,'Classification Table'!$A$6:$E$77,5,FALSE)*$E562,0)</f>
        <v>61788</v>
      </c>
      <c r="I562" s="3"/>
      <c r="J562" s="26"/>
      <c r="K562" s="26"/>
    </row>
    <row r="563" spans="1:11" ht="11.25" x14ac:dyDescent="0.2">
      <c r="A563" s="3">
        <f t="shared" si="65"/>
        <v>21</v>
      </c>
      <c r="B563" s="3"/>
      <c r="C563" s="3" t="s">
        <v>280</v>
      </c>
      <c r="D563" s="325"/>
      <c r="E563" s="1">
        <f t="shared" ref="E563:H563" si="66">SUM(E555:E562)</f>
        <v>3402101.0700000003</v>
      </c>
      <c r="F563" s="3">
        <f t="shared" si="66"/>
        <v>677895</v>
      </c>
      <c r="G563" s="3">
        <f t="shared" si="66"/>
        <v>1362297</v>
      </c>
      <c r="H563" s="3">
        <f t="shared" si="66"/>
        <v>1361909</v>
      </c>
      <c r="I563" s="3"/>
      <c r="J563" s="3"/>
      <c r="K563" s="3"/>
    </row>
    <row r="564" spans="1:11" ht="11.25" x14ac:dyDescent="0.2">
      <c r="A564" s="3" t="s">
        <v>811</v>
      </c>
      <c r="B564" s="3"/>
      <c r="C564" s="3"/>
      <c r="D564" s="325"/>
      <c r="E564" s="3"/>
      <c r="F564" s="325" t="str">
        <f>""&amp;+Input!$B$1</f>
        <v>COLUMBIA GAS OF KENTUCKY, INC.</v>
      </c>
      <c r="H564" s="3"/>
      <c r="I564" s="3"/>
      <c r="J564" s="3"/>
      <c r="K564" s="32" t="str">
        <f>Input!$B$2</f>
        <v>ATTACHMENT CEN-2</v>
      </c>
    </row>
    <row r="565" spans="1:11" ht="11.25" x14ac:dyDescent="0.2">
      <c r="A565" s="3" t="str">
        <f>Input!$B$7</f>
        <v>DEMAND-COMMODITY</v>
      </c>
      <c r="B565" s="3"/>
      <c r="C565" s="3"/>
      <c r="D565" s="325"/>
      <c r="E565" s="3"/>
      <c r="F565" s="325" t="s">
        <v>569</v>
      </c>
      <c r="H565" s="3"/>
      <c r="I565" s="3"/>
      <c r="J565" s="3"/>
      <c r="K565" s="32" t="s">
        <v>1118</v>
      </c>
    </row>
    <row r="566" spans="1:11" ht="11.25" x14ac:dyDescent="0.2">
      <c r="A566" s="17" t="str">
        <f>Input!$B$6</f>
        <v>FORECASTED TEST YEAR - ORIGINAL FILING</v>
      </c>
      <c r="B566" s="17"/>
      <c r="C566" s="17"/>
      <c r="D566" s="34"/>
      <c r="E566" s="17"/>
      <c r="F566" s="19" t="str">
        <f>"FOR THE TWELVE MONTHS ENDED "&amp;Input!$B$4</f>
        <v>FOR THE TWELVE MONTHS ENDED 12/31/2017</v>
      </c>
      <c r="G566" s="329"/>
      <c r="H566" s="17"/>
      <c r="I566" s="17"/>
      <c r="J566" s="17"/>
      <c r="K566" s="183" t="str">
        <f>"WITNESS: "&amp;Input!$B$5</f>
        <v>WITNESS: C. NOTESTONE</v>
      </c>
    </row>
    <row r="567" spans="1:11" ht="11.25" x14ac:dyDescent="0.2">
      <c r="A567" s="325" t="s">
        <v>5</v>
      </c>
      <c r="B567" s="3" t="s">
        <v>6</v>
      </c>
      <c r="C567" s="3"/>
      <c r="D567" s="325" t="s">
        <v>811</v>
      </c>
      <c r="E567" s="325" t="s">
        <v>8</v>
      </c>
      <c r="F567" s="3"/>
      <c r="G567" s="3"/>
      <c r="H567" s="3"/>
      <c r="I567" s="3"/>
      <c r="J567" s="3"/>
      <c r="K567" s="3"/>
    </row>
    <row r="568" spans="1:11" ht="11.25" x14ac:dyDescent="0.2">
      <c r="A568" s="341" t="s">
        <v>9</v>
      </c>
      <c r="B568" s="341" t="s">
        <v>9</v>
      </c>
      <c r="C568" s="341" t="str">
        <f>"                        ACCOUNT TITLE                "</f>
        <v xml:space="preserve">                        ACCOUNT TITLE                </v>
      </c>
      <c r="D568" s="341" t="s">
        <v>10</v>
      </c>
      <c r="E568" s="341" t="s">
        <v>11</v>
      </c>
      <c r="F568" s="341" t="s">
        <v>804</v>
      </c>
      <c r="G568" s="341" t="s">
        <v>812</v>
      </c>
      <c r="H568" s="341" t="s">
        <v>813</v>
      </c>
      <c r="I568" s="447"/>
      <c r="J568" s="447"/>
      <c r="K568" s="447"/>
    </row>
    <row r="569" spans="1:11" ht="11.25" x14ac:dyDescent="0.2">
      <c r="A569" s="3"/>
      <c r="B569" s="342" t="s">
        <v>13</v>
      </c>
      <c r="C569" s="342" t="s">
        <v>14</v>
      </c>
      <c r="D569" s="325" t="s">
        <v>15</v>
      </c>
      <c r="E569" s="325" t="s">
        <v>16</v>
      </c>
      <c r="F569" s="325" t="s">
        <v>17</v>
      </c>
      <c r="G569" s="325" t="s">
        <v>18</v>
      </c>
      <c r="H569" s="325" t="s">
        <v>19</v>
      </c>
      <c r="I569" s="325"/>
      <c r="J569" s="325"/>
      <c r="K569" s="325"/>
    </row>
    <row r="570" spans="1:11" ht="11.25" x14ac:dyDescent="0.2">
      <c r="A570" s="3"/>
      <c r="B570" s="3"/>
      <c r="C570" s="3"/>
      <c r="D570" s="325"/>
      <c r="E570" s="325" t="s">
        <v>26</v>
      </c>
      <c r="F570" s="325" t="s">
        <v>26</v>
      </c>
      <c r="G570" s="325" t="s">
        <v>26</v>
      </c>
      <c r="H570" s="325" t="s">
        <v>26</v>
      </c>
      <c r="I570" s="325"/>
      <c r="J570" s="325"/>
      <c r="K570" s="325"/>
    </row>
    <row r="571" spans="1:11" ht="11.25" x14ac:dyDescent="0.2">
      <c r="A571" s="3">
        <v>1</v>
      </c>
      <c r="B571" s="3"/>
      <c r="C571" s="3" t="str">
        <f>Input!A414</f>
        <v>CUSTOMER ACCOUNTS</v>
      </c>
      <c r="D571" s="325"/>
      <c r="E571" s="3"/>
      <c r="F571" s="3"/>
      <c r="G571" s="3"/>
      <c r="H571" s="3"/>
      <c r="I571" s="3"/>
      <c r="J571" s="3"/>
      <c r="K571" s="3"/>
    </row>
    <row r="572" spans="1:11" ht="11.25" x14ac:dyDescent="0.2">
      <c r="A572" s="3"/>
      <c r="B572" s="3"/>
      <c r="C572" s="3"/>
      <c r="D572" s="325"/>
      <c r="E572" s="3"/>
      <c r="F572" s="3"/>
      <c r="G572" s="3"/>
      <c r="H572" s="3"/>
      <c r="I572" s="3"/>
      <c r="J572" s="3"/>
      <c r="K572" s="3"/>
    </row>
    <row r="573" spans="1:11" ht="11.25" x14ac:dyDescent="0.2">
      <c r="A573" s="3">
        <f>A571+1</f>
        <v>2</v>
      </c>
      <c r="B573" s="3" t="str">
        <f>Input!A415</f>
        <v>901</v>
      </c>
      <c r="C573" s="3" t="str">
        <f>Input!B415</f>
        <v>SUPERVISION</v>
      </c>
      <c r="D573" s="325">
        <f>Input!C415</f>
        <v>6</v>
      </c>
      <c r="E573" s="1">
        <f>Input!D415-Classification!E474</f>
        <v>0</v>
      </c>
      <c r="F573" s="3">
        <f>ROUND(VLOOKUP($D573,'Classification Table'!$A$6:$E$77,3,FALSE)*$E573,0)</f>
        <v>0</v>
      </c>
      <c r="G573" s="3">
        <f>ROUND(VLOOKUP($D573,'Classification Table'!$A$6:$E$77,4,FALSE)*$E573,0)</f>
        <v>0</v>
      </c>
      <c r="H573" s="3">
        <f>ROUND(VLOOKUP($D573,'Classification Table'!$A$6:$E$77,5,FALSE)*$E573,0)</f>
        <v>0</v>
      </c>
      <c r="I573" s="3"/>
      <c r="J573" s="3"/>
      <c r="K573" s="3"/>
    </row>
    <row r="574" spans="1:11" ht="11.25" x14ac:dyDescent="0.2">
      <c r="A574" s="3">
        <f t="shared" ref="A574:A582" si="67">A573+1</f>
        <v>3</v>
      </c>
      <c r="B574" s="3" t="str">
        <f>Input!A416</f>
        <v>902</v>
      </c>
      <c r="C574" s="3" t="str">
        <f>Input!B416</f>
        <v>METER READING</v>
      </c>
      <c r="D574" s="325">
        <f>Input!C416</f>
        <v>6</v>
      </c>
      <c r="E574" s="1">
        <f>Input!D416-Classification!E475</f>
        <v>399502</v>
      </c>
      <c r="F574" s="3">
        <f>ROUND(VLOOKUP($D574,'Classification Table'!$A$6:$E$77,3,FALSE)*$E574,0)</f>
        <v>399502</v>
      </c>
      <c r="G574" s="3">
        <f>ROUND(VLOOKUP($D574,'Classification Table'!$A$6:$E$77,4,FALSE)*$E574,0)</f>
        <v>0</v>
      </c>
      <c r="H574" s="3">
        <f>ROUND(VLOOKUP($D574,'Classification Table'!$A$6:$E$77,5,FALSE)*$E574,0)</f>
        <v>0</v>
      </c>
      <c r="I574" s="3"/>
      <c r="J574" s="3"/>
      <c r="K574" s="3"/>
    </row>
    <row r="575" spans="1:11" ht="11.25" x14ac:dyDescent="0.2">
      <c r="A575" s="3">
        <f t="shared" si="67"/>
        <v>4</v>
      </c>
      <c r="B575" s="3" t="str">
        <f>Input!A417</f>
        <v>903</v>
      </c>
      <c r="C575" s="3" t="str">
        <f>Input!B417</f>
        <v>CUSTOMER RECORDS &amp; COLLECTIONS</v>
      </c>
      <c r="D575" s="325">
        <f>Input!C417</f>
        <v>6</v>
      </c>
      <c r="E575" s="1">
        <f>Input!D417-Classification!E476</f>
        <v>3252912</v>
      </c>
      <c r="F575" s="3">
        <f>ROUND(VLOOKUP($D575,'Classification Table'!$A$6:$E$77,3,FALSE)*$E575,0)</f>
        <v>3252912</v>
      </c>
      <c r="G575" s="3">
        <f>ROUND(VLOOKUP($D575,'Classification Table'!$A$6:$E$77,4,FALSE)*$E575,0)</f>
        <v>0</v>
      </c>
      <c r="H575" s="3">
        <f>ROUND(VLOOKUP($D575,'Classification Table'!$A$6:$E$77,5,FALSE)*$E575,0)</f>
        <v>0</v>
      </c>
      <c r="I575" s="3"/>
      <c r="J575" s="3"/>
      <c r="K575" s="3"/>
    </row>
    <row r="576" spans="1:11" ht="11.25" x14ac:dyDescent="0.2">
      <c r="A576" s="3">
        <f t="shared" si="67"/>
        <v>5</v>
      </c>
      <c r="B576" s="3" t="str">
        <f>Input!A419</f>
        <v>904</v>
      </c>
      <c r="C576" s="3" t="str">
        <f>Input!B419</f>
        <v>UNCOLLECTIBLE ACCOUNTS</v>
      </c>
      <c r="D576" s="325">
        <f>Input!C419</f>
        <v>21</v>
      </c>
      <c r="E576" s="1">
        <f>Input!D419-Classification!E477</f>
        <v>1027585</v>
      </c>
      <c r="F576" s="3">
        <f>ROUND(VLOOKUP($D576,'Classification Table'!$A$6:$E$77,3,FALSE)*$E576,0)</f>
        <v>1027585</v>
      </c>
      <c r="G576" s="3">
        <f>ROUND(VLOOKUP($D576,'Classification Table'!$A$6:$E$77,4,FALSE)*$E576,0)</f>
        <v>0</v>
      </c>
      <c r="H576" s="3">
        <f>ROUND(VLOOKUP($D576,'Classification Table'!$A$6:$E$77,5,FALSE)*$E576,0)</f>
        <v>0</v>
      </c>
      <c r="I576" s="3"/>
      <c r="J576" s="3"/>
      <c r="K576" s="3"/>
    </row>
    <row r="577" spans="1:11" ht="11.25" x14ac:dyDescent="0.2">
      <c r="A577" s="3">
        <f t="shared" si="67"/>
        <v>6</v>
      </c>
      <c r="B577" s="3" t="str">
        <f>Input!A420</f>
        <v>905</v>
      </c>
      <c r="C577" s="3" t="str">
        <f>Input!B420</f>
        <v>MISC.</v>
      </c>
      <c r="D577" s="325">
        <f>Input!C420</f>
        <v>6</v>
      </c>
      <c r="E577" s="1">
        <f>Input!D420-Classification!E478</f>
        <v>1073</v>
      </c>
      <c r="F577" s="3">
        <f>ROUND(VLOOKUP($D577,'Classification Table'!$A$6:$E$77,3,FALSE)*$E577,0)</f>
        <v>1073</v>
      </c>
      <c r="G577" s="3">
        <f>ROUND(VLOOKUP($D577,'Classification Table'!$A$6:$E$77,4,FALSE)*$E577,0)</f>
        <v>0</v>
      </c>
      <c r="H577" s="3">
        <f>ROUND(VLOOKUP($D577,'Classification Table'!$A$6:$E$77,5,FALSE)*$E577,0)</f>
        <v>0</v>
      </c>
      <c r="I577" s="3"/>
      <c r="J577" s="3"/>
      <c r="K577" s="3"/>
    </row>
    <row r="578" spans="1:11" ht="11.25" x14ac:dyDescent="0.2">
      <c r="A578" s="3">
        <f t="shared" si="67"/>
        <v>7</v>
      </c>
      <c r="B578" s="3" t="str">
        <f>Input!A421</f>
        <v>920</v>
      </c>
      <c r="C578" s="3" t="str">
        <f>Input!B421</f>
        <v>SALARIES</v>
      </c>
      <c r="D578" s="325">
        <f>Input!C421</f>
        <v>6</v>
      </c>
      <c r="E578" s="1">
        <f>Input!D421-Classification!E479</f>
        <v>0</v>
      </c>
      <c r="F578" s="3">
        <f>ROUND(VLOOKUP($D578,'Classification Table'!$A$6:$E$77,3,FALSE)*$E578,0)</f>
        <v>0</v>
      </c>
      <c r="G578" s="3">
        <f>ROUND(VLOOKUP($D578,'Classification Table'!$A$6:$E$77,4,FALSE)*$E578,0)</f>
        <v>0</v>
      </c>
      <c r="H578" s="3">
        <f>ROUND(VLOOKUP($D578,'Classification Table'!$A$6:$E$77,5,FALSE)*$E578,0)</f>
        <v>0</v>
      </c>
      <c r="I578" s="3"/>
      <c r="J578" s="3"/>
      <c r="K578" s="3"/>
    </row>
    <row r="579" spans="1:11" ht="11.25" x14ac:dyDescent="0.2">
      <c r="A579" s="3">
        <f t="shared" si="67"/>
        <v>8</v>
      </c>
      <c r="B579" s="3" t="str">
        <f>Input!A422</f>
        <v>921</v>
      </c>
      <c r="C579" s="3" t="str">
        <f>Input!B422</f>
        <v>OFFICE SUPPLIES AND EXPENSE</v>
      </c>
      <c r="D579" s="325">
        <f>Input!C422</f>
        <v>6</v>
      </c>
      <c r="E579" s="1">
        <f>Input!D422-Classification!E480</f>
        <v>253</v>
      </c>
      <c r="F579" s="3">
        <f>ROUND(VLOOKUP($D579,'Classification Table'!$A$6:$E$77,3,FALSE)*$E579,0)</f>
        <v>253</v>
      </c>
      <c r="G579" s="3">
        <f>ROUND(VLOOKUP($D579,'Classification Table'!$A$6:$E$77,4,FALSE)*$E579,0)</f>
        <v>0</v>
      </c>
      <c r="H579" s="3">
        <f>ROUND(VLOOKUP($D579,'Classification Table'!$A$6:$E$77,5,FALSE)*$E579,0)</f>
        <v>0</v>
      </c>
      <c r="I579" s="3"/>
      <c r="J579" s="3"/>
      <c r="K579" s="3"/>
    </row>
    <row r="580" spans="1:11" ht="11.25" x14ac:dyDescent="0.2">
      <c r="A580" s="3">
        <f t="shared" si="67"/>
        <v>9</v>
      </c>
      <c r="B580" s="3" t="str">
        <f>Input!A423</f>
        <v>931</v>
      </c>
      <c r="C580" s="3" t="str">
        <f>Input!B423</f>
        <v>RENTS</v>
      </c>
      <c r="D580" s="325">
        <f>Input!C423</f>
        <v>6</v>
      </c>
      <c r="E580" s="1">
        <f>Input!D423-Classification!E481</f>
        <v>0</v>
      </c>
      <c r="F580" s="3">
        <f>ROUND(VLOOKUP($D580,'Classification Table'!$A$6:$E$77,3,FALSE)*$E580,0)</f>
        <v>0</v>
      </c>
      <c r="G580" s="3">
        <f>ROUND(VLOOKUP($D580,'Classification Table'!$A$6:$E$77,4,FALSE)*$E580,0)</f>
        <v>0</v>
      </c>
      <c r="H580" s="3">
        <f>ROUND(VLOOKUP($D580,'Classification Table'!$A$6:$E$77,5,FALSE)*$E580,0)</f>
        <v>0</v>
      </c>
      <c r="I580" s="3"/>
      <c r="J580" s="3"/>
      <c r="K580" s="3"/>
    </row>
    <row r="581" spans="1:11" ht="11.25" x14ac:dyDescent="0.2">
      <c r="A581" s="3">
        <f t="shared" si="67"/>
        <v>10</v>
      </c>
      <c r="B581" s="3" t="str">
        <f>Input!A424</f>
        <v>935</v>
      </c>
      <c r="C581" s="3" t="str">
        <f>Input!B424</f>
        <v>GENERAL PLANT MAINTENANCE</v>
      </c>
      <c r="D581" s="325">
        <f>Input!C424</f>
        <v>6</v>
      </c>
      <c r="E581" s="116">
        <f>Input!D424-Classification!E482</f>
        <v>0</v>
      </c>
      <c r="F581" s="26">
        <f>ROUND(VLOOKUP($D581,'Classification Table'!$A$6:$E$77,3,FALSE)*$E581,0)</f>
        <v>0</v>
      </c>
      <c r="G581" s="26">
        <f>ROUND(VLOOKUP($D581,'Classification Table'!$A$6:$E$77,4,FALSE)*$E581,0)</f>
        <v>0</v>
      </c>
      <c r="H581" s="26">
        <f>ROUND(VLOOKUP($D581,'Classification Table'!$A$6:$E$77,5,FALSE)*$E581,0)</f>
        <v>0</v>
      </c>
      <c r="I581" s="26"/>
      <c r="J581" s="26"/>
      <c r="K581" s="26"/>
    </row>
    <row r="582" spans="1:11" ht="11.25" x14ac:dyDescent="0.2">
      <c r="A582" s="3">
        <f t="shared" si="67"/>
        <v>11</v>
      </c>
      <c r="B582" s="3"/>
      <c r="C582" s="3" t="s">
        <v>301</v>
      </c>
      <c r="D582" s="325"/>
      <c r="E582" s="1">
        <f t="shared" ref="E582:H582" si="68">SUM(E573:E581)</f>
        <v>4681325</v>
      </c>
      <c r="F582" s="3">
        <f t="shared" si="68"/>
        <v>4681325</v>
      </c>
      <c r="G582" s="3">
        <f t="shared" si="68"/>
        <v>0</v>
      </c>
      <c r="H582" s="3">
        <f t="shared" si="68"/>
        <v>0</v>
      </c>
      <c r="I582" s="3"/>
      <c r="J582" s="3"/>
      <c r="K582" s="3"/>
    </row>
    <row r="583" spans="1:11" ht="11.25" x14ac:dyDescent="0.2">
      <c r="A583" s="3"/>
      <c r="B583" s="3"/>
      <c r="C583" s="3"/>
      <c r="D583" s="325"/>
      <c r="E583" s="1"/>
      <c r="F583" s="3"/>
      <c r="G583" s="3"/>
      <c r="H583" s="3"/>
      <c r="I583" s="3"/>
      <c r="J583" s="3"/>
      <c r="K583" s="3"/>
    </row>
    <row r="584" spans="1:11" ht="11.25" x14ac:dyDescent="0.2">
      <c r="A584" s="3">
        <f>A582+1</f>
        <v>12</v>
      </c>
      <c r="B584" s="3"/>
      <c r="C584" s="3" t="str">
        <f>Input!A425</f>
        <v>CUSTOMER SERVICE &amp; INFORMATIONAL</v>
      </c>
      <c r="D584" s="325"/>
      <c r="E584" s="1"/>
      <c r="F584" s="3"/>
      <c r="G584" s="3"/>
      <c r="H584" s="3"/>
      <c r="I584" s="3"/>
      <c r="J584" s="3"/>
      <c r="K584" s="3"/>
    </row>
    <row r="585" spans="1:11" ht="11.25" x14ac:dyDescent="0.2">
      <c r="A585" s="3"/>
      <c r="B585" s="3"/>
      <c r="C585" s="3"/>
      <c r="D585" s="325"/>
      <c r="E585" s="1"/>
      <c r="F585" s="3"/>
      <c r="G585" s="3"/>
      <c r="H585" s="3"/>
      <c r="I585" s="3"/>
      <c r="J585" s="3"/>
      <c r="K585" s="3"/>
    </row>
    <row r="586" spans="1:11" ht="11.25" x14ac:dyDescent="0.2">
      <c r="A586" s="3">
        <f>A584+1</f>
        <v>13</v>
      </c>
      <c r="B586" s="3" t="str">
        <f>Input!A426</f>
        <v>907</v>
      </c>
      <c r="C586" s="3" t="str">
        <f>Input!B426</f>
        <v>SUPERVISION</v>
      </c>
      <c r="D586" s="325">
        <f>Input!C426</f>
        <v>6</v>
      </c>
      <c r="E586" s="1">
        <f>Input!D426-Classification!E487</f>
        <v>-2788.9999999999982</v>
      </c>
      <c r="F586" s="3">
        <f>ROUND(VLOOKUP($D586,'Classification Table'!$A$6:$E$77,3,FALSE)*$E586,0)</f>
        <v>-2789</v>
      </c>
      <c r="G586" s="3">
        <f>ROUND(VLOOKUP($D586,'Classification Table'!$A$6:$E$77,4,FALSE)*$E586,0)</f>
        <v>0</v>
      </c>
      <c r="H586" s="3">
        <f>ROUND(VLOOKUP($D586,'Classification Table'!$A$6:$E$77,5,FALSE)*$E586,0)</f>
        <v>0</v>
      </c>
      <c r="I586" s="3"/>
      <c r="J586" s="3"/>
      <c r="K586" s="3"/>
    </row>
    <row r="587" spans="1:11" ht="11.25" x14ac:dyDescent="0.2">
      <c r="A587" s="3">
        <f t="shared" ref="A587:A593" si="69">A586+1</f>
        <v>14</v>
      </c>
      <c r="B587" s="3" t="str">
        <f>Input!A428</f>
        <v>908</v>
      </c>
      <c r="C587" s="3" t="str">
        <f>Input!B428</f>
        <v>CUSTOMER ASSISTANCE</v>
      </c>
      <c r="D587" s="325">
        <f>Input!C428</f>
        <v>6</v>
      </c>
      <c r="E587" s="1">
        <f>Input!D428-Classification!E488</f>
        <v>1198970.9999999995</v>
      </c>
      <c r="F587" s="3">
        <f>ROUND(VLOOKUP($D587,'Classification Table'!$A$6:$E$77,3,FALSE)*$E587,0)</f>
        <v>1198971</v>
      </c>
      <c r="G587" s="3">
        <f>ROUND(VLOOKUP($D587,'Classification Table'!$A$6:$E$77,4,FALSE)*$E587,0)</f>
        <v>0</v>
      </c>
      <c r="H587" s="3">
        <f>ROUND(VLOOKUP($D587,'Classification Table'!$A$6:$E$77,5,FALSE)*$E587,0)</f>
        <v>0</v>
      </c>
      <c r="I587" s="3"/>
      <c r="J587" s="3"/>
      <c r="K587" s="3"/>
    </row>
    <row r="588" spans="1:11" ht="11.25" x14ac:dyDescent="0.2">
      <c r="A588" s="3">
        <f t="shared" si="69"/>
        <v>15</v>
      </c>
      <c r="B588" s="3" t="str">
        <f>Input!A430</f>
        <v>909</v>
      </c>
      <c r="C588" s="3" t="str">
        <f>Input!B430</f>
        <v>INFO. &amp; INSTRUCTIONAL</v>
      </c>
      <c r="D588" s="325">
        <f>Input!C430</f>
        <v>6</v>
      </c>
      <c r="E588" s="1">
        <f>Input!D430-Classification!E489</f>
        <v>65932</v>
      </c>
      <c r="F588" s="3">
        <f>ROUND(VLOOKUP($D588,'Classification Table'!$A$6:$E$77,3,FALSE)*$E588,0)</f>
        <v>65932</v>
      </c>
      <c r="G588" s="3">
        <f>ROUND(VLOOKUP($D588,'Classification Table'!$A$6:$E$77,4,FALSE)*$E588,0)</f>
        <v>0</v>
      </c>
      <c r="H588" s="3">
        <f>ROUND(VLOOKUP($D588,'Classification Table'!$A$6:$E$77,5,FALSE)*$E588,0)</f>
        <v>0</v>
      </c>
      <c r="I588" s="3"/>
      <c r="J588" s="3"/>
      <c r="K588" s="3"/>
    </row>
    <row r="589" spans="1:11" ht="11.25" x14ac:dyDescent="0.2">
      <c r="A589" s="3">
        <f t="shared" si="69"/>
        <v>16</v>
      </c>
      <c r="B589" s="3" t="str">
        <f>Input!A431</f>
        <v>910</v>
      </c>
      <c r="C589" s="3" t="str">
        <f>Input!B431</f>
        <v>MISCELLANEOUS</v>
      </c>
      <c r="D589" s="325">
        <f>Input!C431</f>
        <v>6</v>
      </c>
      <c r="E589" s="1">
        <f>Input!D431-Classification!E490</f>
        <v>257797</v>
      </c>
      <c r="F589" s="3">
        <f>ROUND(VLOOKUP($D589,'Classification Table'!$A$6:$E$77,3,FALSE)*$E589,0)</f>
        <v>257797</v>
      </c>
      <c r="G589" s="3">
        <f>ROUND(VLOOKUP($D589,'Classification Table'!$A$6:$E$77,4,FALSE)*$E589,0)</f>
        <v>0</v>
      </c>
      <c r="H589" s="3">
        <f>ROUND(VLOOKUP($D589,'Classification Table'!$A$6:$E$77,5,FALSE)*$E589,0)</f>
        <v>0</v>
      </c>
      <c r="I589" s="3"/>
      <c r="J589" s="3"/>
      <c r="K589" s="3"/>
    </row>
    <row r="590" spans="1:11" ht="11.25" x14ac:dyDescent="0.2">
      <c r="A590" s="3">
        <f t="shared" si="69"/>
        <v>17</v>
      </c>
      <c r="B590" s="3" t="str">
        <f>Input!A432</f>
        <v>920</v>
      </c>
      <c r="C590" s="3" t="str">
        <f>Input!B432</f>
        <v>SALARIES</v>
      </c>
      <c r="D590" s="325">
        <f>Input!C432</f>
        <v>6</v>
      </c>
      <c r="E590" s="1">
        <f>Input!D432-Classification!E491</f>
        <v>0</v>
      </c>
      <c r="F590" s="3">
        <f>ROUND(VLOOKUP($D590,'Classification Table'!$A$6:$E$77,3,FALSE)*$E590,0)</f>
        <v>0</v>
      </c>
      <c r="G590" s="3">
        <f>ROUND(VLOOKUP($D590,'Classification Table'!$A$6:$E$77,4,FALSE)*$E590,0)</f>
        <v>0</v>
      </c>
      <c r="H590" s="3">
        <f>ROUND(VLOOKUP($D590,'Classification Table'!$A$6:$E$77,5,FALSE)*$E590,0)</f>
        <v>0</v>
      </c>
      <c r="I590" s="3"/>
      <c r="J590" s="3"/>
      <c r="K590" s="3"/>
    </row>
    <row r="591" spans="1:11" ht="11.25" x14ac:dyDescent="0.2">
      <c r="A591" s="3">
        <f t="shared" si="69"/>
        <v>18</v>
      </c>
      <c r="B591" s="3" t="str">
        <f>Input!A433</f>
        <v>921</v>
      </c>
      <c r="C591" s="3" t="str">
        <f>Input!B433</f>
        <v>OFFICE SUPPLIES AND EXPENSE</v>
      </c>
      <c r="D591" s="325">
        <f>Input!C433</f>
        <v>6</v>
      </c>
      <c r="E591" s="1">
        <f>Input!D433-Classification!E492</f>
        <v>13868</v>
      </c>
      <c r="F591" s="3">
        <f>ROUND(VLOOKUP($D591,'Classification Table'!$A$6:$E$77,3,FALSE)*$E591,0)</f>
        <v>13868</v>
      </c>
      <c r="G591" s="3">
        <f>ROUND(VLOOKUP($D591,'Classification Table'!$A$6:$E$77,4,FALSE)*$E591,0)</f>
        <v>0</v>
      </c>
      <c r="H591" s="3">
        <f>ROUND(VLOOKUP($D591,'Classification Table'!$A$6:$E$77,5,FALSE)*$E591,0)</f>
        <v>0</v>
      </c>
      <c r="I591" s="3"/>
      <c r="J591" s="3"/>
      <c r="K591" s="3"/>
    </row>
    <row r="592" spans="1:11" ht="11.25" x14ac:dyDescent="0.2">
      <c r="A592" s="3">
        <f t="shared" si="69"/>
        <v>19</v>
      </c>
      <c r="B592" s="3" t="str">
        <f>Input!A434</f>
        <v>931</v>
      </c>
      <c r="C592" s="3" t="str">
        <f>Input!B434</f>
        <v>RENTS</v>
      </c>
      <c r="D592" s="325">
        <f>Input!C434</f>
        <v>6</v>
      </c>
      <c r="E592" s="1">
        <f>Input!D434-Classification!E493</f>
        <v>0</v>
      </c>
      <c r="F592" s="3">
        <f>ROUND(VLOOKUP($D592,'Classification Table'!$A$6:$E$77,3,FALSE)*$E592,0)</f>
        <v>0</v>
      </c>
      <c r="G592" s="3">
        <f>ROUND(VLOOKUP($D592,'Classification Table'!$A$6:$E$77,4,FALSE)*$E592,0)</f>
        <v>0</v>
      </c>
      <c r="H592" s="3">
        <f>ROUND(VLOOKUP($D592,'Classification Table'!$A$6:$E$77,5,FALSE)*$E592,0)</f>
        <v>0</v>
      </c>
      <c r="I592" s="3"/>
      <c r="J592" s="3"/>
      <c r="K592" s="3"/>
    </row>
    <row r="593" spans="1:11" ht="11.25" x14ac:dyDescent="0.2">
      <c r="A593" s="3">
        <f t="shared" si="69"/>
        <v>20</v>
      </c>
      <c r="B593" s="3" t="str">
        <f>Input!A435</f>
        <v>935</v>
      </c>
      <c r="C593" s="3" t="str">
        <f>Input!B435</f>
        <v>GENERAL PLANT MAINTENANCE</v>
      </c>
      <c r="D593" s="325">
        <f>Input!C435</f>
        <v>6</v>
      </c>
      <c r="E593" s="116">
        <f>Input!D435-Classification!E494</f>
        <v>0</v>
      </c>
      <c r="F593" s="26">
        <f>ROUND(VLOOKUP($D593,'Classification Table'!$A$6:$E$77,3,FALSE)*$E593,0)</f>
        <v>0</v>
      </c>
      <c r="G593" s="26">
        <f>ROUND(VLOOKUP($D593,'Classification Table'!$A$6:$E$77,4,FALSE)*$E593,0)</f>
        <v>0</v>
      </c>
      <c r="H593" s="26">
        <f>ROUND(VLOOKUP($D593,'Classification Table'!$A$6:$E$77,5,FALSE)*$E593,0)</f>
        <v>0</v>
      </c>
      <c r="I593" s="26"/>
      <c r="J593" s="26"/>
      <c r="K593" s="26"/>
    </row>
    <row r="594" spans="1:11" ht="11.25" x14ac:dyDescent="0.2">
      <c r="A594" s="3">
        <f>A593+1</f>
        <v>21</v>
      </c>
      <c r="B594" s="3"/>
      <c r="C594" s="3" t="s">
        <v>309</v>
      </c>
      <c r="D594" s="325"/>
      <c r="E594" s="1">
        <f>SUM(E586:E593)</f>
        <v>1533778.9999999995</v>
      </c>
      <c r="F594" s="3">
        <f>SUM(F586:F593)</f>
        <v>1533779</v>
      </c>
      <c r="G594" s="3">
        <f>SUM(G586:G593)</f>
        <v>0</v>
      </c>
      <c r="H594" s="3">
        <f>SUM(H586:H593)</f>
        <v>0</v>
      </c>
      <c r="I594" s="3"/>
      <c r="J594" s="3"/>
      <c r="K594" s="3"/>
    </row>
    <row r="595" spans="1:11" ht="11.25" x14ac:dyDescent="0.2">
      <c r="A595" s="3" t="s">
        <v>811</v>
      </c>
      <c r="B595" s="3"/>
      <c r="C595" s="14"/>
      <c r="D595" s="325"/>
      <c r="E595" s="15"/>
      <c r="F595" s="325" t="str">
        <f>""&amp;+Input!$B$1</f>
        <v>COLUMBIA GAS OF KENTUCKY, INC.</v>
      </c>
      <c r="H595" s="3"/>
      <c r="I595" s="3"/>
      <c r="J595" s="3"/>
      <c r="K595" s="32" t="str">
        <f>Input!$B$2</f>
        <v>ATTACHMENT CEN-2</v>
      </c>
    </row>
    <row r="596" spans="1:11" ht="11.25" x14ac:dyDescent="0.2">
      <c r="A596" s="3" t="str">
        <f>Input!$B$7</f>
        <v>DEMAND-COMMODITY</v>
      </c>
      <c r="B596" s="3"/>
      <c r="C596" s="3"/>
      <c r="D596" s="325"/>
      <c r="E596" s="3"/>
      <c r="F596" s="325" t="s">
        <v>569</v>
      </c>
      <c r="H596" s="3"/>
      <c r="I596" s="3"/>
      <c r="J596" s="3"/>
      <c r="K596" s="32" t="s">
        <v>1119</v>
      </c>
    </row>
    <row r="597" spans="1:11" ht="11.25" x14ac:dyDescent="0.2">
      <c r="A597" s="17" t="str">
        <f>Input!$B$6</f>
        <v>FORECASTED TEST YEAR - ORIGINAL FILING</v>
      </c>
      <c r="B597" s="17"/>
      <c r="C597" s="17"/>
      <c r="D597" s="34"/>
      <c r="E597" s="17"/>
      <c r="F597" s="19" t="str">
        <f>"FOR THE TWELVE MONTHS ENDED "&amp;Input!$B$4</f>
        <v>FOR THE TWELVE MONTHS ENDED 12/31/2017</v>
      </c>
      <c r="G597" s="329"/>
      <c r="H597" s="17"/>
      <c r="I597" s="17"/>
      <c r="J597" s="17"/>
      <c r="K597" s="183" t="str">
        <f>"WITNESS: "&amp;Input!$B$5</f>
        <v>WITNESS: C. NOTESTONE</v>
      </c>
    </row>
    <row r="598" spans="1:11" ht="11.25" x14ac:dyDescent="0.2">
      <c r="A598" s="325" t="s">
        <v>5</v>
      </c>
      <c r="B598" s="3" t="s">
        <v>6</v>
      </c>
      <c r="C598" s="3"/>
      <c r="D598" s="325" t="s">
        <v>811</v>
      </c>
      <c r="E598" s="325" t="s">
        <v>8</v>
      </c>
      <c r="F598" s="3"/>
      <c r="G598" s="3"/>
      <c r="H598" s="3"/>
      <c r="I598" s="3"/>
      <c r="J598" s="3"/>
      <c r="K598" s="3"/>
    </row>
    <row r="599" spans="1:11" ht="11.25" x14ac:dyDescent="0.2">
      <c r="A599" s="341" t="s">
        <v>9</v>
      </c>
      <c r="B599" s="341" t="s">
        <v>9</v>
      </c>
      <c r="C599" s="341" t="str">
        <f>"                        ACCOUNT TITLE                "</f>
        <v xml:space="preserve">                        ACCOUNT TITLE                </v>
      </c>
      <c r="D599" s="341" t="s">
        <v>10</v>
      </c>
      <c r="E599" s="341" t="s">
        <v>11</v>
      </c>
      <c r="F599" s="341" t="s">
        <v>804</v>
      </c>
      <c r="G599" s="341" t="s">
        <v>812</v>
      </c>
      <c r="H599" s="341" t="s">
        <v>813</v>
      </c>
      <c r="I599" s="447"/>
      <c r="J599" s="447"/>
      <c r="K599" s="447"/>
    </row>
    <row r="600" spans="1:11" ht="11.25" x14ac:dyDescent="0.2">
      <c r="A600" s="3"/>
      <c r="B600" s="342" t="s">
        <v>13</v>
      </c>
      <c r="C600" s="342" t="s">
        <v>14</v>
      </c>
      <c r="D600" s="325" t="s">
        <v>15</v>
      </c>
      <c r="E600" s="325" t="s">
        <v>16</v>
      </c>
      <c r="F600" s="325" t="s">
        <v>17</v>
      </c>
      <c r="G600" s="325" t="s">
        <v>18</v>
      </c>
      <c r="H600" s="325" t="s">
        <v>19</v>
      </c>
      <c r="I600" s="325"/>
      <c r="J600" s="325"/>
      <c r="K600" s="325"/>
    </row>
    <row r="601" spans="1:11" ht="11.25" x14ac:dyDescent="0.2">
      <c r="A601" s="3"/>
      <c r="B601" s="3"/>
      <c r="C601" s="3"/>
      <c r="D601" s="325"/>
      <c r="E601" s="325" t="s">
        <v>26</v>
      </c>
      <c r="F601" s="325" t="s">
        <v>26</v>
      </c>
      <c r="G601" s="325" t="s">
        <v>26</v>
      </c>
      <c r="H601" s="325" t="s">
        <v>26</v>
      </c>
      <c r="I601" s="325"/>
      <c r="J601" s="325"/>
      <c r="K601" s="325"/>
    </row>
    <row r="602" spans="1:11" ht="11.25" x14ac:dyDescent="0.2">
      <c r="A602" s="3">
        <v>1</v>
      </c>
      <c r="B602" s="3"/>
      <c r="C602" s="3" t="str">
        <f>Input!A436</f>
        <v>SALES</v>
      </c>
      <c r="D602" s="325"/>
      <c r="E602" s="3"/>
      <c r="F602" s="3"/>
      <c r="G602" s="3"/>
      <c r="H602" s="3"/>
      <c r="I602" s="3"/>
      <c r="J602" s="3"/>
      <c r="K602" s="3"/>
    </row>
    <row r="603" spans="1:11" ht="11.25" x14ac:dyDescent="0.2">
      <c r="A603" s="3"/>
      <c r="B603" s="3"/>
      <c r="C603" s="3"/>
      <c r="D603" s="325"/>
      <c r="E603" s="3"/>
      <c r="F603" s="3"/>
      <c r="G603" s="3"/>
      <c r="H603" s="3"/>
      <c r="I603" s="3"/>
      <c r="J603" s="3"/>
      <c r="K603" s="3"/>
    </row>
    <row r="604" spans="1:11" ht="11.25" x14ac:dyDescent="0.2">
      <c r="A604" s="3">
        <f>A602+1</f>
        <v>2</v>
      </c>
      <c r="B604" s="3" t="str">
        <f>Input!A437</f>
        <v>911</v>
      </c>
      <c r="C604" s="3" t="str">
        <f>Input!B437</f>
        <v>SUPERVISION</v>
      </c>
      <c r="D604" s="325">
        <f>Input!C437</f>
        <v>6</v>
      </c>
      <c r="E604" s="1">
        <f>Input!D437-Classification!E505</f>
        <v>0</v>
      </c>
      <c r="F604" s="3">
        <f>ROUND(VLOOKUP($D604,'Classification Table'!$A$6:$E$77,3,FALSE)*$E604,0)</f>
        <v>0</v>
      </c>
      <c r="G604" s="3">
        <f>ROUND(VLOOKUP($D604,'Classification Table'!$A$6:$E$77,4,FALSE)*$E604,0)</f>
        <v>0</v>
      </c>
      <c r="H604" s="3">
        <f>ROUND(VLOOKUP($D604,'Classification Table'!$A$6:$E$77,5,FALSE)*$E604,0)</f>
        <v>0</v>
      </c>
      <c r="I604" s="3"/>
      <c r="J604" s="3"/>
      <c r="K604" s="3"/>
    </row>
    <row r="605" spans="1:11" ht="11.25" x14ac:dyDescent="0.2">
      <c r="A605" s="3">
        <f>A604+1</f>
        <v>3</v>
      </c>
      <c r="B605" s="3" t="str">
        <f>Input!A438</f>
        <v>912</v>
      </c>
      <c r="C605" s="3" t="str">
        <f>Input!B438</f>
        <v>DEMONSTRATION &amp; SELLING</v>
      </c>
      <c r="D605" s="325">
        <f>Input!C438</f>
        <v>6</v>
      </c>
      <c r="E605" s="1">
        <f>Input!D438-Classification!E506</f>
        <v>37477</v>
      </c>
      <c r="F605" s="3">
        <f>ROUND(VLOOKUP($D605,'Classification Table'!$A$6:$E$77,3,FALSE)*$E605,0)</f>
        <v>37477</v>
      </c>
      <c r="G605" s="3">
        <f>ROUND(VLOOKUP($D605,'Classification Table'!$A$6:$E$77,4,FALSE)*$E605,0)</f>
        <v>0</v>
      </c>
      <c r="H605" s="3">
        <f>ROUND(VLOOKUP($D605,'Classification Table'!$A$6:$E$77,5,FALSE)*$E605,0)</f>
        <v>0</v>
      </c>
      <c r="I605" s="3"/>
      <c r="J605" s="3"/>
      <c r="K605" s="3"/>
    </row>
    <row r="606" spans="1:11" ht="11.25" x14ac:dyDescent="0.2">
      <c r="A606" s="3">
        <f>A605+1</f>
        <v>4</v>
      </c>
      <c r="B606" s="3" t="str">
        <f>Input!A439</f>
        <v>913</v>
      </c>
      <c r="C606" s="3" t="str">
        <f>Input!B439</f>
        <v>ADVERTISING</v>
      </c>
      <c r="D606" s="325">
        <f>Input!C439</f>
        <v>6</v>
      </c>
      <c r="E606" s="1">
        <f>Input!D439-Classification!E507</f>
        <v>138706</v>
      </c>
      <c r="F606" s="3">
        <f>ROUND(VLOOKUP($D606,'Classification Table'!$A$6:$E$77,3,FALSE)*$E606,0)</f>
        <v>138706</v>
      </c>
      <c r="G606" s="3">
        <f>ROUND(VLOOKUP($D606,'Classification Table'!$A$6:$E$77,4,FALSE)*$E606,0)</f>
        <v>0</v>
      </c>
      <c r="H606" s="3">
        <f>ROUND(VLOOKUP($D606,'Classification Table'!$A$6:$E$77,5,FALSE)*$E606,0)</f>
        <v>0</v>
      </c>
      <c r="I606" s="3"/>
      <c r="J606" s="3"/>
      <c r="K606" s="3"/>
    </row>
    <row r="607" spans="1:11" ht="11.25" x14ac:dyDescent="0.2">
      <c r="A607" s="3">
        <f>A606+1</f>
        <v>5</v>
      </c>
      <c r="B607" s="3" t="str">
        <f>Input!A440</f>
        <v>916</v>
      </c>
      <c r="C607" s="3" t="str">
        <f>Input!B440</f>
        <v>MISC.</v>
      </c>
      <c r="D607" s="325">
        <f>Input!C440</f>
        <v>6</v>
      </c>
      <c r="E607" s="116">
        <f>Input!D440-Classification!E508</f>
        <v>0</v>
      </c>
      <c r="F607" s="26">
        <f>ROUND(VLOOKUP($D607,'Classification Table'!$A$6:$E$77,3,FALSE)*$E607,0)</f>
        <v>0</v>
      </c>
      <c r="G607" s="26">
        <f>ROUND(VLOOKUP($D607,'Classification Table'!$A$6:$E$77,4,FALSE)*$E607,0)</f>
        <v>0</v>
      </c>
      <c r="H607" s="26">
        <f>ROUND(VLOOKUP($D607,'Classification Table'!$A$6:$E$77,5,FALSE)*$E607,0)</f>
        <v>0</v>
      </c>
      <c r="I607" s="26"/>
      <c r="J607" s="26"/>
      <c r="K607" s="26"/>
    </row>
    <row r="608" spans="1:11" ht="11.25" x14ac:dyDescent="0.2">
      <c r="A608" s="3">
        <f>A607+1</f>
        <v>6</v>
      </c>
      <c r="B608" s="3"/>
      <c r="C608" s="3" t="s">
        <v>312</v>
      </c>
      <c r="D608" s="325"/>
      <c r="E608" s="116">
        <f t="shared" ref="E608:H608" si="70">SUM(E604:E607)</f>
        <v>176183</v>
      </c>
      <c r="F608" s="116">
        <f t="shared" si="70"/>
        <v>176183</v>
      </c>
      <c r="G608" s="116">
        <f t="shared" si="70"/>
        <v>0</v>
      </c>
      <c r="H608" s="116">
        <f t="shared" si="70"/>
        <v>0</v>
      </c>
      <c r="I608" s="26"/>
      <c r="J608" s="26"/>
      <c r="K608" s="26"/>
    </row>
    <row r="609" spans="1:11" ht="11.25" x14ac:dyDescent="0.2">
      <c r="A609" s="3"/>
      <c r="B609" s="3"/>
      <c r="C609" s="3"/>
      <c r="D609" s="325"/>
      <c r="E609" s="1"/>
      <c r="F609" s="3"/>
      <c r="G609" s="3"/>
      <c r="H609" s="3"/>
      <c r="I609" s="3"/>
      <c r="J609" s="3"/>
      <c r="K609" s="3"/>
    </row>
    <row r="610" spans="1:11" ht="11.25" x14ac:dyDescent="0.2">
      <c r="A610" s="3">
        <f>A608+1</f>
        <v>7</v>
      </c>
      <c r="B610" s="3"/>
      <c r="C610" s="3" t="s">
        <v>314</v>
      </c>
      <c r="D610" s="325"/>
      <c r="E610" s="1">
        <f>Classification!E551+Classification!E563+Classification!E582+Classification!E594+E608</f>
        <v>17975026.169999998</v>
      </c>
      <c r="F610" s="3">
        <f>Classification!F551+Classification!F563+Classification!F582+Classification!F594+F608</f>
        <v>10780145</v>
      </c>
      <c r="G610" s="3">
        <f>Classification!G551+Classification!G563+Classification!G582+Classification!G594+G608</f>
        <v>3608574</v>
      </c>
      <c r="H610" s="3">
        <f>Classification!H551+Classification!H563+Classification!H582+Classification!H594+H608</f>
        <v>3586309</v>
      </c>
      <c r="I610" s="3"/>
      <c r="J610" s="3"/>
      <c r="K610" s="3"/>
    </row>
    <row r="611" spans="1:11" ht="11.25" x14ac:dyDescent="0.2">
      <c r="A611" s="3"/>
      <c r="B611" s="3"/>
      <c r="C611" s="3"/>
      <c r="D611" s="325"/>
      <c r="E611" s="1"/>
      <c r="F611" s="3"/>
      <c r="G611" s="3"/>
      <c r="H611" s="3"/>
      <c r="I611" s="3"/>
      <c r="J611" s="3"/>
      <c r="K611" s="3"/>
    </row>
    <row r="612" spans="1:11" ht="11.25" x14ac:dyDescent="0.2">
      <c r="A612" s="3">
        <f>A610+1</f>
        <v>8</v>
      </c>
      <c r="B612" s="3"/>
      <c r="C612" s="3" t="str">
        <f>Input!A474</f>
        <v>ADMINISTRATIVE &amp; GENERAL</v>
      </c>
      <c r="D612" s="325"/>
      <c r="E612" s="1"/>
      <c r="F612" s="3"/>
      <c r="G612" s="3"/>
      <c r="H612" s="3"/>
      <c r="I612" s="3"/>
      <c r="J612" s="3"/>
      <c r="K612" s="3"/>
    </row>
    <row r="613" spans="1:11" ht="11.25" x14ac:dyDescent="0.2">
      <c r="A613" s="3"/>
      <c r="B613" s="25"/>
      <c r="C613" s="25"/>
      <c r="D613" s="325"/>
      <c r="E613" s="1"/>
      <c r="F613" s="3"/>
      <c r="G613" s="3"/>
      <c r="H613" s="3"/>
      <c r="I613" s="3"/>
      <c r="J613" s="3"/>
      <c r="K613" s="3"/>
    </row>
    <row r="614" spans="1:11" ht="11.25" x14ac:dyDescent="0.2">
      <c r="A614" s="3">
        <f>A612+1</f>
        <v>9</v>
      </c>
      <c r="B614" s="3" t="str">
        <f>Input!A475</f>
        <v>920</v>
      </c>
      <c r="C614" s="3" t="str">
        <f>Input!B475</f>
        <v>SALARIES</v>
      </c>
      <c r="D614" s="118" t="str">
        <f>IF(Input!$C$2=3,'Classification Table'!$A$26,IF(Input!$C$2=5,'Classification Table'!$A$27,IF(Input!$C$2=20,'Classification Table'!$A$28,0)))</f>
        <v>13DC</v>
      </c>
      <c r="E614" s="1">
        <f>Input!D475-Classification!E515</f>
        <v>2963302</v>
      </c>
      <c r="F614" s="3">
        <f>ROUND(VLOOKUP($D614,'Classification Table'!$A$6:$E$77,3,FALSE)*$E614,0)</f>
        <v>1671364</v>
      </c>
      <c r="G614" s="3">
        <f>ROUND(VLOOKUP($D614,'Classification Table'!$A$6:$E$77,4,FALSE)*$E614,0)</f>
        <v>618426</v>
      </c>
      <c r="H614" s="3">
        <f>ROUND(VLOOKUP($D614,'Classification Table'!$A$6:$E$77,5,FALSE)*$E614,0)</f>
        <v>673512</v>
      </c>
      <c r="I614" s="3"/>
      <c r="J614" s="3"/>
      <c r="K614" s="3"/>
    </row>
    <row r="615" spans="1:11" ht="11.25" x14ac:dyDescent="0.2">
      <c r="A615" s="3">
        <f t="shared" ref="A615:A628" si="71">A614+1</f>
        <v>10</v>
      </c>
      <c r="B615" s="3" t="str">
        <f>Input!A476</f>
        <v>921</v>
      </c>
      <c r="C615" s="3" t="str">
        <f>Input!B476</f>
        <v>OFFICE SUPPLIES &amp; EXPENSES</v>
      </c>
      <c r="D615" s="118" t="str">
        <f>IF(Input!$C$2=3,'Classification Table'!$A$26,IF(Input!$C$2=5,'Classification Table'!$A$27,IF(Input!$C$2=20,'Classification Table'!$A$28,0)))</f>
        <v>13DC</v>
      </c>
      <c r="E615" s="1">
        <f>Input!D476-Classification!E516</f>
        <v>894098</v>
      </c>
      <c r="F615" s="3">
        <f>ROUND(VLOOKUP($D615,'Classification Table'!$A$6:$E$77,3,FALSE)*$E615,0)</f>
        <v>504290</v>
      </c>
      <c r="G615" s="3">
        <f>ROUND(VLOOKUP($D615,'Classification Table'!$A$6:$E$77,4,FALSE)*$E615,0)</f>
        <v>186594</v>
      </c>
      <c r="H615" s="3">
        <f>ROUND(VLOOKUP($D615,'Classification Table'!$A$6:$E$77,5,FALSE)*$E615,0)</f>
        <v>203214</v>
      </c>
      <c r="I615" s="3"/>
      <c r="J615" s="3"/>
      <c r="K615" s="3"/>
    </row>
    <row r="616" spans="1:11" ht="11.25" x14ac:dyDescent="0.2">
      <c r="A616" s="3">
        <f t="shared" si="71"/>
        <v>11</v>
      </c>
      <c r="B616" s="3" t="str">
        <f>Input!A477</f>
        <v>922</v>
      </c>
      <c r="C616" s="3" t="str">
        <f>Input!B477</f>
        <v>ADMIN. EXPENSES TRANSFERED</v>
      </c>
      <c r="D616" s="118" t="str">
        <f>IF(Input!$C$2=3,'Classification Table'!$A$26,IF(Input!$C$2=5,'Classification Table'!$A$27,IF(Input!$C$2=20,'Classification Table'!$A$28,0)))</f>
        <v>13DC</v>
      </c>
      <c r="E616" s="1">
        <f>Input!D477-Classification!E517</f>
        <v>0</v>
      </c>
      <c r="F616" s="3">
        <f>ROUND(VLOOKUP($D616,'Classification Table'!$A$6:$E$77,3,FALSE)*$E616,0)</f>
        <v>0</v>
      </c>
      <c r="G616" s="3">
        <f>ROUND(VLOOKUP($D616,'Classification Table'!$A$6:$E$77,4,FALSE)*$E616,0)</f>
        <v>0</v>
      </c>
      <c r="H616" s="3">
        <f>ROUND(VLOOKUP($D616,'Classification Table'!$A$6:$E$77,5,FALSE)*$E616,0)</f>
        <v>0</v>
      </c>
      <c r="I616" s="3"/>
      <c r="J616" s="3"/>
      <c r="K616" s="3"/>
    </row>
    <row r="617" spans="1:11" ht="11.25" x14ac:dyDescent="0.2">
      <c r="A617" s="3">
        <f t="shared" si="71"/>
        <v>12</v>
      </c>
      <c r="B617" s="3" t="str">
        <f>Input!A478</f>
        <v>923</v>
      </c>
      <c r="C617" s="3" t="str">
        <f>Input!B478</f>
        <v xml:space="preserve">OUTSIDE SERVICES </v>
      </c>
      <c r="D617" s="118" t="str">
        <f>IF(Input!$C$2=3,'Classification Table'!$A$26,IF(Input!$C$2=5,'Classification Table'!$A$27,IF(Input!$C$2=20,'Classification Table'!$A$28,0)))</f>
        <v>13DC</v>
      </c>
      <c r="E617" s="1">
        <f>Input!D478-Classification!E518</f>
        <v>7869788.9999600006</v>
      </c>
      <c r="F617" s="3">
        <f>ROUND(VLOOKUP($D617,'Classification Table'!$A$6:$E$77,3,FALSE)*$E617,0)</f>
        <v>4438725</v>
      </c>
      <c r="G617" s="3">
        <f>ROUND(VLOOKUP($D617,'Classification Table'!$A$6:$E$77,4,FALSE)*$E617,0)</f>
        <v>1642385</v>
      </c>
      <c r="H617" s="3">
        <f>ROUND(VLOOKUP($D617,'Classification Table'!$A$6:$E$77,5,FALSE)*$E617,0)</f>
        <v>1788679</v>
      </c>
      <c r="I617" s="3"/>
      <c r="J617" s="3"/>
      <c r="K617" s="3"/>
    </row>
    <row r="618" spans="1:11" ht="11.25" x14ac:dyDescent="0.2">
      <c r="A618" s="3">
        <f t="shared" si="71"/>
        <v>13</v>
      </c>
      <c r="B618" s="3" t="str">
        <f>Input!A479</f>
        <v>924</v>
      </c>
      <c r="C618" s="3" t="str">
        <f>Input!B479</f>
        <v>PROPERTY INSURANCE</v>
      </c>
      <c r="D618" s="118" t="str">
        <f>IF(Input!$C$2=3,'Classification Table'!$A$26,IF(Input!$C$2=5,'Classification Table'!$A$27,IF(Input!$C$2=20,'Classification Table'!$A$28,0)))</f>
        <v>13DC</v>
      </c>
      <c r="E618" s="1">
        <f>Input!D479-Classification!E519</f>
        <v>81748</v>
      </c>
      <c r="F618" s="3">
        <f>ROUND(VLOOKUP($D618,'Classification Table'!$A$6:$E$77,3,FALSE)*$E618,0)</f>
        <v>46108</v>
      </c>
      <c r="G618" s="3">
        <f>ROUND(VLOOKUP($D618,'Classification Table'!$A$6:$E$77,4,FALSE)*$E618,0)</f>
        <v>17060</v>
      </c>
      <c r="H618" s="3">
        <f>ROUND(VLOOKUP($D618,'Classification Table'!$A$6:$E$77,5,FALSE)*$E618,0)</f>
        <v>18580</v>
      </c>
      <c r="I618" s="3"/>
      <c r="J618" s="3"/>
      <c r="K618" s="3"/>
    </row>
    <row r="619" spans="1:11" ht="11.25" x14ac:dyDescent="0.2">
      <c r="A619" s="3">
        <f t="shared" si="71"/>
        <v>14</v>
      </c>
      <c r="B619" s="3" t="str">
        <f>Input!A480</f>
        <v>925</v>
      </c>
      <c r="C619" s="3" t="str">
        <f>Input!B480</f>
        <v>INJURIES AND DAMAGES</v>
      </c>
      <c r="D619" s="118" t="str">
        <f>IF(Input!$C$2=3,'Classification Table'!$A$26,IF(Input!$C$2=5,'Classification Table'!$A$27,IF(Input!$C$2=20,'Classification Table'!$A$28,0)))</f>
        <v>13DC</v>
      </c>
      <c r="E619" s="1">
        <f>Input!D480-Classification!E520</f>
        <v>1043923.25</v>
      </c>
      <c r="F619" s="3">
        <f>ROUND(VLOOKUP($D619,'Classification Table'!$A$6:$E$77,3,FALSE)*$E619,0)</f>
        <v>588794</v>
      </c>
      <c r="G619" s="3">
        <f>ROUND(VLOOKUP($D619,'Classification Table'!$A$6:$E$77,4,FALSE)*$E619,0)</f>
        <v>217861</v>
      </c>
      <c r="H619" s="3">
        <f>ROUND(VLOOKUP($D619,'Classification Table'!$A$6:$E$77,5,FALSE)*$E619,0)</f>
        <v>237267</v>
      </c>
      <c r="I619" s="3"/>
      <c r="J619" s="3"/>
      <c r="K619" s="3"/>
    </row>
    <row r="620" spans="1:11" ht="11.25" x14ac:dyDescent="0.2">
      <c r="A620" s="3">
        <f t="shared" si="71"/>
        <v>15</v>
      </c>
      <c r="B620" s="3" t="str">
        <f>Input!A481</f>
        <v>926</v>
      </c>
      <c r="C620" s="3" t="str">
        <f>Input!B481</f>
        <v>EMPLOYEE PENSIONS &amp; BENEFITS</v>
      </c>
      <c r="D620" s="118" t="str">
        <f>IF(Input!$C$2=3,'Classification Table'!$A$26,IF(Input!$C$2=5,'Classification Table'!$A$27,IF(Input!$C$2=20,'Classification Table'!$A$28,0)))</f>
        <v>13DC</v>
      </c>
      <c r="E620" s="1">
        <f>Input!D481-E621-Classification!E521</f>
        <v>3351466.88</v>
      </c>
      <c r="F620" s="3">
        <f>ROUND(VLOOKUP($D620,'Classification Table'!$A$6:$E$77,3,FALSE)*$E620,0)</f>
        <v>1890297</v>
      </c>
      <c r="G620" s="3">
        <f>ROUND(VLOOKUP($D620,'Classification Table'!$A$6:$E$77,4,FALSE)*$E620,0)</f>
        <v>699434</v>
      </c>
      <c r="H620" s="3">
        <f>ROUND(VLOOKUP($D620,'Classification Table'!$A$6:$E$77,5,FALSE)*$E620,0)</f>
        <v>761736</v>
      </c>
      <c r="I620" s="3"/>
      <c r="J620" s="3"/>
      <c r="K620" s="3"/>
    </row>
    <row r="621" spans="1:11" ht="11.25" x14ac:dyDescent="0.2">
      <c r="A621" s="3">
        <f t="shared" si="71"/>
        <v>16</v>
      </c>
      <c r="B621" s="3" t="str">
        <f>Input!A482</f>
        <v>926</v>
      </c>
      <c r="C621" s="3" t="str">
        <f>Input!B482</f>
        <v>DIRECT EMPLOYEE PENSIONS &amp; BENEFITS</v>
      </c>
      <c r="D621" s="118" t="str">
        <f>IF(Input!$C$2=3,'Classification Table'!$A$26,IF(Input!$C$2=5,'Classification Table'!$A$27,IF(Input!$C$2=20,'Classification Table'!$A$28,0)))</f>
        <v>13DC</v>
      </c>
      <c r="E621" s="1">
        <f>Input!D482</f>
        <v>0</v>
      </c>
      <c r="F621" s="3">
        <f>ROUND(VLOOKUP($D621,'Classification Table'!$A$6:$E$77,3,FALSE)*$E621,0)</f>
        <v>0</v>
      </c>
      <c r="G621" s="3">
        <f>ROUND(VLOOKUP($D621,'Classification Table'!$A$6:$E$77,4,FALSE)*$E621,0)</f>
        <v>0</v>
      </c>
      <c r="H621" s="3">
        <f>ROUND(VLOOKUP($D621,'Classification Table'!$A$6:$E$77,5,FALSE)*$E621,0)</f>
        <v>0</v>
      </c>
      <c r="I621" s="3"/>
      <c r="J621" s="3"/>
      <c r="K621" s="3"/>
    </row>
    <row r="622" spans="1:11" ht="11.25" x14ac:dyDescent="0.2">
      <c r="A622" s="3">
        <f t="shared" si="71"/>
        <v>17</v>
      </c>
      <c r="B622" s="3" t="str">
        <f>Input!A483</f>
        <v>928</v>
      </c>
      <c r="C622" s="3" t="str">
        <f>Input!B483</f>
        <v>REG COMMISSION EXP - GENERAL</v>
      </c>
      <c r="D622" s="118" t="str">
        <f>IF(Input!$C$2=3,'Classification Table'!$A$26,IF(Input!$C$2=5,'Classification Table'!$A$27,IF(Input!$C$2=20,'Classification Table'!$A$28,0)))</f>
        <v>13DC</v>
      </c>
      <c r="E622" s="1">
        <f ca="1">Input!D483-Classification!E522</f>
        <v>197760.25</v>
      </c>
      <c r="F622" s="3">
        <f ca="1">ROUND(VLOOKUP($D622,'Classification Table'!$A$6:$E$77,3,FALSE)*$E622,0)</f>
        <v>111541</v>
      </c>
      <c r="G622" s="3">
        <f ca="1">ROUND(VLOOKUP($D622,'Classification Table'!$A$6:$E$77,4,FALSE)*$E622,0)</f>
        <v>41272</v>
      </c>
      <c r="H622" s="3">
        <f ca="1">ROUND(VLOOKUP($D622,'Classification Table'!$A$6:$E$77,5,FALSE)*$E622,0)</f>
        <v>44948</v>
      </c>
      <c r="I622" s="3"/>
      <c r="J622" s="3"/>
      <c r="K622" s="3"/>
    </row>
    <row r="623" spans="1:11" ht="11.25" x14ac:dyDescent="0.2">
      <c r="A623" s="3">
        <f t="shared" si="71"/>
        <v>18</v>
      </c>
      <c r="B623" s="3" t="str">
        <f>Input!A484</f>
        <v>928</v>
      </c>
      <c r="C623" s="3" t="str">
        <f>Input!B484</f>
        <v>REGULATORY COMMISSION EXP - PSC @ 0.001901</v>
      </c>
      <c r="D623" s="118" t="str">
        <f>IF(Input!$C$2=3,'Classification Table'!$A$26,IF(Input!$C$2=5,'Classification Table'!$A$27,IF(Input!$C$2=20,'Classification Table'!$A$28,0)))</f>
        <v>13DC</v>
      </c>
      <c r="E623" s="1">
        <f>ROUND((E396)*Input!$D$31,0)</f>
        <v>176189</v>
      </c>
      <c r="F623" s="3">
        <f>ROUND(VLOOKUP($D623,'Classification Table'!$A$6:$E$77,3,FALSE)*$E623,0)</f>
        <v>99374</v>
      </c>
      <c r="G623" s="3">
        <f>ROUND(VLOOKUP($D623,'Classification Table'!$A$6:$E$77,4,FALSE)*$E623,0)</f>
        <v>36770</v>
      </c>
      <c r="H623" s="3">
        <f>ROUND(VLOOKUP($D623,'Classification Table'!$A$6:$E$77,5,FALSE)*$E623,0)</f>
        <v>40045</v>
      </c>
      <c r="I623" s="3"/>
      <c r="J623" s="3"/>
      <c r="K623" s="3"/>
    </row>
    <row r="624" spans="1:11" ht="11.25" x14ac:dyDescent="0.2">
      <c r="A624" s="3">
        <f t="shared" si="71"/>
        <v>19</v>
      </c>
      <c r="B624" s="3" t="str">
        <f>Input!A485</f>
        <v>930.10</v>
      </c>
      <c r="C624" s="3" t="str">
        <f>Input!B485</f>
        <v>MISC. - INSTITUT &amp; GOODWILL ADV</v>
      </c>
      <c r="D624" s="118" t="str">
        <f>IF(Input!$C$2=3,'Classification Table'!$A$26,IF(Input!$C$2=5,'Classification Table'!$A$27,IF(Input!$C$2=20,'Classification Table'!$A$28,0)))</f>
        <v>13DC</v>
      </c>
      <c r="E624" s="3">
        <f>Input!D485-Classification!E523</f>
        <v>0</v>
      </c>
      <c r="F624" s="3">
        <f>ROUND(VLOOKUP($D624,'Classification Table'!$A$6:$E$77,3,FALSE)*$E624,0)</f>
        <v>0</v>
      </c>
      <c r="G624" s="3">
        <f>ROUND(VLOOKUP($D624,'Classification Table'!$A$6:$E$77,4,FALSE)*$E624,0)</f>
        <v>0</v>
      </c>
      <c r="H624" s="3">
        <f>ROUND(VLOOKUP($D624,'Classification Table'!$A$6:$E$77,5,FALSE)*$E624,0)</f>
        <v>0</v>
      </c>
      <c r="I624" s="3"/>
      <c r="J624" s="3"/>
      <c r="K624" s="3"/>
    </row>
    <row r="625" spans="1:11" ht="11.25" x14ac:dyDescent="0.2">
      <c r="A625" s="3">
        <f t="shared" si="71"/>
        <v>20</v>
      </c>
      <c r="B625" s="3" t="str">
        <f>Input!A486</f>
        <v>930.20</v>
      </c>
      <c r="C625" s="3" t="str">
        <f>Input!B486</f>
        <v>MISC. - GENERAL</v>
      </c>
      <c r="D625" s="118" t="str">
        <f>IF(Input!$C$2=3,'Classification Table'!$A$26,IF(Input!$C$2=5,'Classification Table'!$A$27,IF(Input!$C$2=20,'Classification Table'!$A$28,0)))</f>
        <v>13DC</v>
      </c>
      <c r="E625" s="1">
        <f>Input!D486-Classification!E524</f>
        <v>-62123.400000000009</v>
      </c>
      <c r="F625" s="3">
        <f>ROUND(VLOOKUP($D625,'Classification Table'!$A$6:$E$77,3,FALSE)*$E625,0)</f>
        <v>-35039</v>
      </c>
      <c r="G625" s="3">
        <f>ROUND(VLOOKUP($D625,'Classification Table'!$A$6:$E$77,4,FALSE)*$E625,0)</f>
        <v>-12965</v>
      </c>
      <c r="H625" s="3">
        <f>ROUND(VLOOKUP($D625,'Classification Table'!$A$6:$E$77,5,FALSE)*$E625,0)</f>
        <v>-14120</v>
      </c>
      <c r="I625" s="3"/>
      <c r="J625" s="3"/>
      <c r="K625" s="3"/>
    </row>
    <row r="626" spans="1:11" ht="11.25" x14ac:dyDescent="0.2">
      <c r="A626" s="3">
        <f t="shared" si="71"/>
        <v>21</v>
      </c>
      <c r="B626" s="3" t="str">
        <f>Input!A487</f>
        <v>931</v>
      </c>
      <c r="C626" s="3" t="str">
        <f>Input!B487</f>
        <v>RENTS</v>
      </c>
      <c r="D626" s="118" t="str">
        <f>IF(Input!$C$2=3,'Classification Table'!$A$26,IF(Input!$C$2=5,'Classification Table'!$A$27,IF(Input!$C$2=20,'Classification Table'!$A$28,0)))</f>
        <v>13DC</v>
      </c>
      <c r="E626" s="1">
        <f>Input!D487-Classification!E525</f>
        <v>642175</v>
      </c>
      <c r="F626" s="3">
        <f>ROUND(VLOOKUP($D626,'Classification Table'!$A$6:$E$77,3,FALSE)*$E626,0)</f>
        <v>362200</v>
      </c>
      <c r="G626" s="3">
        <f>ROUND(VLOOKUP($D626,'Classification Table'!$A$6:$E$77,4,FALSE)*$E626,0)</f>
        <v>134019</v>
      </c>
      <c r="H626" s="3">
        <f>ROUND(VLOOKUP($D626,'Classification Table'!$A$6:$E$77,5,FALSE)*$E626,0)</f>
        <v>145956</v>
      </c>
      <c r="I626" s="3"/>
      <c r="J626" s="3"/>
      <c r="K626" s="3"/>
    </row>
    <row r="627" spans="1:11" ht="11.25" x14ac:dyDescent="0.2">
      <c r="A627" s="3">
        <f t="shared" si="71"/>
        <v>22</v>
      </c>
      <c r="B627" s="3" t="str">
        <f>Input!A488</f>
        <v>935.13</v>
      </c>
      <c r="C627" s="3" t="str">
        <f>Input!B488</f>
        <v>MAINT. STRUCTURES &amp; IMPROV.</v>
      </c>
      <c r="D627" s="118" t="str">
        <f>IF(Input!$C$2=3,'Classification Table'!$A$26,IF(Input!$C$2=5,'Classification Table'!$A$27,IF(Input!$C$2=20,'Classification Table'!$A$28,0)))</f>
        <v>13DC</v>
      </c>
      <c r="E627" s="1">
        <f>Input!D488-Classification!E526</f>
        <v>130</v>
      </c>
      <c r="F627" s="3">
        <f>ROUND(VLOOKUP($D627,'Classification Table'!$A$6:$E$77,3,FALSE)*$E627,0)</f>
        <v>73</v>
      </c>
      <c r="G627" s="3">
        <f>ROUND(VLOOKUP($D627,'Classification Table'!$A$6:$E$77,4,FALSE)*$E627,0)</f>
        <v>27</v>
      </c>
      <c r="H627" s="3">
        <f>ROUND(VLOOKUP($D627,'Classification Table'!$A$6:$E$77,5,FALSE)*$E627,0)</f>
        <v>30</v>
      </c>
      <c r="I627" s="3"/>
      <c r="J627" s="3"/>
      <c r="K627" s="3"/>
    </row>
    <row r="628" spans="1:11" ht="11.25" x14ac:dyDescent="0.2">
      <c r="A628" s="3">
        <f t="shared" si="71"/>
        <v>23</v>
      </c>
      <c r="B628" s="3" t="str">
        <f>Input!A489</f>
        <v>935.23</v>
      </c>
      <c r="C628" s="3" t="str">
        <f>Input!B489</f>
        <v xml:space="preserve">MAINT. - GEN'L OFFICE </v>
      </c>
      <c r="D628" s="118"/>
      <c r="E628" s="1"/>
      <c r="F628" s="3"/>
      <c r="G628" s="3"/>
      <c r="H628" s="3"/>
      <c r="I628" s="3"/>
      <c r="J628" s="3"/>
      <c r="K628" s="3"/>
    </row>
    <row r="629" spans="1:11" ht="11.25" x14ac:dyDescent="0.2">
      <c r="A629" s="3"/>
      <c r="B629" s="3"/>
      <c r="C629" s="3" t="str">
        <f>Input!B490</f>
        <v>FURNITURE &amp; EQUIPMENT</v>
      </c>
      <c r="D629" s="118" t="str">
        <f>IF(Input!$C$2=3,'Classification Table'!$A$26,IF(Input!$C$2=5,'Classification Table'!$A$27,IF(Input!$C$2=20,'Classification Table'!$A$28,0)))</f>
        <v>13DC</v>
      </c>
      <c r="E629" s="1">
        <f>Input!D490-Classification!E528</f>
        <v>0</v>
      </c>
      <c r="F629" s="3">
        <f>ROUND(VLOOKUP($D629,'Classification Table'!$A$6:$E$77,3,FALSE)*$E629,0)</f>
        <v>0</v>
      </c>
      <c r="G629" s="3">
        <f>ROUND(VLOOKUP($D629,'Classification Table'!$A$6:$E$77,4,FALSE)*$E629,0)</f>
        <v>0</v>
      </c>
      <c r="H629" s="3">
        <f>ROUND(VLOOKUP($D629,'Classification Table'!$A$6:$E$77,5,FALSE)*$E629,0)</f>
        <v>0</v>
      </c>
      <c r="I629" s="3"/>
      <c r="J629" s="3"/>
      <c r="K629" s="3"/>
    </row>
    <row r="630" spans="1:11" ht="11.25" x14ac:dyDescent="0.2">
      <c r="A630" s="3">
        <f>A628+1</f>
        <v>24</v>
      </c>
      <c r="B630" s="3">
        <f>Input!A491</f>
        <v>932</v>
      </c>
      <c r="C630" s="3" t="str">
        <f>Input!B491</f>
        <v>MAINT.-MISCELLANEOUS</v>
      </c>
      <c r="D630" s="118" t="str">
        <f>IF(Input!$C$2=3,'Classification Table'!$A$26,IF(Input!$C$2=5,'Classification Table'!$A$27,IF(Input!$C$2=20,'Classification Table'!$A$28,0)))</f>
        <v>13DC</v>
      </c>
      <c r="E630" s="26">
        <f>Input!D491-Classification!E529</f>
        <v>259121</v>
      </c>
      <c r="F630" s="26">
        <f>ROUND(VLOOKUP($D630,'Classification Table'!$A$6:$E$77,3,FALSE)*$E630,0)</f>
        <v>146150</v>
      </c>
      <c r="G630" s="26">
        <f>ROUND(VLOOKUP($D630,'Classification Table'!$A$6:$E$77,4,FALSE)*$E630,0)</f>
        <v>54077</v>
      </c>
      <c r="H630" s="26">
        <f>ROUND(VLOOKUP($D630,'Classification Table'!$A$6:$E$77,5,FALSE)*$E630,0)</f>
        <v>58894</v>
      </c>
      <c r="I630" s="3"/>
      <c r="J630" s="26"/>
      <c r="K630" s="26"/>
    </row>
    <row r="631" spans="1:11" ht="11.25" x14ac:dyDescent="0.2">
      <c r="A631" s="3">
        <f>A630+1</f>
        <v>25</v>
      </c>
      <c r="B631" s="3"/>
      <c r="C631" s="3" t="s">
        <v>340</v>
      </c>
      <c r="D631" s="325"/>
      <c r="E631" s="26">
        <f t="shared" ref="E631:H631" ca="1" si="72">SUM(E614:E630)</f>
        <v>17417578.979960002</v>
      </c>
      <c r="F631" s="26">
        <f t="shared" ca="1" si="72"/>
        <v>9823877</v>
      </c>
      <c r="G631" s="26">
        <f t="shared" ca="1" si="72"/>
        <v>3634960</v>
      </c>
      <c r="H631" s="26">
        <f t="shared" ca="1" si="72"/>
        <v>3958741</v>
      </c>
      <c r="I631" s="26"/>
      <c r="J631" s="26"/>
      <c r="K631" s="26"/>
    </row>
    <row r="632" spans="1:11" ht="11.25" x14ac:dyDescent="0.2">
      <c r="A632" s="3"/>
      <c r="B632" s="3"/>
      <c r="C632" s="3"/>
      <c r="D632" s="325"/>
      <c r="E632" s="3"/>
      <c r="F632" s="3"/>
      <c r="G632" s="3"/>
      <c r="H632" s="3"/>
      <c r="I632" s="3"/>
      <c r="J632" s="3"/>
      <c r="K632" s="3"/>
    </row>
    <row r="633" spans="1:11" ht="11.25" x14ac:dyDescent="0.2">
      <c r="A633" s="3">
        <f>A631+1</f>
        <v>26</v>
      </c>
      <c r="B633" s="3"/>
      <c r="C633" s="3" t="s">
        <v>341</v>
      </c>
      <c r="D633" s="325"/>
      <c r="E633" s="3">
        <f ca="1">Classification!E409+Classification!E410+Classification!E411+Classification!E417+Classification!E419+Classification!E429+Classification!E430+E610+E631</f>
        <v>35736301.149959996</v>
      </c>
      <c r="F633" s="3">
        <f ca="1">Classification!F409+Classification!F410+Classification!F411+Classification!F417+Classification!F419+Classification!F429+Classification!F430+F610+F631</f>
        <v>20604022</v>
      </c>
      <c r="G633" s="3">
        <f ca="1">Classification!G409+Classification!G410+Classification!G411+Classification!G417+Classification!G419+Classification!G429+Classification!G430+G610+G631</f>
        <v>7585091</v>
      </c>
      <c r="H633" s="3">
        <f ca="1">Classification!H409+Classification!H410+Classification!H411+Classification!H417+Classification!H419+Classification!H429+Classification!H430+H610+H631</f>
        <v>7547189</v>
      </c>
      <c r="I633" s="3"/>
      <c r="J633" s="3"/>
      <c r="K633" s="3"/>
    </row>
    <row r="634" spans="1:11" ht="11.25" x14ac:dyDescent="0.2">
      <c r="A634" s="3" t="s">
        <v>811</v>
      </c>
      <c r="B634" s="3"/>
      <c r="C634" s="14"/>
      <c r="D634" s="325"/>
      <c r="E634" s="15"/>
      <c r="F634" s="325" t="str">
        <f>""&amp;+Input!$B$1</f>
        <v>COLUMBIA GAS OF KENTUCKY, INC.</v>
      </c>
      <c r="H634" s="3"/>
      <c r="I634" s="3"/>
      <c r="J634" s="3"/>
      <c r="K634" s="32" t="str">
        <f>Input!$B$2</f>
        <v>ATTACHMENT CEN-2</v>
      </c>
    </row>
    <row r="635" spans="1:11" ht="11.25" x14ac:dyDescent="0.2">
      <c r="A635" s="3" t="str">
        <f>Input!$B$7</f>
        <v>DEMAND-COMMODITY</v>
      </c>
      <c r="B635" s="3"/>
      <c r="C635" s="3"/>
      <c r="D635" s="325"/>
      <c r="E635" s="3"/>
      <c r="F635" s="325" t="s">
        <v>42</v>
      </c>
      <c r="H635" s="3"/>
      <c r="I635" s="3"/>
      <c r="J635" s="3"/>
      <c r="K635" s="32" t="s">
        <v>1120</v>
      </c>
    </row>
    <row r="636" spans="1:11" ht="11.25" x14ac:dyDescent="0.2">
      <c r="A636" s="17" t="str">
        <f>Input!$B$6</f>
        <v>FORECASTED TEST YEAR - ORIGINAL FILING</v>
      </c>
      <c r="B636" s="17"/>
      <c r="C636" s="17"/>
      <c r="D636" s="34"/>
      <c r="E636" s="17"/>
      <c r="F636" s="19" t="str">
        <f>"FOR THE TWELVE MONTHS ENDED "&amp;Input!$B$4</f>
        <v>FOR THE TWELVE MONTHS ENDED 12/31/2017</v>
      </c>
      <c r="G636" s="329"/>
      <c r="H636" s="17"/>
      <c r="I636" s="17"/>
      <c r="J636" s="17"/>
      <c r="K636" s="183" t="str">
        <f>"WITNESS: "&amp;Input!$B$5</f>
        <v>WITNESS: C. NOTESTONE</v>
      </c>
    </row>
    <row r="637" spans="1:11" ht="11.25" x14ac:dyDescent="0.2">
      <c r="A637" s="325" t="s">
        <v>5</v>
      </c>
      <c r="B637" s="3" t="s">
        <v>6</v>
      </c>
      <c r="C637" s="3"/>
      <c r="D637" s="325" t="s">
        <v>811</v>
      </c>
      <c r="E637" s="325" t="s">
        <v>8</v>
      </c>
      <c r="F637" s="3"/>
      <c r="G637" s="3"/>
      <c r="H637" s="3"/>
      <c r="I637" s="3"/>
      <c r="J637" s="3"/>
      <c r="K637" s="3"/>
    </row>
    <row r="638" spans="1:11" ht="11.25" x14ac:dyDescent="0.2">
      <c r="A638" s="341" t="s">
        <v>9</v>
      </c>
      <c r="B638" s="341" t="s">
        <v>9</v>
      </c>
      <c r="C638" s="341" t="str">
        <f>"                        ACCOUNT TITLE                "</f>
        <v xml:space="preserve">                        ACCOUNT TITLE                </v>
      </c>
      <c r="D638" s="341" t="s">
        <v>10</v>
      </c>
      <c r="E638" s="341" t="s">
        <v>11</v>
      </c>
      <c r="F638" s="341" t="s">
        <v>804</v>
      </c>
      <c r="G638" s="341" t="s">
        <v>812</v>
      </c>
      <c r="H638" s="341" t="s">
        <v>813</v>
      </c>
      <c r="I638" s="447"/>
      <c r="J638" s="447"/>
      <c r="K638" s="447"/>
    </row>
    <row r="639" spans="1:11" ht="11.25" x14ac:dyDescent="0.2">
      <c r="A639" s="3"/>
      <c r="B639" s="342" t="s">
        <v>13</v>
      </c>
      <c r="C639" s="342" t="s">
        <v>14</v>
      </c>
      <c r="D639" s="325" t="s">
        <v>15</v>
      </c>
      <c r="E639" s="325" t="s">
        <v>16</v>
      </c>
      <c r="F639" s="325" t="s">
        <v>17</v>
      </c>
      <c r="G639" s="325" t="s">
        <v>18</v>
      </c>
      <c r="H639" s="325" t="s">
        <v>19</v>
      </c>
      <c r="I639" s="325"/>
      <c r="J639" s="325"/>
      <c r="K639" s="325"/>
    </row>
    <row r="640" spans="1:11" ht="11.25" x14ac:dyDescent="0.2">
      <c r="A640" s="3"/>
      <c r="B640" s="3"/>
      <c r="C640" s="3"/>
      <c r="D640" s="325"/>
      <c r="E640" s="325" t="s">
        <v>26</v>
      </c>
      <c r="F640" s="325" t="s">
        <v>26</v>
      </c>
      <c r="G640" s="325" t="s">
        <v>26</v>
      </c>
      <c r="H640" s="325" t="s">
        <v>26</v>
      </c>
      <c r="I640" s="325"/>
      <c r="J640" s="325"/>
      <c r="K640" s="325"/>
    </row>
    <row r="641" spans="1:13" ht="11.25" x14ac:dyDescent="0.2">
      <c r="A641" s="3">
        <v>1</v>
      </c>
      <c r="B641" s="3" t="s">
        <v>342</v>
      </c>
      <c r="C641" s="3"/>
      <c r="D641" s="325"/>
      <c r="E641" s="3"/>
      <c r="F641" s="3"/>
      <c r="G641" s="3"/>
      <c r="H641" s="3"/>
      <c r="I641" s="3"/>
      <c r="J641" s="3"/>
      <c r="K641" s="3"/>
    </row>
    <row r="642" spans="1:13" ht="11.25" x14ac:dyDescent="0.2">
      <c r="A642" s="3"/>
      <c r="B642" s="3"/>
      <c r="C642" s="3"/>
      <c r="D642" s="118"/>
      <c r="E642" s="1"/>
      <c r="F642" s="3"/>
      <c r="G642" s="3"/>
      <c r="H642" s="3"/>
      <c r="I642" s="3"/>
      <c r="J642" s="3"/>
      <c r="K642" s="3"/>
    </row>
    <row r="643" spans="1:13" ht="11.25" x14ac:dyDescent="0.2">
      <c r="A643" s="3">
        <f>A641+1</f>
        <v>2</v>
      </c>
      <c r="B643" s="3" t="s">
        <v>343</v>
      </c>
      <c r="C643" s="3"/>
      <c r="D643" s="118" t="s">
        <v>344</v>
      </c>
      <c r="E643" s="191">
        <f>Classification!E408+Classification!E416+Classification!E418+Classification!E428</f>
        <v>0</v>
      </c>
      <c r="F643" s="23">
        <f>Classification!F408+Classification!F416+Classification!F418+Classification!F428</f>
        <v>0</v>
      </c>
      <c r="G643" s="23">
        <f>Classification!G408+Classification!G416+Classification!G418+Classification!G428</f>
        <v>0</v>
      </c>
      <c r="H643" s="23">
        <f>Classification!H408+Classification!H416+Classification!H418+Classification!H428</f>
        <v>0</v>
      </c>
      <c r="I643" s="23"/>
      <c r="J643" s="23"/>
      <c r="K643" s="23"/>
    </row>
    <row r="644" spans="1:13" ht="11.25" x14ac:dyDescent="0.2">
      <c r="A644" s="3">
        <f t="shared" ref="A644:A650" si="73">A643+1</f>
        <v>3</v>
      </c>
      <c r="B644" s="3" t="s">
        <v>345</v>
      </c>
      <c r="C644" s="3"/>
      <c r="D644" s="118" t="s">
        <v>346</v>
      </c>
      <c r="E644" s="191">
        <f>Classification!E452</f>
        <v>5340024</v>
      </c>
      <c r="F644" s="23">
        <f>Classification!F452</f>
        <v>3851138</v>
      </c>
      <c r="G644" s="23">
        <f>Classification!G452</f>
        <v>781287</v>
      </c>
      <c r="H644" s="23">
        <f>Classification!H452</f>
        <v>707600</v>
      </c>
      <c r="I644" s="23"/>
      <c r="J644" s="23"/>
      <c r="K644" s="23"/>
    </row>
    <row r="645" spans="1:13" ht="11.25" x14ac:dyDescent="0.2">
      <c r="A645" s="3">
        <f t="shared" si="73"/>
        <v>4</v>
      </c>
      <c r="B645" s="3" t="s">
        <v>347</v>
      </c>
      <c r="C645" s="3"/>
      <c r="D645" s="118" t="s">
        <v>346</v>
      </c>
      <c r="E645" s="1">
        <f>Classification!E464</f>
        <v>1545213</v>
      </c>
      <c r="F645" s="3">
        <f>Classification!F464</f>
        <v>427470</v>
      </c>
      <c r="G645" s="3">
        <f>Classification!G464</f>
        <v>559597</v>
      </c>
      <c r="H645" s="3">
        <f>Classification!H464</f>
        <v>558148</v>
      </c>
      <c r="I645" s="3"/>
      <c r="J645" s="3"/>
      <c r="K645" s="3"/>
    </row>
    <row r="646" spans="1:13" ht="11.25" x14ac:dyDescent="0.2">
      <c r="A646" s="3">
        <f t="shared" si="73"/>
        <v>5</v>
      </c>
      <c r="B646" s="3" t="s">
        <v>348</v>
      </c>
      <c r="C646" s="3"/>
      <c r="D646" s="118" t="s">
        <v>349</v>
      </c>
      <c r="E646" s="1">
        <f>Classification!E483</f>
        <v>857887</v>
      </c>
      <c r="F646" s="3">
        <f>Classification!F483</f>
        <v>857887</v>
      </c>
      <c r="G646" s="3">
        <f>Classification!G483</f>
        <v>0</v>
      </c>
      <c r="H646" s="3">
        <f>Classification!H483</f>
        <v>0</v>
      </c>
      <c r="I646" s="3"/>
      <c r="J646" s="3"/>
      <c r="K646" s="3"/>
    </row>
    <row r="647" spans="1:13" ht="11.25" x14ac:dyDescent="0.2">
      <c r="A647" s="3">
        <f t="shared" si="73"/>
        <v>6</v>
      </c>
      <c r="B647" s="3" t="s">
        <v>350</v>
      </c>
      <c r="C647" s="3"/>
      <c r="D647" s="118" t="s">
        <v>349</v>
      </c>
      <c r="E647" s="1">
        <f>Classification!E495</f>
        <v>12982</v>
      </c>
      <c r="F647" s="3">
        <f>Classification!F495</f>
        <v>12982</v>
      </c>
      <c r="G647" s="3">
        <f>Classification!G495</f>
        <v>0</v>
      </c>
      <c r="H647" s="3">
        <f>Classification!H495</f>
        <v>0</v>
      </c>
      <c r="I647" s="3"/>
      <c r="J647" s="3"/>
      <c r="K647" s="3"/>
    </row>
    <row r="648" spans="1:13" ht="11.25" x14ac:dyDescent="0.2">
      <c r="A648" s="3">
        <f t="shared" si="73"/>
        <v>7</v>
      </c>
      <c r="B648" s="3" t="s">
        <v>351</v>
      </c>
      <c r="C648" s="3"/>
      <c r="D648" s="118" t="s">
        <v>352</v>
      </c>
      <c r="E648" s="1">
        <f>Classification!E509</f>
        <v>0</v>
      </c>
      <c r="F648" s="3">
        <f>Classification!F509</f>
        <v>0</v>
      </c>
      <c r="G648" s="3">
        <f>Classification!G509</f>
        <v>0</v>
      </c>
      <c r="H648" s="3">
        <f>Classification!H509</f>
        <v>0</v>
      </c>
      <c r="I648" s="3"/>
      <c r="J648" s="3"/>
      <c r="K648" s="3"/>
    </row>
    <row r="649" spans="1:13" ht="11.25" x14ac:dyDescent="0.2">
      <c r="A649" s="3">
        <f t="shared" si="73"/>
        <v>8</v>
      </c>
      <c r="B649" s="3" t="s">
        <v>353</v>
      </c>
      <c r="C649" s="3"/>
      <c r="D649" s="118" t="s">
        <v>352</v>
      </c>
      <c r="E649" s="116">
        <f>Classification!E530</f>
        <v>1602620.44</v>
      </c>
      <c r="F649" s="26">
        <f>Classification!F530</f>
        <v>1064020</v>
      </c>
      <c r="G649" s="26">
        <f>Classification!G530</f>
        <v>277063</v>
      </c>
      <c r="H649" s="26">
        <f>Classification!H530</f>
        <v>261538</v>
      </c>
      <c r="I649" s="26"/>
      <c r="J649" s="26"/>
      <c r="K649" s="26"/>
      <c r="M649" s="333"/>
    </row>
    <row r="650" spans="1:13" ht="11.25" x14ac:dyDescent="0.2">
      <c r="A650" s="3">
        <f t="shared" si="73"/>
        <v>9</v>
      </c>
      <c r="B650" s="3" t="s">
        <v>354</v>
      </c>
      <c r="C650" s="3"/>
      <c r="D650" s="118"/>
      <c r="E650" s="1">
        <f t="shared" ref="E650:H650" si="74">SUM(E643:E649)</f>
        <v>9358726.4399999995</v>
      </c>
      <c r="F650" s="3">
        <f t="shared" si="74"/>
        <v>6213497</v>
      </c>
      <c r="G650" s="3">
        <f t="shared" si="74"/>
        <v>1617947</v>
      </c>
      <c r="H650" s="3">
        <f t="shared" si="74"/>
        <v>1527286</v>
      </c>
      <c r="I650" s="3"/>
      <c r="J650" s="3"/>
      <c r="K650" s="3"/>
    </row>
    <row r="651" spans="1:13" ht="11.25" x14ac:dyDescent="0.2">
      <c r="A651" s="3"/>
      <c r="B651" s="3"/>
      <c r="C651" s="3"/>
      <c r="D651" s="118"/>
      <c r="E651" s="1"/>
      <c r="F651" s="3"/>
      <c r="G651" s="3"/>
      <c r="H651" s="3"/>
      <c r="I651" s="3"/>
      <c r="J651" s="3"/>
      <c r="K651" s="3"/>
    </row>
    <row r="652" spans="1:13" ht="11.25" x14ac:dyDescent="0.2">
      <c r="A652" s="3">
        <f>A650+1</f>
        <v>10</v>
      </c>
      <c r="B652" s="3" t="s">
        <v>355</v>
      </c>
      <c r="C652" s="3"/>
      <c r="D652" s="118"/>
      <c r="E652" s="1"/>
      <c r="F652" s="3"/>
      <c r="G652" s="3"/>
      <c r="H652" s="3"/>
      <c r="I652" s="3"/>
      <c r="J652" s="3"/>
      <c r="K652" s="3"/>
    </row>
    <row r="653" spans="1:13" ht="11.25" x14ac:dyDescent="0.2">
      <c r="A653" s="3"/>
      <c r="B653" s="3"/>
      <c r="C653" s="3"/>
      <c r="D653" s="118"/>
      <c r="E653" s="1"/>
      <c r="F653" s="3"/>
      <c r="G653" s="3"/>
      <c r="H653" s="3"/>
      <c r="I653" s="3"/>
      <c r="J653" s="3"/>
      <c r="K653" s="3"/>
    </row>
    <row r="654" spans="1:13" ht="11.25" x14ac:dyDescent="0.2">
      <c r="A654" s="3">
        <f>A652+1</f>
        <v>11</v>
      </c>
      <c r="B654" s="3" t="s">
        <v>343</v>
      </c>
      <c r="C654" s="3"/>
      <c r="D654" s="118" t="s">
        <v>344</v>
      </c>
      <c r="E654" s="1">
        <f>Classification!E409+Classification!E410+Classification!E411+Classification!E417+Classification!E419+Classification!E429+Classification!E430</f>
        <v>343696</v>
      </c>
      <c r="F654" s="3">
        <f>Classification!F409+Classification!F410+Classification!F411+Classification!F417+Classification!F419+Classification!F429+Classification!F430</f>
        <v>0</v>
      </c>
      <c r="G654" s="3">
        <f>Classification!G409+Classification!G410+Classification!G411+Classification!G417+Classification!G419+Classification!G429+Classification!G430</f>
        <v>341557</v>
      </c>
      <c r="H654" s="3">
        <f>Classification!H409+Classification!H410+Classification!H411+Classification!H417+Classification!H419+Classification!H429+Classification!H430</f>
        <v>2139</v>
      </c>
      <c r="I654" s="3"/>
      <c r="J654" s="3"/>
      <c r="K654" s="3"/>
    </row>
    <row r="655" spans="1:13" ht="11.25" x14ac:dyDescent="0.2">
      <c r="A655" s="3">
        <f t="shared" ref="A655:A661" si="75">A654+1</f>
        <v>12</v>
      </c>
      <c r="B655" s="3" t="s">
        <v>345</v>
      </c>
      <c r="C655" s="3"/>
      <c r="D655" s="118" t="s">
        <v>356</v>
      </c>
      <c r="E655" s="1">
        <f>Classification!E551</f>
        <v>8181638.0999999996</v>
      </c>
      <c r="F655" s="3">
        <f>Classification!F551</f>
        <v>3710963</v>
      </c>
      <c r="G655" s="3">
        <f>Classification!G551</f>
        <v>2246277</v>
      </c>
      <c r="H655" s="3">
        <f>Classification!H551</f>
        <v>2224400</v>
      </c>
      <c r="I655" s="3"/>
      <c r="J655" s="3"/>
      <c r="K655" s="3"/>
    </row>
    <row r="656" spans="1:13" ht="11.25" x14ac:dyDescent="0.2">
      <c r="A656" s="3">
        <f t="shared" si="75"/>
        <v>13</v>
      </c>
      <c r="B656" s="3" t="s">
        <v>347</v>
      </c>
      <c r="C656" s="3"/>
      <c r="D656" s="118" t="s">
        <v>356</v>
      </c>
      <c r="E656" s="1">
        <f>Classification!E563</f>
        <v>3402101.0700000003</v>
      </c>
      <c r="F656" s="3">
        <f>Classification!F563</f>
        <v>677895</v>
      </c>
      <c r="G656" s="3">
        <f>Classification!G563</f>
        <v>1362297</v>
      </c>
      <c r="H656" s="3">
        <f>Classification!H563</f>
        <v>1361909</v>
      </c>
      <c r="I656" s="3"/>
      <c r="J656" s="3"/>
      <c r="K656" s="3"/>
    </row>
    <row r="657" spans="1:11" ht="11.25" x14ac:dyDescent="0.2">
      <c r="A657" s="3">
        <f t="shared" si="75"/>
        <v>14</v>
      </c>
      <c r="B657" s="3" t="s">
        <v>348</v>
      </c>
      <c r="C657" s="3"/>
      <c r="D657" s="118" t="s">
        <v>357</v>
      </c>
      <c r="E657" s="1">
        <f>Classification!E582</f>
        <v>4681325</v>
      </c>
      <c r="F657" s="3">
        <f>Classification!F582</f>
        <v>4681325</v>
      </c>
      <c r="G657" s="3">
        <f>Classification!G582</f>
        <v>0</v>
      </c>
      <c r="H657" s="3">
        <f>Classification!H582</f>
        <v>0</v>
      </c>
      <c r="I657" s="3"/>
      <c r="J657" s="3"/>
      <c r="K657" s="3"/>
    </row>
    <row r="658" spans="1:11" ht="11.25" x14ac:dyDescent="0.2">
      <c r="A658" s="3">
        <f t="shared" si="75"/>
        <v>15</v>
      </c>
      <c r="B658" s="3" t="s">
        <v>350</v>
      </c>
      <c r="C658" s="3"/>
      <c r="D658" s="118" t="s">
        <v>357</v>
      </c>
      <c r="E658" s="1">
        <f>Classification!E594</f>
        <v>1533778.9999999995</v>
      </c>
      <c r="F658" s="3">
        <f>Classification!F594</f>
        <v>1533779</v>
      </c>
      <c r="G658" s="3">
        <f>Classification!G594</f>
        <v>0</v>
      </c>
      <c r="H658" s="3">
        <f>Classification!H594</f>
        <v>0</v>
      </c>
      <c r="I658" s="3"/>
      <c r="J658" s="3"/>
      <c r="K658" s="3"/>
    </row>
    <row r="659" spans="1:11" ht="11.25" x14ac:dyDescent="0.2">
      <c r="A659" s="3">
        <f t="shared" si="75"/>
        <v>16</v>
      </c>
      <c r="B659" s="3" t="s">
        <v>351</v>
      </c>
      <c r="C659" s="3"/>
      <c r="D659" s="118" t="s">
        <v>358</v>
      </c>
      <c r="E659" s="1">
        <f>Classification!E608</f>
        <v>176183</v>
      </c>
      <c r="F659" s="3">
        <f>Classification!F608</f>
        <v>176183</v>
      </c>
      <c r="G659" s="3">
        <f>Classification!G608</f>
        <v>0</v>
      </c>
      <c r="H659" s="3">
        <f>Classification!H608</f>
        <v>0</v>
      </c>
      <c r="I659" s="3"/>
      <c r="J659" s="3"/>
      <c r="K659" s="3"/>
    </row>
    <row r="660" spans="1:11" ht="11.25" x14ac:dyDescent="0.2">
      <c r="A660" s="3">
        <f t="shared" si="75"/>
        <v>17</v>
      </c>
      <c r="B660" s="3" t="s">
        <v>353</v>
      </c>
      <c r="C660" s="3"/>
      <c r="D660" s="325" t="s">
        <v>358</v>
      </c>
      <c r="E660" s="26">
        <f ca="1">Classification!E631</f>
        <v>17417578.979960002</v>
      </c>
      <c r="F660" s="26">
        <f ca="1">Classification!F631</f>
        <v>9823877</v>
      </c>
      <c r="G660" s="26">
        <f ca="1">Classification!G631</f>
        <v>3634960</v>
      </c>
      <c r="H660" s="26">
        <f ca="1">Classification!H631</f>
        <v>3958741</v>
      </c>
      <c r="I660" s="26"/>
      <c r="J660" s="26"/>
      <c r="K660" s="26"/>
    </row>
    <row r="661" spans="1:11" ht="11.25" x14ac:dyDescent="0.2">
      <c r="A661" s="3">
        <f t="shared" si="75"/>
        <v>18</v>
      </c>
      <c r="B661" s="3" t="s">
        <v>359</v>
      </c>
      <c r="C661" s="3"/>
      <c r="D661" s="325"/>
      <c r="E661" s="26">
        <f t="shared" ref="E661:H661" ca="1" si="76">SUM(E654:E660)</f>
        <v>35736301.149959996</v>
      </c>
      <c r="F661" s="26">
        <f t="shared" ca="1" si="76"/>
        <v>20604022</v>
      </c>
      <c r="G661" s="26">
        <f t="shared" ca="1" si="76"/>
        <v>7585091</v>
      </c>
      <c r="H661" s="26">
        <f t="shared" ca="1" si="76"/>
        <v>7547189</v>
      </c>
      <c r="I661" s="26"/>
      <c r="J661" s="26"/>
      <c r="K661" s="26"/>
    </row>
    <row r="662" spans="1:11" ht="11.25" x14ac:dyDescent="0.2">
      <c r="A662" s="3"/>
      <c r="B662" s="3"/>
      <c r="C662" s="3"/>
      <c r="D662" s="325"/>
      <c r="E662" s="3"/>
      <c r="F662" s="3"/>
      <c r="G662" s="3"/>
      <c r="H662" s="3"/>
      <c r="I662" s="3"/>
      <c r="J662" s="3"/>
      <c r="K662" s="3"/>
    </row>
    <row r="663" spans="1:11" ht="11.25" x14ac:dyDescent="0.2">
      <c r="A663" s="3">
        <f>A661+1</f>
        <v>19</v>
      </c>
      <c r="B663" s="3" t="s">
        <v>360</v>
      </c>
      <c r="C663" s="3"/>
      <c r="D663" s="325"/>
      <c r="E663" s="3">
        <f t="shared" ref="E663:H663" ca="1" si="77">E650+E661</f>
        <v>45095027.589959994</v>
      </c>
      <c r="F663" s="3">
        <f t="shared" ca="1" si="77"/>
        <v>26817519</v>
      </c>
      <c r="G663" s="3">
        <f t="shared" ca="1" si="77"/>
        <v>9203038</v>
      </c>
      <c r="H663" s="3">
        <f t="shared" ca="1" si="77"/>
        <v>9074475</v>
      </c>
      <c r="I663" s="3"/>
      <c r="J663" s="3"/>
      <c r="K663" s="3"/>
    </row>
    <row r="664" spans="1:11" ht="11.25" x14ac:dyDescent="0.2">
      <c r="A664" s="3" t="s">
        <v>811</v>
      </c>
      <c r="B664" s="3"/>
      <c r="C664" s="3"/>
      <c r="D664" s="325"/>
      <c r="E664" s="15"/>
      <c r="F664" s="325" t="str">
        <f>""&amp;+Input!$B$1</f>
        <v>COLUMBIA GAS OF KENTUCKY, INC.</v>
      </c>
      <c r="H664" s="3"/>
      <c r="I664" s="3"/>
      <c r="J664" s="3"/>
      <c r="K664" s="32" t="str">
        <f>Input!$B$2</f>
        <v>ATTACHMENT CEN-2</v>
      </c>
    </row>
    <row r="665" spans="1:11" ht="11.25" x14ac:dyDescent="0.2">
      <c r="A665" s="3" t="str">
        <f>Input!$B$7</f>
        <v>DEMAND-COMMODITY</v>
      </c>
      <c r="B665" s="3"/>
      <c r="C665" s="3"/>
      <c r="D665" s="325"/>
      <c r="E665" s="3"/>
      <c r="F665" s="325" t="s">
        <v>43</v>
      </c>
      <c r="H665" s="3"/>
      <c r="I665" s="3"/>
      <c r="J665" s="3"/>
      <c r="K665" s="32" t="s">
        <v>1121</v>
      </c>
    </row>
    <row r="666" spans="1:11" ht="11.25" x14ac:dyDescent="0.2">
      <c r="A666" s="17" t="str">
        <f>Input!$B$6</f>
        <v>FORECASTED TEST YEAR - ORIGINAL FILING</v>
      </c>
      <c r="B666" s="17"/>
      <c r="C666" s="17"/>
      <c r="D666" s="34"/>
      <c r="E666" s="17"/>
      <c r="F666" s="19" t="str">
        <f>"FOR THE TWELVE MONTHS ENDED "&amp;Input!$B$4</f>
        <v>FOR THE TWELVE MONTHS ENDED 12/31/2017</v>
      </c>
      <c r="G666" s="329"/>
      <c r="H666" s="17"/>
      <c r="I666" s="17"/>
      <c r="J666" s="17"/>
      <c r="K666" s="183" t="str">
        <f>"WITNESS: "&amp;Input!$B$5</f>
        <v>WITNESS: C. NOTESTONE</v>
      </c>
    </row>
    <row r="667" spans="1:11" ht="11.25" x14ac:dyDescent="0.2">
      <c r="A667" s="325" t="s">
        <v>5</v>
      </c>
      <c r="B667" s="3" t="s">
        <v>6</v>
      </c>
      <c r="C667" s="3"/>
      <c r="D667" s="325" t="s">
        <v>811</v>
      </c>
      <c r="E667" s="325" t="s">
        <v>8</v>
      </c>
      <c r="F667" s="3"/>
      <c r="G667" s="3"/>
      <c r="H667" s="3"/>
      <c r="I667" s="3"/>
      <c r="J667" s="3"/>
      <c r="K667" s="3"/>
    </row>
    <row r="668" spans="1:11" ht="11.25" x14ac:dyDescent="0.2">
      <c r="A668" s="341" t="s">
        <v>9</v>
      </c>
      <c r="B668" s="341" t="s">
        <v>9</v>
      </c>
      <c r="C668" s="341" t="str">
        <f>"                        ACCOUNT TITLE                "</f>
        <v xml:space="preserve">                        ACCOUNT TITLE                </v>
      </c>
      <c r="D668" s="341" t="s">
        <v>10</v>
      </c>
      <c r="E668" s="341" t="s">
        <v>11</v>
      </c>
      <c r="F668" s="341" t="s">
        <v>804</v>
      </c>
      <c r="G668" s="341" t="s">
        <v>812</v>
      </c>
      <c r="H668" s="341" t="s">
        <v>813</v>
      </c>
      <c r="I668" s="447"/>
      <c r="J668" s="447"/>
      <c r="K668" s="447"/>
    </row>
    <row r="669" spans="1:11" ht="11.25" x14ac:dyDescent="0.2">
      <c r="A669" s="3"/>
      <c r="B669" s="342" t="s">
        <v>13</v>
      </c>
      <c r="C669" s="342" t="s">
        <v>14</v>
      </c>
      <c r="D669" s="325" t="s">
        <v>15</v>
      </c>
      <c r="E669" s="325" t="s">
        <v>16</v>
      </c>
      <c r="F669" s="325" t="s">
        <v>17</v>
      </c>
      <c r="G669" s="325" t="s">
        <v>18</v>
      </c>
      <c r="H669" s="325" t="s">
        <v>19</v>
      </c>
      <c r="I669" s="325"/>
      <c r="J669" s="325"/>
      <c r="K669" s="325"/>
    </row>
    <row r="670" spans="1:11" ht="11.25" x14ac:dyDescent="0.2">
      <c r="A670" s="3"/>
      <c r="B670" s="3"/>
      <c r="C670" s="3"/>
      <c r="D670" s="325"/>
      <c r="E670" s="325" t="s">
        <v>26</v>
      </c>
      <c r="F670" s="325" t="s">
        <v>26</v>
      </c>
      <c r="G670" s="325" t="s">
        <v>26</v>
      </c>
      <c r="H670" s="325" t="s">
        <v>26</v>
      </c>
      <c r="I670" s="325"/>
      <c r="J670" s="325"/>
      <c r="K670" s="325"/>
    </row>
    <row r="671" spans="1:11" ht="11.25" x14ac:dyDescent="0.2">
      <c r="A671" s="3"/>
      <c r="B671" s="3"/>
      <c r="C671" s="3"/>
      <c r="D671" s="325"/>
      <c r="E671" s="3"/>
      <c r="F671" s="3"/>
      <c r="G671" s="3"/>
      <c r="H671" s="3"/>
      <c r="I671" s="3"/>
      <c r="J671" s="3"/>
      <c r="K671" s="3"/>
    </row>
    <row r="672" spans="1:11" ht="11.25" x14ac:dyDescent="0.2">
      <c r="A672" s="3"/>
      <c r="B672" s="3"/>
      <c r="C672" s="3"/>
      <c r="D672" s="325"/>
      <c r="E672" s="3"/>
      <c r="F672" s="3"/>
      <c r="G672" s="3"/>
      <c r="H672" s="3"/>
      <c r="I672" s="3"/>
      <c r="J672" s="3"/>
      <c r="K672" s="3"/>
    </row>
    <row r="673" spans="1:11" ht="11.25" x14ac:dyDescent="0.2">
      <c r="A673" s="3">
        <v>1</v>
      </c>
      <c r="B673" s="3">
        <f>Input!A499</f>
        <v>408</v>
      </c>
      <c r="C673" s="23" t="str">
        <f>Input!B499</f>
        <v>TAXES BASED ON PROPERTY</v>
      </c>
      <c r="D673" s="118" t="str">
        <f>IF(Input!$C$2=3,'Classification Table'!$A$12,IF(Input!$C$2=5,'Classification Table'!$A$13,IF(Input!$C$2=20,'Classification Table'!$A$14,0)))</f>
        <v>7DC</v>
      </c>
      <c r="E673" s="3">
        <f>Input!D499-SUM(Input!E500:M500)</f>
        <v>4136779</v>
      </c>
      <c r="F673" s="3">
        <f>ROUND(VLOOKUP($D673,'Classification Table'!$A$6:$E$77,3,FALSE)*$E673,0)</f>
        <v>1731121</v>
      </c>
      <c r="G673" s="3">
        <f>ROUND(VLOOKUP($D673,'Classification Table'!$A$6:$E$77,4,FALSE)*$E673,0)</f>
        <v>1202829</v>
      </c>
      <c r="H673" s="3">
        <f>ROUND(VLOOKUP($D673,'Classification Table'!$A$6:$E$77,5,FALSE)*$E673,0)</f>
        <v>1202829</v>
      </c>
      <c r="I673" s="1"/>
      <c r="J673" s="3"/>
      <c r="K673" s="3"/>
    </row>
    <row r="674" spans="1:11" ht="11.25" x14ac:dyDescent="0.2">
      <c r="A674" s="3" t="s">
        <v>2</v>
      </c>
      <c r="B674" s="3"/>
      <c r="C674" s="3"/>
      <c r="D674" s="325"/>
      <c r="E674" s="3"/>
      <c r="F674" s="3"/>
      <c r="G674" s="3"/>
      <c r="H674" s="3"/>
      <c r="I674" s="3"/>
      <c r="J674" s="3"/>
      <c r="K674" s="3"/>
    </row>
    <row r="675" spans="1:11" ht="11.25" x14ac:dyDescent="0.2">
      <c r="A675" s="3">
        <f>A673+1</f>
        <v>2</v>
      </c>
      <c r="B675" s="3">
        <f>Input!A500</f>
        <v>408</v>
      </c>
      <c r="C675" s="23" t="str">
        <f>Input!B500</f>
        <v>TAXES BASED ON PAYROLL</v>
      </c>
      <c r="D675" s="118" t="str">
        <f>IF(Input!$C$2=3,'Classification Table'!$A$23,IF(Input!$C$2=5,'Classification Table'!$A$24,IF(Input!$C$2=20,'Classification Table'!$A$25,0)))</f>
        <v>12DC</v>
      </c>
      <c r="E675" s="3">
        <f>Input!D500</f>
        <v>654102</v>
      </c>
      <c r="F675" s="3">
        <f>ROUND(VLOOKUP($D675,'Classification Table'!$A$6:$E$77,3,FALSE)*$E675,0)</f>
        <v>434275</v>
      </c>
      <c r="G675" s="3">
        <f>ROUND(VLOOKUP($D675,'Classification Table'!$A$6:$E$77,4,FALSE)*$E675,0)</f>
        <v>113082</v>
      </c>
      <c r="H675" s="3">
        <f>ROUND(VLOOKUP($D675,'Classification Table'!$A$6:$E$77,5,FALSE)*$E675,0)</f>
        <v>106745</v>
      </c>
      <c r="I675" s="3"/>
      <c r="J675" s="3"/>
      <c r="K675" s="3"/>
    </row>
    <row r="676" spans="1:11" ht="11.25" x14ac:dyDescent="0.2">
      <c r="A676" s="3"/>
      <c r="B676" s="3"/>
      <c r="C676" s="3"/>
      <c r="D676" s="325"/>
      <c r="E676" s="3"/>
      <c r="F676" s="3"/>
      <c r="G676" s="3"/>
      <c r="H676" s="3"/>
      <c r="I676" s="3"/>
      <c r="J676" s="3"/>
      <c r="K676" s="3"/>
    </row>
    <row r="677" spans="1:11" ht="11.25" x14ac:dyDescent="0.2">
      <c r="A677" s="3">
        <f>A675+1</f>
        <v>3</v>
      </c>
      <c r="B677" s="3">
        <f>Input!A501</f>
        <v>408</v>
      </c>
      <c r="C677" s="23" t="str">
        <f>Input!B501</f>
        <v>OTHER TAXES</v>
      </c>
      <c r="D677" s="118" t="str">
        <f>IF(Input!$C$2=3,'Classification Table'!$A$23,IF(Input!$C$2=5,'Classification Table'!$A$24,IF(Input!$C$2=20,'Classification Table'!$A$25,0)))</f>
        <v>12DC</v>
      </c>
      <c r="E677" s="3">
        <f>Input!D501</f>
        <v>0</v>
      </c>
      <c r="F677" s="3">
        <f>ROUND(VLOOKUP($D677,'Classification Table'!$A$6:$E$77,3,FALSE)*$E677,0)</f>
        <v>0</v>
      </c>
      <c r="G677" s="3">
        <f>ROUND(VLOOKUP($D677,'Classification Table'!$A$6:$E$77,4,FALSE)*$E677,0)</f>
        <v>0</v>
      </c>
      <c r="H677" s="3">
        <f>ROUND(VLOOKUP($D677,'Classification Table'!$A$6:$E$77,5,FALSE)*$E677,0)</f>
        <v>0</v>
      </c>
      <c r="I677" s="3"/>
      <c r="J677" s="3"/>
      <c r="K677" s="3"/>
    </row>
    <row r="678" spans="1:11" ht="11.25" x14ac:dyDescent="0.2">
      <c r="A678" s="3"/>
      <c r="B678" s="3"/>
      <c r="C678" s="3"/>
      <c r="D678" s="325"/>
      <c r="E678" s="3"/>
      <c r="F678" s="3"/>
      <c r="G678" s="3"/>
      <c r="H678" s="3"/>
      <c r="I678" s="3"/>
      <c r="J678" s="3"/>
      <c r="K678" s="3"/>
    </row>
    <row r="679" spans="1:11" ht="11.25" x14ac:dyDescent="0.2">
      <c r="A679" s="3">
        <f>A677+1</f>
        <v>4</v>
      </c>
      <c r="B679" s="3"/>
      <c r="C679" s="3" t="s">
        <v>370</v>
      </c>
      <c r="D679" s="325"/>
      <c r="E679" s="3">
        <f t="shared" ref="E679:H679" si="78">SUM(E673:E677)</f>
        <v>4790881</v>
      </c>
      <c r="F679" s="3">
        <f t="shared" si="78"/>
        <v>2165396</v>
      </c>
      <c r="G679" s="3">
        <f t="shared" si="78"/>
        <v>1315911</v>
      </c>
      <c r="H679" s="3">
        <f t="shared" si="78"/>
        <v>1309574</v>
      </c>
      <c r="I679" s="3"/>
      <c r="J679" s="3"/>
      <c r="K679" s="3"/>
    </row>
    <row r="680" spans="1:11" ht="11.25" x14ac:dyDescent="0.2">
      <c r="A680" s="3" t="s">
        <v>811</v>
      </c>
      <c r="B680" s="3"/>
      <c r="C680" s="3"/>
      <c r="D680" s="325"/>
      <c r="E680" s="3"/>
      <c r="F680" s="325" t="str">
        <f>""&amp;+Input!$B$1</f>
        <v>COLUMBIA GAS OF KENTUCKY, INC.</v>
      </c>
      <c r="H680" s="3"/>
      <c r="I680" s="3"/>
      <c r="J680" s="3"/>
      <c r="K680" s="32" t="str">
        <f>Input!$B$2</f>
        <v>ATTACHMENT CEN-2</v>
      </c>
    </row>
    <row r="681" spans="1:11" ht="11.25" x14ac:dyDescent="0.2">
      <c r="A681" s="3" t="str">
        <f>Input!$B$7</f>
        <v>DEMAND-COMMODITY</v>
      </c>
      <c r="B681" s="3"/>
      <c r="C681" s="3"/>
      <c r="D681" s="325"/>
      <c r="E681" s="3"/>
      <c r="F681" s="325" t="s">
        <v>425</v>
      </c>
      <c r="H681" s="3"/>
      <c r="I681" s="3"/>
      <c r="J681" s="3"/>
      <c r="K681" s="32" t="s">
        <v>1122</v>
      </c>
    </row>
    <row r="682" spans="1:11" ht="11.25" x14ac:dyDescent="0.2">
      <c r="A682" s="17" t="str">
        <f>Input!$B$6</f>
        <v>FORECASTED TEST YEAR - ORIGINAL FILING</v>
      </c>
      <c r="B682" s="17"/>
      <c r="C682" s="17"/>
      <c r="D682" s="34"/>
      <c r="E682" s="17"/>
      <c r="F682" s="19" t="str">
        <f>"FOR THE TWELVE MONTHS ENDED "&amp;Input!$B$4</f>
        <v>FOR THE TWELVE MONTHS ENDED 12/31/2017</v>
      </c>
      <c r="G682" s="329"/>
      <c r="H682" s="17"/>
      <c r="I682" s="17"/>
      <c r="J682" s="17"/>
      <c r="K682" s="183" t="str">
        <f>"WITNESS: "&amp;Input!$B$5</f>
        <v>WITNESS: C. NOTESTONE</v>
      </c>
    </row>
    <row r="683" spans="1:11" ht="11.25" x14ac:dyDescent="0.2">
      <c r="A683" s="325" t="s">
        <v>5</v>
      </c>
      <c r="B683" s="3" t="s">
        <v>6</v>
      </c>
      <c r="C683" s="3"/>
      <c r="D683" s="325" t="s">
        <v>811</v>
      </c>
      <c r="E683" s="325" t="s">
        <v>8</v>
      </c>
      <c r="F683" s="3"/>
      <c r="G683" s="3"/>
      <c r="H683" s="3"/>
      <c r="I683" s="3"/>
      <c r="J683" s="3"/>
      <c r="K683" s="3"/>
    </row>
    <row r="684" spans="1:11" ht="11.25" x14ac:dyDescent="0.2">
      <c r="A684" s="341" t="s">
        <v>9</v>
      </c>
      <c r="B684" s="341" t="s">
        <v>9</v>
      </c>
      <c r="C684" s="341" t="str">
        <f>"                           ACCOUNT TITLE                  "</f>
        <v xml:space="preserve">                           ACCOUNT TITLE                  </v>
      </c>
      <c r="D684" s="341" t="s">
        <v>10</v>
      </c>
      <c r="E684" s="341" t="s">
        <v>11</v>
      </c>
      <c r="F684" s="341" t="s">
        <v>804</v>
      </c>
      <c r="G684" s="341" t="s">
        <v>812</v>
      </c>
      <c r="H684" s="341" t="s">
        <v>813</v>
      </c>
      <c r="I684" s="447"/>
      <c r="J684" s="447"/>
      <c r="K684" s="447"/>
    </row>
    <row r="685" spans="1:11" ht="11.25" x14ac:dyDescent="0.2">
      <c r="A685" s="3"/>
      <c r="B685" s="342" t="s">
        <v>13</v>
      </c>
      <c r="C685" s="342" t="s">
        <v>14</v>
      </c>
      <c r="D685" s="325" t="s">
        <v>15</v>
      </c>
      <c r="E685" s="325" t="s">
        <v>16</v>
      </c>
      <c r="F685" s="325" t="s">
        <v>17</v>
      </c>
      <c r="G685" s="325" t="s">
        <v>18</v>
      </c>
      <c r="H685" s="325" t="s">
        <v>19</v>
      </c>
      <c r="I685" s="325"/>
      <c r="J685" s="325"/>
      <c r="K685" s="325"/>
    </row>
    <row r="686" spans="1:11" ht="11.25" x14ac:dyDescent="0.2">
      <c r="A686" s="3"/>
      <c r="B686" s="1"/>
      <c r="C686" s="1"/>
      <c r="D686" s="325"/>
      <c r="E686" s="325" t="s">
        <v>26</v>
      </c>
      <c r="F686" s="325" t="s">
        <v>26</v>
      </c>
      <c r="G686" s="325" t="s">
        <v>26</v>
      </c>
      <c r="H686" s="325" t="s">
        <v>26</v>
      </c>
      <c r="I686" s="325"/>
      <c r="J686" s="325"/>
      <c r="K686" s="325"/>
    </row>
    <row r="687" spans="1:11" ht="11.25" x14ac:dyDescent="0.2">
      <c r="A687" s="3">
        <v>1</v>
      </c>
      <c r="B687" s="1" t="s">
        <v>381</v>
      </c>
      <c r="C687" s="1"/>
      <c r="D687" s="325"/>
      <c r="E687" s="3">
        <f ca="1">Classification!E732</f>
        <v>5380521.4866891801</v>
      </c>
      <c r="F687" s="3">
        <f ca="1">Classification!F732</f>
        <v>-3072009</v>
      </c>
      <c r="G687" s="3">
        <f ca="1">Classification!G732</f>
        <v>2386604.1499999911</v>
      </c>
      <c r="H687" s="3">
        <f ca="1">Classification!H732</f>
        <v>6065918.6000000015</v>
      </c>
      <c r="I687" s="3"/>
      <c r="J687" s="3"/>
      <c r="K687" s="3"/>
    </row>
    <row r="688" spans="1:11" ht="11.25" x14ac:dyDescent="0.2">
      <c r="A688" s="3"/>
      <c r="B688" s="1"/>
      <c r="C688" s="1"/>
      <c r="D688" s="325"/>
      <c r="E688" s="3"/>
      <c r="F688" s="3"/>
      <c r="G688" s="3"/>
      <c r="H688" s="3"/>
      <c r="I688" s="3"/>
      <c r="J688" s="3"/>
      <c r="K688" s="3"/>
    </row>
    <row r="689" spans="1:11" ht="11.25" x14ac:dyDescent="0.2">
      <c r="A689" s="3">
        <f>A687+1</f>
        <v>2</v>
      </c>
      <c r="B689" s="1" t="s">
        <v>382</v>
      </c>
      <c r="C689" s="1"/>
      <c r="D689" s="325"/>
      <c r="E689" s="3"/>
      <c r="F689" s="3"/>
      <c r="G689" s="3"/>
      <c r="H689" s="3"/>
      <c r="I689" s="3"/>
      <c r="J689" s="3"/>
      <c r="K689" s="3"/>
    </row>
    <row r="690" spans="1:11" ht="11.25" x14ac:dyDescent="0.2">
      <c r="A690" s="3"/>
      <c r="B690" s="1"/>
      <c r="C690" s="1"/>
      <c r="D690" s="325"/>
      <c r="E690" s="3"/>
      <c r="F690" s="3"/>
      <c r="G690" s="3"/>
      <c r="H690" s="3"/>
      <c r="I690" s="3"/>
      <c r="J690" s="3"/>
      <c r="K690" s="3"/>
    </row>
    <row r="691" spans="1:11" ht="11.25" x14ac:dyDescent="0.2">
      <c r="A691" s="3">
        <f>A689+1</f>
        <v>3</v>
      </c>
      <c r="B691" s="1" t="s">
        <v>383</v>
      </c>
      <c r="C691" s="1"/>
      <c r="D691" s="325"/>
      <c r="E691" s="3">
        <f ca="1">Classification!E736</f>
        <v>6688725</v>
      </c>
      <c r="F691" s="3">
        <f ca="1">Classification!F736</f>
        <v>1910314</v>
      </c>
      <c r="G691" s="3">
        <f ca="1">Classification!G736</f>
        <v>1837904</v>
      </c>
      <c r="H691" s="3">
        <f ca="1">Classification!H736</f>
        <v>2940506</v>
      </c>
      <c r="I691" s="3"/>
      <c r="J691" s="3"/>
      <c r="K691" s="3"/>
    </row>
    <row r="692" spans="1:11" ht="11.25" x14ac:dyDescent="0.2">
      <c r="A692" s="3"/>
      <c r="B692" s="3"/>
      <c r="C692" s="3"/>
      <c r="D692" s="325"/>
      <c r="E692" s="3"/>
      <c r="F692" s="1"/>
      <c r="G692" s="1"/>
      <c r="H692" s="1"/>
      <c r="I692" s="3"/>
      <c r="J692" s="3"/>
      <c r="K692" s="3"/>
    </row>
    <row r="693" spans="1:11" ht="11.25" x14ac:dyDescent="0.2">
      <c r="A693" s="3">
        <f>A691+1</f>
        <v>4</v>
      </c>
      <c r="B693" s="3" t="str">
        <f>Input!A535</f>
        <v>TAX ACCELERATED DEPRECIATION</v>
      </c>
      <c r="C693" s="3"/>
      <c r="D693" s="118" t="str">
        <f>IF(Input!$C$2=3,'Classification Table'!$A$38,IF(Input!$C$2=5,'Classification Table'!$A$39,IF(Input!$C$2=20,'Classification Table'!$A$40,0)))</f>
        <v>19DC</v>
      </c>
      <c r="E693" s="3">
        <f>E694-Input!D535</f>
        <v>14595754</v>
      </c>
      <c r="F693" s="3">
        <f>ROUND(VLOOKUP($D693,'Classification Table'!$A$6:$E$77,3,FALSE)*$E693,0)</f>
        <v>6107897</v>
      </c>
      <c r="G693" s="3">
        <f>ROUND(VLOOKUP($D693,'Classification Table'!$A$6:$E$77,4,FALSE)*$E693,0)</f>
        <v>4243929</v>
      </c>
      <c r="H693" s="3">
        <f>ROUND(VLOOKUP($D693,'Classification Table'!$A$6:$E$77,5,FALSE)*$E693,0)</f>
        <v>4243929</v>
      </c>
      <c r="I693" s="3"/>
      <c r="J693" s="3"/>
      <c r="K693" s="3"/>
    </row>
    <row r="694" spans="1:11" ht="11.25" x14ac:dyDescent="0.2">
      <c r="A694" s="3">
        <f>A693+1</f>
        <v>5</v>
      </c>
      <c r="B694" s="3" t="str">
        <f>Classification!B739</f>
        <v xml:space="preserve">  BOOK DEPRECIATION</v>
      </c>
      <c r="C694" s="3"/>
      <c r="D694" s="325"/>
      <c r="E694" s="26">
        <f>Classification!E739</f>
        <v>14665691</v>
      </c>
      <c r="F694" s="116">
        <f>Classification!F739</f>
        <v>8622382</v>
      </c>
      <c r="G694" s="116">
        <f>Classification!G739</f>
        <v>3021656</v>
      </c>
      <c r="H694" s="116">
        <f>Classification!H739</f>
        <v>3021656</v>
      </c>
      <c r="I694" s="26"/>
      <c r="J694" s="26"/>
      <c r="K694" s="26"/>
    </row>
    <row r="695" spans="1:11" ht="11.25" x14ac:dyDescent="0.2">
      <c r="A695" s="3">
        <f>A694+1</f>
        <v>6</v>
      </c>
      <c r="B695" s="3" t="str">
        <f>Classification!B740</f>
        <v xml:space="preserve">  EXCESS OF BOOK OVER TAX DEPRECIATION</v>
      </c>
      <c r="C695" s="3"/>
      <c r="D695" s="325"/>
      <c r="E695" s="3">
        <f t="shared" ref="E695:H695" si="79">E693-E694</f>
        <v>-69937</v>
      </c>
      <c r="F695" s="1">
        <f t="shared" si="79"/>
        <v>-2514485</v>
      </c>
      <c r="G695" s="1">
        <f t="shared" si="79"/>
        <v>1222273</v>
      </c>
      <c r="H695" s="1">
        <f t="shared" si="79"/>
        <v>1222273</v>
      </c>
      <c r="I695" s="3"/>
      <c r="J695" s="3"/>
      <c r="K695" s="3"/>
    </row>
    <row r="696" spans="1:11" ht="11.25" x14ac:dyDescent="0.2">
      <c r="A696" s="3"/>
      <c r="B696" s="3"/>
      <c r="C696" s="3"/>
      <c r="D696" s="325"/>
      <c r="E696" s="3"/>
      <c r="F696" s="1"/>
      <c r="G696" s="1"/>
      <c r="H696" s="1"/>
      <c r="I696" s="3"/>
      <c r="J696" s="3"/>
      <c r="K696" s="3"/>
    </row>
    <row r="697" spans="1:11" ht="11.25" x14ac:dyDescent="0.2">
      <c r="A697" s="3">
        <f>A695+1</f>
        <v>7</v>
      </c>
      <c r="B697" s="3" t="str">
        <f>Classification!B742</f>
        <v xml:space="preserve">  NON DEDUCTIBLE EMPLOYEE EXPENSE</v>
      </c>
      <c r="C697" s="3"/>
      <c r="D697" s="118" t="str">
        <f>IF(Input!$C$2=3,'Classification Table'!$A$23,IF(Input!$C$2=5,'Classification Table'!$A$24,IF(Input!$C$2=20,'Classification Table'!$A$25,0)))</f>
        <v>12DC</v>
      </c>
      <c r="E697" s="26">
        <f>Classification!E742</f>
        <v>-4960</v>
      </c>
      <c r="F697" s="26">
        <f>ROUND(VLOOKUP($D697,'Classification Table'!$A$6:$E$77,3,FALSE)*$E697,0)</f>
        <v>-3293</v>
      </c>
      <c r="G697" s="26">
        <f>ROUND(VLOOKUP($D697,'Classification Table'!$A$6:$E$77,4,FALSE)*$E697,0)</f>
        <v>-857</v>
      </c>
      <c r="H697" s="26">
        <f>ROUND(VLOOKUP($D697,'Classification Table'!$A$6:$E$77,5,FALSE)*$E697,0)</f>
        <v>-809</v>
      </c>
      <c r="I697" s="5"/>
      <c r="J697" s="26"/>
      <c r="K697" s="26"/>
    </row>
    <row r="698" spans="1:11" ht="11.25" x14ac:dyDescent="0.2">
      <c r="A698" s="3"/>
      <c r="B698" s="3"/>
      <c r="C698" s="3"/>
      <c r="D698" s="325"/>
      <c r="E698" s="3"/>
      <c r="F698" s="1"/>
      <c r="G698" s="1"/>
      <c r="H698" s="1"/>
      <c r="I698" s="3"/>
      <c r="J698" s="3"/>
      <c r="K698" s="3"/>
    </row>
    <row r="699" spans="1:11" ht="11.25" x14ac:dyDescent="0.2">
      <c r="A699" s="3">
        <f>A697+1</f>
        <v>8</v>
      </c>
      <c r="B699" s="3" t="s">
        <v>384</v>
      </c>
      <c r="C699" s="3"/>
      <c r="D699" s="325"/>
      <c r="E699" s="26">
        <f ca="1">E691+E695+E697</f>
        <v>6613828</v>
      </c>
      <c r="F699" s="116">
        <f t="shared" ref="F699:H699" ca="1" si="80">F691+F695+F697</f>
        <v>-607464</v>
      </c>
      <c r="G699" s="116">
        <f t="shared" ca="1" si="80"/>
        <v>3059320</v>
      </c>
      <c r="H699" s="116">
        <f t="shared" ca="1" si="80"/>
        <v>4161970</v>
      </c>
      <c r="I699" s="26"/>
      <c r="J699" s="26"/>
      <c r="K699" s="26"/>
    </row>
    <row r="700" spans="1:11" ht="11.25" x14ac:dyDescent="0.2">
      <c r="A700" s="3">
        <f>A699+1</f>
        <v>9</v>
      </c>
      <c r="B700" s="3" t="s">
        <v>385</v>
      </c>
      <c r="C700" s="3"/>
      <c r="D700" s="325"/>
      <c r="E700" s="3">
        <f t="shared" ref="E700:H700" ca="1" si="81">E687-E699</f>
        <v>-1233306.5133108199</v>
      </c>
      <c r="F700" s="1">
        <f t="shared" ca="1" si="81"/>
        <v>-2464545</v>
      </c>
      <c r="G700" s="1">
        <f t="shared" ca="1" si="81"/>
        <v>-672715.85000000894</v>
      </c>
      <c r="H700" s="1">
        <f t="shared" ca="1" si="81"/>
        <v>1903948.6000000015</v>
      </c>
      <c r="I700" s="3"/>
      <c r="J700" s="3"/>
      <c r="K700" s="3"/>
    </row>
    <row r="701" spans="1:11" ht="11.25" x14ac:dyDescent="0.2">
      <c r="A701" s="3"/>
      <c r="B701" s="3"/>
      <c r="C701" s="3"/>
      <c r="D701" s="325"/>
      <c r="E701" s="3"/>
      <c r="F701" s="1"/>
      <c r="G701" s="1"/>
      <c r="H701" s="1"/>
      <c r="I701" s="3"/>
      <c r="J701" s="3"/>
      <c r="K701" s="3"/>
    </row>
    <row r="702" spans="1:11" ht="11.25" x14ac:dyDescent="0.2">
      <c r="A702" s="3">
        <f>A700+1</f>
        <v>10</v>
      </c>
      <c r="B702" s="3" t="str">
        <f>"STATE INCOME TAX @ "&amp;FIXED(ROUND(Input!$D$28*100,2),2,TRUE)&amp;"%"</f>
        <v>STATE INCOME TAX @ 6.00%</v>
      </c>
      <c r="C702" s="3"/>
      <c r="D702" s="325"/>
      <c r="E702" s="46">
        <f ca="1">ROUND((+E700)*0.06,0)</f>
        <v>-73998</v>
      </c>
      <c r="F702" s="1">
        <f ca="1">($E$702/$E$700)*F700</f>
        <v>-147871.91905799857</v>
      </c>
      <c r="G702" s="1">
        <f ca="1">($E$702/$E$700)*G700</f>
        <v>-40362.737836084969</v>
      </c>
      <c r="H702" s="1">
        <f ca="1">($E$702/$E$700)*H700</f>
        <v>114236.31269455007</v>
      </c>
      <c r="I702" s="3"/>
      <c r="J702" s="3"/>
      <c r="K702" s="3"/>
    </row>
    <row r="703" spans="1:11" ht="11.25" x14ac:dyDescent="0.2">
      <c r="A703" s="3">
        <f>A702+1</f>
        <v>11</v>
      </c>
      <c r="B703" s="3" t="str">
        <f>"PLUS: "&amp;+Input!A536</f>
        <v>PLUS: FOREIGN TAX PAYMENTS</v>
      </c>
      <c r="C703" s="3"/>
      <c r="D703" s="118" t="str">
        <f>IF(Input!$C$2=3,'Classification Table'!$A$38,IF(Input!$C$2=5,'Classification Table'!$A$39,IF(Input!$C$2=20,'Classification Table'!$A$40,0)))</f>
        <v>19DC</v>
      </c>
      <c r="E703" s="26">
        <f>Input!D536</f>
        <v>0</v>
      </c>
      <c r="F703" s="26">
        <f>ROUND(VLOOKUP($D703,'Classification Table'!$A$6:$E$77,3,FALSE)*$E703,0)</f>
        <v>0</v>
      </c>
      <c r="G703" s="26">
        <f>ROUND(VLOOKUP($D703,'Classification Table'!$A$6:$E$77,4,FALSE)*$E703,0)</f>
        <v>0</v>
      </c>
      <c r="H703" s="26">
        <f>ROUND(VLOOKUP($D703,'Classification Table'!$A$6:$E$77,5,FALSE)*$E703,0)</f>
        <v>0</v>
      </c>
      <c r="I703" s="3"/>
      <c r="J703" s="26"/>
      <c r="K703" s="26"/>
    </row>
    <row r="704" spans="1:11" ht="11.25" x14ac:dyDescent="0.2">
      <c r="A704" s="3"/>
      <c r="B704" s="3"/>
      <c r="C704" s="3"/>
      <c r="D704" s="325"/>
      <c r="E704" s="3"/>
      <c r="F704" s="1"/>
      <c r="G704" s="1"/>
      <c r="H704" s="1"/>
      <c r="I704" s="3"/>
      <c r="J704" s="3"/>
      <c r="K704" s="3"/>
    </row>
    <row r="705" spans="1:11" ht="11.25" x14ac:dyDescent="0.2">
      <c r="A705" s="3">
        <f>A703+1</f>
        <v>12</v>
      </c>
      <c r="B705" s="3" t="s">
        <v>46</v>
      </c>
      <c r="C705" s="3"/>
      <c r="D705" s="325"/>
      <c r="E705" s="3">
        <f t="shared" ref="E705:H705" ca="1" si="82">E702+E703</f>
        <v>-73998</v>
      </c>
      <c r="F705" s="3">
        <f t="shared" ca="1" si="82"/>
        <v>-147871.91905799857</v>
      </c>
      <c r="G705" s="3">
        <f t="shared" ca="1" si="82"/>
        <v>-40362.737836084969</v>
      </c>
      <c r="H705" s="3">
        <f t="shared" ca="1" si="82"/>
        <v>114236.31269455007</v>
      </c>
      <c r="I705" s="3"/>
      <c r="J705" s="3"/>
      <c r="K705" s="3"/>
    </row>
    <row r="706" spans="1:11" ht="11.25" x14ac:dyDescent="0.2">
      <c r="A706" s="3" t="s">
        <v>811</v>
      </c>
      <c r="B706" s="3"/>
      <c r="C706" s="3"/>
      <c r="D706" s="325"/>
      <c r="E706" s="3"/>
      <c r="F706" s="325" t="str">
        <f>""&amp;+Input!$B$1</f>
        <v>COLUMBIA GAS OF KENTUCKY, INC.</v>
      </c>
      <c r="H706" s="3"/>
      <c r="I706" s="3"/>
      <c r="J706" s="3"/>
      <c r="K706" s="32" t="str">
        <f>Input!$B$2</f>
        <v>ATTACHMENT CEN-2</v>
      </c>
    </row>
    <row r="707" spans="1:11" ht="11.25" x14ac:dyDescent="0.2">
      <c r="A707" s="3" t="str">
        <f>Input!$B$7</f>
        <v>DEMAND-COMMODITY</v>
      </c>
      <c r="B707" s="3"/>
      <c r="C707" s="3"/>
      <c r="D707" s="325"/>
      <c r="E707" s="3"/>
      <c r="F707" s="325" t="s">
        <v>425</v>
      </c>
      <c r="H707" s="3"/>
      <c r="I707" s="3"/>
      <c r="J707" s="3"/>
      <c r="K707" s="32" t="s">
        <v>1123</v>
      </c>
    </row>
    <row r="708" spans="1:11" ht="11.25" x14ac:dyDescent="0.2">
      <c r="A708" s="17" t="str">
        <f>Input!$B$6</f>
        <v>FORECASTED TEST YEAR - ORIGINAL FILING</v>
      </c>
      <c r="B708" s="17"/>
      <c r="C708" s="17"/>
      <c r="D708" s="34"/>
      <c r="E708" s="17"/>
      <c r="F708" s="19" t="str">
        <f>"FOR THE TWELVE MONTHS ENDED "&amp;Input!$B$4</f>
        <v>FOR THE TWELVE MONTHS ENDED 12/31/2017</v>
      </c>
      <c r="G708" s="329"/>
      <c r="H708" s="17"/>
      <c r="I708" s="17"/>
      <c r="J708" s="17"/>
      <c r="K708" s="183" t="str">
        <f>"WITNESS: "&amp;Input!$B$5</f>
        <v>WITNESS: C. NOTESTONE</v>
      </c>
    </row>
    <row r="709" spans="1:11" ht="11.25" x14ac:dyDescent="0.2">
      <c r="A709" s="325" t="s">
        <v>5</v>
      </c>
      <c r="B709" s="3" t="s">
        <v>6</v>
      </c>
      <c r="C709" s="3"/>
      <c r="D709" s="325" t="s">
        <v>811</v>
      </c>
      <c r="E709" s="325" t="s">
        <v>8</v>
      </c>
      <c r="F709" s="3"/>
      <c r="G709" s="3"/>
      <c r="H709" s="3"/>
      <c r="I709" s="3"/>
      <c r="J709" s="3"/>
      <c r="K709" s="3"/>
    </row>
    <row r="710" spans="1:11" ht="11.25" x14ac:dyDescent="0.2">
      <c r="A710" s="341" t="s">
        <v>9</v>
      </c>
      <c r="B710" s="341" t="s">
        <v>9</v>
      </c>
      <c r="C710" s="341" t="str">
        <f>"                        ACCOUNT TITLE                "</f>
        <v xml:space="preserve">                        ACCOUNT TITLE                </v>
      </c>
      <c r="D710" s="341" t="s">
        <v>10</v>
      </c>
      <c r="E710" s="341" t="s">
        <v>11</v>
      </c>
      <c r="F710" s="341" t="s">
        <v>804</v>
      </c>
      <c r="G710" s="341" t="s">
        <v>812</v>
      </c>
      <c r="H710" s="341" t="s">
        <v>813</v>
      </c>
      <c r="I710" s="447"/>
      <c r="J710" s="447"/>
      <c r="K710" s="447"/>
    </row>
    <row r="711" spans="1:11" ht="11.25" x14ac:dyDescent="0.2">
      <c r="A711" s="3"/>
      <c r="B711" s="342" t="s">
        <v>13</v>
      </c>
      <c r="C711" s="342" t="s">
        <v>14</v>
      </c>
      <c r="D711" s="325" t="s">
        <v>15</v>
      </c>
      <c r="E711" s="325" t="s">
        <v>16</v>
      </c>
      <c r="F711" s="325" t="s">
        <v>17</v>
      </c>
      <c r="G711" s="325" t="s">
        <v>18</v>
      </c>
      <c r="H711" s="325" t="s">
        <v>19</v>
      </c>
      <c r="I711" s="325"/>
      <c r="J711" s="325"/>
      <c r="K711" s="325"/>
    </row>
    <row r="712" spans="1:11" ht="11.25" x14ac:dyDescent="0.2">
      <c r="A712" s="3"/>
      <c r="B712" s="3"/>
      <c r="C712" s="3"/>
      <c r="D712" s="325"/>
      <c r="E712" s="325" t="s">
        <v>26</v>
      </c>
      <c r="F712" s="325" t="s">
        <v>26</v>
      </c>
      <c r="G712" s="325" t="s">
        <v>26</v>
      </c>
      <c r="H712" s="325" t="s">
        <v>26</v>
      </c>
      <c r="I712" s="325"/>
      <c r="J712" s="325"/>
      <c r="K712" s="325"/>
    </row>
    <row r="713" spans="1:11" ht="11.25" x14ac:dyDescent="0.2">
      <c r="A713" s="3">
        <v>1</v>
      </c>
      <c r="B713" s="3"/>
      <c r="C713" s="3" t="s">
        <v>386</v>
      </c>
      <c r="D713" s="325"/>
      <c r="E713" s="3"/>
      <c r="F713" s="3"/>
      <c r="G713" s="3"/>
      <c r="H713" s="3"/>
      <c r="I713" s="3"/>
      <c r="J713" s="3"/>
      <c r="K713" s="3"/>
    </row>
    <row r="714" spans="1:11" ht="11.25" x14ac:dyDescent="0.2">
      <c r="A714" s="3"/>
      <c r="B714" s="3"/>
      <c r="C714" s="3"/>
      <c r="D714" s="325"/>
      <c r="E714" s="3"/>
      <c r="F714" s="3"/>
      <c r="G714" s="3"/>
      <c r="H714" s="3"/>
      <c r="I714" s="3"/>
      <c r="J714" s="3"/>
      <c r="K714" s="3"/>
    </row>
    <row r="715" spans="1:11" ht="11.25" x14ac:dyDescent="0.2">
      <c r="A715" s="3">
        <f>A713+1</f>
        <v>2</v>
      </c>
      <c r="B715" s="3" t="s">
        <v>387</v>
      </c>
      <c r="C715" s="3"/>
      <c r="D715" s="325"/>
      <c r="E715" s="3"/>
      <c r="F715" s="3"/>
      <c r="G715" s="3"/>
      <c r="H715" s="3"/>
      <c r="I715" s="3"/>
      <c r="J715" s="3"/>
      <c r="K715" s="3"/>
    </row>
    <row r="716" spans="1:11" ht="11.25" x14ac:dyDescent="0.2">
      <c r="A716" s="3"/>
      <c r="B716" s="3"/>
      <c r="C716" s="3"/>
      <c r="D716" s="325"/>
      <c r="E716" s="3"/>
      <c r="F716" s="3"/>
      <c r="G716" s="3"/>
      <c r="H716" s="3"/>
      <c r="I716" s="3"/>
      <c r="J716" s="3"/>
      <c r="K716" s="3"/>
    </row>
    <row r="717" spans="1:11" ht="11.25" x14ac:dyDescent="0.2">
      <c r="A717" s="3">
        <f>A715+1</f>
        <v>3</v>
      </c>
      <c r="B717" s="3" t="str">
        <f>Input!A538</f>
        <v>AMORTIZATION OF EXCESS ADIT-STATE</v>
      </c>
      <c r="C717" s="3"/>
      <c r="D717" s="118" t="str">
        <f>IF(Input!$C$2=3,'Classification Table'!$A$38,IF(Input!$C$2=5,'Classification Table'!$A$39,IF(Input!$C$2=20,'Classification Table'!$A$40,0)))</f>
        <v>19DC</v>
      </c>
      <c r="E717" s="26">
        <f>Input!D538</f>
        <v>-17008</v>
      </c>
      <c r="F717" s="3">
        <f>ROUND(VLOOKUP($D717,'Classification Table'!$A$6:$E$77,3,FALSE)*$E717,0)</f>
        <v>-7117</v>
      </c>
      <c r="G717" s="3">
        <f>ROUND(VLOOKUP($D717,'Classification Table'!$A$6:$E$77,4,FALSE)*$E717,0)</f>
        <v>-4945</v>
      </c>
      <c r="H717" s="3">
        <f>ROUND(VLOOKUP($D717,'Classification Table'!$A$6:$E$77,5,FALSE)*$E717,0)</f>
        <v>-4945</v>
      </c>
      <c r="I717" s="3"/>
      <c r="J717" s="26"/>
      <c r="K717" s="26"/>
    </row>
    <row r="718" spans="1:11" ht="11.25" x14ac:dyDescent="0.2">
      <c r="A718" s="3"/>
      <c r="B718" s="3"/>
      <c r="C718" s="3"/>
      <c r="D718" s="325"/>
      <c r="E718" s="26"/>
      <c r="F718" s="26"/>
      <c r="G718" s="26"/>
      <c r="H718" s="26"/>
      <c r="I718" s="26"/>
      <c r="J718" s="26"/>
      <c r="K718" s="26"/>
    </row>
    <row r="719" spans="1:11" ht="11.25" x14ac:dyDescent="0.2">
      <c r="A719" s="3">
        <f>A717+1</f>
        <v>4</v>
      </c>
      <c r="B719" s="3" t="s">
        <v>388</v>
      </c>
      <c r="C719" s="3"/>
      <c r="D719" s="325"/>
      <c r="E719" s="3">
        <f t="shared" ref="E719:H719" si="83">E717</f>
        <v>-17008</v>
      </c>
      <c r="F719" s="3">
        <f t="shared" si="83"/>
        <v>-7117</v>
      </c>
      <c r="G719" s="3">
        <f t="shared" si="83"/>
        <v>-4945</v>
      </c>
      <c r="H719" s="3">
        <f t="shared" si="83"/>
        <v>-4945</v>
      </c>
      <c r="I719" s="3"/>
      <c r="J719" s="3"/>
      <c r="K719" s="3"/>
    </row>
    <row r="720" spans="1:11" ht="11.25" x14ac:dyDescent="0.2">
      <c r="A720" s="3"/>
      <c r="B720" s="3"/>
      <c r="C720" s="3"/>
      <c r="D720" s="325"/>
      <c r="E720" s="3"/>
      <c r="F720" s="3"/>
      <c r="G720" s="3"/>
      <c r="H720" s="3"/>
      <c r="I720" s="3"/>
      <c r="J720" s="3"/>
      <c r="K720" s="3"/>
    </row>
    <row r="721" spans="1:11" ht="11.25" x14ac:dyDescent="0.2">
      <c r="A721" s="3">
        <f>A719+1</f>
        <v>5</v>
      </c>
      <c r="B721" s="3" t="s">
        <v>389</v>
      </c>
      <c r="C721" s="3"/>
      <c r="D721" s="325"/>
      <c r="E721" s="3">
        <f ca="1">Classification!E705+E719</f>
        <v>-91006</v>
      </c>
      <c r="F721" s="3">
        <f ca="1">Classification!F705+F719</f>
        <v>-154988.91905799857</v>
      </c>
      <c r="G721" s="3">
        <f ca="1">Classification!G705+G719</f>
        <v>-45307.737836084969</v>
      </c>
      <c r="H721" s="3">
        <f ca="1">Classification!H705+H719</f>
        <v>109291.31269455007</v>
      </c>
      <c r="I721" s="3"/>
      <c r="J721" s="3"/>
      <c r="K721" s="3"/>
    </row>
    <row r="722" spans="1:11" ht="11.25" x14ac:dyDescent="0.2">
      <c r="A722" s="3" t="s">
        <v>811</v>
      </c>
      <c r="B722" s="3"/>
      <c r="C722" s="3"/>
      <c r="D722" s="325"/>
      <c r="E722" s="3"/>
      <c r="F722" s="325" t="str">
        <f>""&amp;+Input!$B$1</f>
        <v>COLUMBIA GAS OF KENTUCKY, INC.</v>
      </c>
      <c r="H722" s="3"/>
      <c r="I722" s="3"/>
      <c r="J722" s="3"/>
      <c r="K722" s="32" t="str">
        <f>Input!$B$2</f>
        <v>ATTACHMENT CEN-2</v>
      </c>
    </row>
    <row r="723" spans="1:11" ht="11.25" x14ac:dyDescent="0.2">
      <c r="A723" s="3" t="str">
        <f>Input!$B$7</f>
        <v>DEMAND-COMMODITY</v>
      </c>
      <c r="B723" s="3"/>
      <c r="C723" s="3"/>
      <c r="D723" s="325"/>
      <c r="E723" s="3"/>
      <c r="F723" s="325" t="s">
        <v>572</v>
      </c>
      <c r="H723" s="3"/>
      <c r="I723" s="3"/>
      <c r="J723" s="3"/>
      <c r="K723" s="32" t="s">
        <v>1124</v>
      </c>
    </row>
    <row r="724" spans="1:11" ht="11.25" x14ac:dyDescent="0.2">
      <c r="A724" s="17" t="str">
        <f>Input!$B$6</f>
        <v>FORECASTED TEST YEAR - ORIGINAL FILING</v>
      </c>
      <c r="B724" s="17"/>
      <c r="C724" s="17"/>
      <c r="D724" s="34"/>
      <c r="E724" s="17"/>
      <c r="F724" s="19" t="str">
        <f>"FOR THE TWELVE MONTHS ENDED "&amp;Input!$B$4</f>
        <v>FOR THE TWELVE MONTHS ENDED 12/31/2017</v>
      </c>
      <c r="G724" s="329"/>
      <c r="H724" s="17"/>
      <c r="I724" s="17"/>
      <c r="J724" s="17"/>
      <c r="K724" s="183" t="str">
        <f>"WITNESS: "&amp;Input!$B$5</f>
        <v>WITNESS: C. NOTESTONE</v>
      </c>
    </row>
    <row r="725" spans="1:11" ht="11.25" x14ac:dyDescent="0.2">
      <c r="A725" s="325" t="s">
        <v>5</v>
      </c>
      <c r="B725" s="3" t="s">
        <v>6</v>
      </c>
      <c r="C725" s="3"/>
      <c r="D725" s="325" t="s">
        <v>811</v>
      </c>
      <c r="E725" s="325" t="s">
        <v>8</v>
      </c>
      <c r="F725" s="3"/>
      <c r="G725" s="3"/>
      <c r="H725" s="3"/>
      <c r="I725" s="3"/>
      <c r="J725" s="3"/>
      <c r="K725" s="3"/>
    </row>
    <row r="726" spans="1:11" ht="11.25" x14ac:dyDescent="0.2">
      <c r="A726" s="341" t="s">
        <v>9</v>
      </c>
      <c r="B726" s="341" t="s">
        <v>9</v>
      </c>
      <c r="C726" s="341" t="str">
        <f>"                        ACCOUNT TITLE                "</f>
        <v xml:space="preserve">                        ACCOUNT TITLE                </v>
      </c>
      <c r="D726" s="341" t="s">
        <v>10</v>
      </c>
      <c r="E726" s="341" t="s">
        <v>11</v>
      </c>
      <c r="F726" s="341" t="s">
        <v>804</v>
      </c>
      <c r="G726" s="341" t="s">
        <v>812</v>
      </c>
      <c r="H726" s="341" t="s">
        <v>813</v>
      </c>
      <c r="I726" s="447"/>
      <c r="J726" s="447"/>
      <c r="K726" s="447"/>
    </row>
    <row r="727" spans="1:11" ht="11.25" x14ac:dyDescent="0.2">
      <c r="A727" s="3"/>
      <c r="B727" s="342" t="s">
        <v>13</v>
      </c>
      <c r="C727" s="342" t="s">
        <v>14</v>
      </c>
      <c r="D727" s="325" t="s">
        <v>15</v>
      </c>
      <c r="E727" s="325" t="s">
        <v>16</v>
      </c>
      <c r="F727" s="325" t="s">
        <v>17</v>
      </c>
      <c r="G727" s="325" t="s">
        <v>18</v>
      </c>
      <c r="H727" s="325" t="s">
        <v>19</v>
      </c>
      <c r="I727" s="325"/>
      <c r="J727" s="325"/>
      <c r="K727" s="325"/>
    </row>
    <row r="728" spans="1:11" ht="11.25" x14ac:dyDescent="0.2">
      <c r="A728" s="3"/>
      <c r="B728" s="3"/>
      <c r="C728" s="3"/>
      <c r="D728" s="325"/>
      <c r="E728" s="325" t="s">
        <v>26</v>
      </c>
      <c r="F728" s="325" t="s">
        <v>26</v>
      </c>
      <c r="G728" s="325" t="s">
        <v>26</v>
      </c>
      <c r="H728" s="325" t="s">
        <v>26</v>
      </c>
      <c r="I728" s="325"/>
      <c r="J728" s="325"/>
      <c r="K728" s="325"/>
    </row>
    <row r="729" spans="1:11" ht="11.25" x14ac:dyDescent="0.2">
      <c r="A729" s="3"/>
      <c r="B729" s="3"/>
      <c r="C729" s="3"/>
      <c r="D729" s="325"/>
      <c r="E729" s="3"/>
      <c r="F729" s="3"/>
      <c r="G729" s="3"/>
      <c r="H729" s="3"/>
      <c r="I729" s="3"/>
      <c r="J729" s="3"/>
      <c r="K729" s="3"/>
    </row>
    <row r="730" spans="1:11" ht="11.25" x14ac:dyDescent="0.2">
      <c r="A730" s="3">
        <v>1</v>
      </c>
      <c r="B730" s="3" t="s">
        <v>390</v>
      </c>
      <c r="C730" s="3"/>
      <c r="D730" s="325"/>
      <c r="E730" s="3">
        <f>Classification!E396</f>
        <v>92682166.75</v>
      </c>
      <c r="F730" s="3">
        <f ca="1">Classification!F396</f>
        <v>35066460</v>
      </c>
      <c r="G730" s="3">
        <f ca="1">Classification!G396</f>
        <v>37773621.149999991</v>
      </c>
      <c r="H730" s="3">
        <f ca="1">Classification!H396</f>
        <v>19842085.600000001</v>
      </c>
      <c r="I730" s="3"/>
      <c r="J730" s="3"/>
      <c r="K730" s="3"/>
    </row>
    <row r="731" spans="1:11" ht="11.25" x14ac:dyDescent="0.2">
      <c r="A731" s="3">
        <f>A730+1</f>
        <v>2</v>
      </c>
      <c r="B731" s="3" t="s">
        <v>391</v>
      </c>
      <c r="C731" s="3"/>
      <c r="D731" s="325"/>
      <c r="E731" s="26">
        <f ca="1">Classification!E$663+Classification!E$679+Classification!E$375+Classification!E427</f>
        <v>87301645.26331082</v>
      </c>
      <c r="F731" s="26">
        <f ca="1">Classification!F$663+Classification!F$679+Classification!F$375+Classification!F427</f>
        <v>38138469</v>
      </c>
      <c r="G731" s="26">
        <f ca="1">Classification!G$663+Classification!G$679+Classification!G$375+Classification!G427</f>
        <v>35387017</v>
      </c>
      <c r="H731" s="26">
        <f ca="1">Classification!H$663+Classification!H$679+Classification!H$375+Classification!H427</f>
        <v>13776167</v>
      </c>
      <c r="I731" s="26"/>
      <c r="J731" s="26"/>
      <c r="K731" s="26"/>
    </row>
    <row r="732" spans="1:11" ht="11.25" x14ac:dyDescent="0.2">
      <c r="A732" s="3">
        <f>A731+1</f>
        <v>3</v>
      </c>
      <c r="B732" s="3" t="s">
        <v>392</v>
      </c>
      <c r="C732" s="3"/>
      <c r="D732" s="325"/>
      <c r="E732" s="3">
        <f t="shared" ref="E732:H732" ca="1" si="84">E730-E731</f>
        <v>5380521.4866891801</v>
      </c>
      <c r="F732" s="3">
        <f t="shared" ca="1" si="84"/>
        <v>-3072009</v>
      </c>
      <c r="G732" s="3">
        <f t="shared" ca="1" si="84"/>
        <v>2386604.1499999911</v>
      </c>
      <c r="H732" s="3">
        <f t="shared" ca="1" si="84"/>
        <v>6065918.6000000015</v>
      </c>
      <c r="I732" s="3"/>
      <c r="J732" s="3"/>
      <c r="K732" s="3"/>
    </row>
    <row r="733" spans="1:11" ht="11.25" x14ac:dyDescent="0.2">
      <c r="A733" s="3"/>
      <c r="B733" s="3"/>
      <c r="C733" s="3"/>
      <c r="D733" s="325"/>
      <c r="E733" s="3"/>
      <c r="F733" s="3"/>
      <c r="G733" s="3"/>
      <c r="H733" s="3"/>
      <c r="I733" s="3"/>
      <c r="J733" s="3"/>
      <c r="K733" s="3"/>
    </row>
    <row r="734" spans="1:11" ht="11.25" x14ac:dyDescent="0.2">
      <c r="A734" s="3">
        <f>A732+1</f>
        <v>4</v>
      </c>
      <c r="B734" s="3" t="s">
        <v>382</v>
      </c>
      <c r="C734" s="3"/>
      <c r="D734" s="325"/>
      <c r="E734" s="3"/>
      <c r="F734" s="3"/>
      <c r="G734" s="3"/>
      <c r="H734" s="3"/>
      <c r="I734" s="3"/>
      <c r="J734" s="3"/>
      <c r="K734" s="3"/>
    </row>
    <row r="735" spans="1:11" ht="11.25" x14ac:dyDescent="0.2">
      <c r="A735" s="3"/>
      <c r="B735" s="3"/>
      <c r="C735" s="3"/>
      <c r="D735" s="325"/>
      <c r="E735" s="3"/>
      <c r="F735" s="3"/>
      <c r="G735" s="3"/>
      <c r="H735" s="3"/>
      <c r="I735" s="3"/>
      <c r="J735" s="3"/>
      <c r="K735" s="3"/>
    </row>
    <row r="736" spans="1:11" ht="11.25" x14ac:dyDescent="0.2">
      <c r="A736" s="3">
        <f>A734+1</f>
        <v>5</v>
      </c>
      <c r="B736" s="3" t="s">
        <v>383</v>
      </c>
      <c r="C736" s="3"/>
      <c r="D736" s="325"/>
      <c r="E736" s="3">
        <f ca="1">ROUND(Classification!E800*Input!$D$30,0)</f>
        <v>6688725</v>
      </c>
      <c r="F736" s="3">
        <f ca="1">ROUND(Classification!F800*Input!$D$30,0)</f>
        <v>1910314</v>
      </c>
      <c r="G736" s="3">
        <f ca="1">ROUND(Classification!G800*Input!$D$30,0)</f>
        <v>1837904</v>
      </c>
      <c r="H736" s="3">
        <f ca="1">ROUND(Classification!H800*Input!$D$30,0)</f>
        <v>2940506</v>
      </c>
      <c r="I736" s="3"/>
      <c r="J736" s="3"/>
      <c r="K736" s="3"/>
    </row>
    <row r="737" spans="1:11" ht="11.25" x14ac:dyDescent="0.2">
      <c r="A737" s="3"/>
      <c r="B737" s="3"/>
      <c r="C737" s="3"/>
      <c r="D737" s="325"/>
      <c r="E737" s="3"/>
      <c r="F737" s="3"/>
      <c r="G737" s="3"/>
      <c r="H737" s="3"/>
      <c r="I737" s="3"/>
      <c r="J737" s="3"/>
      <c r="K737" s="3"/>
    </row>
    <row r="738" spans="1:11" ht="11.25" x14ac:dyDescent="0.2">
      <c r="A738" s="3">
        <f>A736+1</f>
        <v>6</v>
      </c>
      <c r="B738" s="3" t="str">
        <f>"  "&amp;+Input!A519</f>
        <v xml:space="preserve">  EXCESS OF BOOK OVER TAX S/L</v>
      </c>
      <c r="C738" s="3"/>
      <c r="D738" s="118" t="str">
        <f>IF(Input!$C$2=3,'Classification Table'!$A$38,IF(Input!$C$2=5,'Classification Table'!$A$39,IF(Input!$C$2=20,'Classification Table'!$A$40,0)))</f>
        <v>19DC</v>
      </c>
      <c r="E738" s="3">
        <f>E739-Input!D535</f>
        <v>14595754</v>
      </c>
      <c r="F738" s="3">
        <f>ROUND(VLOOKUP($D738,'Classification Table'!$A$6:$E$77,3,FALSE)*$E738,0)</f>
        <v>6107897</v>
      </c>
      <c r="G738" s="3">
        <f>ROUND(VLOOKUP($D738,'Classification Table'!$A$6:$E$77,4,FALSE)*$E738,0)</f>
        <v>4243929</v>
      </c>
      <c r="H738" s="3">
        <f>ROUND(VLOOKUP($D738,'Classification Table'!$A$6:$E$77,5,FALSE)*$E738,0)</f>
        <v>4243929</v>
      </c>
      <c r="I738" s="3"/>
      <c r="J738" s="3"/>
      <c r="K738" s="3"/>
    </row>
    <row r="739" spans="1:11" ht="11.25" x14ac:dyDescent="0.2">
      <c r="A739" s="3">
        <f>A738+1</f>
        <v>7</v>
      </c>
      <c r="B739" s="3" t="s">
        <v>393</v>
      </c>
      <c r="C739" s="3"/>
      <c r="D739" s="325"/>
      <c r="E739" s="26">
        <f>Classification!E375-Classification!E306</f>
        <v>14665691</v>
      </c>
      <c r="F739" s="26">
        <f>Classification!F375-Classification!F306</f>
        <v>8622382</v>
      </c>
      <c r="G739" s="26">
        <f>Classification!G375-Classification!G306</f>
        <v>3021656</v>
      </c>
      <c r="H739" s="26">
        <f>Classification!H375-Classification!H306</f>
        <v>3021656</v>
      </c>
      <c r="I739" s="26"/>
      <c r="J739" s="26"/>
      <c r="K739" s="26"/>
    </row>
    <row r="740" spans="1:11" ht="11.25" x14ac:dyDescent="0.2">
      <c r="A740" s="3">
        <f>A739+1</f>
        <v>8</v>
      </c>
      <c r="B740" s="3" t="s">
        <v>551</v>
      </c>
      <c r="C740" s="3"/>
      <c r="D740" s="325"/>
      <c r="E740" s="3">
        <f t="shared" ref="E740:H740" si="85">E738-E739</f>
        <v>-69937</v>
      </c>
      <c r="F740" s="3">
        <f t="shared" si="85"/>
        <v>-2514485</v>
      </c>
      <c r="G740" s="3">
        <f t="shared" si="85"/>
        <v>1222273</v>
      </c>
      <c r="H740" s="3">
        <f t="shared" si="85"/>
        <v>1222273</v>
      </c>
      <c r="I740" s="3"/>
      <c r="J740" s="3"/>
      <c r="K740" s="3"/>
    </row>
    <row r="741" spans="1:11" ht="11.25" x14ac:dyDescent="0.2">
      <c r="A741" s="3"/>
      <c r="B741" s="3"/>
      <c r="C741" s="3"/>
      <c r="D741" s="325"/>
      <c r="E741" s="3"/>
      <c r="F741" s="3"/>
      <c r="G741" s="3"/>
      <c r="H741" s="3"/>
      <c r="I741" s="3"/>
      <c r="J741" s="3"/>
      <c r="K741" s="3"/>
    </row>
    <row r="742" spans="1:11" ht="11.25" x14ac:dyDescent="0.2">
      <c r="A742" s="3">
        <f>A740+1</f>
        <v>9</v>
      </c>
      <c r="B742" s="3" t="str">
        <f>"  "&amp;+Input!A520</f>
        <v xml:space="preserve">  NON DEDUCTIBLE EMPLOYEE EXPENSE</v>
      </c>
      <c r="C742" s="3"/>
      <c r="D742" s="118" t="str">
        <f>IF(Input!$C$2=3,'Classification Table'!$A$23,IF(Input!$C$2=5,'Classification Table'!$A$24,IF(Input!$C$2=20,'Classification Table'!$A$25,0)))</f>
        <v>12DC</v>
      </c>
      <c r="E742" s="3">
        <f>Input!D520</f>
        <v>-4960</v>
      </c>
      <c r="F742" s="26">
        <f>ROUND(VLOOKUP($D742,'Classification Table'!$A$6:$E$77,3,FALSE)*$E742,0)</f>
        <v>-3293</v>
      </c>
      <c r="G742" s="26">
        <f>ROUND(VLOOKUP($D742,'Classification Table'!$A$6:$E$77,4,FALSE)*$E742,0)</f>
        <v>-857</v>
      </c>
      <c r="H742" s="26">
        <f>ROUND(VLOOKUP($D742,'Classification Table'!$A$6:$E$77,5,FALSE)*$E742,0)</f>
        <v>-809</v>
      </c>
      <c r="I742" s="5"/>
      <c r="J742" s="3"/>
      <c r="K742" s="3"/>
    </row>
    <row r="743" spans="1:11" ht="11.25" x14ac:dyDescent="0.2">
      <c r="A743" s="3">
        <f>A742+1</f>
        <v>10</v>
      </c>
      <c r="B743" s="3" t="s">
        <v>394</v>
      </c>
      <c r="C743" s="3"/>
      <c r="D743" s="325"/>
      <c r="E743" s="26">
        <f ca="1">Classification!E705</f>
        <v>-73998</v>
      </c>
      <c r="F743" s="26">
        <f ca="1">Classification!F705</f>
        <v>-147871.91905799857</v>
      </c>
      <c r="G743" s="26">
        <f ca="1">Classification!G705</f>
        <v>-40362.737836084969</v>
      </c>
      <c r="H743" s="26">
        <f ca="1">Classification!H705</f>
        <v>114236.31269455007</v>
      </c>
      <c r="I743" s="26"/>
      <c r="J743" s="26"/>
      <c r="K743" s="26"/>
    </row>
    <row r="744" spans="1:11" ht="11.25" x14ac:dyDescent="0.2">
      <c r="A744" s="3"/>
      <c r="B744" s="3"/>
      <c r="C744" s="3"/>
      <c r="D744" s="325"/>
      <c r="E744" s="3"/>
      <c r="F744" s="3"/>
      <c r="G744" s="3"/>
      <c r="H744" s="3"/>
      <c r="I744" s="3"/>
      <c r="J744" s="3"/>
      <c r="K744" s="3"/>
    </row>
    <row r="745" spans="1:11" ht="11.25" x14ac:dyDescent="0.2">
      <c r="A745" s="3">
        <f>A743+1</f>
        <v>11</v>
      </c>
      <c r="B745" s="3" t="s">
        <v>384</v>
      </c>
      <c r="C745" s="3"/>
      <c r="D745" s="325"/>
      <c r="E745" s="23">
        <f t="shared" ref="E745:H745" ca="1" si="86">E736+E740+SUM(E742:E743)</f>
        <v>6539830</v>
      </c>
      <c r="F745" s="23">
        <f t="shared" ca="1" si="86"/>
        <v>-755335.91905799857</v>
      </c>
      <c r="G745" s="23">
        <f t="shared" ca="1" si="86"/>
        <v>3018957.2621639152</v>
      </c>
      <c r="H745" s="23">
        <f t="shared" ca="1" si="86"/>
        <v>4276206.3126945505</v>
      </c>
      <c r="I745" s="23"/>
      <c r="J745" s="23"/>
      <c r="K745" s="23"/>
    </row>
    <row r="746" spans="1:11" ht="11.25" x14ac:dyDescent="0.2">
      <c r="A746" s="3"/>
      <c r="B746" s="3"/>
      <c r="C746" s="3"/>
      <c r="D746" s="325"/>
      <c r="E746" s="3"/>
      <c r="F746" s="3"/>
      <c r="G746" s="3"/>
      <c r="H746" s="3"/>
      <c r="I746" s="3"/>
      <c r="J746" s="3"/>
      <c r="K746" s="3"/>
    </row>
    <row r="747" spans="1:11" ht="11.25" x14ac:dyDescent="0.2">
      <c r="A747" s="3">
        <f>A745+1</f>
        <v>12</v>
      </c>
      <c r="B747" s="3" t="s">
        <v>385</v>
      </c>
      <c r="C747" s="3"/>
      <c r="D747" s="325"/>
      <c r="E747" s="3">
        <f t="shared" ref="E747:H747" ca="1" si="87">E732-E745</f>
        <v>-1159308.5133108199</v>
      </c>
      <c r="F747" s="3">
        <f t="shared" ca="1" si="87"/>
        <v>-2316673.0809420012</v>
      </c>
      <c r="G747" s="3">
        <f t="shared" ca="1" si="87"/>
        <v>-632353.11216392415</v>
      </c>
      <c r="H747" s="3">
        <f t="shared" ca="1" si="87"/>
        <v>1789712.287305451</v>
      </c>
      <c r="I747" s="3"/>
      <c r="J747" s="3"/>
      <c r="K747" s="3"/>
    </row>
    <row r="748" spans="1:11" ht="11.25" x14ac:dyDescent="0.2">
      <c r="A748" s="3"/>
      <c r="B748" s="3"/>
      <c r="C748" s="3"/>
      <c r="D748" s="325"/>
      <c r="E748" s="3"/>
      <c r="F748" s="3"/>
      <c r="G748" s="3"/>
      <c r="H748" s="3"/>
      <c r="I748" s="3"/>
      <c r="J748" s="3"/>
      <c r="K748" s="3"/>
    </row>
    <row r="749" spans="1:11" ht="11.25" x14ac:dyDescent="0.2">
      <c r="A749" s="3">
        <f>A747+1</f>
        <v>13</v>
      </c>
      <c r="B749" s="3" t="str">
        <f>"CURRENT FEDERAL INCOME TAX @ "&amp;FIXED(ROUND(Input!$D$27*100,0),0,TRUE)&amp;"%"</f>
        <v>CURRENT FEDERAL INCOME TAX @ 35%</v>
      </c>
      <c r="C749" s="3"/>
      <c r="D749" s="325"/>
      <c r="E749" s="46">
        <f ca="1">IF(E747&gt;10000000,((+E747-10000000)*0.35)+(10000000*0.34),E747*0.34)</f>
        <v>-394164.89452567877</v>
      </c>
      <c r="F749" s="3">
        <f ca="1">ROUND(+F747*($E$749/$E$747),0)</f>
        <v>-787669</v>
      </c>
      <c r="G749" s="3">
        <f ca="1">ROUND(+G747*($E$749/$E$747),0)</f>
        <v>-215000</v>
      </c>
      <c r="H749" s="3">
        <f ca="1">ROUND(+H747*($E$749/$E$747),0)</f>
        <v>608502</v>
      </c>
      <c r="I749" s="3"/>
      <c r="J749" s="3"/>
      <c r="K749" s="3"/>
    </row>
    <row r="750" spans="1:11" ht="11.25" x14ac:dyDescent="0.2">
      <c r="A750" s="3">
        <f>A749+1</f>
        <v>14</v>
      </c>
      <c r="B750" s="3" t="str">
        <f>"PLUS: "&amp;+Input!A528</f>
        <v>PLUS: DIRECT ADJUSTMENT TO F.I.T.</v>
      </c>
      <c r="C750" s="3"/>
      <c r="D750" s="118" t="str">
        <f>IF(Input!$C$2=3,'Classification Table'!$A$38,IF(Input!$C$2=5,'Classification Table'!$A$39,IF(Input!$C$2=20,'Classification Table'!$A$40,0)))</f>
        <v>19DC</v>
      </c>
      <c r="E750" s="26">
        <f>Input!D528</f>
        <v>0</v>
      </c>
      <c r="F750" s="26">
        <f>ROUND(VLOOKUP($D750,'Classification Table'!$A$6:$E$77,3,FALSE)*$E750,0)</f>
        <v>0</v>
      </c>
      <c r="G750" s="26">
        <f>ROUND(VLOOKUP($D750,'Classification Table'!$A$6:$E$77,4,FALSE)*$E750,0)</f>
        <v>0</v>
      </c>
      <c r="H750" s="26">
        <f>ROUND(VLOOKUP($D750,'Classification Table'!$A$6:$E$77,5,FALSE)*$E750,0)</f>
        <v>0</v>
      </c>
      <c r="I750" s="3"/>
      <c r="J750" s="26"/>
      <c r="K750" s="26"/>
    </row>
    <row r="751" spans="1:11" ht="11.25" x14ac:dyDescent="0.2">
      <c r="A751" s="3">
        <f>A750+1</f>
        <v>15</v>
      </c>
      <c r="B751" s="3" t="str">
        <f>"CURRENT FEDERAL INCOME TAX @ "&amp;FIXED(ROUND(Input!$D$27*100,0),0,TRUE)&amp;"%"</f>
        <v>CURRENT FEDERAL INCOME TAX @ 35%</v>
      </c>
      <c r="C751" s="3"/>
      <c r="D751" s="325"/>
      <c r="E751" s="3">
        <f t="shared" ref="E751:H751" ca="1" si="88">E749+E750</f>
        <v>-394164.89452567877</v>
      </c>
      <c r="F751" s="3">
        <f t="shared" ca="1" si="88"/>
        <v>-787669</v>
      </c>
      <c r="G751" s="3">
        <f t="shared" ca="1" si="88"/>
        <v>-215000</v>
      </c>
      <c r="H751" s="3">
        <f t="shared" ca="1" si="88"/>
        <v>608502</v>
      </c>
      <c r="I751" s="3"/>
      <c r="J751" s="3"/>
      <c r="K751" s="3"/>
    </row>
    <row r="752" spans="1:11" ht="11.25" x14ac:dyDescent="0.2">
      <c r="A752" s="3" t="s">
        <v>811</v>
      </c>
      <c r="B752" s="3"/>
      <c r="C752" s="3"/>
      <c r="D752" s="325"/>
      <c r="E752" s="3"/>
      <c r="F752" s="325" t="str">
        <f>""&amp;+Input!$B$1</f>
        <v>COLUMBIA GAS OF KENTUCKY, INC.</v>
      </c>
      <c r="H752" s="3"/>
      <c r="I752" s="3"/>
      <c r="J752" s="3"/>
      <c r="K752" s="32" t="str">
        <f>Input!$B$2</f>
        <v>ATTACHMENT CEN-2</v>
      </c>
    </row>
    <row r="753" spans="1:11" ht="11.25" x14ac:dyDescent="0.2">
      <c r="A753" s="3" t="str">
        <f>Input!$B$7</f>
        <v>DEMAND-COMMODITY</v>
      </c>
      <c r="B753" s="3"/>
      <c r="C753" s="3"/>
      <c r="D753" s="325"/>
      <c r="E753" s="3"/>
      <c r="F753" s="325" t="s">
        <v>572</v>
      </c>
      <c r="H753" s="3"/>
      <c r="I753" s="3"/>
      <c r="J753" s="3"/>
      <c r="K753" s="32" t="s">
        <v>1125</v>
      </c>
    </row>
    <row r="754" spans="1:11" ht="11.25" x14ac:dyDescent="0.2">
      <c r="A754" s="17" t="str">
        <f>Input!$B$6</f>
        <v>FORECASTED TEST YEAR - ORIGINAL FILING</v>
      </c>
      <c r="B754" s="17"/>
      <c r="C754" s="17"/>
      <c r="D754" s="34"/>
      <c r="E754" s="17"/>
      <c r="F754" s="19" t="str">
        <f>"FOR THE TWELVE MONTHS ENDED "&amp;Input!$B$4</f>
        <v>FOR THE TWELVE MONTHS ENDED 12/31/2017</v>
      </c>
      <c r="G754" s="329"/>
      <c r="H754" s="17"/>
      <c r="I754" s="17"/>
      <c r="J754" s="17"/>
      <c r="K754" s="183" t="str">
        <f>"WITNESS: "&amp;Input!$B$5</f>
        <v>WITNESS: C. NOTESTONE</v>
      </c>
    </row>
    <row r="755" spans="1:11" ht="11.25" x14ac:dyDescent="0.2">
      <c r="A755" s="325" t="s">
        <v>5</v>
      </c>
      <c r="B755" s="3" t="s">
        <v>6</v>
      </c>
      <c r="C755" s="3"/>
      <c r="D755" s="325" t="s">
        <v>811</v>
      </c>
      <c r="E755" s="325" t="s">
        <v>8</v>
      </c>
      <c r="F755" s="3"/>
      <c r="G755" s="3"/>
      <c r="H755" s="3"/>
      <c r="I755" s="3"/>
      <c r="J755" s="3"/>
      <c r="K755" s="3"/>
    </row>
    <row r="756" spans="1:11" ht="11.25" x14ac:dyDescent="0.2">
      <c r="A756" s="341" t="s">
        <v>9</v>
      </c>
      <c r="B756" s="341" t="s">
        <v>9</v>
      </c>
      <c r="C756" s="341" t="str">
        <f>"                        ACCOUNT TITLE                "</f>
        <v xml:space="preserve">                        ACCOUNT TITLE                </v>
      </c>
      <c r="D756" s="341" t="s">
        <v>10</v>
      </c>
      <c r="E756" s="341" t="s">
        <v>11</v>
      </c>
      <c r="F756" s="341" t="s">
        <v>804</v>
      </c>
      <c r="G756" s="341" t="s">
        <v>812</v>
      </c>
      <c r="H756" s="341" t="s">
        <v>813</v>
      </c>
      <c r="I756" s="447"/>
      <c r="J756" s="447"/>
      <c r="K756" s="447"/>
    </row>
    <row r="757" spans="1:11" ht="11.25" x14ac:dyDescent="0.2">
      <c r="A757" s="3"/>
      <c r="B757" s="342" t="s">
        <v>13</v>
      </c>
      <c r="C757" s="342" t="s">
        <v>14</v>
      </c>
      <c r="D757" s="325" t="s">
        <v>15</v>
      </c>
      <c r="E757" s="325" t="s">
        <v>16</v>
      </c>
      <c r="F757" s="325" t="s">
        <v>17</v>
      </c>
      <c r="G757" s="325" t="s">
        <v>18</v>
      </c>
      <c r="H757" s="325" t="s">
        <v>19</v>
      </c>
      <c r="I757" s="325"/>
      <c r="J757" s="325"/>
      <c r="K757" s="325"/>
    </row>
    <row r="758" spans="1:11" ht="11.25" x14ac:dyDescent="0.2">
      <c r="A758" s="3"/>
      <c r="B758" s="3"/>
      <c r="C758" s="3"/>
      <c r="D758" s="325"/>
      <c r="E758" s="325" t="s">
        <v>26</v>
      </c>
      <c r="F758" s="325" t="s">
        <v>26</v>
      </c>
      <c r="G758" s="325" t="s">
        <v>26</v>
      </c>
      <c r="H758" s="325" t="s">
        <v>26</v>
      </c>
      <c r="I758" s="325"/>
      <c r="J758" s="325"/>
      <c r="K758" s="325"/>
    </row>
    <row r="759" spans="1:11" ht="11.25" x14ac:dyDescent="0.2">
      <c r="A759" s="3"/>
      <c r="B759" s="3"/>
      <c r="C759" s="3"/>
      <c r="D759" s="325"/>
      <c r="E759" s="3"/>
      <c r="F759" s="3"/>
      <c r="G759" s="3"/>
      <c r="H759" s="3"/>
      <c r="I759" s="3"/>
      <c r="J759" s="3"/>
      <c r="K759" s="3"/>
    </row>
    <row r="760" spans="1:11" ht="11.25" x14ac:dyDescent="0.2">
      <c r="A760" s="3">
        <v>1</v>
      </c>
      <c r="B760" s="3"/>
      <c r="C760" s="3" t="s">
        <v>395</v>
      </c>
      <c r="D760" s="325"/>
      <c r="E760" s="3"/>
      <c r="F760" s="3"/>
      <c r="G760" s="3"/>
      <c r="H760" s="3"/>
      <c r="I760" s="3"/>
      <c r="J760" s="3"/>
      <c r="K760" s="3"/>
    </row>
    <row r="761" spans="1:11" ht="11.25" x14ac:dyDescent="0.2">
      <c r="A761" s="3"/>
      <c r="B761" s="3"/>
      <c r="C761" s="3"/>
      <c r="D761" s="325"/>
      <c r="E761" s="3"/>
      <c r="F761" s="3"/>
      <c r="G761" s="3"/>
      <c r="H761" s="3"/>
      <c r="I761" s="3"/>
      <c r="J761" s="3"/>
      <c r="K761" s="3"/>
    </row>
    <row r="762" spans="1:11" ht="11.25" x14ac:dyDescent="0.2">
      <c r="A762" s="3">
        <f>A760+1</f>
        <v>2</v>
      </c>
      <c r="B762" s="3" t="str">
        <f>"LESS: "&amp;Input!A526</f>
        <v>LESS: AMORT. OF PRIOR YEARS ITC</v>
      </c>
      <c r="C762" s="3"/>
      <c r="D762" s="118" t="str">
        <f>IF(Input!$C$2=3,'Classification Table'!$A$38,IF(Input!$C$2=5,'Classification Table'!$A$39,IF(Input!$C$2=20,'Classification Table'!$A$40,0)))</f>
        <v>19DC</v>
      </c>
      <c r="E762" s="3">
        <f>Input!D526</f>
        <v>35760</v>
      </c>
      <c r="F762" s="3">
        <f>ROUND(VLOOKUP($D762,'Classification Table'!$A$6:$E$77,3,FALSE)*$E762,0)</f>
        <v>14965</v>
      </c>
      <c r="G762" s="3">
        <f>ROUND(VLOOKUP($D762,'Classification Table'!$A$6:$E$77,4,FALSE)*$E762,0)</f>
        <v>10398</v>
      </c>
      <c r="H762" s="3">
        <f>ROUND(VLOOKUP($D762,'Classification Table'!$A$6:$E$77,5,FALSE)*$E762,0)</f>
        <v>10398</v>
      </c>
      <c r="I762" s="3"/>
      <c r="J762" s="3"/>
      <c r="K762" s="3"/>
    </row>
    <row r="763" spans="1:11" ht="11.25" x14ac:dyDescent="0.2">
      <c r="A763" s="3"/>
      <c r="B763" s="3"/>
      <c r="C763" s="3"/>
      <c r="D763" s="325"/>
      <c r="E763" s="3"/>
      <c r="F763" s="3"/>
      <c r="G763" s="3"/>
      <c r="H763" s="3"/>
      <c r="I763" s="3"/>
      <c r="J763" s="3"/>
      <c r="K763" s="3"/>
    </row>
    <row r="764" spans="1:11" ht="11.25" x14ac:dyDescent="0.2">
      <c r="A764" s="3">
        <f>A762+1</f>
        <v>3</v>
      </c>
      <c r="B764" s="3" t="s">
        <v>396</v>
      </c>
      <c r="C764" s="3"/>
      <c r="D764" s="325"/>
      <c r="E764" s="3"/>
      <c r="F764" s="3"/>
      <c r="G764" s="3"/>
      <c r="H764" s="3"/>
      <c r="I764" s="3"/>
      <c r="J764" s="3"/>
      <c r="K764" s="3"/>
    </row>
    <row r="765" spans="1:11" ht="11.25" x14ac:dyDescent="0.2">
      <c r="A765" s="3"/>
      <c r="B765" s="3"/>
      <c r="C765" s="3"/>
      <c r="D765" s="325"/>
      <c r="E765" s="3"/>
      <c r="F765" s="3"/>
      <c r="G765" s="3"/>
      <c r="H765" s="3"/>
      <c r="I765" s="3"/>
      <c r="J765" s="3"/>
      <c r="K765" s="3"/>
    </row>
    <row r="766" spans="1:11" ht="11.25" x14ac:dyDescent="0.2">
      <c r="A766" s="3">
        <f>A764+1</f>
        <v>4</v>
      </c>
      <c r="B766" s="3" t="str">
        <f>Input!A524</f>
        <v>AMORTIZATION OF EXCESS ADIT-FEDERAL</v>
      </c>
      <c r="C766" s="3"/>
      <c r="D766" s="118" t="str">
        <f>IF(Input!$C$2=3,'Classification Table'!$A$38,IF(Input!$C$2=5,'Classification Table'!$A$39,IF(Input!$C$2=20,'Classification Table'!$A$40,0)))</f>
        <v>19DC</v>
      </c>
      <c r="E766" s="26">
        <f>Input!D524</f>
        <v>-54526</v>
      </c>
      <c r="F766" s="26">
        <f>ROUND(VLOOKUP($D766,'Classification Table'!$A$6:$E$77,3,FALSE)*$E766,0)</f>
        <v>-22818</v>
      </c>
      <c r="G766" s="26">
        <f>ROUND(VLOOKUP($D766,'Classification Table'!$A$6:$E$77,4,FALSE)*$E766,0)</f>
        <v>-15854</v>
      </c>
      <c r="H766" s="26">
        <f>ROUND(VLOOKUP($D766,'Classification Table'!$A$6:$E$77,5,FALSE)*$E766,0)</f>
        <v>-15854</v>
      </c>
      <c r="I766" s="3"/>
      <c r="J766" s="26"/>
      <c r="K766" s="26"/>
    </row>
    <row r="767" spans="1:11" ht="11.25" x14ac:dyDescent="0.2">
      <c r="A767" s="3">
        <f>A766+1</f>
        <v>5</v>
      </c>
      <c r="B767" s="3" t="s">
        <v>397</v>
      </c>
      <c r="C767" s="3"/>
      <c r="D767" s="325"/>
      <c r="E767" s="23">
        <f t="shared" ref="E767:H767" si="89">SUM(E766:E766)</f>
        <v>-54526</v>
      </c>
      <c r="F767" s="23">
        <f t="shared" si="89"/>
        <v>-22818</v>
      </c>
      <c r="G767" s="23">
        <f t="shared" si="89"/>
        <v>-15854</v>
      </c>
      <c r="H767" s="23">
        <f t="shared" si="89"/>
        <v>-15854</v>
      </c>
      <c r="I767" s="23"/>
      <c r="J767" s="23"/>
      <c r="K767" s="23"/>
    </row>
    <row r="768" spans="1:11" ht="11.25" x14ac:dyDescent="0.2">
      <c r="A768" s="3"/>
      <c r="B768" s="3"/>
      <c r="C768" s="3"/>
      <c r="D768" s="325"/>
      <c r="E768" s="3"/>
      <c r="F768" s="3"/>
      <c r="G768" s="3"/>
      <c r="H768" s="3"/>
      <c r="I768" s="3"/>
      <c r="J768" s="3"/>
      <c r="K768" s="3"/>
    </row>
    <row r="769" spans="1:11" ht="11.25" x14ac:dyDescent="0.2">
      <c r="A769" s="3">
        <f>A767+1</f>
        <v>6</v>
      </c>
      <c r="B769" s="3" t="s">
        <v>388</v>
      </c>
      <c r="C769" s="3"/>
      <c r="D769" s="325"/>
      <c r="E769" s="26">
        <f t="shared" ref="E769:H769" si="90">-E762+E767</f>
        <v>-90286</v>
      </c>
      <c r="F769" s="26">
        <f t="shared" si="90"/>
        <v>-37783</v>
      </c>
      <c r="G769" s="26">
        <f t="shared" si="90"/>
        <v>-26252</v>
      </c>
      <c r="H769" s="26">
        <f t="shared" si="90"/>
        <v>-26252</v>
      </c>
      <c r="I769" s="26"/>
      <c r="J769" s="26"/>
      <c r="K769" s="26"/>
    </row>
    <row r="770" spans="1:11" ht="11.25" x14ac:dyDescent="0.2">
      <c r="A770" s="3"/>
      <c r="B770" s="3"/>
      <c r="C770" s="3"/>
      <c r="D770" s="325"/>
      <c r="E770" s="3"/>
      <c r="F770" s="3"/>
      <c r="G770" s="3"/>
      <c r="H770" s="3"/>
      <c r="I770" s="3"/>
      <c r="J770" s="3"/>
      <c r="K770" s="3"/>
    </row>
    <row r="771" spans="1:11" ht="11.25" x14ac:dyDescent="0.2">
      <c r="A771" s="3">
        <f>A769+1</f>
        <v>7</v>
      </c>
      <c r="B771" s="3" t="s">
        <v>398</v>
      </c>
      <c r="C771" s="3"/>
      <c r="D771" s="325"/>
      <c r="E771" s="3">
        <f ca="1">Classification!E751+E769</f>
        <v>-484450.89452567877</v>
      </c>
      <c r="F771" s="3">
        <f ca="1">Classification!F751+F769</f>
        <v>-825452</v>
      </c>
      <c r="G771" s="3">
        <f ca="1">Classification!G751+G769</f>
        <v>-241252</v>
      </c>
      <c r="H771" s="3">
        <f ca="1">Classification!H751+H769</f>
        <v>582250</v>
      </c>
      <c r="I771" s="3"/>
      <c r="J771" s="3"/>
      <c r="K771" s="3"/>
    </row>
    <row r="772" spans="1:11" ht="11.25" x14ac:dyDescent="0.2">
      <c r="A772" s="3" t="s">
        <v>811</v>
      </c>
      <c r="B772" s="3"/>
      <c r="C772" s="14"/>
      <c r="D772" s="325"/>
      <c r="E772" s="15"/>
      <c r="F772" s="325" t="str">
        <f>""&amp;+Input!$B$1</f>
        <v>COLUMBIA GAS OF KENTUCKY, INC.</v>
      </c>
      <c r="H772" s="3"/>
      <c r="I772" s="3"/>
      <c r="J772" s="3"/>
      <c r="K772" s="32" t="str">
        <f>Input!$B$2</f>
        <v>ATTACHMENT CEN-2</v>
      </c>
    </row>
    <row r="773" spans="1:11" ht="11.25" x14ac:dyDescent="0.2">
      <c r="A773" s="3" t="str">
        <f>Input!$B$7</f>
        <v>DEMAND-COMMODITY</v>
      </c>
      <c r="B773" s="3"/>
      <c r="C773" s="3"/>
      <c r="D773" s="325"/>
      <c r="E773" s="3"/>
      <c r="F773" s="325" t="s">
        <v>573</v>
      </c>
      <c r="H773" s="3"/>
      <c r="I773" s="3"/>
      <c r="J773" s="3"/>
      <c r="K773" s="32" t="s">
        <v>1126</v>
      </c>
    </row>
    <row r="774" spans="1:11" ht="11.25" x14ac:dyDescent="0.2">
      <c r="A774" s="17" t="str">
        <f>Input!$B$6</f>
        <v>FORECASTED TEST YEAR - ORIGINAL FILING</v>
      </c>
      <c r="B774" s="17"/>
      <c r="C774" s="17"/>
      <c r="D774" s="34"/>
      <c r="E774" s="17"/>
      <c r="F774" s="19" t="str">
        <f>"FOR THE TWELVE MONTHS ENDED "&amp;Input!$B$4</f>
        <v>FOR THE TWELVE MONTHS ENDED 12/31/2017</v>
      </c>
      <c r="G774" s="329"/>
      <c r="H774" s="17"/>
      <c r="I774" s="17"/>
      <c r="J774" s="17"/>
      <c r="K774" s="183" t="str">
        <f>"WITNESS: "&amp;Input!$B$5</f>
        <v>WITNESS: C. NOTESTONE</v>
      </c>
    </row>
    <row r="775" spans="1:11" ht="11.25" x14ac:dyDescent="0.2">
      <c r="A775" s="325" t="s">
        <v>5</v>
      </c>
      <c r="B775" s="3" t="s">
        <v>6</v>
      </c>
      <c r="C775" s="3"/>
      <c r="D775" s="325" t="s">
        <v>811</v>
      </c>
      <c r="E775" s="325" t="s">
        <v>8</v>
      </c>
      <c r="F775" s="3"/>
      <c r="G775" s="3"/>
      <c r="H775" s="3"/>
      <c r="I775" s="3"/>
      <c r="J775" s="3"/>
      <c r="K775" s="3"/>
    </row>
    <row r="776" spans="1:11" ht="11.25" x14ac:dyDescent="0.2">
      <c r="A776" s="341" t="s">
        <v>9</v>
      </c>
      <c r="B776" s="341" t="s">
        <v>9</v>
      </c>
      <c r="C776" s="341" t="str">
        <f>"                        ACCOUNT TITLE                "</f>
        <v xml:space="preserve">                        ACCOUNT TITLE                </v>
      </c>
      <c r="D776" s="341" t="s">
        <v>10</v>
      </c>
      <c r="E776" s="341" t="s">
        <v>11</v>
      </c>
      <c r="F776" s="341" t="s">
        <v>804</v>
      </c>
      <c r="G776" s="341" t="s">
        <v>812</v>
      </c>
      <c r="H776" s="341" t="s">
        <v>813</v>
      </c>
      <c r="I776" s="447"/>
      <c r="J776" s="447"/>
      <c r="K776" s="447"/>
    </row>
    <row r="777" spans="1:11" ht="11.25" x14ac:dyDescent="0.2">
      <c r="A777" s="3"/>
      <c r="B777" s="342" t="s">
        <v>13</v>
      </c>
      <c r="C777" s="342" t="s">
        <v>14</v>
      </c>
      <c r="D777" s="325" t="s">
        <v>15</v>
      </c>
      <c r="E777" s="325" t="s">
        <v>16</v>
      </c>
      <c r="F777" s="325" t="s">
        <v>17</v>
      </c>
      <c r="G777" s="325" t="s">
        <v>18</v>
      </c>
      <c r="H777" s="325" t="s">
        <v>19</v>
      </c>
      <c r="I777" s="325"/>
      <c r="J777" s="325"/>
      <c r="K777" s="325"/>
    </row>
    <row r="778" spans="1:11" ht="11.25" x14ac:dyDescent="0.2">
      <c r="A778" s="3"/>
      <c r="B778" s="3"/>
      <c r="C778" s="3"/>
      <c r="D778" s="325"/>
      <c r="E778" s="325" t="s">
        <v>26</v>
      </c>
      <c r="F778" s="325" t="s">
        <v>26</v>
      </c>
      <c r="G778" s="325" t="s">
        <v>26</v>
      </c>
      <c r="H778" s="325" t="s">
        <v>26</v>
      </c>
      <c r="I778" s="325"/>
      <c r="J778" s="325"/>
      <c r="K778" s="325"/>
    </row>
    <row r="779" spans="1:11" ht="11.25" x14ac:dyDescent="0.2">
      <c r="A779" s="3">
        <v>1</v>
      </c>
      <c r="B779" s="3" t="s">
        <v>807</v>
      </c>
      <c r="C779" s="3"/>
      <c r="D779" s="325"/>
      <c r="E779" s="23">
        <f>Classification!E205</f>
        <v>437889787</v>
      </c>
      <c r="F779" s="23">
        <f>Classification!F205</f>
        <v>183244104</v>
      </c>
      <c r="G779" s="23">
        <f>Classification!G205</f>
        <v>127322843</v>
      </c>
      <c r="H779" s="23">
        <f>Classification!H205</f>
        <v>127322843</v>
      </c>
      <c r="I779" s="23"/>
      <c r="J779" s="23"/>
      <c r="K779" s="23"/>
    </row>
    <row r="780" spans="1:11" ht="11.25" x14ac:dyDescent="0.2">
      <c r="A780" s="3"/>
      <c r="B780" s="3" t="s">
        <v>399</v>
      </c>
      <c r="C780" s="3"/>
      <c r="D780" s="325"/>
      <c r="E780" s="3"/>
      <c r="F780" s="3"/>
      <c r="G780" s="3"/>
      <c r="H780" s="3"/>
      <c r="I780" s="3"/>
      <c r="J780" s="3"/>
      <c r="K780" s="3"/>
    </row>
    <row r="781" spans="1:11" ht="11.25" x14ac:dyDescent="0.2">
      <c r="A781" s="3">
        <f>A779+1</f>
        <v>2</v>
      </c>
      <c r="B781" s="3" t="s">
        <v>400</v>
      </c>
      <c r="C781" s="3" t="s">
        <v>401</v>
      </c>
      <c r="D781" s="325"/>
      <c r="E781" s="26">
        <f>Classification!E291</f>
        <v>151708251</v>
      </c>
      <c r="F781" s="26">
        <f>Classification!F291</f>
        <v>80730256</v>
      </c>
      <c r="G781" s="26">
        <f>Classification!G291</f>
        <v>35488999</v>
      </c>
      <c r="H781" s="26">
        <f>Classification!H291</f>
        <v>35488999</v>
      </c>
      <c r="I781" s="116"/>
      <c r="J781" s="26"/>
      <c r="K781" s="26"/>
    </row>
    <row r="782" spans="1:11" ht="11.25" x14ac:dyDescent="0.2">
      <c r="A782" s="3">
        <f>A781+1</f>
        <v>3</v>
      </c>
      <c r="B782" s="3"/>
      <c r="C782" s="3" t="s">
        <v>402</v>
      </c>
      <c r="D782" s="325"/>
      <c r="E782" s="23">
        <f t="shared" ref="E782:H782" si="91">E779-E781</f>
        <v>286181536</v>
      </c>
      <c r="F782" s="23">
        <f t="shared" si="91"/>
        <v>102513848</v>
      </c>
      <c r="G782" s="23">
        <f t="shared" si="91"/>
        <v>91833844</v>
      </c>
      <c r="H782" s="23">
        <f t="shared" si="91"/>
        <v>91833844</v>
      </c>
      <c r="I782" s="191"/>
      <c r="J782" s="23"/>
      <c r="K782" s="23"/>
    </row>
    <row r="783" spans="1:11" ht="11.25" x14ac:dyDescent="0.2">
      <c r="A783" s="3"/>
      <c r="B783" s="3"/>
      <c r="C783" s="3"/>
      <c r="D783" s="325"/>
      <c r="E783" s="3"/>
      <c r="F783" s="3"/>
      <c r="G783" s="3"/>
      <c r="H783" s="3"/>
      <c r="I783" s="1"/>
      <c r="J783" s="3"/>
      <c r="K783" s="3"/>
    </row>
    <row r="784" spans="1:11" ht="11.25" x14ac:dyDescent="0.2">
      <c r="A784" s="3">
        <f>A782+1</f>
        <v>4</v>
      </c>
      <c r="B784" s="24">
        <f>Input!A69</f>
        <v>190</v>
      </c>
      <c r="C784" s="3" t="str">
        <f>Input!B69</f>
        <v>ACCUMULATED DEF INCOME TAX</v>
      </c>
      <c r="D784" s="118" t="str">
        <f>IF(Input!$C$2=3,'Classification Table'!$A$38,IF(Input!$C$2=5,'Classification Table'!$A$39,IF(Input!$C$2=20,'Classification Table'!$A$40,0)))</f>
        <v>19DC</v>
      </c>
      <c r="E784" s="30">
        <f>Input!D69</f>
        <v>5385972.865384616</v>
      </c>
      <c r="F784" s="3">
        <f>ROUND(VLOOKUP($D784,'Classification Table'!$A$6:$E$77,3,FALSE)*$E784,0)</f>
        <v>2253872</v>
      </c>
      <c r="G784" s="3">
        <f>ROUND(VLOOKUP($D784,'Classification Table'!$A$6:$E$77,4,FALSE)*$E784,0)</f>
        <v>1566050</v>
      </c>
      <c r="H784" s="3">
        <f>ROUND(VLOOKUP($D784,'Classification Table'!$A$6:$E$77,5,FALSE)*$E784,0)</f>
        <v>1566050</v>
      </c>
      <c r="I784" s="1"/>
      <c r="J784" s="3"/>
      <c r="K784" s="3"/>
    </row>
    <row r="785" spans="1:11" ht="11.25" x14ac:dyDescent="0.2">
      <c r="A785" s="3"/>
      <c r="B785" s="3" t="s">
        <v>399</v>
      </c>
      <c r="C785" s="3"/>
      <c r="D785" s="325"/>
      <c r="E785" s="3"/>
      <c r="F785" s="3"/>
      <c r="G785" s="3"/>
      <c r="H785" s="3"/>
      <c r="I785" s="1"/>
      <c r="J785" s="3"/>
      <c r="K785" s="3"/>
    </row>
    <row r="786" spans="1:11" ht="11.25" x14ac:dyDescent="0.2">
      <c r="A786" s="3">
        <f>A784+1</f>
        <v>5</v>
      </c>
      <c r="B786" s="24">
        <f>Input!A70</f>
        <v>252</v>
      </c>
      <c r="C786" s="3" t="str">
        <f>Input!B70</f>
        <v>CUSTOMER ADVANCES</v>
      </c>
      <c r="D786" s="325">
        <f>Input!C70</f>
        <v>5</v>
      </c>
      <c r="E786" s="3">
        <f>Input!D70</f>
        <v>0</v>
      </c>
      <c r="F786" s="3">
        <f>ROUND(VLOOKUP($D786,'Classification Table'!$A$6:$E$77,3,FALSE)*$E786,0)</f>
        <v>0</v>
      </c>
      <c r="G786" s="3">
        <f>ROUND(VLOOKUP($D786,'Classification Table'!$A$6:$E$77,4,FALSE)*$E786,0)</f>
        <v>0</v>
      </c>
      <c r="H786" s="3">
        <f>ROUND(VLOOKUP($D786,'Classification Table'!$A$6:$E$77,5,FALSE)*$E786,0)</f>
        <v>0</v>
      </c>
      <c r="I786" s="1"/>
      <c r="J786" s="3"/>
      <c r="K786" s="3"/>
    </row>
    <row r="787" spans="1:11" ht="11.25" x14ac:dyDescent="0.2">
      <c r="A787" s="3">
        <f>A786+1</f>
        <v>6</v>
      </c>
      <c r="B787" s="24">
        <f>Input!A71</f>
        <v>255</v>
      </c>
      <c r="C787" s="3" t="str">
        <f>Input!B71</f>
        <v>(1962 - 69) INVESTMENT TAX CREDIT</v>
      </c>
      <c r="D787" s="118" t="str">
        <f>IF(Input!$C$2=3,'Classification Table'!$A$38,IF(Input!$C$2=5,'Classification Table'!$A$39,IF(Input!$C$2=20,'Classification Table'!$A$40,0)))</f>
        <v>19DC</v>
      </c>
      <c r="E787" s="3">
        <f>Input!D71</f>
        <v>0</v>
      </c>
      <c r="F787" s="3">
        <f>ROUND(VLOOKUP($D787,'Classification Table'!$A$6:$E$77,3,FALSE)*$E787,0)</f>
        <v>0</v>
      </c>
      <c r="G787" s="3">
        <f>ROUND(VLOOKUP($D787,'Classification Table'!$A$6:$E$77,4,FALSE)*$E787,0)</f>
        <v>0</v>
      </c>
      <c r="H787" s="3">
        <f>ROUND(VLOOKUP($D787,'Classification Table'!$A$6:$E$77,5,FALSE)*$E787,0)</f>
        <v>0</v>
      </c>
      <c r="I787" s="1"/>
      <c r="J787" s="3"/>
      <c r="K787" s="3"/>
    </row>
    <row r="788" spans="1:11" ht="11.25" x14ac:dyDescent="0.2">
      <c r="A788" s="3">
        <f>A787+1</f>
        <v>7</v>
      </c>
      <c r="B788" s="24">
        <f>Input!A72</f>
        <v>282</v>
      </c>
      <c r="C788" s="3" t="str">
        <f>Input!B72</f>
        <v>ACCUMULATED DEF INCOME TAX</v>
      </c>
      <c r="D788" s="118" t="str">
        <f>IF(Input!$C$2=3,'Classification Table'!$A$38,IF(Input!$C$2=5,'Classification Table'!$A$39,IF(Input!$C$2=20,'Classification Table'!$A$40,0)))</f>
        <v>19DC</v>
      </c>
      <c r="E788" s="3">
        <f>Input!D72</f>
        <v>86167687</v>
      </c>
      <c r="F788" s="3">
        <f>ROUND(VLOOKUP($D788,'Classification Table'!$A$6:$E$77,3,FALSE)*$E788,0)</f>
        <v>36058661</v>
      </c>
      <c r="G788" s="3">
        <f>ROUND(VLOOKUP($D788,'Classification Table'!$A$6:$E$77,4,FALSE)*$E788,0)</f>
        <v>25054513</v>
      </c>
      <c r="H788" s="3">
        <f>ROUND(VLOOKUP($D788,'Classification Table'!$A$6:$E$77,5,FALSE)*$E788,0)</f>
        <v>25054513</v>
      </c>
      <c r="I788" s="1"/>
      <c r="J788" s="3"/>
      <c r="K788" s="3"/>
    </row>
    <row r="789" spans="1:11" ht="11.25" x14ac:dyDescent="0.2">
      <c r="A789" s="3">
        <f>A788+1</f>
        <v>8</v>
      </c>
      <c r="B789" s="24">
        <f>Input!A73</f>
        <v>283</v>
      </c>
      <c r="C789" s="3" t="str">
        <f>Input!B73</f>
        <v>ACCUMULATED DEF INCOME TAX</v>
      </c>
      <c r="D789" s="118" t="str">
        <f>IF(Input!$C$2=3,'Classification Table'!$A$38,IF(Input!$C$2=5,'Classification Table'!$A$39,IF(Input!$C$2=20,'Classification Table'!$A$40,0)))</f>
        <v>19DC</v>
      </c>
      <c r="E789" s="26">
        <f>Input!D73</f>
        <v>0</v>
      </c>
      <c r="F789" s="26">
        <f>ROUND(VLOOKUP($D789,'Classification Table'!$A$6:$E$77,3,FALSE)*$E789,0)</f>
        <v>0</v>
      </c>
      <c r="G789" s="26">
        <f>ROUND(VLOOKUP($D789,'Classification Table'!$A$6:$E$77,4,FALSE)*$E789,0)</f>
        <v>0</v>
      </c>
      <c r="H789" s="26">
        <f>ROUND(VLOOKUP($D789,'Classification Table'!$A$6:$E$77,5,FALSE)*$E789,0)</f>
        <v>0</v>
      </c>
      <c r="I789" s="1"/>
      <c r="J789" s="26"/>
      <c r="K789" s="26"/>
    </row>
    <row r="790" spans="1:11" ht="11.25" x14ac:dyDescent="0.2">
      <c r="A790" s="3">
        <f>A789+1</f>
        <v>9</v>
      </c>
      <c r="B790" s="3"/>
      <c r="C790" s="3" t="s">
        <v>403</v>
      </c>
      <c r="D790" s="325"/>
      <c r="E790" s="23">
        <f t="shared" ref="E790:H790" si="92">E782-SUM(E786:E789)+E784</f>
        <v>205399821.86538461</v>
      </c>
      <c r="F790" s="23">
        <f t="shared" si="92"/>
        <v>68709059</v>
      </c>
      <c r="G790" s="23">
        <f t="shared" si="92"/>
        <v>68345381</v>
      </c>
      <c r="H790" s="23">
        <f t="shared" si="92"/>
        <v>68345381</v>
      </c>
      <c r="I790" s="191"/>
      <c r="J790" s="23"/>
      <c r="K790" s="23"/>
    </row>
    <row r="791" spans="1:11" ht="11.25" x14ac:dyDescent="0.2">
      <c r="A791" s="3"/>
      <c r="B791" s="3"/>
      <c r="C791" s="3"/>
      <c r="D791" s="325"/>
      <c r="E791" s="3"/>
      <c r="F791" s="3"/>
      <c r="G791" s="3"/>
      <c r="H791" s="3"/>
      <c r="I791" s="1"/>
      <c r="J791" s="3"/>
      <c r="K791" s="3"/>
    </row>
    <row r="792" spans="1:11" ht="11.25" x14ac:dyDescent="0.2">
      <c r="A792" s="3">
        <f>A790+1</f>
        <v>10</v>
      </c>
      <c r="B792" s="3" t="s">
        <v>404</v>
      </c>
      <c r="C792" s="3"/>
      <c r="D792" s="325"/>
      <c r="E792" s="3"/>
      <c r="F792" s="3"/>
      <c r="G792" s="3"/>
      <c r="H792" s="3"/>
      <c r="I792" s="1"/>
      <c r="J792" s="3"/>
      <c r="K792" s="3"/>
    </row>
    <row r="793" spans="1:11" ht="11.25" x14ac:dyDescent="0.2">
      <c r="A793" s="3"/>
      <c r="B793" s="3"/>
      <c r="C793" s="3"/>
      <c r="D793" s="325"/>
      <c r="E793" s="3"/>
      <c r="F793" s="3"/>
      <c r="G793" s="3"/>
      <c r="H793" s="3"/>
      <c r="I793" s="1"/>
      <c r="J793" s="3"/>
      <c r="K793" s="3"/>
    </row>
    <row r="794" spans="1:11" ht="11.25" x14ac:dyDescent="0.2">
      <c r="A794" s="3">
        <f>A792+1</f>
        <v>11</v>
      </c>
      <c r="B794" s="3" t="s">
        <v>405</v>
      </c>
      <c r="C794" s="3"/>
      <c r="D794" s="325"/>
      <c r="E794" s="3"/>
      <c r="F794" s="3"/>
      <c r="G794" s="3"/>
      <c r="H794" s="3"/>
      <c r="I794" s="1"/>
      <c r="J794" s="3"/>
      <c r="K794" s="3"/>
    </row>
    <row r="795" spans="1:11" ht="11.25" x14ac:dyDescent="0.2">
      <c r="A795" s="3">
        <f t="shared" ref="A795:A800" si="93">A794+1</f>
        <v>12</v>
      </c>
      <c r="B795" s="3" t="s">
        <v>406</v>
      </c>
      <c r="C795" s="3"/>
      <c r="D795" s="325"/>
      <c r="E795" s="3">
        <f t="shared" ref="E795:H795" ca="1" si="94">ROUND(E806/8,0)</f>
        <v>5636878</v>
      </c>
      <c r="F795" s="3">
        <f t="shared" ca="1" si="94"/>
        <v>3352190</v>
      </c>
      <c r="G795" s="3">
        <f t="shared" ca="1" si="94"/>
        <v>1150380</v>
      </c>
      <c r="H795" s="3">
        <f t="shared" ca="1" si="94"/>
        <v>1134309</v>
      </c>
      <c r="I795" s="1"/>
      <c r="J795" s="3"/>
      <c r="K795" s="3"/>
    </row>
    <row r="796" spans="1:11" ht="11.25" x14ac:dyDescent="0.2">
      <c r="A796" s="3">
        <f t="shared" si="93"/>
        <v>13</v>
      </c>
      <c r="B796" s="24">
        <f>Input!A68</f>
        <v>151</v>
      </c>
      <c r="C796" s="3" t="str">
        <f>Input!B68</f>
        <v>FUEL STOCK</v>
      </c>
      <c r="D796" s="325">
        <f>Input!C68</f>
        <v>2</v>
      </c>
      <c r="E796" s="3">
        <f>Input!D68</f>
        <v>0</v>
      </c>
      <c r="F796" s="3">
        <f>ROUND(VLOOKUP($D796,'Classification Table'!$A$6:$E$77,3,FALSE)*$E796,0)</f>
        <v>0</v>
      </c>
      <c r="G796" s="3">
        <f>ROUND(VLOOKUP($D796,'Classification Table'!$A$6:$E$77,4,FALSE)*$E796,0)</f>
        <v>0</v>
      </c>
      <c r="H796" s="3">
        <f>ROUND(VLOOKUP($D796,'Classification Table'!$A$6:$E$77,5,FALSE)*$E796,0)</f>
        <v>0</v>
      </c>
      <c r="I796" s="1"/>
      <c r="J796" s="3"/>
      <c r="K796" s="3"/>
    </row>
    <row r="797" spans="1:11" ht="11.25" x14ac:dyDescent="0.2">
      <c r="A797" s="3">
        <f t="shared" si="93"/>
        <v>14</v>
      </c>
      <c r="B797" s="24">
        <f>Input!A74</f>
        <v>154</v>
      </c>
      <c r="C797" s="3" t="str">
        <f>Input!B74</f>
        <v>MATERIALS &amp; SUPPLIES</v>
      </c>
      <c r="D797" s="118" t="str">
        <f>IF(Input!$C$2=3,'Classification Table'!$A$12,IF(Input!$C$2=5,'Classification Table'!$A$13,IF(Input!$C$2=20,'Classification Table'!$A$14,0)))</f>
        <v>7DC</v>
      </c>
      <c r="E797" s="3">
        <f>Input!D74</f>
        <v>82011</v>
      </c>
      <c r="F797" s="3">
        <f>ROUND(VLOOKUP($D797,'Classification Table'!$A$6:$E$77,3,FALSE)*$E797,0)</f>
        <v>34319</v>
      </c>
      <c r="G797" s="3">
        <f>ROUND(VLOOKUP($D797,'Classification Table'!$A$6:$E$77,4,FALSE)*$E797,0)</f>
        <v>23846</v>
      </c>
      <c r="H797" s="3">
        <f>ROUND(VLOOKUP($D797,'Classification Table'!$A$6:$E$77,5,FALSE)*$E797,0)</f>
        <v>23846</v>
      </c>
      <c r="I797" s="1"/>
      <c r="J797" s="3"/>
      <c r="K797" s="3"/>
    </row>
    <row r="798" spans="1:11" ht="11.25" x14ac:dyDescent="0.2">
      <c r="A798" s="3">
        <f t="shared" si="93"/>
        <v>15</v>
      </c>
      <c r="B798" s="24">
        <f>Input!A75</f>
        <v>165</v>
      </c>
      <c r="C798" s="3" t="str">
        <f>Input!B75</f>
        <v>PREPAYMENTS</v>
      </c>
      <c r="D798" s="118" t="str">
        <f>IF(Input!$C$2=3,'Classification Table'!$A$26,IF(Input!$C$2=5,'Classification Table'!$A$27,IF(Input!$C$2=20,'Classification Table'!$A$28,0)))</f>
        <v>13DC</v>
      </c>
      <c r="E798" s="3">
        <f>Input!D75</f>
        <v>469518</v>
      </c>
      <c r="F798" s="3">
        <f>ROUND(VLOOKUP($D798,'Classification Table'!$A$6:$E$77,3,FALSE)*$E798,0)</f>
        <v>264818</v>
      </c>
      <c r="G798" s="3">
        <f>ROUND(VLOOKUP($D798,'Classification Table'!$A$6:$E$77,4,FALSE)*$E798,0)</f>
        <v>97986</v>
      </c>
      <c r="H798" s="3">
        <f>ROUND(VLOOKUP($D798,'Classification Table'!$A$6:$E$77,5,FALSE)*$E798,0)</f>
        <v>106714</v>
      </c>
      <c r="I798" s="1"/>
      <c r="J798" s="3"/>
      <c r="K798" s="3"/>
    </row>
    <row r="799" spans="1:11" ht="11.25" x14ac:dyDescent="0.2">
      <c r="A799" s="3">
        <f t="shared" si="93"/>
        <v>16</v>
      </c>
      <c r="B799" s="24">
        <f>Input!A76</f>
        <v>164</v>
      </c>
      <c r="C799" s="3" t="str">
        <f>Input!B76</f>
        <v>GAS STORED UNDERGROUND - FSS</v>
      </c>
      <c r="D799" s="325">
        <f>Input!C76</f>
        <v>2</v>
      </c>
      <c r="E799" s="26">
        <f>Input!D76</f>
        <v>41772551</v>
      </c>
      <c r="F799" s="26">
        <f>ROUND(VLOOKUP($D799,'Classification Table'!$A$6:$E$77,3,FALSE)*$E799,0)</f>
        <v>0</v>
      </c>
      <c r="G799" s="26">
        <f>ROUND(VLOOKUP($D799,'Classification Table'!$A$6:$E$77,4,FALSE)*$E799,0)</f>
        <v>0</v>
      </c>
      <c r="H799" s="26">
        <f>ROUND(VLOOKUP($D799,'Classification Table'!$A$6:$E$77,5,FALSE)*$E799,0)</f>
        <v>41772551</v>
      </c>
      <c r="I799" s="116"/>
      <c r="J799" s="26"/>
      <c r="K799" s="26"/>
    </row>
    <row r="800" spans="1:11" ht="11.25" x14ac:dyDescent="0.2">
      <c r="A800" s="3">
        <f t="shared" si="93"/>
        <v>17</v>
      </c>
      <c r="B800" s="3"/>
      <c r="C800" s="3" t="s">
        <v>407</v>
      </c>
      <c r="D800" s="325"/>
      <c r="E800" s="23">
        <f t="shared" ref="E800:H800" ca="1" si="95">E790+SUM(E795:E799)</f>
        <v>253360779.86538461</v>
      </c>
      <c r="F800" s="23">
        <f t="shared" ca="1" si="95"/>
        <v>72360386</v>
      </c>
      <c r="G800" s="23">
        <f t="shared" ca="1" si="95"/>
        <v>69617593</v>
      </c>
      <c r="H800" s="23">
        <f t="shared" ca="1" si="95"/>
        <v>111382801</v>
      </c>
      <c r="I800" s="191"/>
      <c r="J800" s="23"/>
      <c r="K800" s="23"/>
    </row>
    <row r="801" spans="1:11" ht="11.25" x14ac:dyDescent="0.2">
      <c r="A801" s="3"/>
      <c r="B801" s="3"/>
      <c r="C801" s="3"/>
      <c r="D801" s="325"/>
      <c r="E801" s="3"/>
      <c r="F801" s="3"/>
      <c r="G801" s="3"/>
      <c r="H801" s="3"/>
      <c r="I801" s="1"/>
      <c r="J801" s="3"/>
      <c r="K801" s="3"/>
    </row>
    <row r="802" spans="1:11" ht="11.25" x14ac:dyDescent="0.2">
      <c r="A802" s="3"/>
      <c r="B802" s="3"/>
      <c r="C802" s="3"/>
      <c r="D802" s="325"/>
      <c r="E802" s="3"/>
      <c r="F802" s="3"/>
      <c r="G802" s="3"/>
      <c r="H802" s="3"/>
      <c r="I802" s="1"/>
      <c r="J802" s="3"/>
      <c r="K802" s="3"/>
    </row>
    <row r="803" spans="1:11" ht="11.25" x14ac:dyDescent="0.2">
      <c r="A803" s="3" t="s">
        <v>1139</v>
      </c>
      <c r="B803" s="3"/>
      <c r="C803" s="3"/>
      <c r="D803" s="325"/>
      <c r="E803" s="3"/>
      <c r="F803" s="3"/>
      <c r="G803" s="3"/>
      <c r="H803" s="3"/>
      <c r="I803" s="1"/>
      <c r="J803" s="3"/>
      <c r="K803" s="3"/>
    </row>
    <row r="804" spans="1:11" ht="11.25" x14ac:dyDescent="0.2">
      <c r="A804" s="3"/>
      <c r="B804" s="47" t="s">
        <v>574</v>
      </c>
      <c r="C804" s="3"/>
      <c r="D804" s="325"/>
      <c r="E804" s="3">
        <f ca="1">Classification!E663+Classification!E427</f>
        <v>66570977.699959993</v>
      </c>
      <c r="F804" s="3">
        <f ca="1">Classification!F663+Classification!F427</f>
        <v>26817519</v>
      </c>
      <c r="G804" s="3">
        <f ca="1">Classification!G663+Classification!G427</f>
        <v>30678988</v>
      </c>
      <c r="H804" s="3">
        <f ca="1">Classification!H663+Classification!H427</f>
        <v>9074475</v>
      </c>
      <c r="I804" s="3"/>
      <c r="J804" s="3"/>
      <c r="K804" s="3"/>
    </row>
    <row r="805" spans="1:11" ht="11.25" x14ac:dyDescent="0.2">
      <c r="A805" s="3"/>
      <c r="B805" s="3"/>
      <c r="C805" s="47" t="s">
        <v>575</v>
      </c>
      <c r="D805" s="325"/>
      <c r="E805" s="26">
        <f>Classification!E427+Classification!E430</f>
        <v>21475950.109999996</v>
      </c>
      <c r="F805" s="26">
        <f>Classification!F427+Classification!F430</f>
        <v>0</v>
      </c>
      <c r="G805" s="26">
        <f>Classification!G427+Classification!G430</f>
        <v>21475950</v>
      </c>
      <c r="H805" s="26">
        <f>Classification!H427+Classification!H430</f>
        <v>0</v>
      </c>
      <c r="I805" s="26"/>
      <c r="J805" s="26"/>
      <c r="K805" s="26"/>
    </row>
    <row r="806" spans="1:11" ht="11.25" x14ac:dyDescent="0.2">
      <c r="A806" s="3"/>
      <c r="B806" s="3"/>
      <c r="C806" s="47" t="s">
        <v>576</v>
      </c>
      <c r="D806" s="325"/>
      <c r="E806" s="3">
        <f t="shared" ref="E806:H806" ca="1" si="96">E804-E805</f>
        <v>45095027.589959994</v>
      </c>
      <c r="F806" s="3">
        <f t="shared" ca="1" si="96"/>
        <v>26817519</v>
      </c>
      <c r="G806" s="3">
        <f t="shared" ca="1" si="96"/>
        <v>9203038</v>
      </c>
      <c r="H806" s="3">
        <f t="shared" ca="1" si="96"/>
        <v>9074475</v>
      </c>
      <c r="I806" s="3"/>
      <c r="J806" s="3"/>
      <c r="K806" s="3"/>
    </row>
    <row r="807" spans="1:11" ht="11.25" x14ac:dyDescent="0.2">
      <c r="B807" s="3"/>
      <c r="C807" s="14"/>
      <c r="D807" s="3"/>
      <c r="E807" s="15"/>
      <c r="F807" s="325" t="str">
        <f>""&amp;+Input!$B$1</f>
        <v>COLUMBIA GAS OF KENTUCKY, INC.</v>
      </c>
      <c r="H807" s="3"/>
      <c r="I807" s="3"/>
      <c r="J807" s="3"/>
      <c r="K807" s="32" t="str">
        <f>Input!$B$2</f>
        <v>ATTACHMENT CEN-2</v>
      </c>
    </row>
    <row r="808" spans="1:11" ht="11.25" x14ac:dyDescent="0.2">
      <c r="A808" s="3" t="s">
        <v>811</v>
      </c>
      <c r="B808" s="3"/>
      <c r="C808" s="3"/>
      <c r="D808" s="3"/>
      <c r="E808" s="3"/>
      <c r="F808" s="325" t="s">
        <v>1102</v>
      </c>
      <c r="H808" s="3"/>
      <c r="I808" s="3"/>
      <c r="J808" s="3"/>
      <c r="K808" s="32" t="s">
        <v>1127</v>
      </c>
    </row>
    <row r="809" spans="1:11" ht="11.25" x14ac:dyDescent="0.2">
      <c r="A809" s="17" t="str">
        <f>Input!$B$6</f>
        <v>FORECASTED TEST YEAR - ORIGINAL FILING</v>
      </c>
      <c r="B809" s="17"/>
      <c r="C809" s="17"/>
      <c r="D809" s="18"/>
      <c r="E809" s="17"/>
      <c r="F809" s="19" t="str">
        <f>"FOR THE TWELVE MONTHS ENDED "&amp;Input!$B$4</f>
        <v>FOR THE TWELVE MONTHS ENDED 12/31/2017</v>
      </c>
      <c r="G809" s="329"/>
      <c r="H809" s="17"/>
      <c r="I809" s="17"/>
      <c r="J809" s="17"/>
      <c r="K809" s="183" t="str">
        <f>"WITNESS: "&amp;Input!$B$5</f>
        <v>WITNESS: C. NOTESTONE</v>
      </c>
    </row>
    <row r="810" spans="1:11" ht="11.25" x14ac:dyDescent="0.2">
      <c r="A810" s="325" t="s">
        <v>5</v>
      </c>
      <c r="B810" s="3"/>
      <c r="C810" s="3"/>
      <c r="D810" s="325" t="s">
        <v>811</v>
      </c>
      <c r="E810" s="325" t="s">
        <v>8</v>
      </c>
      <c r="F810" s="3"/>
      <c r="G810" s="3"/>
      <c r="H810" s="3"/>
      <c r="I810" s="3"/>
      <c r="J810" s="3"/>
      <c r="K810" s="3"/>
    </row>
    <row r="811" spans="1:11" ht="11.25" x14ac:dyDescent="0.2">
      <c r="A811" s="341" t="s">
        <v>9</v>
      </c>
      <c r="B811" s="447" t="str">
        <f>"DESCRIPTION"</f>
        <v>DESCRIPTION</v>
      </c>
      <c r="C811" s="447"/>
      <c r="D811" s="341" t="s">
        <v>10</v>
      </c>
      <c r="E811" s="341" t="s">
        <v>11</v>
      </c>
      <c r="F811" s="341" t="s">
        <v>804</v>
      </c>
      <c r="G811" s="341" t="s">
        <v>812</v>
      </c>
      <c r="H811" s="341" t="s">
        <v>813</v>
      </c>
      <c r="I811" s="341"/>
      <c r="J811" s="341"/>
      <c r="K811" s="341"/>
    </row>
    <row r="812" spans="1:11" ht="11.25" x14ac:dyDescent="0.2">
      <c r="A812" s="3"/>
      <c r="B812" s="448" t="s">
        <v>13</v>
      </c>
      <c r="C812" s="448"/>
      <c r="D812" s="342" t="s">
        <v>14</v>
      </c>
      <c r="E812" s="325" t="s">
        <v>15</v>
      </c>
      <c r="F812" s="325" t="s">
        <v>16</v>
      </c>
      <c r="G812" s="325" t="s">
        <v>17</v>
      </c>
      <c r="H812" s="325" t="s">
        <v>18</v>
      </c>
      <c r="I812" s="325"/>
      <c r="J812" s="325"/>
      <c r="K812" s="325"/>
    </row>
    <row r="813" spans="1:11" ht="11.25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25"/>
      <c r="K813" s="325"/>
    </row>
    <row r="814" spans="1:11" ht="11.25" x14ac:dyDescent="0.2">
      <c r="A814" s="325">
        <v>1</v>
      </c>
      <c r="B814" s="23" t="str">
        <f>'Classification Table'!B6</f>
        <v>DEMAND DESIGN DAY</v>
      </c>
      <c r="C814" s="3"/>
      <c r="D814" s="3">
        <f>'Classification Table'!A6</f>
        <v>1</v>
      </c>
      <c r="E814" s="43">
        <f>SUM(F814:H814)</f>
        <v>1</v>
      </c>
      <c r="F814" s="43">
        <f>'Classification Table'!C6</f>
        <v>0</v>
      </c>
      <c r="G814" s="43">
        <f>'Classification Table'!D6</f>
        <v>0</v>
      </c>
      <c r="H814" s="43">
        <f>'Classification Table'!E6</f>
        <v>1</v>
      </c>
      <c r="I814" s="3"/>
      <c r="J814" s="3"/>
      <c r="K814" s="3"/>
    </row>
    <row r="815" spans="1:11" ht="11.25" x14ac:dyDescent="0.2">
      <c r="A815" s="325">
        <f t="shared" ref="A815:A823" si="97">A814+1</f>
        <v>2</v>
      </c>
      <c r="B815" s="23" t="str">
        <f>'Classification Table'!B7</f>
        <v>DESIGN DAY EXCL. INTERR DEMAND (MCF)</v>
      </c>
      <c r="C815" s="3"/>
      <c r="D815" s="3">
        <f>'Classification Table'!A7</f>
        <v>2</v>
      </c>
      <c r="E815" s="43">
        <f t="shared" ref="E815:E851" si="98">SUM(F815:H815)</f>
        <v>1</v>
      </c>
      <c r="F815" s="43">
        <f>'Classification Table'!C7</f>
        <v>0</v>
      </c>
      <c r="G815" s="43">
        <f>'Classification Table'!D7</f>
        <v>0</v>
      </c>
      <c r="H815" s="43">
        <f>'Classification Table'!E7</f>
        <v>1</v>
      </c>
      <c r="I815" s="3"/>
      <c r="J815" s="3"/>
      <c r="K815" s="3"/>
    </row>
    <row r="816" spans="1:11" ht="11.25" x14ac:dyDescent="0.2">
      <c r="A816" s="325">
        <f t="shared" si="97"/>
        <v>3</v>
      </c>
      <c r="B816" s="23" t="str">
        <f>'Classification Table'!B8</f>
        <v>MINIMUM SYSTEM MAINS</v>
      </c>
      <c r="C816" s="3"/>
      <c r="D816" s="3">
        <f>'Classification Table'!A8</f>
        <v>3</v>
      </c>
      <c r="E816" s="43">
        <f t="shared" si="98"/>
        <v>1</v>
      </c>
      <c r="F816" s="43">
        <f>'Classification Table'!C8</f>
        <v>0.64824999999999999</v>
      </c>
      <c r="G816" s="43">
        <f>'Classification Table'!D8</f>
        <v>0</v>
      </c>
      <c r="H816" s="43">
        <f>'Classification Table'!E8</f>
        <v>0.35175000000000001</v>
      </c>
      <c r="I816" s="50"/>
      <c r="J816" s="50"/>
      <c r="K816" s="50"/>
    </row>
    <row r="817" spans="1:11" ht="11.25" x14ac:dyDescent="0.2">
      <c r="A817" s="325">
        <f t="shared" si="97"/>
        <v>4</v>
      </c>
      <c r="B817" s="23" t="str">
        <f>'Classification Table'!B9</f>
        <v>COMMODITY THROUGHPUT</v>
      </c>
      <c r="C817" s="3"/>
      <c r="D817" s="3">
        <f>'Classification Table'!A9</f>
        <v>4</v>
      </c>
      <c r="E817" s="43">
        <f t="shared" si="98"/>
        <v>1</v>
      </c>
      <c r="F817" s="43">
        <f>'Classification Table'!C9</f>
        <v>0</v>
      </c>
      <c r="G817" s="43">
        <f>'Classification Table'!D9</f>
        <v>1</v>
      </c>
      <c r="H817" s="43">
        <f>'Classification Table'!E9</f>
        <v>0</v>
      </c>
      <c r="I817" s="3"/>
      <c r="J817" s="3"/>
      <c r="K817" s="3"/>
    </row>
    <row r="818" spans="1:11" ht="11.25" x14ac:dyDescent="0.2">
      <c r="A818" s="325">
        <f t="shared" si="97"/>
        <v>5</v>
      </c>
      <c r="B818" s="23" t="str">
        <f>'Classification Table'!B10</f>
        <v>COMPOSITE OF 1 &amp; 4 - DEMAND/COMMODITY</v>
      </c>
      <c r="C818" s="3"/>
      <c r="D818" s="3">
        <f>'Classification Table'!A10</f>
        <v>5</v>
      </c>
      <c r="E818" s="43">
        <f t="shared" si="98"/>
        <v>1</v>
      </c>
      <c r="F818" s="43">
        <f>'Classification Table'!C10</f>
        <v>0</v>
      </c>
      <c r="G818" s="43">
        <f>'Classification Table'!D10</f>
        <v>0.5</v>
      </c>
      <c r="H818" s="43">
        <f>'Classification Table'!E10</f>
        <v>0.5</v>
      </c>
      <c r="I818" s="50"/>
      <c r="J818" s="50"/>
      <c r="K818" s="50"/>
    </row>
    <row r="819" spans="1:11" ht="11.25" x14ac:dyDescent="0.2">
      <c r="A819" s="325">
        <f t="shared" si="97"/>
        <v>6</v>
      </c>
      <c r="B819" s="23" t="str">
        <f>'Classification Table'!B11</f>
        <v xml:space="preserve">CUSTOMER </v>
      </c>
      <c r="C819" s="3"/>
      <c r="D819" s="3">
        <f>'Classification Table'!A11</f>
        <v>6</v>
      </c>
      <c r="E819" s="43">
        <f t="shared" si="98"/>
        <v>1</v>
      </c>
      <c r="F819" s="43">
        <f>'Classification Table'!C11</f>
        <v>1</v>
      </c>
      <c r="G819" s="43">
        <f>'Classification Table'!D11</f>
        <v>0</v>
      </c>
      <c r="H819" s="43">
        <f>'Classification Table'!E11</f>
        <v>0</v>
      </c>
      <c r="I819" s="3"/>
      <c r="J819" s="3"/>
      <c r="K819" s="3"/>
    </row>
    <row r="820" spans="1:11" ht="11.25" x14ac:dyDescent="0.2">
      <c r="A820" s="325">
        <f t="shared" si="97"/>
        <v>7</v>
      </c>
      <c r="B820" s="23" t="str">
        <f>'Classification Table'!B12</f>
        <v>DIST. PLANT EXCL. ACCTS 375.70,375.71,387 - C/D</v>
      </c>
      <c r="C820" s="3"/>
      <c r="D820" s="32" t="str">
        <f>'Classification Table'!A12</f>
        <v>7CD</v>
      </c>
      <c r="E820" s="43">
        <f t="shared" si="98"/>
        <v>1</v>
      </c>
      <c r="F820" s="43">
        <f>'Classification Table'!C12</f>
        <v>0.79544709999999996</v>
      </c>
      <c r="G820" s="43">
        <f>'Classification Table'!D12</f>
        <v>0</v>
      </c>
      <c r="H820" s="43">
        <f>'Classification Table'!E12</f>
        <v>0.20455290000000001</v>
      </c>
      <c r="I820" s="3"/>
      <c r="J820" s="3"/>
      <c r="K820" s="3"/>
    </row>
    <row r="821" spans="1:11" ht="11.25" x14ac:dyDescent="0.2">
      <c r="A821" s="325">
        <f t="shared" si="97"/>
        <v>8</v>
      </c>
      <c r="B821" s="23" t="str">
        <f>'Classification Table'!B13</f>
        <v>DIST. PLANT EXCL. ACCTS 375.70,375.71,387 - D/C</v>
      </c>
      <c r="C821" s="3"/>
      <c r="D821" s="32" t="str">
        <f>'Classification Table'!A13</f>
        <v>7DC</v>
      </c>
      <c r="E821" s="43">
        <f t="shared" si="98"/>
        <v>1</v>
      </c>
      <c r="F821" s="43">
        <f>'Classification Table'!C13</f>
        <v>0.41847079999999998</v>
      </c>
      <c r="G821" s="43">
        <f>'Classification Table'!D13</f>
        <v>0.29076459999999998</v>
      </c>
      <c r="H821" s="43">
        <f>'Classification Table'!E13</f>
        <v>0.29076459999999998</v>
      </c>
      <c r="I821" s="3"/>
      <c r="J821" s="3"/>
      <c r="K821" s="3"/>
    </row>
    <row r="822" spans="1:11" ht="11.25" x14ac:dyDescent="0.2">
      <c r="A822" s="325">
        <f t="shared" si="97"/>
        <v>9</v>
      </c>
      <c r="B822" s="23" t="str">
        <f>'Classification Table'!B14</f>
        <v>DIST. PLANT EXCL. ACCTS 375.70,375.71,387 - AVG</v>
      </c>
      <c r="C822" s="3"/>
      <c r="D822" s="32" t="str">
        <f>'Classification Table'!A14</f>
        <v>7AVG</v>
      </c>
      <c r="E822" s="43">
        <f t="shared" si="98"/>
        <v>1</v>
      </c>
      <c r="F822" s="43">
        <f>'Classification Table'!C14</f>
        <v>0.60695900000000003</v>
      </c>
      <c r="G822" s="43">
        <f>'Classification Table'!D14</f>
        <v>0.14538229999999999</v>
      </c>
      <c r="H822" s="43">
        <f>'Classification Table'!E14</f>
        <v>0.24765870000000001</v>
      </c>
      <c r="I822" s="3"/>
      <c r="J822" s="3"/>
      <c r="K822" s="3"/>
    </row>
    <row r="823" spans="1:11" ht="11.25" x14ac:dyDescent="0.2">
      <c r="A823" s="325">
        <f t="shared" si="97"/>
        <v>10</v>
      </c>
      <c r="B823" s="23" t="str">
        <f>'Classification Table'!B15</f>
        <v>TOTAL PLANT ACCOUNT 385</v>
      </c>
      <c r="C823" s="3"/>
      <c r="D823" s="3">
        <f>'Classification Table'!A15</f>
        <v>8</v>
      </c>
      <c r="E823" s="43">
        <f t="shared" si="98"/>
        <v>1</v>
      </c>
      <c r="F823" s="43">
        <f>'Classification Table'!C15</f>
        <v>1</v>
      </c>
      <c r="G823" s="43">
        <f>'Classification Table'!D15</f>
        <v>0</v>
      </c>
      <c r="H823" s="43">
        <f>'Classification Table'!E15</f>
        <v>0</v>
      </c>
      <c r="I823" s="3"/>
      <c r="J823" s="3"/>
      <c r="K823" s="3"/>
    </row>
    <row r="824" spans="1:11" ht="11.25" x14ac:dyDescent="0.2">
      <c r="A824" s="325">
        <f t="shared" ref="A824:A839" si="99">A823+1</f>
        <v>11</v>
      </c>
      <c r="B824" s="23" t="str">
        <f>'Classification Table'!B16</f>
        <v>GAS PURCHASE EXPENSE EX OFF SYST</v>
      </c>
      <c r="C824" s="3"/>
      <c r="D824" s="3">
        <f>'Classification Table'!A16</f>
        <v>9</v>
      </c>
      <c r="E824" s="43">
        <f t="shared" si="98"/>
        <v>1</v>
      </c>
      <c r="F824" s="43">
        <f>'Classification Table'!C16</f>
        <v>0</v>
      </c>
      <c r="G824" s="43">
        <f>'Classification Table'!D16</f>
        <v>1</v>
      </c>
      <c r="H824" s="43">
        <f>'Classification Table'!E16</f>
        <v>0</v>
      </c>
      <c r="I824" s="43"/>
      <c r="J824" s="43"/>
      <c r="K824" s="43"/>
    </row>
    <row r="825" spans="1:11" ht="11.25" x14ac:dyDescent="0.2">
      <c r="A825" s="325">
        <f t="shared" si="99"/>
        <v>12</v>
      </c>
      <c r="B825" s="23" t="str">
        <f>'Classification Table'!B17</f>
        <v>OTHER DIST. EXP - LABOR - C/D</v>
      </c>
      <c r="C825" s="3"/>
      <c r="D825" s="32" t="str">
        <f>'Classification Table'!A17</f>
        <v>10CD</v>
      </c>
      <c r="E825" s="43">
        <f t="shared" si="98"/>
        <v>1.0000001000000001</v>
      </c>
      <c r="F825" s="43">
        <f>'Classification Table'!C17</f>
        <v>0.85975939999999995</v>
      </c>
      <c r="G825" s="43">
        <f>'Classification Table'!D17</f>
        <v>1.09128E-2</v>
      </c>
      <c r="H825" s="43">
        <f>'Classification Table'!E17</f>
        <v>0.1293279</v>
      </c>
      <c r="I825" s="43"/>
      <c r="J825" s="43"/>
      <c r="K825" s="43"/>
    </row>
    <row r="826" spans="1:11" ht="11.25" x14ac:dyDescent="0.2">
      <c r="A826" s="325">
        <f t="shared" si="99"/>
        <v>13</v>
      </c>
      <c r="B826" s="23" t="str">
        <f>'Classification Table'!B18</f>
        <v>OTHER DIST. EXP - LABOR - D/C</v>
      </c>
      <c r="C826" s="3"/>
      <c r="D826" s="32" t="str">
        <f>'Classification Table'!A18</f>
        <v>10DC</v>
      </c>
      <c r="E826" s="43">
        <f t="shared" si="98"/>
        <v>1</v>
      </c>
      <c r="F826" s="43">
        <f>'Classification Table'!C18</f>
        <v>0.62141760000000001</v>
      </c>
      <c r="G826" s="43">
        <f>'Classification Table'!D18</f>
        <v>0.19474749999999999</v>
      </c>
      <c r="H826" s="43">
        <f>'Classification Table'!E18</f>
        <v>0.1838349</v>
      </c>
      <c r="I826" s="43"/>
      <c r="J826" s="43"/>
      <c r="K826" s="43"/>
    </row>
    <row r="827" spans="1:11" ht="11.25" x14ac:dyDescent="0.2">
      <c r="A827" s="325">
        <f t="shared" si="99"/>
        <v>14</v>
      </c>
      <c r="B827" s="23" t="str">
        <f>'Classification Table'!B19</f>
        <v>OTHER DIST. EXP - LABOR - AVG</v>
      </c>
      <c r="C827" s="3"/>
      <c r="D827" s="32" t="str">
        <f>'Classification Table'!A19</f>
        <v>10AVG</v>
      </c>
      <c r="E827" s="43">
        <f t="shared" si="98"/>
        <v>1</v>
      </c>
      <c r="F827" s="43">
        <f>'Classification Table'!C19</f>
        <v>0.74058840000000004</v>
      </c>
      <c r="G827" s="43">
        <f>'Classification Table'!D19</f>
        <v>0.1028303</v>
      </c>
      <c r="H827" s="43">
        <f>'Classification Table'!E19</f>
        <v>0.15658130000000001</v>
      </c>
      <c r="I827" s="43"/>
      <c r="J827" s="43"/>
      <c r="K827" s="43"/>
    </row>
    <row r="828" spans="1:11" ht="11.25" x14ac:dyDescent="0.2">
      <c r="A828" s="325">
        <f t="shared" si="99"/>
        <v>15</v>
      </c>
      <c r="B828" s="23" t="str">
        <f>'Classification Table'!B20</f>
        <v>OTHER DIST. EXP EXCL - M &amp; E - C/D</v>
      </c>
      <c r="C828" s="3"/>
      <c r="D828" s="32" t="str">
        <f>'Classification Table'!A20</f>
        <v>11CD</v>
      </c>
      <c r="E828" s="43">
        <f t="shared" si="98"/>
        <v>1</v>
      </c>
      <c r="F828" s="43">
        <f>'Classification Table'!C20</f>
        <v>0.7802753</v>
      </c>
      <c r="G828" s="43">
        <f>'Classification Table'!D20</f>
        <v>1.9222E-3</v>
      </c>
      <c r="H828" s="43">
        <f>'Classification Table'!E20</f>
        <v>0.21780250000000001</v>
      </c>
      <c r="I828" s="43"/>
      <c r="J828" s="43"/>
      <c r="K828" s="43"/>
    </row>
    <row r="829" spans="1:11" ht="11.25" x14ac:dyDescent="0.2">
      <c r="A829" s="325">
        <f t="shared" si="99"/>
        <v>16</v>
      </c>
      <c r="B829" s="23" t="str">
        <f>'Classification Table'!B21</f>
        <v>OTHER DIST. EXP EXCL - M &amp; E - D/C</v>
      </c>
      <c r="C829" s="3"/>
      <c r="D829" s="32" t="str">
        <f>'Classification Table'!A21</f>
        <v>11DC</v>
      </c>
      <c r="E829" s="43">
        <f t="shared" si="98"/>
        <v>1.0000000999999998</v>
      </c>
      <c r="F829" s="43">
        <f>'Classification Table'!C21</f>
        <v>0.37888100000000002</v>
      </c>
      <c r="G829" s="43">
        <f>'Classification Table'!D21</f>
        <v>0.31152059999999998</v>
      </c>
      <c r="H829" s="43">
        <f>'Classification Table'!E21</f>
        <v>0.3095985</v>
      </c>
      <c r="I829" s="43"/>
      <c r="J829" s="43"/>
      <c r="K829" s="43"/>
    </row>
    <row r="830" spans="1:11" ht="11.25" x14ac:dyDescent="0.2">
      <c r="A830" s="325">
        <f t="shared" si="99"/>
        <v>17</v>
      </c>
      <c r="B830" s="23" t="str">
        <f>'Classification Table'!B22</f>
        <v>OTHER DIST. EXP EXCL - M &amp; E - AVG</v>
      </c>
      <c r="C830" s="3"/>
      <c r="D830" s="32" t="str">
        <f>'Classification Table'!A22</f>
        <v>11AVG</v>
      </c>
      <c r="E830" s="43">
        <f t="shared" si="98"/>
        <v>1.0000001000000001</v>
      </c>
      <c r="F830" s="43">
        <f>'Classification Table'!C22</f>
        <v>0.57957820000000004</v>
      </c>
      <c r="G830" s="43">
        <f>'Classification Table'!D22</f>
        <v>0.15672140000000001</v>
      </c>
      <c r="H830" s="43">
        <f>'Classification Table'!E22</f>
        <v>0.2637005</v>
      </c>
      <c r="I830" s="43"/>
      <c r="J830" s="43"/>
      <c r="K830" s="43"/>
    </row>
    <row r="831" spans="1:11" ht="11.25" x14ac:dyDescent="0.2">
      <c r="A831" s="325">
        <f t="shared" si="99"/>
        <v>18</v>
      </c>
      <c r="B831" s="23" t="str">
        <f>'Classification Table'!B23</f>
        <v>O &amp; M EXCL A &amp; G - LABOR - C/D</v>
      </c>
      <c r="C831" s="3"/>
      <c r="D831" s="32" t="str">
        <f>'Classification Table'!A23</f>
        <v>12CD</v>
      </c>
      <c r="E831" s="43">
        <f t="shared" si="98"/>
        <v>1</v>
      </c>
      <c r="F831" s="43">
        <f>'Classification Table'!C23</f>
        <v>0.8755058</v>
      </c>
      <c r="G831" s="43">
        <f>'Classification Table'!D23</f>
        <v>9.6874999999999999E-3</v>
      </c>
      <c r="H831" s="43">
        <f>'Classification Table'!E23</f>
        <v>0.1148067</v>
      </c>
      <c r="I831" s="43"/>
      <c r="J831" s="43"/>
      <c r="K831" s="43"/>
    </row>
    <row r="832" spans="1:11" ht="11.25" x14ac:dyDescent="0.2">
      <c r="A832" s="325">
        <f t="shared" si="99"/>
        <v>19</v>
      </c>
      <c r="B832" s="23" t="str">
        <f>'Classification Table'!B24</f>
        <v>O &amp; M EXCL A &amp; G - LABOR - D/C</v>
      </c>
      <c r="C832" s="3"/>
      <c r="D832" s="32" t="str">
        <f>'Classification Table'!A24</f>
        <v>12DC</v>
      </c>
      <c r="E832" s="43">
        <f t="shared" si="98"/>
        <v>1</v>
      </c>
      <c r="F832" s="43">
        <f>'Classification Table'!C24</f>
        <v>0.6639256</v>
      </c>
      <c r="G832" s="43">
        <f>'Classification Table'!D24</f>
        <v>0.1728808</v>
      </c>
      <c r="H832" s="43">
        <f>'Classification Table'!E24</f>
        <v>0.16319359999999999</v>
      </c>
      <c r="I832" s="43"/>
      <c r="J832" s="43"/>
      <c r="K832" s="43"/>
    </row>
    <row r="833" spans="1:11" ht="11.25" x14ac:dyDescent="0.2">
      <c r="A833" s="325">
        <f t="shared" si="99"/>
        <v>20</v>
      </c>
      <c r="B833" s="23" t="str">
        <f>'Classification Table'!B25</f>
        <v>O &amp; M EXCL A &amp; G - LABOR - AVG</v>
      </c>
      <c r="C833" s="3"/>
      <c r="D833" s="32" t="str">
        <f>'Classification Table'!A25</f>
        <v>12AVG</v>
      </c>
      <c r="E833" s="43">
        <f t="shared" si="98"/>
        <v>0.99999990000000005</v>
      </c>
      <c r="F833" s="43">
        <f>'Classification Table'!C25</f>
        <v>0.76971560000000006</v>
      </c>
      <c r="G833" s="43">
        <f>'Classification Table'!D25</f>
        <v>9.1284299999999999E-2</v>
      </c>
      <c r="H833" s="43">
        <f>'Classification Table'!E25</f>
        <v>0.13900000000000001</v>
      </c>
      <c r="I833" s="43"/>
      <c r="J833" s="43"/>
      <c r="K833" s="43"/>
    </row>
    <row r="834" spans="1:11" ht="11.25" x14ac:dyDescent="0.2">
      <c r="A834" s="325">
        <f t="shared" si="99"/>
        <v>21</v>
      </c>
      <c r="B834" s="23" t="str">
        <f>'Classification Table'!B26</f>
        <v>O &amp; M EXCL GAS PUR, UNCOL, AND A &amp; G - M&amp;E - C/D</v>
      </c>
      <c r="C834" s="3"/>
      <c r="D834" s="32" t="str">
        <f>'Classification Table'!A26</f>
        <v>13CD</v>
      </c>
      <c r="E834" s="43">
        <f t="shared" si="98"/>
        <v>1</v>
      </c>
      <c r="F834" s="43">
        <f>'Classification Table'!C26</f>
        <v>0.83292429999999995</v>
      </c>
      <c r="G834" s="43">
        <f>'Classification Table'!D26</f>
        <v>1.2876999999999999E-3</v>
      </c>
      <c r="H834" s="43">
        <f>'Classification Table'!E26</f>
        <v>0.16578799999999999</v>
      </c>
      <c r="I834" s="43"/>
      <c r="J834" s="43"/>
      <c r="K834" s="43"/>
    </row>
    <row r="835" spans="1:11" ht="11.25" x14ac:dyDescent="0.2">
      <c r="A835" s="325">
        <f t="shared" si="99"/>
        <v>22</v>
      </c>
      <c r="B835" s="23" t="str">
        <f>'Classification Table'!B27</f>
        <v>O &amp; M EXCL GAS PUR, UNCOL, AND A &amp; G - M&amp;E - D/C</v>
      </c>
      <c r="C835" s="3"/>
      <c r="D835" s="32" t="str">
        <f>'Classification Table'!A27</f>
        <v>13DC</v>
      </c>
      <c r="E835" s="43">
        <f t="shared" si="98"/>
        <v>1</v>
      </c>
      <c r="F835" s="43">
        <f>'Classification Table'!C27</f>
        <v>0.56402079999999999</v>
      </c>
      <c r="G835" s="43">
        <f>'Classification Table'!D27</f>
        <v>0.20869489999999999</v>
      </c>
      <c r="H835" s="43">
        <f>'Classification Table'!E27</f>
        <v>0.22728429999999999</v>
      </c>
      <c r="I835" s="43"/>
      <c r="J835" s="43"/>
      <c r="K835" s="43"/>
    </row>
    <row r="836" spans="1:11" ht="11.25" x14ac:dyDescent="0.2">
      <c r="A836" s="325">
        <f t="shared" si="99"/>
        <v>23</v>
      </c>
      <c r="B836" s="23" t="str">
        <f>'Classification Table'!B28</f>
        <v>O &amp; M EXCL GAS PUR, UNCOL, AND A &amp; G - M&amp;E - AVG</v>
      </c>
      <c r="C836" s="3"/>
      <c r="D836" s="32" t="str">
        <f>'Classification Table'!A28</f>
        <v>13AVG</v>
      </c>
      <c r="E836" s="43">
        <f t="shared" si="98"/>
        <v>1</v>
      </c>
      <c r="F836" s="43">
        <f>'Classification Table'!C28</f>
        <v>0.69847250000000005</v>
      </c>
      <c r="G836" s="43">
        <f>'Classification Table'!D28</f>
        <v>0.1049914</v>
      </c>
      <c r="H836" s="43">
        <f>'Classification Table'!E28</f>
        <v>0.19653609999999999</v>
      </c>
      <c r="I836" s="43"/>
      <c r="J836" s="43"/>
      <c r="K836" s="43"/>
    </row>
    <row r="837" spans="1:11" ht="11.25" x14ac:dyDescent="0.2">
      <c r="A837" s="325">
        <f t="shared" si="99"/>
        <v>24</v>
      </c>
      <c r="B837" s="23" t="str">
        <f>'Classification Table'!B29</f>
        <v>ACCT 376/380 - MAINS/SERVICES - C/D</v>
      </c>
      <c r="C837" s="3"/>
      <c r="D837" s="32" t="str">
        <f>'Classification Table'!A29</f>
        <v>14CD</v>
      </c>
      <c r="E837" s="43">
        <f t="shared" si="98"/>
        <v>1</v>
      </c>
      <c r="F837" s="43">
        <f>'Classification Table'!C29</f>
        <v>0.77680280000000002</v>
      </c>
      <c r="G837" s="43">
        <f>'Classification Table'!D29</f>
        <v>0</v>
      </c>
      <c r="H837" s="43">
        <f>'Classification Table'!E29</f>
        <v>0.22319720000000001</v>
      </c>
      <c r="I837" s="43"/>
      <c r="J837" s="43"/>
      <c r="K837" s="43"/>
    </row>
    <row r="838" spans="1:11" ht="11.25" x14ac:dyDescent="0.2">
      <c r="A838" s="325">
        <f t="shared" si="99"/>
        <v>25</v>
      </c>
      <c r="B838" s="23" t="str">
        <f>'Classification Table'!B30</f>
        <v>ACCT 376/380 - MAINS/SERVICES - D/C</v>
      </c>
      <c r="C838" s="3"/>
      <c r="D838" s="32" t="str">
        <f>'Classification Table'!A30</f>
        <v>14DC</v>
      </c>
      <c r="E838" s="43">
        <f t="shared" si="98"/>
        <v>1</v>
      </c>
      <c r="F838" s="43">
        <f>'Classification Table'!C30</f>
        <v>0.36546640000000002</v>
      </c>
      <c r="G838" s="43">
        <f>'Classification Table'!D30</f>
        <v>0.31726680000000002</v>
      </c>
      <c r="H838" s="43">
        <f>'Classification Table'!E30</f>
        <v>0.31726680000000002</v>
      </c>
      <c r="I838" s="43"/>
      <c r="J838" s="43"/>
      <c r="K838" s="43"/>
    </row>
    <row r="839" spans="1:11" ht="11.25" x14ac:dyDescent="0.2">
      <c r="A839" s="325">
        <f t="shared" si="99"/>
        <v>26</v>
      </c>
      <c r="B839" s="23" t="str">
        <f>'Classification Table'!B31</f>
        <v>ACCT 376/380 - MAINS/SERVICES - AVG</v>
      </c>
      <c r="C839" s="3"/>
      <c r="D839" s="32" t="str">
        <f>'Classification Table'!A31</f>
        <v>14AVG</v>
      </c>
      <c r="E839" s="43">
        <f t="shared" si="98"/>
        <v>1</v>
      </c>
      <c r="F839" s="43">
        <f>'Classification Table'!C31</f>
        <v>0.57113460000000005</v>
      </c>
      <c r="G839" s="43">
        <f>'Classification Table'!D31</f>
        <v>0.15863340000000001</v>
      </c>
      <c r="H839" s="43">
        <f>'Classification Table'!E31</f>
        <v>0.27023200000000003</v>
      </c>
      <c r="I839" s="43"/>
      <c r="J839" s="43"/>
      <c r="K839" s="43"/>
    </row>
    <row r="840" spans="1:11" ht="11.25" x14ac:dyDescent="0.2">
      <c r="A840" s="325">
        <f t="shared" ref="A840" si="100">A839+1</f>
        <v>27</v>
      </c>
      <c r="B840" s="23" t="str">
        <f>'Classification Table'!B32</f>
        <v xml:space="preserve">DIRECT PLANT ACCT 380 </v>
      </c>
      <c r="C840" s="3"/>
      <c r="D840" s="32">
        <f>'Classification Table'!A32</f>
        <v>15</v>
      </c>
      <c r="E840" s="43">
        <f t="shared" si="98"/>
        <v>1</v>
      </c>
      <c r="F840" s="43">
        <f>'Classification Table'!C32</f>
        <v>1</v>
      </c>
      <c r="G840" s="43">
        <f>'Classification Table'!D32</f>
        <v>0</v>
      </c>
      <c r="H840" s="43">
        <f>'Classification Table'!E32</f>
        <v>0</v>
      </c>
      <c r="I840" s="43"/>
      <c r="J840" s="43"/>
      <c r="K840" s="43"/>
    </row>
    <row r="841" spans="1:11" ht="11.25" x14ac:dyDescent="0.2">
      <c r="A841" s="325">
        <f t="shared" ref="A841:A850" si="101">A840+1</f>
        <v>28</v>
      </c>
      <c r="B841" s="23" t="str">
        <f>'Classification Table'!B33</f>
        <v xml:space="preserve">DIRECT PLANT ACCTS 381 </v>
      </c>
      <c r="C841" s="3"/>
      <c r="D841" s="32">
        <f>'Classification Table'!A33</f>
        <v>16</v>
      </c>
      <c r="E841" s="43">
        <f t="shared" si="98"/>
        <v>1</v>
      </c>
      <c r="F841" s="43">
        <f>'Classification Table'!C33</f>
        <v>1</v>
      </c>
      <c r="G841" s="43">
        <f>'Classification Table'!D33</f>
        <v>0</v>
      </c>
      <c r="H841" s="43">
        <f>'Classification Table'!E33</f>
        <v>0</v>
      </c>
      <c r="I841" s="43"/>
      <c r="J841" s="43"/>
      <c r="K841" s="43"/>
    </row>
    <row r="842" spans="1:11" ht="11.25" x14ac:dyDescent="0.2">
      <c r="A842" s="325">
        <f t="shared" si="101"/>
        <v>29</v>
      </c>
      <c r="B842" s="23" t="str">
        <f>'Classification Table'!B34</f>
        <v xml:space="preserve">DIRECT PLANT ACCT 385 </v>
      </c>
      <c r="C842" s="3"/>
      <c r="D842" s="32">
        <f>'Classification Table'!A34</f>
        <v>17</v>
      </c>
      <c r="E842" s="43">
        <f t="shared" si="98"/>
        <v>1</v>
      </c>
      <c r="F842" s="43">
        <f>'Classification Table'!C34</f>
        <v>1</v>
      </c>
      <c r="G842" s="43">
        <f>'Classification Table'!D34</f>
        <v>0</v>
      </c>
      <c r="H842" s="43">
        <f>'Classification Table'!E34</f>
        <v>0</v>
      </c>
      <c r="I842" s="43"/>
      <c r="J842" s="43"/>
      <c r="K842" s="43"/>
    </row>
    <row r="843" spans="1:11" ht="11.25" x14ac:dyDescent="0.2">
      <c r="A843" s="325">
        <f t="shared" si="101"/>
        <v>30</v>
      </c>
      <c r="B843" s="23" t="str">
        <f>'Classification Table'!B35</f>
        <v>ACCOUNT 376 MAINS - COMPOSITE/PLANT - C/D</v>
      </c>
      <c r="C843" s="3"/>
      <c r="D843" s="32" t="str">
        <f>'Classification Table'!A35</f>
        <v>18CD</v>
      </c>
      <c r="E843" s="43">
        <f t="shared" si="98"/>
        <v>1</v>
      </c>
      <c r="F843" s="43">
        <f>'Classification Table'!C35</f>
        <v>0.64824999999999999</v>
      </c>
      <c r="G843" s="43">
        <f>'Classification Table'!D35</f>
        <v>0</v>
      </c>
      <c r="H843" s="43">
        <f>'Classification Table'!E35</f>
        <v>0.35175000000000001</v>
      </c>
      <c r="I843" s="43"/>
      <c r="J843" s="43"/>
      <c r="K843" s="43"/>
    </row>
    <row r="844" spans="1:11" ht="11.25" x14ac:dyDescent="0.2">
      <c r="A844" s="325">
        <f t="shared" si="101"/>
        <v>31</v>
      </c>
      <c r="B844" s="23" t="str">
        <f>'Classification Table'!B36</f>
        <v>ACCOUNT 376 MAINS - COMPOSITE/PLANT - D/C</v>
      </c>
      <c r="C844" s="3"/>
      <c r="D844" s="32" t="str">
        <f>'Classification Table'!A36</f>
        <v>18DC</v>
      </c>
      <c r="E844" s="43">
        <f t="shared" si="98"/>
        <v>1</v>
      </c>
      <c r="F844" s="43">
        <f>'Classification Table'!C36</f>
        <v>0</v>
      </c>
      <c r="G844" s="43">
        <f>'Classification Table'!D36</f>
        <v>0.5</v>
      </c>
      <c r="H844" s="43">
        <f>'Classification Table'!E36</f>
        <v>0.5</v>
      </c>
      <c r="I844" s="43"/>
      <c r="J844" s="43"/>
      <c r="K844" s="43"/>
    </row>
    <row r="845" spans="1:11" ht="11.25" x14ac:dyDescent="0.2">
      <c r="A845" s="325">
        <f t="shared" si="101"/>
        <v>32</v>
      </c>
      <c r="B845" s="23" t="str">
        <f>'Classification Table'!B37</f>
        <v>ACCOUNT 376 MAINS - COMPOSITE/PLANT - AVG</v>
      </c>
      <c r="C845" s="3"/>
      <c r="D845" s="32" t="str">
        <f>'Classification Table'!A37</f>
        <v>18AVG</v>
      </c>
      <c r="E845" s="43">
        <f t="shared" si="98"/>
        <v>1</v>
      </c>
      <c r="F845" s="43">
        <f>'Classification Table'!C37</f>
        <v>0.324125</v>
      </c>
      <c r="G845" s="43">
        <f>'Classification Table'!D37</f>
        <v>0.25</v>
      </c>
      <c r="H845" s="43">
        <f>'Classification Table'!E37</f>
        <v>0.425875</v>
      </c>
      <c r="I845" s="43"/>
      <c r="J845" s="43"/>
      <c r="K845" s="43"/>
    </row>
    <row r="846" spans="1:11" ht="11.25" x14ac:dyDescent="0.2">
      <c r="A846" s="325">
        <f t="shared" si="101"/>
        <v>33</v>
      </c>
      <c r="B846" s="23" t="str">
        <f>'Classification Table'!B38</f>
        <v>TOTAL PLANT - C/D</v>
      </c>
      <c r="C846" s="3"/>
      <c r="D846" s="32" t="str">
        <f>'Classification Table'!A38</f>
        <v>19CD</v>
      </c>
      <c r="E846" s="43">
        <f t="shared" si="98"/>
        <v>1</v>
      </c>
      <c r="F846" s="43">
        <f>'Classification Table'!C38</f>
        <v>0.79544709999999996</v>
      </c>
      <c r="G846" s="43">
        <f>'Classification Table'!D38</f>
        <v>0</v>
      </c>
      <c r="H846" s="43">
        <f>'Classification Table'!E38</f>
        <v>0.20455290000000001</v>
      </c>
      <c r="I846" s="43"/>
      <c r="J846" s="43"/>
      <c r="K846" s="43"/>
    </row>
    <row r="847" spans="1:11" ht="11.25" x14ac:dyDescent="0.2">
      <c r="A847" s="325">
        <f t="shared" si="101"/>
        <v>34</v>
      </c>
      <c r="B847" s="23" t="str">
        <f>'Classification Table'!B39</f>
        <v>TOTAL PLANT - D/C</v>
      </c>
      <c r="C847" s="3"/>
      <c r="D847" s="32" t="str">
        <f>'Classification Table'!A39</f>
        <v>19DC</v>
      </c>
      <c r="E847" s="43">
        <f t="shared" si="98"/>
        <v>1</v>
      </c>
      <c r="F847" s="43">
        <f>'Classification Table'!C39</f>
        <v>0.41847079999999998</v>
      </c>
      <c r="G847" s="43">
        <f>'Classification Table'!D39</f>
        <v>0.29076459999999998</v>
      </c>
      <c r="H847" s="43">
        <f>'Classification Table'!E39</f>
        <v>0.29076459999999998</v>
      </c>
      <c r="I847" s="43"/>
      <c r="J847" s="43"/>
      <c r="K847" s="43"/>
    </row>
    <row r="848" spans="1:11" ht="11.25" x14ac:dyDescent="0.2">
      <c r="A848" s="325">
        <f t="shared" si="101"/>
        <v>35</v>
      </c>
      <c r="B848" s="23" t="str">
        <f>'Classification Table'!B40</f>
        <v>TOTAL PLANT - AVG</v>
      </c>
      <c r="C848" s="3"/>
      <c r="D848" s="32" t="str">
        <f>'Classification Table'!A40</f>
        <v>19AVG</v>
      </c>
      <c r="E848" s="43">
        <f t="shared" si="98"/>
        <v>1</v>
      </c>
      <c r="F848" s="43">
        <f>'Classification Table'!C40</f>
        <v>0.60695900000000003</v>
      </c>
      <c r="G848" s="43">
        <f>'Classification Table'!D40</f>
        <v>0.14538229999999999</v>
      </c>
      <c r="H848" s="43">
        <f>'Classification Table'!E40</f>
        <v>0.24765870000000001</v>
      </c>
      <c r="I848" s="43"/>
      <c r="J848" s="43"/>
      <c r="K848" s="43"/>
    </row>
    <row r="849" spans="1:11" ht="11.25" x14ac:dyDescent="0.2">
      <c r="A849" s="325">
        <f t="shared" si="101"/>
        <v>36</v>
      </c>
      <c r="B849" s="23" t="str">
        <f>'Classification Table'!B41</f>
        <v>AVERAGE C/D &amp; D/C</v>
      </c>
      <c r="C849" s="3"/>
      <c r="D849" s="32">
        <f>'Classification Table'!A41</f>
        <v>20</v>
      </c>
      <c r="E849" s="43">
        <f t="shared" si="98"/>
        <v>1</v>
      </c>
      <c r="F849" s="43">
        <f>'Classification Table'!C41</f>
        <v>0.324125</v>
      </c>
      <c r="G849" s="43">
        <f>'Classification Table'!D41</f>
        <v>0.25</v>
      </c>
      <c r="H849" s="43">
        <f>'Classification Table'!E41</f>
        <v>0.425875</v>
      </c>
      <c r="I849" s="43"/>
      <c r="J849" s="43"/>
      <c r="K849" s="43"/>
    </row>
    <row r="850" spans="1:11" ht="11.25" x14ac:dyDescent="0.2">
      <c r="A850" s="325">
        <f t="shared" si="101"/>
        <v>37</v>
      </c>
      <c r="B850" s="23" t="str">
        <f>'Classification Table'!B42</f>
        <v>UNCOLLECTIBLES</v>
      </c>
      <c r="C850" s="3"/>
      <c r="D850" s="32">
        <f>'Classification Table'!A42</f>
        <v>21</v>
      </c>
      <c r="E850" s="43">
        <f t="shared" si="98"/>
        <v>1</v>
      </c>
      <c r="F850" s="43">
        <f>'Classification Table'!C42</f>
        <v>1</v>
      </c>
      <c r="G850" s="43">
        <f>'Classification Table'!D42</f>
        <v>0</v>
      </c>
      <c r="H850" s="43">
        <f>'Classification Table'!E42</f>
        <v>0</v>
      </c>
      <c r="I850" s="43"/>
      <c r="J850" s="43"/>
      <c r="K850" s="43"/>
    </row>
    <row r="851" spans="1:11" ht="11.25" x14ac:dyDescent="0.2">
      <c r="A851" s="325">
        <f t="shared" ref="A851" si="102">A850+1</f>
        <v>38</v>
      </c>
      <c r="B851" s="23" t="str">
        <f>'Classification Table'!B43</f>
        <v xml:space="preserve">REVREQ </v>
      </c>
      <c r="C851" s="3"/>
      <c r="D851" s="32">
        <f>'Classification Table'!A43</f>
        <v>22</v>
      </c>
      <c r="E851" s="43">
        <f t="shared" ca="1" si="98"/>
        <v>1</v>
      </c>
      <c r="F851" s="43">
        <f ca="1">'Classification Table'!C43</f>
        <v>0.48725000000000002</v>
      </c>
      <c r="G851" s="43">
        <f ca="1">'Classification Table'!D43</f>
        <v>0.23124</v>
      </c>
      <c r="H851" s="43">
        <f ca="1">'Classification Table'!E43</f>
        <v>0.28150999999999998</v>
      </c>
      <c r="I851" s="43"/>
      <c r="J851" s="43"/>
      <c r="K851" s="43"/>
    </row>
  </sheetData>
  <mergeCells count="27">
    <mergeCell ref="I341:K341"/>
    <mergeCell ref="I128:K128"/>
    <mergeCell ref="I172:K172"/>
    <mergeCell ref="I210:K210"/>
    <mergeCell ref="I255:K255"/>
    <mergeCell ref="I296:K296"/>
    <mergeCell ref="I401:K401"/>
    <mergeCell ref="I438:K438"/>
    <mergeCell ref="I469:K469"/>
    <mergeCell ref="I500:K500"/>
    <mergeCell ref="I537:K537"/>
    <mergeCell ref="B811:C811"/>
    <mergeCell ref="B812:C812"/>
    <mergeCell ref="I5:K5"/>
    <mergeCell ref="I39:K39"/>
    <mergeCell ref="I726:K726"/>
    <mergeCell ref="I756:K756"/>
    <mergeCell ref="I776:K776"/>
    <mergeCell ref="I94:K94"/>
    <mergeCell ref="I71:K71"/>
    <mergeCell ref="I568:K568"/>
    <mergeCell ref="I599:K599"/>
    <mergeCell ref="I638:K638"/>
    <mergeCell ref="I668:K668"/>
    <mergeCell ref="I684:K684"/>
    <mergeCell ref="I710:K710"/>
    <mergeCell ref="I380:K380"/>
  </mergeCells>
  <pageMargins left="0" right="0" top="0.75" bottom="0.75" header="0.3" footer="0.3"/>
  <pageSetup scale="94" orientation="landscape" r:id="rId1"/>
  <rowBreaks count="25" manualBreakCount="25">
    <brk id="34" max="10" man="1"/>
    <brk id="66" max="10" man="1"/>
    <brk id="89" max="16383" man="1"/>
    <brk id="123" max="16383" man="1"/>
    <brk id="167" max="16383" man="1"/>
    <brk id="205" max="16383" man="1"/>
    <brk id="250" max="16383" man="1"/>
    <brk id="291" max="16383" man="1"/>
    <brk id="336" max="16383" man="1"/>
    <brk id="375" max="16383" man="1"/>
    <brk id="396" max="16383" man="1"/>
    <brk id="433" max="16383" man="1"/>
    <brk id="464" max="16383" man="1"/>
    <brk id="495" max="16383" man="1"/>
    <brk id="532" max="16383" man="1"/>
    <brk id="563" max="16383" man="1"/>
    <brk id="594" max="16383" man="1"/>
    <brk id="633" max="16383" man="1"/>
    <brk id="663" max="16383" man="1"/>
    <brk id="679" max="16383" man="1"/>
    <brk id="705" max="16383" man="1"/>
    <brk id="721" max="16383" man="1"/>
    <brk id="751" max="16383" man="1"/>
    <brk id="771" max="16383" man="1"/>
    <brk id="806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1"/>
  <sheetViews>
    <sheetView zoomScaleNormal="100" zoomScaleSheetLayoutView="100" workbookViewId="0">
      <selection activeCell="C39" sqref="C39"/>
    </sheetView>
  </sheetViews>
  <sheetFormatPr defaultRowHeight="10.5" x14ac:dyDescent="0.15"/>
  <cols>
    <col min="1" max="1" width="4.83203125" style="330" customWidth="1"/>
    <col min="2" max="2" width="7.1640625" style="330" customWidth="1"/>
    <col min="3" max="3" width="45.6640625" style="330" customWidth="1"/>
    <col min="4" max="4" width="8.6640625" style="337" customWidth="1"/>
    <col min="5" max="5" width="14.83203125" style="330" customWidth="1"/>
    <col min="6" max="6" width="16.1640625" style="330" bestFit="1" customWidth="1"/>
    <col min="7" max="7" width="11.1640625" style="330" customWidth="1"/>
    <col min="8" max="8" width="9.33203125" style="330" bestFit="1" customWidth="1"/>
    <col min="9" max="9" width="9.83203125" style="330" bestFit="1" customWidth="1"/>
    <col min="10" max="10" width="10.83203125" style="330" bestFit="1" customWidth="1"/>
    <col min="11" max="12" width="9.6640625" style="330" bestFit="1" customWidth="1"/>
    <col min="13" max="13" width="10.83203125" style="330" bestFit="1" customWidth="1"/>
    <col min="14" max="16384" width="9.33203125" style="330"/>
  </cols>
  <sheetData>
    <row r="1" spans="1:13" ht="11.25" x14ac:dyDescent="0.2">
      <c r="A1" s="3" t="s">
        <v>817</v>
      </c>
      <c r="B1" s="3"/>
      <c r="C1" s="3"/>
      <c r="D1" s="325"/>
      <c r="E1" s="3"/>
      <c r="F1" s="325" t="str">
        <f>""&amp;+Input!$B$1</f>
        <v>COLUMBIA GAS OF KENTUCKY, INC.</v>
      </c>
      <c r="H1" s="3"/>
      <c r="I1" s="3"/>
      <c r="J1" s="3"/>
      <c r="K1" s="3"/>
      <c r="L1" s="32" t="str">
        <f>Input!$B$2</f>
        <v>ATTACHMENT CEN-2</v>
      </c>
    </row>
    <row r="2" spans="1:13" ht="11.25" x14ac:dyDescent="0.2">
      <c r="A2" s="3" t="str">
        <f>Input!$B$7</f>
        <v>DEMAND-COMMODITY</v>
      </c>
      <c r="B2" s="3"/>
      <c r="C2" s="3"/>
      <c r="D2" s="325"/>
      <c r="E2" s="3"/>
      <c r="F2" s="325" t="s">
        <v>564</v>
      </c>
      <c r="H2" s="3"/>
      <c r="I2" s="3"/>
      <c r="J2" s="3"/>
      <c r="K2" s="3"/>
      <c r="L2" s="32" t="str">
        <f>"PAGE 52 OF "&amp;FIXED(Input!$B$8,0,TRUE)</f>
        <v>PAGE 52 OF 129</v>
      </c>
    </row>
    <row r="3" spans="1:13" ht="11.25" x14ac:dyDescent="0.2">
      <c r="A3" s="17" t="str">
        <f>Input!$B$6</f>
        <v>FORECASTED TEST YEAR - ORIGINAL FILING</v>
      </c>
      <c r="B3" s="17"/>
      <c r="C3" s="17"/>
      <c r="D3" s="34"/>
      <c r="E3" s="17"/>
      <c r="F3" s="19" t="str">
        <f>"FOR THE TWELVE MONTHS ENDED "&amp;Input!$B$4</f>
        <v>FOR THE TWELVE MONTHS ENDED 12/31/2017</v>
      </c>
      <c r="G3" s="329"/>
      <c r="H3" s="17"/>
      <c r="I3" s="17"/>
      <c r="J3" s="17"/>
      <c r="K3" s="17"/>
      <c r="L3" s="183" t="str">
        <f>"WITNESS: "&amp;Input!$B$5</f>
        <v>WITNESS: C. NOTESTONE</v>
      </c>
    </row>
    <row r="4" spans="1:13" ht="11.25" x14ac:dyDescent="0.2">
      <c r="A4" s="325" t="s">
        <v>5</v>
      </c>
      <c r="B4" s="3" t="s">
        <v>6</v>
      </c>
      <c r="C4" s="3"/>
      <c r="D4" s="325" t="s">
        <v>7</v>
      </c>
      <c r="E4" s="325" t="s">
        <v>8</v>
      </c>
      <c r="F4" s="3"/>
      <c r="G4" s="3"/>
      <c r="H4" s="3"/>
      <c r="I4" s="3"/>
      <c r="J4" s="3"/>
      <c r="K4" s="3"/>
      <c r="L4" s="3"/>
    </row>
    <row r="5" spans="1:13" ht="11.25" x14ac:dyDescent="0.2">
      <c r="A5" s="341" t="s">
        <v>9</v>
      </c>
      <c r="B5" s="341" t="s">
        <v>9</v>
      </c>
      <c r="C5" s="341" t="str">
        <f>"                        ACCOUNT TITLE                "</f>
        <v xml:space="preserve">                        ACCOUNT TITLE                </v>
      </c>
      <c r="D5" s="341" t="s">
        <v>10</v>
      </c>
      <c r="E5" s="341" t="s">
        <v>804</v>
      </c>
      <c r="F5" s="341" t="str">
        <f>"  "&amp;+Input!$C$12</f>
        <v xml:space="preserve">  GS-RESIDENTIAL</v>
      </c>
      <c r="G5" s="341" t="str">
        <f>Input!$C$13</f>
        <v>GS-OTHER</v>
      </c>
      <c r="H5" s="341" t="str">
        <f>Input!$C$14</f>
        <v>IUS</v>
      </c>
      <c r="I5" s="341" t="str">
        <f>Input!$C$15</f>
        <v>DS-ML</v>
      </c>
      <c r="J5" s="341" t="str">
        <f>Input!$C$16</f>
        <v>DS/IS</v>
      </c>
      <c r="K5" s="341" t="str">
        <f>Input!$C$17</f>
        <v>NOT USED</v>
      </c>
      <c r="L5" s="341" t="str">
        <f>Input!$C$18</f>
        <v>NOT USED</v>
      </c>
    </row>
    <row r="6" spans="1:13" ht="11.25" x14ac:dyDescent="0.2">
      <c r="A6" s="3"/>
      <c r="B6" s="342" t="s">
        <v>13</v>
      </c>
      <c r="C6" s="342" t="s">
        <v>14</v>
      </c>
      <c r="D6" s="325" t="s">
        <v>15</v>
      </c>
      <c r="E6" s="325" t="s">
        <v>16</v>
      </c>
      <c r="F6" s="325" t="s">
        <v>17</v>
      </c>
      <c r="G6" s="325" t="s">
        <v>18</v>
      </c>
      <c r="H6" s="325" t="s">
        <v>19</v>
      </c>
      <c r="I6" s="325" t="s">
        <v>20</v>
      </c>
      <c r="J6" s="325" t="s">
        <v>21</v>
      </c>
      <c r="K6" s="325" t="s">
        <v>22</v>
      </c>
      <c r="L6" s="325" t="s">
        <v>23</v>
      </c>
    </row>
    <row r="7" spans="1:13" ht="11.25" x14ac:dyDescent="0.2">
      <c r="A7" s="3"/>
      <c r="B7" s="3"/>
      <c r="C7" s="3"/>
      <c r="D7" s="325"/>
      <c r="E7" s="325" t="s">
        <v>26</v>
      </c>
      <c r="F7" s="325" t="s">
        <v>26</v>
      </c>
      <c r="G7" s="325" t="s">
        <v>26</v>
      </c>
      <c r="H7" s="325" t="s">
        <v>26</v>
      </c>
      <c r="I7" s="325" t="s">
        <v>26</v>
      </c>
      <c r="J7" s="325" t="s">
        <v>26</v>
      </c>
      <c r="K7" s="325" t="s">
        <v>26</v>
      </c>
      <c r="L7" s="325" t="s">
        <v>26</v>
      </c>
    </row>
    <row r="8" spans="1:13" ht="11.25" x14ac:dyDescent="0.2">
      <c r="A8" s="3">
        <v>1</v>
      </c>
      <c r="B8" s="3" t="s">
        <v>421</v>
      </c>
      <c r="C8" s="3"/>
      <c r="D8" s="325"/>
      <c r="E8" s="3">
        <f ca="1">SUM(F8:L8)</f>
        <v>35066457</v>
      </c>
      <c r="F8" s="3">
        <f t="shared" ref="F8:L8" ca="1" si="0">F97</f>
        <v>22684324</v>
      </c>
      <c r="G8" s="3">
        <f t="shared" ca="1" si="0"/>
        <v>9316099</v>
      </c>
      <c r="H8" s="3">
        <f t="shared" ca="1" si="0"/>
        <v>11245</v>
      </c>
      <c r="I8" s="3">
        <f t="shared" ca="1" si="0"/>
        <v>234740</v>
      </c>
      <c r="J8" s="3">
        <f t="shared" ca="1" si="0"/>
        <v>2820049</v>
      </c>
      <c r="K8" s="3">
        <f t="shared" si="0"/>
        <v>0</v>
      </c>
      <c r="L8" s="3">
        <f t="shared" si="0"/>
        <v>0</v>
      </c>
      <c r="M8" s="3"/>
    </row>
    <row r="9" spans="1:13" ht="11.25" x14ac:dyDescent="0.2">
      <c r="A9" s="3">
        <f>A8+1</f>
        <v>2</v>
      </c>
      <c r="B9" s="3" t="s">
        <v>833</v>
      </c>
      <c r="C9" s="3"/>
      <c r="D9" s="325"/>
      <c r="E9" s="26">
        <f ca="1">SUM(F9:L9)</f>
        <v>12009003</v>
      </c>
      <c r="F9" s="26">
        <f ca="1">F10-F8</f>
        <v>7693086</v>
      </c>
      <c r="G9" s="26">
        <f t="shared" ref="G9:L9" ca="1" si="1">G10-G8</f>
        <v>3288254</v>
      </c>
      <c r="H9" s="26">
        <f t="shared" ca="1" si="1"/>
        <v>3966</v>
      </c>
      <c r="I9" s="26">
        <f t="shared" ca="1" si="1"/>
        <v>-13</v>
      </c>
      <c r="J9" s="26">
        <f t="shared" ca="1" si="1"/>
        <v>1023710</v>
      </c>
      <c r="K9" s="26">
        <f t="shared" si="1"/>
        <v>0</v>
      </c>
      <c r="L9" s="26">
        <f t="shared" si="1"/>
        <v>0</v>
      </c>
      <c r="M9" s="3"/>
    </row>
    <row r="10" spans="1:13" ht="11.25" x14ac:dyDescent="0.2">
      <c r="A10" s="3">
        <f>A9+1</f>
        <v>3</v>
      </c>
      <c r="B10" s="3" t="s">
        <v>834</v>
      </c>
      <c r="C10" s="3"/>
      <c r="D10" s="325"/>
      <c r="E10" s="3">
        <f ca="1">SUM(F10:L10)</f>
        <v>47075460</v>
      </c>
      <c r="F10" s="3">
        <f ca="1">SUM(Input!E562:E567)</f>
        <v>30377410</v>
      </c>
      <c r="G10" s="3">
        <f ca="1">SUM(Input!F562:F567)</f>
        <v>12604353</v>
      </c>
      <c r="H10" s="3">
        <f ca="1">SUM(Input!G562:G567)</f>
        <v>15211</v>
      </c>
      <c r="I10" s="3">
        <f ca="1">SUM(Input!H562:H567)</f>
        <v>234727</v>
      </c>
      <c r="J10" s="3">
        <f ca="1">SUM(Input!I562:I567)</f>
        <v>3843759</v>
      </c>
      <c r="K10" s="3">
        <f>SUM(Input!J562:J567)</f>
        <v>0</v>
      </c>
      <c r="L10" s="3">
        <f>SUM(Input!K562:K567)</f>
        <v>0</v>
      </c>
      <c r="M10" s="3"/>
    </row>
    <row r="11" spans="1:13" ht="11.25" x14ac:dyDescent="0.2">
      <c r="A11" s="3"/>
      <c r="B11" s="3"/>
      <c r="C11" s="3"/>
      <c r="D11" s="325"/>
      <c r="E11" s="3"/>
      <c r="F11" s="3"/>
      <c r="G11" s="3"/>
      <c r="H11" s="3"/>
      <c r="I11" s="3"/>
      <c r="J11" s="3"/>
      <c r="K11" s="3"/>
      <c r="L11" s="3"/>
      <c r="M11" s="3"/>
    </row>
    <row r="12" spans="1:13" ht="11.25" x14ac:dyDescent="0.2">
      <c r="A12" s="3">
        <f>A10+1</f>
        <v>4</v>
      </c>
      <c r="B12" s="3" t="s">
        <v>409</v>
      </c>
      <c r="C12" s="3"/>
      <c r="D12" s="325"/>
      <c r="E12" s="3">
        <f>E99</f>
        <v>0</v>
      </c>
      <c r="F12" s="3">
        <f t="shared" ref="F12:L12" si="2">F99</f>
        <v>0</v>
      </c>
      <c r="G12" s="3">
        <f t="shared" si="2"/>
        <v>0</v>
      </c>
      <c r="H12" s="3">
        <f t="shared" si="2"/>
        <v>0</v>
      </c>
      <c r="I12" s="3">
        <f t="shared" si="2"/>
        <v>0</v>
      </c>
      <c r="J12" s="3">
        <f t="shared" si="2"/>
        <v>0</v>
      </c>
      <c r="K12" s="3">
        <f t="shared" si="2"/>
        <v>0</v>
      </c>
      <c r="L12" s="3">
        <f t="shared" si="2"/>
        <v>0</v>
      </c>
      <c r="M12" s="3"/>
    </row>
    <row r="13" spans="1:13" ht="11.25" x14ac:dyDescent="0.2">
      <c r="A13" s="3">
        <f t="shared" ref="A13:A18" si="3">A12+1</f>
        <v>5</v>
      </c>
      <c r="B13" s="3" t="s">
        <v>422</v>
      </c>
      <c r="C13" s="3"/>
      <c r="D13" s="325"/>
      <c r="E13" s="3">
        <f ca="1">SUM(F13:L13)</f>
        <v>26951232</v>
      </c>
      <c r="F13" s="3">
        <f ca="1">F100+ROUND(F9*(Input!$E$40+Input!$E$41),0)</f>
        <v>22314584</v>
      </c>
      <c r="G13" s="3">
        <f ca="1">G100+ROUND(G9*(Input!$E$40+Input!$E$41),0)</f>
        <v>4329676</v>
      </c>
      <c r="H13" s="3">
        <f ca="1">H100+ROUND(H9*(Input!$E$40+Input!$E$41),0)</f>
        <v>1357</v>
      </c>
      <c r="I13" s="3">
        <f ca="1">I100+ROUND(I9*(Input!$E$40+Input!$E$41),0)</f>
        <v>58419</v>
      </c>
      <c r="J13" s="3">
        <f ca="1">J100+ROUND(J9*(Input!$E$40+Input!$E$41),0)</f>
        <v>247196</v>
      </c>
      <c r="K13" s="3">
        <f ca="1">K100+ROUND(K9*(Input!$E$40+Input!$E$41),0)</f>
        <v>0</v>
      </c>
      <c r="L13" s="3">
        <f ca="1">L100+ROUND(L9*(Input!$E$40+Input!$E$41),0)</f>
        <v>0</v>
      </c>
      <c r="M13" s="3"/>
    </row>
    <row r="14" spans="1:13" ht="11.25" x14ac:dyDescent="0.2">
      <c r="A14" s="3">
        <f t="shared" si="3"/>
        <v>6</v>
      </c>
      <c r="B14" s="3" t="s">
        <v>423</v>
      </c>
      <c r="C14" s="3"/>
      <c r="D14" s="325"/>
      <c r="E14" s="3">
        <f ca="1">SUM(F14:L14)</f>
        <v>9155554</v>
      </c>
      <c r="F14" s="3">
        <f ca="1">F101</f>
        <v>7618315</v>
      </c>
      <c r="G14" s="3">
        <f t="shared" ref="G14:L14" ca="1" si="4">G101</f>
        <v>1359472</v>
      </c>
      <c r="H14" s="3">
        <f t="shared" ca="1" si="4"/>
        <v>350</v>
      </c>
      <c r="I14" s="3">
        <f t="shared" ca="1" si="4"/>
        <v>16645</v>
      </c>
      <c r="J14" s="3">
        <f t="shared" ca="1" si="4"/>
        <v>160772</v>
      </c>
      <c r="K14" s="3">
        <f t="shared" ca="1" si="4"/>
        <v>0</v>
      </c>
      <c r="L14" s="3">
        <f t="shared" ca="1" si="4"/>
        <v>0</v>
      </c>
      <c r="M14" s="3"/>
    </row>
    <row r="15" spans="1:13" ht="11.25" x14ac:dyDescent="0.2">
      <c r="A15" s="3">
        <f t="shared" si="3"/>
        <v>7</v>
      </c>
      <c r="B15" s="3" t="s">
        <v>424</v>
      </c>
      <c r="C15" s="3"/>
      <c r="D15" s="325"/>
      <c r="E15" s="3">
        <f ca="1">SUM(F15:L15)</f>
        <v>3081518</v>
      </c>
      <c r="F15" s="1">
        <f ca="1">F102+ROUND(F9*Input!$E$45,0)</f>
        <v>-196451</v>
      </c>
      <c r="G15" s="1">
        <f ca="1">G102+ROUND(G9*Input!$E$45,0)</f>
        <v>2127782</v>
      </c>
      <c r="H15" s="1">
        <f ca="1">H102+ROUND(H9*Input!$E$45,0)</f>
        <v>4311</v>
      </c>
      <c r="I15" s="1">
        <f ca="1">I102+ROUND(I9*Input!$E$45,0)</f>
        <v>41471</v>
      </c>
      <c r="J15" s="1">
        <f ca="1">J102+ROUND(J9*Input!$E$45,0)</f>
        <v>1104405</v>
      </c>
      <c r="K15" s="1">
        <f ca="1">K102+ROUND(K9*Input!$E$45,0)</f>
        <v>0</v>
      </c>
      <c r="L15" s="1">
        <f ca="1">L102+ROUND(L9*Input!$E$45,0)</f>
        <v>0</v>
      </c>
      <c r="M15" s="3"/>
    </row>
    <row r="16" spans="1:13" ht="11.25" x14ac:dyDescent="0.2">
      <c r="A16" s="3">
        <f t="shared" si="3"/>
        <v>8</v>
      </c>
      <c r="B16" s="3" t="s">
        <v>425</v>
      </c>
      <c r="C16" s="3"/>
      <c r="D16" s="325"/>
      <c r="E16" s="3">
        <f ca="1">SUM(F16:L16)</f>
        <v>557527.78094358579</v>
      </c>
      <c r="F16" s="1">
        <f ca="1">F103+ROUND(F9*Input!$E$43,0)</f>
        <v>-50322.574720316741</v>
      </c>
      <c r="G16" s="1">
        <f ca="1">G103+ROUND(G9*Input!$E$43,0)</f>
        <v>393715.04526907328</v>
      </c>
      <c r="H16" s="1">
        <f ca="1">H103+ROUND(H9*Input!$E$43,0)</f>
        <v>802.5970024035538</v>
      </c>
      <c r="I16" s="1">
        <f ca="1">I103+ROUND(I9*Input!$E$43,0)</f>
        <v>7785.1787317158178</v>
      </c>
      <c r="J16" s="1">
        <f ca="1">J103+ROUND(J9*Input!$E$43,0)</f>
        <v>205547.53466070988</v>
      </c>
      <c r="K16" s="1">
        <f ca="1">K103+ROUND(K9*Input!$E$43,0)</f>
        <v>0</v>
      </c>
      <c r="L16" s="1">
        <f ca="1">L103+ROUND(L9*Input!$E$43,0)</f>
        <v>0</v>
      </c>
      <c r="M16" s="3"/>
    </row>
    <row r="17" spans="1:13" ht="11.25" x14ac:dyDescent="0.2">
      <c r="A17" s="3">
        <f t="shared" si="3"/>
        <v>9</v>
      </c>
      <c r="B17" s="3" t="s">
        <v>426</v>
      </c>
      <c r="C17" s="3"/>
      <c r="D17" s="325"/>
      <c r="E17" s="26">
        <f ca="1">SUM(F17:L17)</f>
        <v>2165395</v>
      </c>
      <c r="F17" s="26">
        <f ca="1">F104</f>
        <v>1766713</v>
      </c>
      <c r="G17" s="26">
        <f t="shared" ref="G17:L17" ca="1" si="5">G104</f>
        <v>359323</v>
      </c>
      <c r="H17" s="26">
        <f t="shared" ca="1" si="5"/>
        <v>108</v>
      </c>
      <c r="I17" s="26">
        <f t="shared" ca="1" si="5"/>
        <v>7967</v>
      </c>
      <c r="J17" s="26">
        <f t="shared" ca="1" si="5"/>
        <v>31284</v>
      </c>
      <c r="K17" s="26">
        <f t="shared" ca="1" si="5"/>
        <v>0</v>
      </c>
      <c r="L17" s="26">
        <f t="shared" ca="1" si="5"/>
        <v>0</v>
      </c>
      <c r="M17" s="3"/>
    </row>
    <row r="18" spans="1:13" ht="11.25" x14ac:dyDescent="0.2">
      <c r="A18" s="3">
        <f t="shared" si="3"/>
        <v>10</v>
      </c>
      <c r="B18" s="3" t="s">
        <v>415</v>
      </c>
      <c r="C18" s="3"/>
      <c r="D18" s="325"/>
      <c r="E18" s="3">
        <f t="shared" ref="E18:L18" ca="1" si="6">SUM(E12:E17)</f>
        <v>41911226.780943587</v>
      </c>
      <c r="F18" s="3">
        <f t="shared" ca="1" si="6"/>
        <v>31452838.425279684</v>
      </c>
      <c r="G18" s="3">
        <f t="shared" ca="1" si="6"/>
        <v>8569968.0452690721</v>
      </c>
      <c r="H18" s="3">
        <f t="shared" ca="1" si="6"/>
        <v>6928.5970024035541</v>
      </c>
      <c r="I18" s="3">
        <f t="shared" ca="1" si="6"/>
        <v>132287.17873171583</v>
      </c>
      <c r="J18" s="3">
        <f t="shared" ca="1" si="6"/>
        <v>1749204.5346607098</v>
      </c>
      <c r="K18" s="3">
        <f t="shared" ca="1" si="6"/>
        <v>0</v>
      </c>
      <c r="L18" s="3">
        <f t="shared" ca="1" si="6"/>
        <v>0</v>
      </c>
      <c r="M18" s="3"/>
    </row>
    <row r="19" spans="1:13" ht="11.25" x14ac:dyDescent="0.2">
      <c r="A19" s="3"/>
      <c r="B19" s="3"/>
      <c r="C19" s="3"/>
      <c r="D19" s="325"/>
      <c r="E19" s="3"/>
      <c r="F19" s="3"/>
      <c r="G19" s="3"/>
      <c r="H19" s="3"/>
      <c r="I19" s="3"/>
      <c r="J19" s="3"/>
      <c r="K19" s="3"/>
      <c r="L19" s="3"/>
      <c r="M19" s="3"/>
    </row>
    <row r="20" spans="1:13" ht="11.25" x14ac:dyDescent="0.2">
      <c r="A20" s="3">
        <f>A18+1</f>
        <v>11</v>
      </c>
      <c r="B20" s="3" t="s">
        <v>48</v>
      </c>
      <c r="C20" s="3"/>
      <c r="D20" s="325"/>
      <c r="E20" s="3">
        <f ca="1">E10-E18</f>
        <v>5164233.2190564126</v>
      </c>
      <c r="F20" s="3">
        <f t="shared" ref="F20:L20" ca="1" si="7">F10-F18</f>
        <v>-1075428.4252796844</v>
      </c>
      <c r="G20" s="3">
        <f t="shared" ca="1" si="7"/>
        <v>4034384.9547309279</v>
      </c>
      <c r="H20" s="3">
        <f t="shared" ca="1" si="7"/>
        <v>8282.4029975964459</v>
      </c>
      <c r="I20" s="3">
        <f t="shared" ca="1" si="7"/>
        <v>102439.82126828417</v>
      </c>
      <c r="J20" s="3">
        <f t="shared" ca="1" si="7"/>
        <v>2094554.4653392902</v>
      </c>
      <c r="K20" s="3">
        <f t="shared" ca="1" si="7"/>
        <v>0</v>
      </c>
      <c r="L20" s="3">
        <f t="shared" ca="1" si="7"/>
        <v>0</v>
      </c>
      <c r="M20" s="3"/>
    </row>
    <row r="21" spans="1:13" ht="11.25" x14ac:dyDescent="0.2">
      <c r="A21" s="3"/>
      <c r="B21" s="3"/>
      <c r="C21" s="3"/>
      <c r="D21" s="325"/>
      <c r="E21" s="3"/>
      <c r="F21" s="3"/>
      <c r="G21" s="3"/>
      <c r="H21" s="3"/>
      <c r="I21" s="3"/>
      <c r="J21" s="3"/>
      <c r="K21" s="3"/>
      <c r="L21" s="3"/>
      <c r="M21" s="3"/>
    </row>
    <row r="22" spans="1:13" ht="11.25" x14ac:dyDescent="0.2">
      <c r="A22" s="3">
        <f>A20+1</f>
        <v>12</v>
      </c>
      <c r="B22" s="3" t="s">
        <v>427</v>
      </c>
      <c r="C22" s="3"/>
      <c r="D22" s="325"/>
      <c r="E22" s="26">
        <f ca="1">SUM(F22:L22)</f>
        <v>1910316</v>
      </c>
      <c r="F22" s="26">
        <f ca="1">F109</f>
        <v>1550193</v>
      </c>
      <c r="G22" s="26">
        <f t="shared" ref="G22:L22" ca="1" si="8">G109</f>
        <v>312174</v>
      </c>
      <c r="H22" s="26">
        <f t="shared" ca="1" si="8"/>
        <v>99</v>
      </c>
      <c r="I22" s="26">
        <f t="shared" ca="1" si="8"/>
        <v>11827</v>
      </c>
      <c r="J22" s="26">
        <f t="shared" ca="1" si="8"/>
        <v>36023</v>
      </c>
      <c r="K22" s="26">
        <f t="shared" ca="1" si="8"/>
        <v>0</v>
      </c>
      <c r="L22" s="26">
        <f t="shared" ca="1" si="8"/>
        <v>0</v>
      </c>
      <c r="M22" s="3"/>
    </row>
    <row r="23" spans="1:13" ht="11.25" x14ac:dyDescent="0.2">
      <c r="A23" s="3">
        <f>A22+1</f>
        <v>13</v>
      </c>
      <c r="B23" s="3" t="s">
        <v>417</v>
      </c>
      <c r="C23" s="3"/>
      <c r="D23" s="325"/>
      <c r="E23" s="3">
        <f t="shared" ref="E23:L23" ca="1" si="9">E20-E22</f>
        <v>3253917.2190564126</v>
      </c>
      <c r="F23" s="3">
        <f t="shared" ca="1" si="9"/>
        <v>-2625621.4252796844</v>
      </c>
      <c r="G23" s="3">
        <f t="shared" ca="1" si="9"/>
        <v>3722210.9547309279</v>
      </c>
      <c r="H23" s="3">
        <f t="shared" ca="1" si="9"/>
        <v>8183.4029975964459</v>
      </c>
      <c r="I23" s="3">
        <f t="shared" ca="1" si="9"/>
        <v>90612.821268284169</v>
      </c>
      <c r="J23" s="3">
        <f t="shared" ca="1" si="9"/>
        <v>2058531.4653392902</v>
      </c>
      <c r="K23" s="3">
        <f t="shared" ca="1" si="9"/>
        <v>0</v>
      </c>
      <c r="L23" s="3">
        <f t="shared" ca="1" si="9"/>
        <v>0</v>
      </c>
      <c r="M23" s="3"/>
    </row>
    <row r="24" spans="1:13" ht="11.25" x14ac:dyDescent="0.2">
      <c r="A24" s="3"/>
      <c r="B24" s="3"/>
      <c r="C24" s="3"/>
      <c r="D24" s="325"/>
      <c r="E24" s="3"/>
      <c r="F24" s="3"/>
      <c r="G24" s="3"/>
      <c r="H24" s="3"/>
      <c r="I24" s="3"/>
      <c r="J24" s="3"/>
      <c r="K24" s="3"/>
      <c r="L24" s="3"/>
      <c r="M24" s="3"/>
    </row>
    <row r="25" spans="1:13" ht="11.25" x14ac:dyDescent="0.2">
      <c r="A25" s="3">
        <f>A23+1</f>
        <v>14</v>
      </c>
      <c r="B25" s="3" t="s">
        <v>428</v>
      </c>
      <c r="C25" s="3"/>
      <c r="D25" s="325"/>
      <c r="E25" s="3">
        <f ca="1">E113</f>
        <v>72360386</v>
      </c>
      <c r="F25" s="3">
        <f ca="1">F113</f>
        <v>58719448</v>
      </c>
      <c r="G25" s="3">
        <f t="shared" ref="G25:L25" ca="1" si="10">G113</f>
        <v>11824755</v>
      </c>
      <c r="H25" s="3">
        <f t="shared" ca="1" si="10"/>
        <v>3734</v>
      </c>
      <c r="I25" s="3">
        <f t="shared" ca="1" si="10"/>
        <v>447979</v>
      </c>
      <c r="J25" s="3">
        <f t="shared" ca="1" si="10"/>
        <v>1364492</v>
      </c>
      <c r="K25" s="3">
        <f t="shared" ca="1" si="10"/>
        <v>0</v>
      </c>
      <c r="L25" s="3">
        <f t="shared" ca="1" si="10"/>
        <v>0</v>
      </c>
      <c r="M25" s="3"/>
    </row>
    <row r="26" spans="1:13" ht="11.25" x14ac:dyDescent="0.2">
      <c r="A26" s="3"/>
      <c r="B26" s="3"/>
      <c r="C26" s="3"/>
      <c r="D26" s="325"/>
      <c r="E26" s="48"/>
      <c r="F26" s="48"/>
      <c r="G26" s="48"/>
      <c r="H26" s="48"/>
      <c r="I26" s="48"/>
      <c r="J26" s="48"/>
      <c r="K26" s="48"/>
      <c r="L26" s="48"/>
      <c r="M26" s="3"/>
    </row>
    <row r="27" spans="1:13" ht="11.25" x14ac:dyDescent="0.2">
      <c r="A27" s="3">
        <f>A25+1</f>
        <v>15</v>
      </c>
      <c r="B27" s="3" t="s">
        <v>429</v>
      </c>
      <c r="C27" s="3"/>
      <c r="D27" s="325"/>
      <c r="E27" s="49">
        <f t="shared" ref="E27:L27" ca="1" si="11">IF(E25=0,0,ROUND(E20/E25,4))</f>
        <v>7.1400000000000005E-2</v>
      </c>
      <c r="F27" s="49">
        <f t="shared" ca="1" si="11"/>
        <v>-1.83E-2</v>
      </c>
      <c r="G27" s="49">
        <f t="shared" ca="1" si="11"/>
        <v>0.3412</v>
      </c>
      <c r="H27" s="49">
        <f t="shared" ca="1" si="11"/>
        <v>2.2181000000000002</v>
      </c>
      <c r="I27" s="49">
        <f t="shared" ca="1" si="11"/>
        <v>0.22869999999999999</v>
      </c>
      <c r="J27" s="49">
        <f t="shared" ca="1" si="11"/>
        <v>1.5349999999999999</v>
      </c>
      <c r="K27" s="49">
        <f t="shared" ca="1" si="11"/>
        <v>0</v>
      </c>
      <c r="L27" s="49">
        <f t="shared" ca="1" si="11"/>
        <v>0</v>
      </c>
      <c r="M27" s="3"/>
    </row>
    <row r="28" spans="1:13" ht="11.25" x14ac:dyDescent="0.2">
      <c r="A28" s="3"/>
      <c r="B28" s="3"/>
      <c r="C28" s="3"/>
      <c r="D28" s="325"/>
      <c r="E28" s="3"/>
      <c r="F28" s="3"/>
      <c r="G28" s="3"/>
      <c r="H28" s="3"/>
      <c r="I28" s="3"/>
      <c r="J28" s="3"/>
      <c r="K28" s="3"/>
      <c r="L28" s="3"/>
      <c r="M28" s="3"/>
    </row>
    <row r="29" spans="1:13" ht="11.25" x14ac:dyDescent="0.2">
      <c r="A29" s="3">
        <f>A27+1</f>
        <v>16</v>
      </c>
      <c r="B29" s="3" t="s">
        <v>420</v>
      </c>
      <c r="C29" s="3"/>
      <c r="D29" s="325"/>
      <c r="E29" s="24">
        <v>1</v>
      </c>
      <c r="F29" s="24">
        <f ca="1">ROUND(F27/$E$59,2)</f>
        <v>-0.22</v>
      </c>
      <c r="G29" s="24">
        <f ca="1">ROUND(G27/$E$59,2)</f>
        <v>4.0599999999999996</v>
      </c>
      <c r="H29" s="24">
        <f ca="1">ROUND(H27/$E$59,2)</f>
        <v>26.37</v>
      </c>
      <c r="I29" s="24">
        <f ca="1">ROUND(I27/$E$59,2)</f>
        <v>2.72</v>
      </c>
      <c r="J29" s="24">
        <f ca="1">ROUND(J27/$E$59,2)</f>
        <v>18.25</v>
      </c>
      <c r="K29" s="24">
        <f ca="1">ROUND(K27/Customer!$E$115,2)</f>
        <v>0</v>
      </c>
      <c r="L29" s="24">
        <f ca="1">ROUND(L27/Customer!$E$115,2)</f>
        <v>0</v>
      </c>
      <c r="M29" s="3"/>
    </row>
    <row r="30" spans="1:13" ht="11.25" x14ac:dyDescent="0.2">
      <c r="A30" s="3"/>
      <c r="B30" s="3"/>
      <c r="C30" s="3"/>
      <c r="D30" s="325"/>
      <c r="E30" s="31"/>
      <c r="F30" s="31"/>
      <c r="G30" s="31"/>
      <c r="H30" s="31"/>
      <c r="I30" s="31"/>
      <c r="J30" s="31"/>
      <c r="K30" s="31"/>
      <c r="L30" s="31"/>
    </row>
    <row r="33" spans="1:12" ht="11.25" x14ac:dyDescent="0.2">
      <c r="A33" s="3"/>
      <c r="B33" s="3"/>
      <c r="C33" s="3"/>
      <c r="D33" s="325"/>
      <c r="E33" s="24"/>
      <c r="F33" s="24"/>
      <c r="G33" s="24"/>
      <c r="H33" s="24"/>
      <c r="I33" s="24"/>
      <c r="J33" s="24"/>
      <c r="K33" s="24"/>
      <c r="L33" s="24"/>
    </row>
    <row r="34" spans="1:12" ht="11.25" x14ac:dyDescent="0.2">
      <c r="A34" s="3"/>
      <c r="B34" s="3"/>
      <c r="C34" s="3"/>
      <c r="D34" s="325"/>
      <c r="E34" s="3"/>
      <c r="F34" s="3"/>
      <c r="G34" s="3"/>
      <c r="H34" s="3"/>
      <c r="I34" s="3"/>
      <c r="J34" s="3"/>
      <c r="K34" s="3"/>
      <c r="L34" s="3"/>
    </row>
    <row r="35" spans="1:12" ht="11.25" x14ac:dyDescent="0.2">
      <c r="A35" s="3" t="s">
        <v>817</v>
      </c>
      <c r="B35" s="3"/>
      <c r="C35" s="3"/>
      <c r="D35" s="325"/>
      <c r="E35" s="3"/>
      <c r="F35" s="325" t="str">
        <f>""&amp;+Input!$B$1</f>
        <v>COLUMBIA GAS OF KENTUCKY, INC.</v>
      </c>
      <c r="H35" s="3"/>
      <c r="I35" s="3"/>
      <c r="J35" s="3"/>
      <c r="K35" s="3"/>
      <c r="L35" s="32" t="str">
        <f>Input!$B$2</f>
        <v>ATTACHMENT CEN-2</v>
      </c>
    </row>
    <row r="36" spans="1:12" ht="11.25" x14ac:dyDescent="0.2">
      <c r="A36" s="3" t="str">
        <f>Input!$B$7</f>
        <v>DEMAND-COMMODITY</v>
      </c>
      <c r="B36" s="3"/>
      <c r="C36" s="3"/>
      <c r="D36" s="325"/>
      <c r="E36" s="3"/>
      <c r="F36" s="325" t="s">
        <v>831</v>
      </c>
      <c r="H36" s="3"/>
      <c r="I36" s="3"/>
      <c r="J36" s="3"/>
      <c r="K36" s="3"/>
      <c r="L36" s="32" t="str">
        <f>"PAGE 53 OF "&amp;FIXED(Input!$B$8,0,TRUE)</f>
        <v>PAGE 53 OF 129</v>
      </c>
    </row>
    <row r="37" spans="1:12" ht="11.25" x14ac:dyDescent="0.2">
      <c r="A37" s="17" t="str">
        <f>Input!$B$6</f>
        <v>FORECASTED TEST YEAR - ORIGINAL FILING</v>
      </c>
      <c r="B37" s="17"/>
      <c r="C37" s="17"/>
      <c r="D37" s="34"/>
      <c r="E37" s="17"/>
      <c r="F37" s="19" t="str">
        <f>"FOR THE TWELVE MONTHS ENDED "&amp;Input!$B$4</f>
        <v>FOR THE TWELVE MONTHS ENDED 12/31/2017</v>
      </c>
      <c r="G37" s="329"/>
      <c r="H37" s="17"/>
      <c r="I37" s="17"/>
      <c r="J37" s="17"/>
      <c r="K37" s="17"/>
      <c r="L37" s="183" t="str">
        <f>"WITNESS: "&amp;Input!$B$5</f>
        <v>WITNESS: C. NOTESTONE</v>
      </c>
    </row>
    <row r="38" spans="1:12" ht="11.25" x14ac:dyDescent="0.2">
      <c r="A38" s="325" t="s">
        <v>5</v>
      </c>
      <c r="B38" s="3" t="s">
        <v>6</v>
      </c>
      <c r="C38" s="3"/>
      <c r="D38" s="325" t="s">
        <v>7</v>
      </c>
      <c r="E38" s="325" t="s">
        <v>8</v>
      </c>
      <c r="F38" s="3"/>
      <c r="G38" s="3"/>
      <c r="H38" s="3"/>
      <c r="I38" s="3"/>
      <c r="J38" s="3"/>
      <c r="K38" s="3"/>
      <c r="L38" s="3"/>
    </row>
    <row r="39" spans="1:12" ht="11.25" x14ac:dyDescent="0.2">
      <c r="A39" s="341" t="s">
        <v>9</v>
      </c>
      <c r="B39" s="341" t="s">
        <v>9</v>
      </c>
      <c r="C39" s="341" t="str">
        <f>"                        ACCOUNT TITLE                "</f>
        <v xml:space="preserve">                        ACCOUNT TITLE                </v>
      </c>
      <c r="D39" s="341" t="s">
        <v>10</v>
      </c>
      <c r="E39" s="341" t="s">
        <v>804</v>
      </c>
      <c r="F39" s="341" t="str">
        <f>"  "&amp;+Input!$C$12</f>
        <v xml:space="preserve">  GS-RESIDENTIAL</v>
      </c>
      <c r="G39" s="341" t="str">
        <f>Input!$C$13</f>
        <v>GS-OTHER</v>
      </c>
      <c r="H39" s="341" t="str">
        <f>Input!$C$14</f>
        <v>IUS</v>
      </c>
      <c r="I39" s="341" t="str">
        <f>Input!$C$15</f>
        <v>DS-ML</v>
      </c>
      <c r="J39" s="341" t="str">
        <f>Input!$C$16</f>
        <v>DS/IS</v>
      </c>
      <c r="K39" s="341" t="str">
        <f>Input!$C$17</f>
        <v>NOT USED</v>
      </c>
      <c r="L39" s="341" t="str">
        <f>Input!$C$18</f>
        <v>NOT USED</v>
      </c>
    </row>
    <row r="40" spans="1:12" ht="11.25" x14ac:dyDescent="0.2">
      <c r="A40" s="3"/>
      <c r="B40" s="342" t="s">
        <v>13</v>
      </c>
      <c r="C40" s="342" t="s">
        <v>14</v>
      </c>
      <c r="D40" s="325" t="s">
        <v>15</v>
      </c>
      <c r="E40" s="325" t="s">
        <v>16</v>
      </c>
      <c r="F40" s="325" t="s">
        <v>17</v>
      </c>
      <c r="G40" s="325" t="s">
        <v>18</v>
      </c>
      <c r="H40" s="325" t="s">
        <v>19</v>
      </c>
      <c r="I40" s="325" t="s">
        <v>20</v>
      </c>
      <c r="J40" s="325" t="s">
        <v>21</v>
      </c>
      <c r="K40" s="325" t="s">
        <v>22</v>
      </c>
      <c r="L40" s="325" t="s">
        <v>23</v>
      </c>
    </row>
    <row r="41" spans="1:12" ht="11.25" x14ac:dyDescent="0.2">
      <c r="A41" s="3"/>
      <c r="B41" s="3"/>
      <c r="C41" s="3"/>
      <c r="D41" s="325"/>
      <c r="E41" s="325" t="s">
        <v>26</v>
      </c>
      <c r="F41" s="325" t="s">
        <v>26</v>
      </c>
      <c r="G41" s="325" t="s">
        <v>26</v>
      </c>
      <c r="H41" s="325" t="s">
        <v>26</v>
      </c>
      <c r="I41" s="325" t="s">
        <v>26</v>
      </c>
      <c r="J41" s="325" t="s">
        <v>26</v>
      </c>
      <c r="K41" s="325" t="s">
        <v>26</v>
      </c>
      <c r="L41" s="325" t="s">
        <v>26</v>
      </c>
    </row>
    <row r="42" spans="1:12" ht="11.25" x14ac:dyDescent="0.2">
      <c r="A42" s="3">
        <v>1</v>
      </c>
      <c r="B42" s="3" t="s">
        <v>421</v>
      </c>
      <c r="C42" s="3"/>
      <c r="D42" s="325"/>
      <c r="E42" s="1">
        <f ca="1">E73+E97</f>
        <v>48600252.386122763</v>
      </c>
      <c r="F42" s="1">
        <f ca="1">F73+F97</f>
        <v>40330678.266063258</v>
      </c>
      <c r="G42" s="1">
        <f ca="1">G73+G97</f>
        <v>7573010.1697446387</v>
      </c>
      <c r="H42" s="1">
        <f t="shared" ref="H42:L42" ca="1" si="12">H73+H97</f>
        <v>2023.8296546941347</v>
      </c>
      <c r="I42" s="1">
        <f t="shared" ca="1" si="12"/>
        <v>127535.18661303596</v>
      </c>
      <c r="J42" s="1">
        <f t="shared" ca="1" si="12"/>
        <v>567011.36805963609</v>
      </c>
      <c r="K42" s="1">
        <f t="shared" ca="1" si="12"/>
        <v>0</v>
      </c>
      <c r="L42" s="1">
        <f t="shared" ca="1" si="12"/>
        <v>0</v>
      </c>
    </row>
    <row r="43" spans="1:12" ht="11.25" x14ac:dyDescent="0.2">
      <c r="A43" s="3"/>
      <c r="B43" s="3"/>
      <c r="C43" s="3"/>
      <c r="D43" s="325"/>
      <c r="E43" s="3"/>
      <c r="F43" s="3"/>
      <c r="G43" s="3"/>
      <c r="H43" s="3"/>
      <c r="I43" s="3"/>
      <c r="J43" s="3"/>
      <c r="K43" s="3"/>
      <c r="L43" s="3"/>
    </row>
    <row r="44" spans="1:12" ht="11.25" x14ac:dyDescent="0.2">
      <c r="A44" s="3">
        <f>A42+1</f>
        <v>2</v>
      </c>
      <c r="B44" s="3" t="s">
        <v>409</v>
      </c>
      <c r="C44" s="3"/>
      <c r="D44" s="325"/>
      <c r="E44" s="3">
        <f>Customer!E99+Customer!E75</f>
        <v>0</v>
      </c>
      <c r="F44" s="3">
        <f>Customer!F99+Customer!F75</f>
        <v>0</v>
      </c>
      <c r="G44" s="3">
        <f>Customer!G99+Customer!G75</f>
        <v>0</v>
      </c>
      <c r="H44" s="3">
        <f>Customer!H99+Customer!H75</f>
        <v>0</v>
      </c>
      <c r="I44" s="3">
        <f>Customer!I99+Customer!I75</f>
        <v>0</v>
      </c>
      <c r="J44" s="3">
        <f>Customer!J99+Customer!J75</f>
        <v>0</v>
      </c>
      <c r="K44" s="3">
        <f>Customer!K99+Customer!K75</f>
        <v>0</v>
      </c>
      <c r="L44" s="3">
        <f>Customer!L99+Customer!L75</f>
        <v>0</v>
      </c>
    </row>
    <row r="45" spans="1:12" ht="11.25" x14ac:dyDescent="0.2">
      <c r="A45" s="3">
        <f t="shared" ref="A45:A50" si="13">A44+1</f>
        <v>3</v>
      </c>
      <c r="B45" s="3" t="s">
        <v>422</v>
      </c>
      <c r="C45" s="3"/>
      <c r="D45" s="325"/>
      <c r="E45" s="3">
        <f ca="1">SUM(F45:L45)</f>
        <v>26968210</v>
      </c>
      <c r="F45" s="3">
        <f ca="1">Customer!F100+Customer!F77+Customer!F79</f>
        <v>22425407</v>
      </c>
      <c r="G45" s="3">
        <f ca="1">Customer!G100+Customer!G77+Customer!G79</f>
        <v>4273656</v>
      </c>
      <c r="H45" s="3">
        <f ca="1">Customer!H100+Customer!H77+Customer!H79</f>
        <v>1210</v>
      </c>
      <c r="I45" s="3">
        <f ca="1">Customer!I100+Customer!I77+Customer!I79</f>
        <v>57225</v>
      </c>
      <c r="J45" s="3">
        <f ca="1">Customer!J100+Customer!J77+Customer!J79</f>
        <v>210712</v>
      </c>
      <c r="K45" s="3">
        <f ca="1">Customer!K100+Customer!K77+Customer!K79</f>
        <v>0</v>
      </c>
      <c r="L45" s="3">
        <f ca="1">Customer!L100+Customer!L77+Customer!L79</f>
        <v>0</v>
      </c>
    </row>
    <row r="46" spans="1:12" ht="11.25" x14ac:dyDescent="0.2">
      <c r="A46" s="3">
        <f t="shared" si="13"/>
        <v>4</v>
      </c>
      <c r="B46" s="3" t="s">
        <v>423</v>
      </c>
      <c r="C46" s="3"/>
      <c r="D46" s="325"/>
      <c r="E46" s="3">
        <f>Customer!E101</f>
        <v>9155554</v>
      </c>
      <c r="F46" s="3">
        <f ca="1">Customer!F101</f>
        <v>7618315</v>
      </c>
      <c r="G46" s="3">
        <f ca="1">Customer!G101</f>
        <v>1359472</v>
      </c>
      <c r="H46" s="3">
        <f ca="1">Customer!H101</f>
        <v>350</v>
      </c>
      <c r="I46" s="3">
        <f ca="1">Customer!I101</f>
        <v>16645</v>
      </c>
      <c r="J46" s="3">
        <f ca="1">Customer!J101</f>
        <v>160772</v>
      </c>
      <c r="K46" s="3">
        <f ca="1">Customer!K101</f>
        <v>0</v>
      </c>
      <c r="L46" s="3">
        <f ca="1">Customer!L101</f>
        <v>0</v>
      </c>
    </row>
    <row r="47" spans="1:12" ht="11.25" x14ac:dyDescent="0.2">
      <c r="A47" s="3">
        <f t="shared" si="13"/>
        <v>5</v>
      </c>
      <c r="B47" s="3" t="s">
        <v>424</v>
      </c>
      <c r="C47" s="3"/>
      <c r="D47" s="325"/>
      <c r="E47" s="3">
        <f ca="1">SUM(F47:L47)</f>
        <v>3577592</v>
      </c>
      <c r="F47" s="3">
        <f ca="1">Customer!F102+Customer!F87</f>
        <v>3041714</v>
      </c>
      <c r="G47" s="3">
        <f ca="1">Customer!G102+Customer!G87</f>
        <v>490901</v>
      </c>
      <c r="H47" s="3">
        <f ca="1">Customer!H102+Customer!H87</f>
        <v>21</v>
      </c>
      <c r="I47" s="3">
        <f ca="1">Customer!I102+Customer!I87</f>
        <v>6598</v>
      </c>
      <c r="J47" s="3">
        <f ca="1">Customer!J102+Customer!J87</f>
        <v>38358</v>
      </c>
      <c r="K47" s="3">
        <f ca="1">Customer!K102+Customer!K87</f>
        <v>0</v>
      </c>
      <c r="L47" s="3">
        <f ca="1">Customer!L102+Customer!L87</f>
        <v>0</v>
      </c>
    </row>
    <row r="48" spans="1:12" ht="11.25" x14ac:dyDescent="0.2">
      <c r="A48" s="3">
        <f t="shared" si="13"/>
        <v>6</v>
      </c>
      <c r="B48" s="3" t="s">
        <v>425</v>
      </c>
      <c r="C48" s="3"/>
      <c r="D48" s="325"/>
      <c r="E48" s="3">
        <f ca="1">SUM(F48:L48)</f>
        <v>647996.78094358568</v>
      </c>
      <c r="F48" s="3">
        <f ca="1">Customer!F103+Customer!F83</f>
        <v>540223.4252796832</v>
      </c>
      <c r="G48" s="3">
        <f ca="1">Customer!G103+Customer!G83</f>
        <v>95196.045269073278</v>
      </c>
      <c r="H48" s="3">
        <f ca="1">Customer!H103+Customer!H83</f>
        <v>20.597002403553802</v>
      </c>
      <c r="I48" s="3">
        <f ca="1">Customer!I103+Customer!I83</f>
        <v>1425.1787317158178</v>
      </c>
      <c r="J48" s="3">
        <f ca="1">Customer!J103+Customer!J83</f>
        <v>11131.534660709876</v>
      </c>
      <c r="K48" s="3">
        <f ca="1">Customer!K103+Customer!K83</f>
        <v>0</v>
      </c>
      <c r="L48" s="3">
        <f ca="1">Customer!L103+Customer!L83</f>
        <v>0</v>
      </c>
    </row>
    <row r="49" spans="1:12" ht="11.25" x14ac:dyDescent="0.2">
      <c r="A49" s="3">
        <f t="shared" si="13"/>
        <v>7</v>
      </c>
      <c r="B49" s="3" t="s">
        <v>426</v>
      </c>
      <c r="C49" s="3"/>
      <c r="D49" s="325"/>
      <c r="E49" s="26">
        <f ca="1">SUM(F49:L49)</f>
        <v>2165395</v>
      </c>
      <c r="F49" s="26">
        <f ca="1">Customer!F104</f>
        <v>1766713</v>
      </c>
      <c r="G49" s="26">
        <f ca="1">Customer!G104</f>
        <v>359323</v>
      </c>
      <c r="H49" s="26">
        <f ca="1">Customer!H104</f>
        <v>108</v>
      </c>
      <c r="I49" s="26">
        <f ca="1">Customer!I104</f>
        <v>7967</v>
      </c>
      <c r="J49" s="26">
        <f ca="1">Customer!J104</f>
        <v>31284</v>
      </c>
      <c r="K49" s="26">
        <f ca="1">Customer!K104</f>
        <v>0</v>
      </c>
      <c r="L49" s="26">
        <f ca="1">Customer!L104</f>
        <v>0</v>
      </c>
    </row>
    <row r="50" spans="1:12" ht="11.25" x14ac:dyDescent="0.2">
      <c r="A50" s="3">
        <f t="shared" si="13"/>
        <v>8</v>
      </c>
      <c r="B50" s="3" t="s">
        <v>415</v>
      </c>
      <c r="C50" s="3"/>
      <c r="D50" s="325"/>
      <c r="E50" s="3">
        <f t="shared" ref="E50:L50" ca="1" si="14">SUM(E44:E49)</f>
        <v>42514747.780943587</v>
      </c>
      <c r="F50" s="3">
        <f t="shared" ca="1" si="14"/>
        <v>35392372.425279684</v>
      </c>
      <c r="G50" s="3">
        <f t="shared" ca="1" si="14"/>
        <v>6578548.045269073</v>
      </c>
      <c r="H50" s="3">
        <f t="shared" ca="1" si="14"/>
        <v>1709.5970024035537</v>
      </c>
      <c r="I50" s="3">
        <f t="shared" ca="1" si="14"/>
        <v>89860.178731715816</v>
      </c>
      <c r="J50" s="3">
        <f t="shared" ca="1" si="14"/>
        <v>452257.53466070991</v>
      </c>
      <c r="K50" s="3">
        <f t="shared" ca="1" si="14"/>
        <v>0</v>
      </c>
      <c r="L50" s="3">
        <f t="shared" ca="1" si="14"/>
        <v>0</v>
      </c>
    </row>
    <row r="51" spans="1:12" ht="11.25" x14ac:dyDescent="0.2">
      <c r="A51" s="3"/>
      <c r="B51" s="3"/>
      <c r="C51" s="3"/>
      <c r="D51" s="325"/>
      <c r="E51" s="3"/>
      <c r="F51" s="3"/>
      <c r="G51" s="3"/>
      <c r="H51" s="3"/>
      <c r="I51" s="3"/>
      <c r="J51" s="3"/>
      <c r="K51" s="3"/>
      <c r="L51" s="3"/>
    </row>
    <row r="52" spans="1:12" ht="11.25" x14ac:dyDescent="0.2">
      <c r="A52" s="3">
        <f>A50+1</f>
        <v>9</v>
      </c>
      <c r="B52" s="3" t="s">
        <v>48</v>
      </c>
      <c r="C52" s="3"/>
      <c r="D52" s="325"/>
      <c r="E52" s="3">
        <f t="shared" ref="E52:L52" ca="1" si="15">E42-E50</f>
        <v>6085504.6051791757</v>
      </c>
      <c r="F52" s="3">
        <f t="shared" ca="1" si="15"/>
        <v>4938305.8407835737</v>
      </c>
      <c r="G52" s="3">
        <f t="shared" ca="1" si="15"/>
        <v>994462.12447556574</v>
      </c>
      <c r="H52" s="3">
        <f t="shared" ca="1" si="15"/>
        <v>314.23265229058097</v>
      </c>
      <c r="I52" s="3">
        <f t="shared" ca="1" si="15"/>
        <v>37675.00788132014</v>
      </c>
      <c r="J52" s="3">
        <f t="shared" ca="1" si="15"/>
        <v>114753.83339892619</v>
      </c>
      <c r="K52" s="3">
        <f t="shared" ca="1" si="15"/>
        <v>0</v>
      </c>
      <c r="L52" s="3">
        <f t="shared" ca="1" si="15"/>
        <v>0</v>
      </c>
    </row>
    <row r="53" spans="1:12" ht="11.25" x14ac:dyDescent="0.2">
      <c r="A53" s="3"/>
      <c r="B53" s="3"/>
      <c r="C53" s="3"/>
      <c r="D53" s="325"/>
      <c r="E53" s="3"/>
      <c r="F53" s="3"/>
      <c r="G53" s="3"/>
      <c r="H53" s="3"/>
      <c r="I53" s="3"/>
      <c r="J53" s="3"/>
      <c r="K53" s="3"/>
      <c r="L53" s="3"/>
    </row>
    <row r="54" spans="1:12" ht="11.25" x14ac:dyDescent="0.2">
      <c r="A54" s="3">
        <f>A52+1</f>
        <v>10</v>
      </c>
      <c r="B54" s="3" t="s">
        <v>427</v>
      </c>
      <c r="C54" s="3"/>
      <c r="D54" s="325"/>
      <c r="E54" s="26">
        <f ca="1">SUM(F54:L54)</f>
        <v>1910316</v>
      </c>
      <c r="F54" s="26">
        <f ca="1">Customer!F109</f>
        <v>1550193</v>
      </c>
      <c r="G54" s="26">
        <f ca="1">Customer!G109</f>
        <v>312174</v>
      </c>
      <c r="H54" s="26">
        <f ca="1">Customer!H109</f>
        <v>99</v>
      </c>
      <c r="I54" s="26">
        <f ca="1">Customer!I109</f>
        <v>11827</v>
      </c>
      <c r="J54" s="26">
        <f ca="1">Customer!J109</f>
        <v>36023</v>
      </c>
      <c r="K54" s="26">
        <f ca="1">Customer!K109</f>
        <v>0</v>
      </c>
      <c r="L54" s="26">
        <f ca="1">Customer!L109</f>
        <v>0</v>
      </c>
    </row>
    <row r="55" spans="1:12" ht="11.25" x14ac:dyDescent="0.2">
      <c r="A55" s="3">
        <f>A54+1</f>
        <v>11</v>
      </c>
      <c r="B55" s="3" t="s">
        <v>417</v>
      </c>
      <c r="C55" s="3"/>
      <c r="D55" s="325"/>
      <c r="E55" s="3">
        <f t="shared" ref="E55:L55" ca="1" si="16">E52-E54</f>
        <v>4175188.6051791757</v>
      </c>
      <c r="F55" s="3">
        <f t="shared" ca="1" si="16"/>
        <v>3388112.8407835737</v>
      </c>
      <c r="G55" s="3">
        <f t="shared" ca="1" si="16"/>
        <v>682288.12447556574</v>
      </c>
      <c r="H55" s="3">
        <f t="shared" ca="1" si="16"/>
        <v>215.23265229058097</v>
      </c>
      <c r="I55" s="3">
        <f t="shared" ca="1" si="16"/>
        <v>25848.00788132014</v>
      </c>
      <c r="J55" s="3">
        <f t="shared" ca="1" si="16"/>
        <v>78730.833398926188</v>
      </c>
      <c r="K55" s="3">
        <f t="shared" ca="1" si="16"/>
        <v>0</v>
      </c>
      <c r="L55" s="3">
        <f t="shared" ca="1" si="16"/>
        <v>0</v>
      </c>
    </row>
    <row r="56" spans="1:12" ht="11.25" x14ac:dyDescent="0.2">
      <c r="A56" s="3"/>
      <c r="B56" s="3"/>
      <c r="C56" s="3"/>
      <c r="D56" s="325"/>
      <c r="E56" s="3"/>
      <c r="F56" s="3"/>
      <c r="G56" s="3"/>
      <c r="H56" s="3"/>
      <c r="I56" s="3"/>
      <c r="J56" s="3"/>
      <c r="K56" s="3"/>
      <c r="L56" s="3"/>
    </row>
    <row r="57" spans="1:12" ht="11.25" x14ac:dyDescent="0.2">
      <c r="A57" s="3">
        <f>A55+1</f>
        <v>12</v>
      </c>
      <c r="B57" s="3" t="s">
        <v>428</v>
      </c>
      <c r="C57" s="3"/>
      <c r="D57" s="325"/>
      <c r="E57" s="3">
        <f ca="1">Customer!E113</f>
        <v>72360386</v>
      </c>
      <c r="F57" s="3">
        <f ca="1">Customer!F113</f>
        <v>58719448</v>
      </c>
      <c r="G57" s="3">
        <f ca="1">Customer!G113</f>
        <v>11824755</v>
      </c>
      <c r="H57" s="3">
        <f ca="1">Customer!H113</f>
        <v>3734</v>
      </c>
      <c r="I57" s="3">
        <f ca="1">Customer!I113</f>
        <v>447979</v>
      </c>
      <c r="J57" s="3">
        <f ca="1">Customer!J113</f>
        <v>1364492</v>
      </c>
      <c r="K57" s="3">
        <f ca="1">Customer!K113</f>
        <v>0</v>
      </c>
      <c r="L57" s="3">
        <f ca="1">Customer!L113</f>
        <v>0</v>
      </c>
    </row>
    <row r="58" spans="1:12" ht="11.25" x14ac:dyDescent="0.2">
      <c r="A58" s="3"/>
      <c r="B58" s="3"/>
      <c r="C58" s="3"/>
      <c r="D58" s="325"/>
      <c r="E58" s="48"/>
      <c r="F58" s="48"/>
      <c r="G58" s="48"/>
      <c r="H58" s="48"/>
      <c r="I58" s="48"/>
      <c r="J58" s="48"/>
      <c r="K58" s="48"/>
      <c r="L58" s="48"/>
    </row>
    <row r="59" spans="1:12" ht="11.25" x14ac:dyDescent="0.2">
      <c r="A59" s="3">
        <f>A57+1</f>
        <v>13</v>
      </c>
      <c r="B59" s="3" t="s">
        <v>429</v>
      </c>
      <c r="C59" s="3"/>
      <c r="D59" s="325"/>
      <c r="E59" s="49">
        <f t="shared" ref="E59:L59" ca="1" si="17">IF(E57=0,0,ROUND(E52/E57,4))</f>
        <v>8.4099999999999994E-2</v>
      </c>
      <c r="F59" s="49">
        <f t="shared" ca="1" si="17"/>
        <v>8.4099999999999994E-2</v>
      </c>
      <c r="G59" s="49">
        <f t="shared" ca="1" si="17"/>
        <v>8.4099999999999994E-2</v>
      </c>
      <c r="H59" s="49">
        <f t="shared" ca="1" si="17"/>
        <v>8.4199999999999997E-2</v>
      </c>
      <c r="I59" s="49">
        <f t="shared" ca="1" si="17"/>
        <v>8.4099999999999994E-2</v>
      </c>
      <c r="J59" s="49">
        <f t="shared" ca="1" si="17"/>
        <v>8.4099999999999994E-2</v>
      </c>
      <c r="K59" s="49">
        <f t="shared" ca="1" si="17"/>
        <v>0</v>
      </c>
      <c r="L59" s="49">
        <f t="shared" ca="1" si="17"/>
        <v>0</v>
      </c>
    </row>
    <row r="60" spans="1:12" ht="11.25" x14ac:dyDescent="0.2">
      <c r="A60" s="3"/>
      <c r="B60" s="3"/>
      <c r="C60" s="3"/>
      <c r="D60" s="325"/>
      <c r="E60" s="3"/>
      <c r="F60" s="3"/>
      <c r="G60" s="3"/>
      <c r="H60" s="3"/>
      <c r="I60" s="3"/>
      <c r="J60" s="3"/>
      <c r="K60" s="3"/>
      <c r="L60" s="3"/>
    </row>
    <row r="61" spans="1:12" ht="11.25" x14ac:dyDescent="0.2">
      <c r="A61" s="3">
        <f>A59+1</f>
        <v>14</v>
      </c>
      <c r="B61" s="3" t="s">
        <v>420</v>
      </c>
      <c r="C61" s="3"/>
      <c r="D61" s="325"/>
      <c r="E61" s="24">
        <v>1</v>
      </c>
      <c r="F61" s="24">
        <f ca="1">ROUND(F59/$E$59,2)</f>
        <v>1</v>
      </c>
      <c r="G61" s="24">
        <f ca="1">ROUND(G59/$E$59,2)</f>
        <v>1</v>
      </c>
      <c r="H61" s="24">
        <f ca="1">ROUND(H59/$E$59,2)</f>
        <v>1</v>
      </c>
      <c r="I61" s="24">
        <f ca="1">ROUND(I59/$E$59,2)</f>
        <v>1</v>
      </c>
      <c r="J61" s="24">
        <f ca="1">ROUND(J59/$E$59,2)</f>
        <v>1</v>
      </c>
      <c r="K61" s="24">
        <f ca="1">ROUND(K59/Customer!$E$115,2)</f>
        <v>0</v>
      </c>
      <c r="L61" s="24">
        <f ca="1">ROUND(L59/Customer!$E$115,2)</f>
        <v>0</v>
      </c>
    </row>
    <row r="62" spans="1:12" ht="11.25" x14ac:dyDescent="0.2">
      <c r="A62" s="3"/>
      <c r="B62" s="3"/>
      <c r="C62" s="3"/>
      <c r="D62" s="325"/>
      <c r="E62" s="31"/>
      <c r="F62" s="31"/>
      <c r="G62" s="31"/>
      <c r="H62" s="31"/>
      <c r="I62" s="31"/>
      <c r="J62" s="31"/>
      <c r="K62" s="31"/>
      <c r="L62" s="31"/>
    </row>
    <row r="63" spans="1:12" ht="11.25" x14ac:dyDescent="0.2">
      <c r="A63" s="3">
        <f>A61+1</f>
        <v>15</v>
      </c>
      <c r="B63" s="1" t="s">
        <v>829</v>
      </c>
      <c r="C63" s="3"/>
      <c r="D63" s="325"/>
      <c r="E63" s="23">
        <f>Input!D60</f>
        <v>135979</v>
      </c>
      <c r="F63" s="23">
        <f>Input!E60</f>
        <v>121915</v>
      </c>
      <c r="G63" s="23">
        <f>Input!F60</f>
        <v>13977</v>
      </c>
      <c r="H63" s="23">
        <f>Input!G60</f>
        <v>2</v>
      </c>
      <c r="I63" s="23">
        <f>Input!H60</f>
        <v>6</v>
      </c>
      <c r="J63" s="23">
        <f>Input!I60</f>
        <v>79</v>
      </c>
      <c r="K63" s="23">
        <f>Input!J60</f>
        <v>0</v>
      </c>
      <c r="L63" s="23">
        <f>Input!K60</f>
        <v>0</v>
      </c>
    </row>
    <row r="64" spans="1:12" ht="11.25" x14ac:dyDescent="0.2">
      <c r="A64" s="4">
        <f>A63+1</f>
        <v>16</v>
      </c>
      <c r="B64" s="214" t="s">
        <v>830</v>
      </c>
      <c r="C64" s="4"/>
      <c r="D64" s="248"/>
      <c r="E64" s="215">
        <f t="shared" ref="E64:L64" ca="1" si="18">IF(E63=0,0,ROUND(E42/E63/12,2))</f>
        <v>29.78</v>
      </c>
      <c r="F64" s="215">
        <f t="shared" ca="1" si="18"/>
        <v>27.57</v>
      </c>
      <c r="G64" s="215">
        <f t="shared" ca="1" si="18"/>
        <v>45.15</v>
      </c>
      <c r="H64" s="215">
        <f t="shared" ca="1" si="18"/>
        <v>84.33</v>
      </c>
      <c r="I64" s="215">
        <f t="shared" ca="1" si="18"/>
        <v>1771.32</v>
      </c>
      <c r="J64" s="215">
        <f t="shared" ca="1" si="18"/>
        <v>598.11</v>
      </c>
      <c r="K64" s="215">
        <f t="shared" si="18"/>
        <v>0</v>
      </c>
      <c r="L64" s="215">
        <f t="shared" si="18"/>
        <v>0</v>
      </c>
    </row>
    <row r="65" spans="1:12" ht="11.25" x14ac:dyDescent="0.2">
      <c r="A65" s="3" t="str">
        <f>"[1] LINE "&amp;A42&amp;" / LINE "&amp;A63&amp;" / 12 MONTHS."</f>
        <v>[1] LINE 1 / LINE 15 / 12 MONTHS.</v>
      </c>
    </row>
    <row r="67" spans="1:12" ht="11.25" x14ac:dyDescent="0.2">
      <c r="A67" s="3" t="s">
        <v>817</v>
      </c>
      <c r="B67" s="3"/>
      <c r="C67" s="3"/>
      <c r="E67" s="3"/>
      <c r="F67" s="325" t="str">
        <f>""&amp;+Input!$B$1</f>
        <v>COLUMBIA GAS OF KENTUCKY, INC.</v>
      </c>
      <c r="H67" s="3"/>
      <c r="I67" s="3"/>
      <c r="J67" s="3"/>
      <c r="K67" s="3"/>
      <c r="L67" s="32" t="str">
        <f>Input!$B$2</f>
        <v>ATTACHMENT CEN-2</v>
      </c>
    </row>
    <row r="68" spans="1:12" ht="11.25" x14ac:dyDescent="0.2">
      <c r="A68" s="3" t="str">
        <f>Input!$B$7</f>
        <v>DEMAND-COMMODITY</v>
      </c>
      <c r="B68" s="3"/>
      <c r="C68" s="3"/>
      <c r="E68" s="3"/>
      <c r="F68" s="325" t="s">
        <v>4</v>
      </c>
      <c r="H68" s="3"/>
      <c r="I68" s="3"/>
      <c r="J68" s="3"/>
      <c r="K68" s="3"/>
      <c r="L68" s="32" t="str">
        <f>"PAGE 54 OF "&amp;FIXED(Input!$B$8,0,TRUE)</f>
        <v>PAGE 54 OF 129</v>
      </c>
    </row>
    <row r="69" spans="1:12" ht="11.25" x14ac:dyDescent="0.2">
      <c r="A69" s="17" t="str">
        <f>Input!$B$6</f>
        <v>FORECASTED TEST YEAR - ORIGINAL FILING</v>
      </c>
      <c r="B69" s="17"/>
      <c r="C69" s="17"/>
      <c r="D69" s="34"/>
      <c r="E69" s="18"/>
      <c r="F69" s="19" t="str">
        <f>"FOR THE TWELVE MONTHS ENDED "&amp;Input!$B$4</f>
        <v>FOR THE TWELVE MONTHS ENDED 12/31/2017</v>
      </c>
      <c r="G69" s="329"/>
      <c r="H69" s="17"/>
      <c r="I69" s="17"/>
      <c r="J69" s="17"/>
      <c r="K69" s="17"/>
      <c r="L69" s="183" t="str">
        <f>"WITNESS: "&amp;Input!$B$5</f>
        <v>WITNESS: C. NOTESTONE</v>
      </c>
    </row>
    <row r="70" spans="1:12" ht="11.25" x14ac:dyDescent="0.2">
      <c r="A70" s="21" t="s">
        <v>5</v>
      </c>
      <c r="C70" s="3"/>
      <c r="D70" s="325" t="s">
        <v>7</v>
      </c>
      <c r="E70" s="325" t="s">
        <v>12</v>
      </c>
      <c r="F70" s="325"/>
      <c r="G70" s="325"/>
      <c r="H70" s="325"/>
      <c r="I70" s="325"/>
      <c r="J70" s="325"/>
      <c r="K70" s="325"/>
      <c r="L70" s="325"/>
    </row>
    <row r="71" spans="1:12" ht="11.25" x14ac:dyDescent="0.2">
      <c r="A71" s="22" t="s">
        <v>9</v>
      </c>
      <c r="C71" s="341" t="s">
        <v>24</v>
      </c>
      <c r="D71" s="341" t="s">
        <v>10</v>
      </c>
      <c r="E71" s="341" t="s">
        <v>804</v>
      </c>
      <c r="F71" s="341" t="str">
        <f>Input!$C$12</f>
        <v>GS-RESIDENTIAL</v>
      </c>
      <c r="G71" s="341" t="str">
        <f>Input!$C$13</f>
        <v>GS-OTHER</v>
      </c>
      <c r="H71" s="341" t="str">
        <f>Input!$C$14</f>
        <v>IUS</v>
      </c>
      <c r="I71" s="341" t="str">
        <f>Input!$C$15</f>
        <v>DS-ML</v>
      </c>
      <c r="J71" s="341" t="str">
        <f>Input!$C$16</f>
        <v>DS/IS</v>
      </c>
      <c r="K71" s="341" t="str">
        <f>Input!$C$17</f>
        <v>NOT USED</v>
      </c>
      <c r="L71" s="341" t="str">
        <f>Input!$C$18</f>
        <v>NOT USED</v>
      </c>
    </row>
    <row r="72" spans="1:12" ht="11.25" x14ac:dyDescent="0.2">
      <c r="A72" s="325"/>
      <c r="C72" s="342" t="s">
        <v>13</v>
      </c>
      <c r="D72" s="342" t="s">
        <v>14</v>
      </c>
      <c r="E72" s="325" t="s">
        <v>15</v>
      </c>
      <c r="F72" s="325" t="s">
        <v>16</v>
      </c>
      <c r="G72" s="325" t="s">
        <v>17</v>
      </c>
      <c r="H72" s="325" t="s">
        <v>18</v>
      </c>
      <c r="I72" s="325" t="s">
        <v>19</v>
      </c>
      <c r="J72" s="325" t="s">
        <v>20</v>
      </c>
      <c r="K72" s="325" t="s">
        <v>21</v>
      </c>
      <c r="L72" s="325" t="s">
        <v>22</v>
      </c>
    </row>
    <row r="73" spans="1:12" ht="11.25" x14ac:dyDescent="0.2">
      <c r="A73" s="325">
        <v>1</v>
      </c>
      <c r="B73" s="3" t="s">
        <v>27</v>
      </c>
      <c r="C73" s="3"/>
      <c r="E73" s="3">
        <f ca="1">((ROUND(E113*Input!$D$24,0)-E107)*Input!$E$49)</f>
        <v>13533792.386122763</v>
      </c>
      <c r="F73" s="3">
        <f ca="1">((ROUND(F113*Input!$D$24,0)-F107)*Input!$E$49)</f>
        <v>17646354.266063262</v>
      </c>
      <c r="G73" s="3">
        <f ca="1">((ROUND(G113*Input!$D$24,0)-G107)*Input!$E$49)</f>
        <v>-1743088.8302553608</v>
      </c>
      <c r="H73" s="3">
        <f ca="1">((ROUND(H113*Input!$D$24,0)-H107)*Input!$E$49)</f>
        <v>-9221.1703453058653</v>
      </c>
      <c r="I73" s="3">
        <f ca="1">((ROUND(I113*Input!$D$24,0)-I107)*Input!$E$49)</f>
        <v>-107204.81338696404</v>
      </c>
      <c r="J73" s="3">
        <f ca="1">((ROUND(J113*Input!$D$24,0)-J107)*Input!$E$49)</f>
        <v>-2253037.6319403639</v>
      </c>
      <c r="K73" s="3">
        <f ca="1">((ROUND(K113*Input!$D$24,0)-K107)*Input!$E$49)</f>
        <v>0</v>
      </c>
      <c r="L73" s="3">
        <f ca="1">((ROUND(L113*Input!$D$24,0)-L107)*Input!$E$49)</f>
        <v>0</v>
      </c>
    </row>
    <row r="74" spans="1:12" ht="11.25" x14ac:dyDescent="0.2">
      <c r="A74" s="325"/>
      <c r="B74" s="3"/>
      <c r="C74" s="3"/>
      <c r="E74" s="23"/>
      <c r="F74" s="23"/>
      <c r="G74" s="23"/>
      <c r="H74" s="23"/>
      <c r="I74" s="23"/>
      <c r="J74" s="23"/>
      <c r="K74" s="23"/>
      <c r="L74" s="23"/>
    </row>
    <row r="75" spans="1:12" ht="11.25" x14ac:dyDescent="0.2">
      <c r="A75" s="325">
        <f>A73+1</f>
        <v>2</v>
      </c>
      <c r="B75" s="25" t="s">
        <v>28</v>
      </c>
      <c r="C75" s="3"/>
      <c r="E75" s="23">
        <f>SUM(F75:L75)</f>
        <v>0</v>
      </c>
      <c r="F75" s="23">
        <f>Input!E556</f>
        <v>0</v>
      </c>
      <c r="G75" s="23">
        <f>Input!F556</f>
        <v>0</v>
      </c>
      <c r="H75" s="23">
        <f>Input!G556</f>
        <v>0</v>
      </c>
      <c r="I75" s="23">
        <f>Input!H556</f>
        <v>0</v>
      </c>
      <c r="J75" s="23">
        <f>Input!I556</f>
        <v>0</v>
      </c>
      <c r="K75" s="23">
        <f>Input!J556</f>
        <v>0</v>
      </c>
      <c r="L75" s="23">
        <f>Input!K556</f>
        <v>0</v>
      </c>
    </row>
    <row r="76" spans="1:12" ht="11.25" x14ac:dyDescent="0.2">
      <c r="A76" s="325"/>
      <c r="B76" s="3"/>
      <c r="C76" s="3"/>
      <c r="E76" s="3"/>
      <c r="F76" s="3"/>
      <c r="G76" s="3"/>
      <c r="H76" s="3"/>
      <c r="I76" s="3"/>
      <c r="J76" s="3"/>
      <c r="K76" s="3"/>
      <c r="L76" s="3"/>
    </row>
    <row r="77" spans="1:12" ht="11.25" x14ac:dyDescent="0.2">
      <c r="A77" s="325">
        <f>A75+1</f>
        <v>3</v>
      </c>
      <c r="B77" s="25" t="str">
        <f>"LESS: UNCOLLECTIBLES @ "&amp;FIXED(Input!$D$26,8,TRUE)</f>
        <v>LESS: UNCOLLECTIBLES @ 0.00923329</v>
      </c>
      <c r="C77" s="3"/>
      <c r="E77" s="23">
        <f ca="1">SUM(F77:L77)</f>
        <v>124962</v>
      </c>
      <c r="F77" s="23">
        <f ca="1">ROUND(F73*Input!$D$26,0)</f>
        <v>162934</v>
      </c>
      <c r="G77" s="23">
        <f ca="1">ROUND(G73*Input!$D$26,0)</f>
        <v>-16094</v>
      </c>
      <c r="H77" s="23">
        <f ca="1">ROUND(H73*Input!$D$26,0)</f>
        <v>-85</v>
      </c>
      <c r="I77" s="23">
        <f ca="1">ROUND(I73*Input!$D$26,0)</f>
        <v>-990</v>
      </c>
      <c r="J77" s="23">
        <f ca="1">ROUND(J73*Input!$D$26,0)</f>
        <v>-20803</v>
      </c>
      <c r="K77" s="23">
        <f ca="1">ROUND(K73*Input!$D$26,0)</f>
        <v>0</v>
      </c>
      <c r="L77" s="23">
        <f ca="1">ROUND(L73*Input!$D$26,0)</f>
        <v>0</v>
      </c>
    </row>
    <row r="78" spans="1:12" ht="11.25" x14ac:dyDescent="0.2">
      <c r="A78" s="325"/>
      <c r="B78" s="3"/>
      <c r="C78" s="3"/>
      <c r="E78" s="23"/>
      <c r="F78" s="23"/>
      <c r="G78" s="23"/>
      <c r="H78" s="23"/>
      <c r="I78" s="23"/>
      <c r="J78" s="23"/>
      <c r="K78" s="23"/>
      <c r="L78" s="23"/>
    </row>
    <row r="79" spans="1:12" ht="11.25" x14ac:dyDescent="0.2">
      <c r="A79" s="325">
        <f>A77+1</f>
        <v>4</v>
      </c>
      <c r="B79" s="25" t="str">
        <f>"LESS: PSC FEES @ "&amp;FIXED(Input!$D$31,8,TRUE)</f>
        <v>LESS: PSC FEES @ 0.00190100</v>
      </c>
      <c r="C79" s="3"/>
      <c r="E79" s="27">
        <f ca="1">SUM(F79:L79)</f>
        <v>25727</v>
      </c>
      <c r="F79" s="27">
        <f ca="1">ROUND(F73*Input!$D$31,0)</f>
        <v>33546</v>
      </c>
      <c r="G79" s="27">
        <f ca="1">ROUND(G73*Input!$D$31,0)</f>
        <v>-3314</v>
      </c>
      <c r="H79" s="27">
        <f ca="1">ROUND(H73*Input!$D$31,0)</f>
        <v>-18</v>
      </c>
      <c r="I79" s="27">
        <f ca="1">ROUND(I73*Input!$D$31,0)</f>
        <v>-204</v>
      </c>
      <c r="J79" s="27">
        <f ca="1">ROUND(J73*Input!$D$31,0)</f>
        <v>-4283</v>
      </c>
      <c r="K79" s="27">
        <f ca="1">ROUND(K73*Input!$D$31,0)</f>
        <v>0</v>
      </c>
      <c r="L79" s="27">
        <f ca="1">ROUND(L73*Input!$D$31,0)</f>
        <v>0</v>
      </c>
    </row>
    <row r="80" spans="1:12" ht="11.25" x14ac:dyDescent="0.2">
      <c r="A80" s="325"/>
      <c r="B80" s="3"/>
      <c r="C80" s="3"/>
      <c r="E80" s="3"/>
      <c r="F80" s="3"/>
      <c r="G80" s="3"/>
      <c r="H80" s="3"/>
      <c r="I80" s="3"/>
      <c r="J80" s="3"/>
      <c r="K80" s="3"/>
      <c r="L80" s="3"/>
    </row>
    <row r="81" spans="1:12" ht="11.25" x14ac:dyDescent="0.2">
      <c r="A81" s="325">
        <f>A79+1</f>
        <v>5</v>
      </c>
      <c r="B81" s="25" t="s">
        <v>31</v>
      </c>
      <c r="C81" s="3"/>
      <c r="E81" s="23">
        <f t="shared" ref="E81:L81" ca="1" si="19">E73-E75-E77-E79</f>
        <v>13383103.386122763</v>
      </c>
      <c r="F81" s="23">
        <f t="shared" ca="1" si="19"/>
        <v>17449874.266063262</v>
      </c>
      <c r="G81" s="23">
        <f t="shared" ca="1" si="19"/>
        <v>-1723680.8302553608</v>
      </c>
      <c r="H81" s="23">
        <f t="shared" ca="1" si="19"/>
        <v>-9118.1703453058653</v>
      </c>
      <c r="I81" s="23">
        <f t="shared" ca="1" si="19"/>
        <v>-106010.81338696404</v>
      </c>
      <c r="J81" s="23">
        <f t="shared" ca="1" si="19"/>
        <v>-2227951.6319403639</v>
      </c>
      <c r="K81" s="23">
        <f t="shared" ca="1" si="19"/>
        <v>0</v>
      </c>
      <c r="L81" s="23">
        <f t="shared" ca="1" si="19"/>
        <v>0</v>
      </c>
    </row>
    <row r="82" spans="1:12" ht="11.25" x14ac:dyDescent="0.2">
      <c r="A82" s="325"/>
      <c r="B82" s="3"/>
      <c r="C82" s="3"/>
      <c r="E82" s="3"/>
      <c r="F82" s="3"/>
      <c r="G82" s="3"/>
      <c r="H82" s="3"/>
      <c r="I82" s="3"/>
      <c r="J82" s="3"/>
      <c r="K82" s="3"/>
      <c r="L82" s="3"/>
    </row>
    <row r="83" spans="1:12" ht="11.25" x14ac:dyDescent="0.2">
      <c r="A83" s="325">
        <f>A81+1</f>
        <v>6</v>
      </c>
      <c r="B83" s="25" t="str">
        <f>"LESS: KENTUCKY STATE INCOME TAX @ "&amp;FIXED(Input!$D$28,4,TRUE)</f>
        <v>LESS: KENTUCKY STATE INCOME TAX @ 0.0600</v>
      </c>
      <c r="C83" s="3"/>
      <c r="E83" s="27">
        <f ca="1">ROUND(E81*Input!$D$28,0)</f>
        <v>802986</v>
      </c>
      <c r="F83" s="27">
        <f ca="1">ROUND(F81*Input!$D$28,0)</f>
        <v>1046992</v>
      </c>
      <c r="G83" s="27">
        <f ca="1">ROUND(G81*Input!$D$28,0)</f>
        <v>-103421</v>
      </c>
      <c r="H83" s="27">
        <f ca="1">ROUND(H81*Input!$D$28,0)</f>
        <v>-547</v>
      </c>
      <c r="I83" s="27">
        <f ca="1">ROUND(I81*Input!$D$28,0)</f>
        <v>-6361</v>
      </c>
      <c r="J83" s="27">
        <f ca="1">ROUND(J81*Input!$D$28,0)</f>
        <v>-133677</v>
      </c>
      <c r="K83" s="27">
        <f ca="1">ROUND(K81*Input!$D$28,0)</f>
        <v>0</v>
      </c>
      <c r="L83" s="27">
        <f ca="1">ROUND(L81*Input!$D$28,0)</f>
        <v>0</v>
      </c>
    </row>
    <row r="84" spans="1:12" ht="11.25" x14ac:dyDescent="0.2">
      <c r="A84" s="325"/>
      <c r="B84" s="3"/>
      <c r="C84" s="3"/>
      <c r="E84" s="23"/>
      <c r="F84" s="23"/>
      <c r="G84" s="23"/>
      <c r="H84" s="23"/>
      <c r="I84" s="23"/>
      <c r="J84" s="23"/>
      <c r="K84" s="23"/>
      <c r="L84" s="23"/>
    </row>
    <row r="85" spans="1:12" ht="11.25" x14ac:dyDescent="0.2">
      <c r="A85" s="325">
        <f>A83+1</f>
        <v>7</v>
      </c>
      <c r="B85" s="25" t="s">
        <v>38</v>
      </c>
      <c r="C85" s="3"/>
      <c r="E85" s="23">
        <f t="shared" ref="E85:L85" ca="1" si="20">E81-E83</f>
        <v>12580117.386122763</v>
      </c>
      <c r="F85" s="23">
        <f t="shared" ca="1" si="20"/>
        <v>16402882.266063262</v>
      </c>
      <c r="G85" s="23">
        <f t="shared" ca="1" si="20"/>
        <v>-1620259.8302553608</v>
      </c>
      <c r="H85" s="23">
        <f t="shared" ca="1" si="20"/>
        <v>-8571.1703453058653</v>
      </c>
      <c r="I85" s="23">
        <f t="shared" ca="1" si="20"/>
        <v>-99649.813386964044</v>
      </c>
      <c r="J85" s="23">
        <f t="shared" ca="1" si="20"/>
        <v>-2094274.6319403639</v>
      </c>
      <c r="K85" s="23">
        <f t="shared" ca="1" si="20"/>
        <v>0</v>
      </c>
      <c r="L85" s="23">
        <f t="shared" ca="1" si="20"/>
        <v>0</v>
      </c>
    </row>
    <row r="86" spans="1:12" ht="11.25" x14ac:dyDescent="0.2">
      <c r="A86" s="325"/>
      <c r="B86" s="3"/>
      <c r="C86" s="3"/>
      <c r="E86" s="23"/>
      <c r="F86" s="23"/>
      <c r="G86" s="23"/>
      <c r="H86" s="23"/>
      <c r="I86" s="23"/>
      <c r="J86" s="23"/>
      <c r="K86" s="23"/>
      <c r="L86" s="23"/>
    </row>
    <row r="87" spans="1:12" ht="11.25" x14ac:dyDescent="0.2">
      <c r="A87" s="325">
        <f>A85+1</f>
        <v>8</v>
      </c>
      <c r="B87" s="25" t="str">
        <f>"LESS: FEDERAL INCOME TAX @ "&amp;FIXED(Input!$D$33,8,TRUE)</f>
        <v>LESS: FEDERAL INCOME TAX @ 0.35000000</v>
      </c>
      <c r="C87" s="3"/>
      <c r="E87" s="27">
        <f ca="1">SUM(F87:L87)</f>
        <v>4403045</v>
      </c>
      <c r="F87" s="27">
        <f ca="1">ROUND(F85*Input!$D$33,0)</f>
        <v>5741009</v>
      </c>
      <c r="G87" s="27">
        <f ca="1">ROUND(G85*Input!$D$33,0)</f>
        <v>-567091</v>
      </c>
      <c r="H87" s="27">
        <f ca="1">ROUND(H85*Input!$D$33,0)</f>
        <v>-3000</v>
      </c>
      <c r="I87" s="27">
        <f ca="1">ROUND(I85*Input!$D$33,0)</f>
        <v>-34877</v>
      </c>
      <c r="J87" s="27">
        <f ca="1">ROUND(J85*Input!$D$33,0)</f>
        <v>-732996</v>
      </c>
      <c r="K87" s="27">
        <f ca="1">ROUND(K85*Input!$D$33,0)</f>
        <v>0</v>
      </c>
      <c r="L87" s="27">
        <f ca="1">ROUND(L85*Input!$D$33,0)</f>
        <v>0</v>
      </c>
    </row>
    <row r="88" spans="1:12" ht="11.25" x14ac:dyDescent="0.2">
      <c r="A88" s="325"/>
      <c r="B88" s="3"/>
      <c r="C88" s="3"/>
      <c r="E88" s="23"/>
      <c r="F88" s="23"/>
      <c r="G88" s="23"/>
      <c r="H88" s="23"/>
      <c r="I88" s="23"/>
      <c r="J88" s="23"/>
      <c r="K88" s="23"/>
      <c r="L88" s="23"/>
    </row>
    <row r="89" spans="1:12" ht="11.25" x14ac:dyDescent="0.2">
      <c r="A89" s="325">
        <f>A87+1</f>
        <v>9</v>
      </c>
      <c r="B89" s="25" t="s">
        <v>48</v>
      </c>
      <c r="C89" s="3"/>
      <c r="E89" s="23">
        <f t="shared" ref="E89:L89" ca="1" si="21">E85-E87</f>
        <v>8177072.3861227632</v>
      </c>
      <c r="F89" s="23">
        <f t="shared" ca="1" si="21"/>
        <v>10661873.266063262</v>
      </c>
      <c r="G89" s="23">
        <f t="shared" ca="1" si="21"/>
        <v>-1053168.8302553608</v>
      </c>
      <c r="H89" s="23">
        <f t="shared" ca="1" si="21"/>
        <v>-5571.1703453058653</v>
      </c>
      <c r="I89" s="23">
        <f t="shared" ca="1" si="21"/>
        <v>-64772.813386964044</v>
      </c>
      <c r="J89" s="23">
        <f t="shared" ca="1" si="21"/>
        <v>-1361278.6319403639</v>
      </c>
      <c r="K89" s="23">
        <f t="shared" ca="1" si="21"/>
        <v>0</v>
      </c>
      <c r="L89" s="23">
        <f t="shared" ca="1" si="21"/>
        <v>0</v>
      </c>
    </row>
    <row r="90" spans="1:12" ht="11.25" x14ac:dyDescent="0.2">
      <c r="A90" s="3" t="s">
        <v>817</v>
      </c>
      <c r="B90" s="3"/>
      <c r="C90" s="14"/>
      <c r="D90" s="325"/>
      <c r="E90" s="15"/>
      <c r="F90" s="325" t="str">
        <f>""&amp;+Input!$B$1</f>
        <v>COLUMBIA GAS OF KENTUCKY, INC.</v>
      </c>
      <c r="H90" s="3"/>
      <c r="I90" s="3"/>
      <c r="J90" s="3"/>
      <c r="K90" s="3"/>
      <c r="L90" s="32" t="str">
        <f>Input!$B$2</f>
        <v>ATTACHMENT CEN-2</v>
      </c>
    </row>
    <row r="91" spans="1:12" ht="11.25" x14ac:dyDescent="0.2">
      <c r="A91" s="3" t="str">
        <f>Input!$B$7</f>
        <v>DEMAND-COMMODITY</v>
      </c>
      <c r="B91" s="3"/>
      <c r="C91" s="3"/>
      <c r="D91" s="325"/>
      <c r="E91" s="3"/>
      <c r="F91" s="325" t="s">
        <v>578</v>
      </c>
      <c r="H91" s="3"/>
      <c r="I91" s="3"/>
      <c r="J91" s="3"/>
      <c r="K91" s="3"/>
      <c r="L91" s="32" t="str">
        <f>"PAGE 55 OF "&amp;FIXED(Input!$B$8,0,TRUE)</f>
        <v>PAGE 55 OF 129</v>
      </c>
    </row>
    <row r="92" spans="1:12" ht="11.25" x14ac:dyDescent="0.2">
      <c r="A92" s="17" t="str">
        <f>Input!$B$6</f>
        <v>FORECASTED TEST YEAR - ORIGINAL FILING</v>
      </c>
      <c r="B92" s="17"/>
      <c r="C92" s="17"/>
      <c r="D92" s="34"/>
      <c r="E92" s="17"/>
      <c r="F92" s="19" t="str">
        <f>"FOR THE TWELVE MONTHS ENDED "&amp;Input!$B$4</f>
        <v>FOR THE TWELVE MONTHS ENDED 12/31/2017</v>
      </c>
      <c r="G92" s="329"/>
      <c r="H92" s="17"/>
      <c r="I92" s="17"/>
      <c r="J92" s="17"/>
      <c r="K92" s="17"/>
      <c r="L92" s="183" t="str">
        <f>"WITNESS: "&amp;Input!$B$5</f>
        <v>WITNESS: C. NOTESTONE</v>
      </c>
    </row>
    <row r="93" spans="1:12" ht="11.25" x14ac:dyDescent="0.2">
      <c r="A93" s="325" t="s">
        <v>5</v>
      </c>
      <c r="B93" s="3" t="s">
        <v>6</v>
      </c>
      <c r="C93" s="3"/>
      <c r="D93" s="325" t="s">
        <v>7</v>
      </c>
      <c r="E93" s="325" t="s">
        <v>8</v>
      </c>
      <c r="F93" s="325"/>
      <c r="G93" s="325"/>
      <c r="H93" s="325"/>
      <c r="I93" s="325"/>
      <c r="J93" s="325"/>
      <c r="K93" s="325"/>
      <c r="L93" s="325"/>
    </row>
    <row r="94" spans="1:12" ht="11.25" x14ac:dyDescent="0.2">
      <c r="A94" s="341" t="s">
        <v>9</v>
      </c>
      <c r="B94" s="341" t="s">
        <v>9</v>
      </c>
      <c r="C94" s="341" t="str">
        <f>"                        ACCOUNT TITLE                "</f>
        <v xml:space="preserve">                        ACCOUNT TITLE                </v>
      </c>
      <c r="D94" s="341" t="s">
        <v>10</v>
      </c>
      <c r="E94" s="341" t="s">
        <v>804</v>
      </c>
      <c r="F94" s="341" t="str">
        <f>"  "&amp;+Input!$C$12</f>
        <v xml:space="preserve">  GS-RESIDENTIAL</v>
      </c>
      <c r="G94" s="341" t="str">
        <f>Input!$C$13</f>
        <v>GS-OTHER</v>
      </c>
      <c r="H94" s="341" t="str">
        <f>Input!$C$14</f>
        <v>IUS</v>
      </c>
      <c r="I94" s="341" t="str">
        <f>Input!$C$15</f>
        <v>DS-ML</v>
      </c>
      <c r="J94" s="341" t="str">
        <f>Input!$C$16</f>
        <v>DS/IS</v>
      </c>
      <c r="K94" s="341" t="str">
        <f>Input!$C$17</f>
        <v>NOT USED</v>
      </c>
      <c r="L94" s="341" t="str">
        <f>Input!$C$18</f>
        <v>NOT USED</v>
      </c>
    </row>
    <row r="95" spans="1:12" ht="11.25" x14ac:dyDescent="0.2">
      <c r="A95" s="3"/>
      <c r="B95" s="342" t="s">
        <v>13</v>
      </c>
      <c r="C95" s="342" t="s">
        <v>14</v>
      </c>
      <c r="D95" s="325" t="s">
        <v>15</v>
      </c>
      <c r="E95" s="325" t="s">
        <v>16</v>
      </c>
      <c r="F95" s="325" t="s">
        <v>17</v>
      </c>
      <c r="G95" s="325" t="s">
        <v>18</v>
      </c>
      <c r="H95" s="325" t="s">
        <v>19</v>
      </c>
      <c r="I95" s="325" t="s">
        <v>20</v>
      </c>
      <c r="J95" s="325" t="s">
        <v>21</v>
      </c>
      <c r="K95" s="325" t="s">
        <v>22</v>
      </c>
      <c r="L95" s="325" t="s">
        <v>23</v>
      </c>
    </row>
    <row r="96" spans="1:12" ht="11.25" x14ac:dyDescent="0.2">
      <c r="A96" s="3"/>
      <c r="B96" s="3"/>
      <c r="C96" s="3"/>
      <c r="D96" s="325"/>
      <c r="E96" s="325" t="s">
        <v>26</v>
      </c>
      <c r="F96" s="325" t="s">
        <v>26</v>
      </c>
      <c r="G96" s="325" t="s">
        <v>26</v>
      </c>
      <c r="H96" s="325" t="s">
        <v>26</v>
      </c>
      <c r="I96" s="325" t="s">
        <v>26</v>
      </c>
      <c r="J96" s="325" t="s">
        <v>26</v>
      </c>
      <c r="K96" s="325" t="s">
        <v>26</v>
      </c>
      <c r="L96" s="325" t="s">
        <v>26</v>
      </c>
    </row>
    <row r="97" spans="1:12" ht="11.25" x14ac:dyDescent="0.2">
      <c r="A97" s="3">
        <v>1</v>
      </c>
      <c r="B97" s="3" t="s">
        <v>408</v>
      </c>
      <c r="C97" s="3"/>
      <c r="D97" s="325"/>
      <c r="E97" s="3">
        <f ca="1">Customer!E396</f>
        <v>35066460</v>
      </c>
      <c r="F97" s="3">
        <f ca="1">Customer!F396</f>
        <v>22684324</v>
      </c>
      <c r="G97" s="3">
        <f ca="1">Customer!G396</f>
        <v>9316099</v>
      </c>
      <c r="H97" s="3">
        <f ca="1">Customer!H396</f>
        <v>11245</v>
      </c>
      <c r="I97" s="3">
        <f ca="1">Customer!I396</f>
        <v>234740</v>
      </c>
      <c r="J97" s="3">
        <f ca="1">Customer!J396</f>
        <v>2820049</v>
      </c>
      <c r="K97" s="3">
        <f>Customer!K396</f>
        <v>0</v>
      </c>
      <c r="L97" s="3">
        <f>Customer!L396</f>
        <v>0</v>
      </c>
    </row>
    <row r="98" spans="1:12" ht="11.25" x14ac:dyDescent="0.2">
      <c r="A98" s="3"/>
      <c r="B98" s="3"/>
      <c r="C98" s="3"/>
      <c r="D98" s="325"/>
      <c r="E98" s="3"/>
      <c r="F98" s="3"/>
      <c r="G98" s="3"/>
      <c r="H98" s="3"/>
      <c r="I98" s="3"/>
      <c r="J98" s="3"/>
      <c r="K98" s="3"/>
      <c r="L98" s="3"/>
    </row>
    <row r="99" spans="1:12" ht="11.25" x14ac:dyDescent="0.2">
      <c r="A99" s="3">
        <f>A97+1</f>
        <v>2</v>
      </c>
      <c r="B99" s="3" t="s">
        <v>409</v>
      </c>
      <c r="C99" s="3"/>
      <c r="D99" s="325"/>
      <c r="E99" s="3">
        <f>Customer!E427</f>
        <v>0</v>
      </c>
      <c r="F99" s="3">
        <f>Customer!F427</f>
        <v>0</v>
      </c>
      <c r="G99" s="3">
        <f>Customer!G427</f>
        <v>0</v>
      </c>
      <c r="H99" s="3">
        <f>Customer!H427</f>
        <v>0</v>
      </c>
      <c r="I99" s="3">
        <f>Customer!I427</f>
        <v>0</v>
      </c>
      <c r="J99" s="3">
        <f>Customer!J427</f>
        <v>0</v>
      </c>
      <c r="K99" s="3">
        <f>Customer!K427</f>
        <v>0</v>
      </c>
      <c r="L99" s="3">
        <f>Customer!L427</f>
        <v>0</v>
      </c>
    </row>
    <row r="100" spans="1:12" ht="11.25" x14ac:dyDescent="0.2">
      <c r="A100" s="3">
        <f t="shared" ref="A100:A105" si="22">A99+1</f>
        <v>3</v>
      </c>
      <c r="B100" s="3" t="s">
        <v>410</v>
      </c>
      <c r="C100" s="3"/>
      <c r="D100" s="325"/>
      <c r="E100" s="3">
        <f ca="1">Customer!E663</f>
        <v>26817519</v>
      </c>
      <c r="F100" s="3">
        <f ca="1">Customer!F663</f>
        <v>22228927</v>
      </c>
      <c r="G100" s="3">
        <f ca="1">Customer!G663</f>
        <v>4293064</v>
      </c>
      <c r="H100" s="3">
        <f ca="1">Customer!H663</f>
        <v>1313</v>
      </c>
      <c r="I100" s="3">
        <f ca="1">Customer!I663</f>
        <v>58419</v>
      </c>
      <c r="J100" s="3">
        <f ca="1">Customer!J663</f>
        <v>235798</v>
      </c>
      <c r="K100" s="3">
        <f ca="1">Customer!K663</f>
        <v>0</v>
      </c>
      <c r="L100" s="3">
        <f ca="1">Customer!L663</f>
        <v>0</v>
      </c>
    </row>
    <row r="101" spans="1:12" ht="11.25" x14ac:dyDescent="0.2">
      <c r="A101" s="3">
        <f t="shared" si="22"/>
        <v>4</v>
      </c>
      <c r="B101" s="3" t="s">
        <v>411</v>
      </c>
      <c r="C101" s="3"/>
      <c r="D101" s="325"/>
      <c r="E101" s="3">
        <f>Customer!E375</f>
        <v>9155554</v>
      </c>
      <c r="F101" s="3">
        <f ca="1">Customer!F375</f>
        <v>7618315</v>
      </c>
      <c r="G101" s="3">
        <f ca="1">Customer!G375</f>
        <v>1359472</v>
      </c>
      <c r="H101" s="3">
        <f ca="1">Customer!H375</f>
        <v>350</v>
      </c>
      <c r="I101" s="3">
        <f ca="1">Customer!I375</f>
        <v>16645</v>
      </c>
      <c r="J101" s="3">
        <f ca="1">Customer!J375</f>
        <v>160772</v>
      </c>
      <c r="K101" s="3">
        <f ca="1">Customer!K375</f>
        <v>0</v>
      </c>
      <c r="L101" s="3">
        <f ca="1">Customer!L375</f>
        <v>0</v>
      </c>
    </row>
    <row r="102" spans="1:12" ht="11.25" x14ac:dyDescent="0.2">
      <c r="A102" s="3">
        <f t="shared" si="22"/>
        <v>5</v>
      </c>
      <c r="B102" s="3" t="s">
        <v>412</v>
      </c>
      <c r="C102" s="3"/>
      <c r="D102" s="325"/>
      <c r="E102" s="3">
        <f ca="1">Customer!E771</f>
        <v>-825452</v>
      </c>
      <c r="F102" s="3">
        <f ca="1">Customer!F771</f>
        <v>-2699295</v>
      </c>
      <c r="G102" s="3">
        <f ca="1">Customer!G771</f>
        <v>1057992</v>
      </c>
      <c r="H102" s="3">
        <f ca="1">Customer!H771</f>
        <v>3021</v>
      </c>
      <c r="I102" s="3">
        <f ca="1">Customer!I771</f>
        <v>41475</v>
      </c>
      <c r="J102" s="3">
        <f ca="1">Customer!J771</f>
        <v>771354</v>
      </c>
      <c r="K102" s="3">
        <f ca="1">Customer!K771</f>
        <v>0</v>
      </c>
      <c r="L102" s="3">
        <f ca="1">Customer!L771</f>
        <v>0</v>
      </c>
    </row>
    <row r="103" spans="1:12" ht="11.25" x14ac:dyDescent="0.2">
      <c r="A103" s="3">
        <f t="shared" si="22"/>
        <v>6</v>
      </c>
      <c r="B103" s="3" t="s">
        <v>413</v>
      </c>
      <c r="C103" s="3"/>
      <c r="D103" s="325"/>
      <c r="E103" s="3">
        <f ca="1">Customer!E721</f>
        <v>-154988.91905799857</v>
      </c>
      <c r="F103" s="3">
        <f ca="1">Customer!F721</f>
        <v>-506768.57472031674</v>
      </c>
      <c r="G103" s="3">
        <f ca="1">Customer!G721</f>
        <v>198617.04526907328</v>
      </c>
      <c r="H103" s="3">
        <f ca="1">Customer!H721</f>
        <v>567.5970024035538</v>
      </c>
      <c r="I103" s="3">
        <f ca="1">Customer!I721</f>
        <v>7786.1787317158178</v>
      </c>
      <c r="J103" s="3">
        <f ca="1">Customer!J721</f>
        <v>144808.53466070988</v>
      </c>
      <c r="K103" s="3">
        <f ca="1">Customer!K721</f>
        <v>0</v>
      </c>
      <c r="L103" s="3">
        <f ca="1">Customer!L721</f>
        <v>0</v>
      </c>
    </row>
    <row r="104" spans="1:12" ht="11.25" x14ac:dyDescent="0.2">
      <c r="A104" s="3">
        <f t="shared" si="22"/>
        <v>7</v>
      </c>
      <c r="B104" s="3" t="s">
        <v>414</v>
      </c>
      <c r="C104" s="3"/>
      <c r="D104" s="325"/>
      <c r="E104" s="26">
        <f>Customer!E679</f>
        <v>2165396</v>
      </c>
      <c r="F104" s="26">
        <f ca="1">Customer!F679</f>
        <v>1766713</v>
      </c>
      <c r="G104" s="26">
        <f ca="1">Customer!G679</f>
        <v>359323</v>
      </c>
      <c r="H104" s="26">
        <f ca="1">Customer!H679</f>
        <v>108</v>
      </c>
      <c r="I104" s="26">
        <f ca="1">Customer!I679</f>
        <v>7967</v>
      </c>
      <c r="J104" s="26">
        <f ca="1">Customer!J679</f>
        <v>31284</v>
      </c>
      <c r="K104" s="26">
        <f ca="1">Customer!K679</f>
        <v>0</v>
      </c>
      <c r="L104" s="26">
        <f ca="1">Customer!L679</f>
        <v>0</v>
      </c>
    </row>
    <row r="105" spans="1:12" ht="11.25" x14ac:dyDescent="0.2">
      <c r="A105" s="3">
        <f t="shared" si="22"/>
        <v>8</v>
      </c>
      <c r="B105" s="3" t="s">
        <v>415</v>
      </c>
      <c r="C105" s="3"/>
      <c r="D105" s="325"/>
      <c r="E105" s="3">
        <f t="shared" ref="E105:L105" ca="1" si="23">SUM(E99:E104)</f>
        <v>37158028.080942005</v>
      </c>
      <c r="F105" s="3">
        <f t="shared" ca="1" si="23"/>
        <v>28407891.425279684</v>
      </c>
      <c r="G105" s="3">
        <f t="shared" ca="1" si="23"/>
        <v>7268468.045269073</v>
      </c>
      <c r="H105" s="3">
        <f t="shared" ca="1" si="23"/>
        <v>5359.5970024035541</v>
      </c>
      <c r="I105" s="3">
        <f t="shared" ca="1" si="23"/>
        <v>132292.17873171583</v>
      </c>
      <c r="J105" s="3">
        <f t="shared" ca="1" si="23"/>
        <v>1344016.5346607098</v>
      </c>
      <c r="K105" s="3">
        <f t="shared" ca="1" si="23"/>
        <v>0</v>
      </c>
      <c r="L105" s="3">
        <f t="shared" ca="1" si="23"/>
        <v>0</v>
      </c>
    </row>
    <row r="106" spans="1:12" ht="11.25" x14ac:dyDescent="0.2">
      <c r="A106" s="3"/>
      <c r="B106" s="3"/>
      <c r="C106" s="3"/>
      <c r="D106" s="325"/>
      <c r="E106" s="3"/>
      <c r="F106" s="3"/>
      <c r="G106" s="3"/>
      <c r="H106" s="3"/>
      <c r="I106" s="3"/>
      <c r="J106" s="3"/>
      <c r="K106" s="3"/>
      <c r="L106" s="3"/>
    </row>
    <row r="107" spans="1:12" ht="11.25" x14ac:dyDescent="0.2">
      <c r="A107" s="3">
        <f>A105+1</f>
        <v>9</v>
      </c>
      <c r="B107" s="3" t="s">
        <v>48</v>
      </c>
      <c r="C107" s="3"/>
      <c r="D107" s="325"/>
      <c r="E107" s="3">
        <f t="shared" ref="E107:L107" ca="1" si="24">E97-E105</f>
        <v>-2091568.0809420049</v>
      </c>
      <c r="F107" s="3">
        <f t="shared" ca="1" si="24"/>
        <v>-5723567.4252796844</v>
      </c>
      <c r="G107" s="3">
        <f t="shared" ca="1" si="24"/>
        <v>2047630.954730927</v>
      </c>
      <c r="H107" s="3">
        <f t="shared" ca="1" si="24"/>
        <v>5885.4029975964459</v>
      </c>
      <c r="I107" s="3">
        <f t="shared" ca="1" si="24"/>
        <v>102447.82126828417</v>
      </c>
      <c r="J107" s="3">
        <f t="shared" ca="1" si="24"/>
        <v>1476032.4653392902</v>
      </c>
      <c r="K107" s="3">
        <f t="shared" ca="1" si="24"/>
        <v>0</v>
      </c>
      <c r="L107" s="3">
        <f t="shared" ca="1" si="24"/>
        <v>0</v>
      </c>
    </row>
    <row r="108" spans="1:12" ht="11.25" x14ac:dyDescent="0.2">
      <c r="A108" s="3"/>
      <c r="B108" s="3"/>
      <c r="C108" s="3"/>
      <c r="D108" s="325"/>
      <c r="E108" s="3"/>
      <c r="F108" s="3"/>
      <c r="G108" s="3"/>
      <c r="H108" s="3"/>
      <c r="I108" s="3"/>
      <c r="J108" s="3"/>
      <c r="K108" s="3"/>
      <c r="L108" s="3"/>
    </row>
    <row r="109" spans="1:12" ht="11.25" x14ac:dyDescent="0.2">
      <c r="A109" s="3">
        <f>A107+1</f>
        <v>10</v>
      </c>
      <c r="B109" s="3" t="s">
        <v>416</v>
      </c>
      <c r="C109" s="3"/>
      <c r="D109" s="325"/>
      <c r="E109" s="26">
        <f ca="1">Customer!E736</f>
        <v>1910314</v>
      </c>
      <c r="F109" s="26">
        <f ca="1">Customer!F736</f>
        <v>1550193</v>
      </c>
      <c r="G109" s="26">
        <f ca="1">Customer!G736</f>
        <v>312174</v>
      </c>
      <c r="H109" s="26">
        <f ca="1">Customer!H736</f>
        <v>99</v>
      </c>
      <c r="I109" s="26">
        <f ca="1">Customer!I736</f>
        <v>11827</v>
      </c>
      <c r="J109" s="26">
        <f ca="1">Customer!J736</f>
        <v>36023</v>
      </c>
      <c r="K109" s="26">
        <f ca="1">Customer!K736</f>
        <v>0</v>
      </c>
      <c r="L109" s="26">
        <f ca="1">Customer!L736</f>
        <v>0</v>
      </c>
    </row>
    <row r="110" spans="1:12" ht="11.25" x14ac:dyDescent="0.2">
      <c r="A110" s="3"/>
      <c r="B110" s="3"/>
      <c r="C110" s="3"/>
      <c r="D110" s="325"/>
      <c r="E110" s="3"/>
      <c r="F110" s="3"/>
      <c r="G110" s="3"/>
      <c r="H110" s="3"/>
      <c r="I110" s="3"/>
      <c r="J110" s="3"/>
      <c r="K110" s="3"/>
      <c r="L110" s="3"/>
    </row>
    <row r="111" spans="1:12" ht="11.25" x14ac:dyDescent="0.2">
      <c r="A111" s="3">
        <f>A109+1</f>
        <v>11</v>
      </c>
      <c r="B111" s="3" t="s">
        <v>417</v>
      </c>
      <c r="C111" s="3"/>
      <c r="D111" s="325"/>
      <c r="E111" s="3">
        <f t="shared" ref="E111:L111" ca="1" si="25">E107-E109</f>
        <v>-4001882.0809420049</v>
      </c>
      <c r="F111" s="3">
        <f t="shared" ca="1" si="25"/>
        <v>-7273760.4252796844</v>
      </c>
      <c r="G111" s="3">
        <f t="shared" ca="1" si="25"/>
        <v>1735456.954730927</v>
      </c>
      <c r="H111" s="3">
        <f t="shared" ca="1" si="25"/>
        <v>5786.4029975964459</v>
      </c>
      <c r="I111" s="3">
        <f t="shared" ca="1" si="25"/>
        <v>90620.821268284169</v>
      </c>
      <c r="J111" s="3">
        <f t="shared" ca="1" si="25"/>
        <v>1440009.4653392902</v>
      </c>
      <c r="K111" s="3">
        <f t="shared" ca="1" si="25"/>
        <v>0</v>
      </c>
      <c r="L111" s="3">
        <f t="shared" ca="1" si="25"/>
        <v>0</v>
      </c>
    </row>
    <row r="112" spans="1:12" ht="11.25" x14ac:dyDescent="0.2">
      <c r="A112" s="3"/>
      <c r="B112" s="3"/>
      <c r="C112" s="3"/>
      <c r="D112" s="325"/>
      <c r="E112" s="3"/>
      <c r="F112" s="3"/>
      <c r="G112" s="3"/>
      <c r="H112" s="3"/>
      <c r="I112" s="3"/>
      <c r="J112" s="3"/>
      <c r="K112" s="3"/>
      <c r="L112" s="3"/>
    </row>
    <row r="113" spans="1:12" ht="11.25" x14ac:dyDescent="0.2">
      <c r="A113" s="3">
        <f>A111+1</f>
        <v>12</v>
      </c>
      <c r="B113" s="3" t="s">
        <v>418</v>
      </c>
      <c r="C113" s="3"/>
      <c r="D113" s="325"/>
      <c r="E113" s="3">
        <f ca="1">Customer!E800</f>
        <v>72360386</v>
      </c>
      <c r="F113" s="3">
        <f ca="1">Customer!F800</f>
        <v>58719448</v>
      </c>
      <c r="G113" s="3">
        <f ca="1">Customer!G800</f>
        <v>11824755</v>
      </c>
      <c r="H113" s="3">
        <f ca="1">Customer!H800</f>
        <v>3734</v>
      </c>
      <c r="I113" s="3">
        <f ca="1">Customer!I800</f>
        <v>447979</v>
      </c>
      <c r="J113" s="3">
        <f ca="1">Customer!J800</f>
        <v>1364492</v>
      </c>
      <c r="K113" s="3">
        <f ca="1">Customer!K800</f>
        <v>0</v>
      </c>
      <c r="L113" s="3">
        <f ca="1">Customer!L800</f>
        <v>0</v>
      </c>
    </row>
    <row r="114" spans="1:12" ht="11.25" x14ac:dyDescent="0.2">
      <c r="A114" s="3"/>
      <c r="B114" s="3"/>
      <c r="C114" s="3"/>
      <c r="D114" s="325"/>
      <c r="E114" s="48"/>
      <c r="F114" s="48"/>
      <c r="G114" s="48"/>
      <c r="H114" s="48"/>
      <c r="I114" s="48"/>
      <c r="J114" s="48"/>
      <c r="K114" s="48"/>
      <c r="L114" s="48"/>
    </row>
    <row r="115" spans="1:12" ht="11.25" x14ac:dyDescent="0.2">
      <c r="A115" s="3">
        <f>A113+1</f>
        <v>13</v>
      </c>
      <c r="B115" s="3" t="s">
        <v>419</v>
      </c>
      <c r="C115" s="3"/>
      <c r="D115" s="325"/>
      <c r="E115" s="49">
        <f ca="1">IF(E113=0,0,ROUND(E107/E113,4))</f>
        <v>-2.8899999999999999E-2</v>
      </c>
      <c r="F115" s="49">
        <f ca="1">IF(F113=0,0,ROUND(F107/F113,4))</f>
        <v>-9.7500000000000003E-2</v>
      </c>
      <c r="G115" s="49">
        <f ca="1">IF(G113=0,0,ROUND(G107/G113,4))</f>
        <v>0.17319999999999999</v>
      </c>
      <c r="H115" s="49">
        <f ca="1">IF(H113=0,0,ROUND(H107/H113,4))</f>
        <v>1.5762</v>
      </c>
      <c r="I115" s="49">
        <f t="shared" ref="I115:J115" ca="1" si="26">IF(I113=0,0,ROUND(I107/I113,4))</f>
        <v>0.22869999999999999</v>
      </c>
      <c r="J115" s="49">
        <f t="shared" ca="1" si="26"/>
        <v>1.0817000000000001</v>
      </c>
      <c r="K115" s="49">
        <f ca="1">IF(K113=0,0,ROUND(K107/K113,4))</f>
        <v>0</v>
      </c>
      <c r="L115" s="49">
        <f ca="1">IF(L113=0,0,ROUND(L107/L113,4))</f>
        <v>0</v>
      </c>
    </row>
    <row r="116" spans="1:12" ht="11.25" x14ac:dyDescent="0.2">
      <c r="A116" s="3"/>
      <c r="B116" s="3"/>
      <c r="C116" s="3"/>
      <c r="D116" s="325"/>
      <c r="E116" s="3"/>
      <c r="F116" s="3"/>
      <c r="G116" s="3"/>
      <c r="H116" s="3"/>
      <c r="I116" s="3"/>
      <c r="J116" s="3"/>
      <c r="K116" s="3"/>
      <c r="L116" s="3"/>
    </row>
    <row r="117" spans="1:12" ht="11.25" x14ac:dyDescent="0.2">
      <c r="A117" s="3">
        <f>A115+1</f>
        <v>14</v>
      </c>
      <c r="B117" s="3" t="s">
        <v>420</v>
      </c>
      <c r="C117" s="3"/>
      <c r="D117" s="325"/>
      <c r="E117" s="24">
        <v>1</v>
      </c>
      <c r="F117" s="24">
        <f ca="1">ROUND(F115/$E$115,2)</f>
        <v>3.37</v>
      </c>
      <c r="G117" s="24">
        <f ca="1">ROUND(G115/$E$115,2)</f>
        <v>-5.99</v>
      </c>
      <c r="H117" s="24">
        <f ca="1">ROUND(H115/$E$115,2)</f>
        <v>-54.54</v>
      </c>
      <c r="I117" s="24">
        <f t="shared" ref="I117:J117" ca="1" si="27">ROUND(I115/$E$115,2)</f>
        <v>-7.91</v>
      </c>
      <c r="J117" s="24">
        <f t="shared" ca="1" si="27"/>
        <v>-37.43</v>
      </c>
      <c r="K117" s="24">
        <f ca="1">ROUND(K115/$E$115,2)</f>
        <v>0</v>
      </c>
      <c r="L117" s="24">
        <f ca="1">ROUND(L115/$E$115,2)</f>
        <v>0</v>
      </c>
    </row>
    <row r="118" spans="1:12" ht="11.25" x14ac:dyDescent="0.2">
      <c r="A118" s="3"/>
      <c r="B118" s="3"/>
      <c r="C118" s="3"/>
      <c r="D118" s="325"/>
      <c r="E118" s="31"/>
      <c r="F118" s="31"/>
      <c r="G118" s="31"/>
      <c r="H118" s="31"/>
      <c r="I118" s="31"/>
      <c r="J118" s="31"/>
      <c r="K118" s="31"/>
      <c r="L118" s="31"/>
    </row>
    <row r="119" spans="1:12" ht="11.25" x14ac:dyDescent="0.2">
      <c r="A119" s="3"/>
      <c r="B119" s="3"/>
      <c r="C119" s="3"/>
      <c r="D119" s="325"/>
      <c r="E119" s="31"/>
      <c r="F119" s="31"/>
      <c r="G119" s="31"/>
      <c r="H119" s="31"/>
      <c r="I119" s="31"/>
      <c r="J119" s="31"/>
      <c r="K119" s="31"/>
      <c r="L119" s="31"/>
    </row>
    <row r="120" spans="1:12" ht="11.25" x14ac:dyDescent="0.2">
      <c r="A120" s="3"/>
      <c r="B120" s="3"/>
      <c r="C120" s="3"/>
      <c r="D120" s="325"/>
      <c r="E120" s="3"/>
      <c r="F120" s="3"/>
      <c r="G120" s="3"/>
      <c r="H120" s="3"/>
      <c r="I120" s="3"/>
      <c r="J120" s="3"/>
      <c r="K120" s="3"/>
      <c r="L120" s="3"/>
    </row>
    <row r="121" spans="1:12" ht="11.25" x14ac:dyDescent="0.2">
      <c r="A121" s="3"/>
      <c r="B121" s="3"/>
      <c r="C121" s="3"/>
      <c r="D121" s="325"/>
      <c r="E121" s="3"/>
      <c r="F121" s="3"/>
      <c r="G121" s="3"/>
      <c r="H121" s="3"/>
      <c r="I121" s="3"/>
      <c r="J121" s="3"/>
      <c r="K121" s="3"/>
      <c r="L121" s="3"/>
    </row>
    <row r="122" spans="1:12" ht="11.25" x14ac:dyDescent="0.2">
      <c r="A122" s="3" t="s">
        <v>1135</v>
      </c>
      <c r="B122" s="3"/>
      <c r="C122" s="3"/>
      <c r="D122" s="325"/>
      <c r="E122" s="3"/>
      <c r="F122" s="3"/>
      <c r="G122" s="3"/>
      <c r="H122" s="3"/>
      <c r="I122" s="3"/>
      <c r="J122" s="3"/>
      <c r="K122" s="3"/>
      <c r="L122" s="3"/>
    </row>
    <row r="123" spans="1:12" ht="11.25" x14ac:dyDescent="0.2">
      <c r="A123" s="3"/>
      <c r="B123" s="3"/>
      <c r="C123" s="3"/>
      <c r="D123" s="325"/>
      <c r="E123" s="3"/>
      <c r="F123" s="3"/>
      <c r="G123" s="3"/>
      <c r="H123" s="3"/>
      <c r="I123" s="3"/>
      <c r="J123" s="3"/>
      <c r="K123" s="3"/>
      <c r="L123" s="3"/>
    </row>
    <row r="124" spans="1:12" ht="11.25" x14ac:dyDescent="0.2">
      <c r="A124" s="3" t="s">
        <v>817</v>
      </c>
      <c r="B124" s="14"/>
      <c r="C124" s="3"/>
      <c r="D124" s="325"/>
      <c r="E124" s="3"/>
      <c r="F124" s="325" t="str">
        <f>""&amp;+Input!$B$1</f>
        <v>COLUMBIA GAS OF KENTUCKY, INC.</v>
      </c>
      <c r="H124" s="3"/>
      <c r="I124" s="15"/>
      <c r="J124" s="3"/>
      <c r="K124" s="3"/>
      <c r="L124" s="32" t="str">
        <f>Input!$B$2</f>
        <v>ATTACHMENT CEN-2</v>
      </c>
    </row>
    <row r="125" spans="1:12" ht="11.25" x14ac:dyDescent="0.2">
      <c r="A125" s="3" t="str">
        <f>Input!$B$7</f>
        <v>DEMAND-COMMODITY</v>
      </c>
      <c r="B125" s="3"/>
      <c r="C125" s="3"/>
      <c r="D125" s="325"/>
      <c r="E125" s="3"/>
      <c r="F125" s="325" t="s">
        <v>805</v>
      </c>
      <c r="H125" s="3"/>
      <c r="I125" s="3"/>
      <c r="J125" s="3"/>
      <c r="K125" s="3"/>
      <c r="L125" s="32" t="str">
        <f>"PAGE 56 OF "&amp;FIXED(Input!$B$8,0,TRUE)</f>
        <v>PAGE 56 OF 129</v>
      </c>
    </row>
    <row r="126" spans="1:12" ht="11.25" x14ac:dyDescent="0.2">
      <c r="A126" s="17" t="str">
        <f>Input!$B$6</f>
        <v>FORECASTED TEST YEAR - ORIGINAL FILING</v>
      </c>
      <c r="B126" s="17"/>
      <c r="C126" s="17"/>
      <c r="D126" s="19"/>
      <c r="E126" s="18"/>
      <c r="F126" s="19" t="str">
        <f>"FOR THE TWELVE MONTHS ENDED "&amp;Input!$B$4</f>
        <v>FOR THE TWELVE MONTHS ENDED 12/31/2017</v>
      </c>
      <c r="G126" s="329"/>
      <c r="H126" s="17"/>
      <c r="I126" s="17"/>
      <c r="J126" s="17"/>
      <c r="K126" s="17"/>
      <c r="L126" s="183" t="str">
        <f>"WITNESS: "&amp;Input!$B$5</f>
        <v>WITNESS: C. NOTESTONE</v>
      </c>
    </row>
    <row r="127" spans="1:12" ht="11.25" x14ac:dyDescent="0.2">
      <c r="A127" s="325" t="s">
        <v>5</v>
      </c>
      <c r="B127" s="3" t="s">
        <v>6</v>
      </c>
      <c r="C127" s="3"/>
      <c r="D127" s="325" t="s">
        <v>7</v>
      </c>
      <c r="E127" s="325" t="s">
        <v>8</v>
      </c>
      <c r="F127" s="325"/>
      <c r="G127" s="325"/>
      <c r="H127" s="325"/>
      <c r="I127" s="325"/>
      <c r="J127" s="325"/>
      <c r="K127" s="325"/>
      <c r="L127" s="325"/>
    </row>
    <row r="128" spans="1:12" ht="11.25" x14ac:dyDescent="0.2">
      <c r="A128" s="341" t="s">
        <v>9</v>
      </c>
      <c r="B128" s="341" t="s">
        <v>9</v>
      </c>
      <c r="C128" s="20" t="s">
        <v>484</v>
      </c>
      <c r="D128" s="341" t="s">
        <v>10</v>
      </c>
      <c r="E128" s="341" t="s">
        <v>804</v>
      </c>
      <c r="F128" s="341" t="str">
        <f>"  "&amp;+Input!$C$12</f>
        <v xml:space="preserve">  GS-RESIDENTIAL</v>
      </c>
      <c r="G128" s="341" t="str">
        <f>Input!$C$13</f>
        <v>GS-OTHER</v>
      </c>
      <c r="H128" s="341" t="str">
        <f>Input!$C$14</f>
        <v>IUS</v>
      </c>
      <c r="I128" s="341" t="str">
        <f>Input!$C$15</f>
        <v>DS-ML</v>
      </c>
      <c r="J128" s="341" t="str">
        <f>Input!$C$16</f>
        <v>DS/IS</v>
      </c>
      <c r="K128" s="341" t="str">
        <f>Input!$C$17</f>
        <v>NOT USED</v>
      </c>
      <c r="L128" s="341" t="str">
        <f>Input!$C$18</f>
        <v>NOT USED</v>
      </c>
    </row>
    <row r="129" spans="1:12" ht="11.25" x14ac:dyDescent="0.2">
      <c r="A129" s="325"/>
      <c r="B129" s="342" t="s">
        <v>13</v>
      </c>
      <c r="C129" s="342" t="s">
        <v>14</v>
      </c>
      <c r="D129" s="325" t="s">
        <v>15</v>
      </c>
      <c r="E129" s="325" t="s">
        <v>16</v>
      </c>
      <c r="F129" s="325" t="s">
        <v>17</v>
      </c>
      <c r="G129" s="325" t="s">
        <v>18</v>
      </c>
      <c r="H129" s="325" t="s">
        <v>19</v>
      </c>
      <c r="I129" s="325" t="s">
        <v>20</v>
      </c>
      <c r="J129" s="325" t="s">
        <v>21</v>
      </c>
      <c r="K129" s="325" t="s">
        <v>22</v>
      </c>
      <c r="L129" s="325" t="s">
        <v>23</v>
      </c>
    </row>
    <row r="130" spans="1:12" ht="11.25" x14ac:dyDescent="0.2">
      <c r="A130" s="325"/>
      <c r="B130" s="3"/>
      <c r="C130" s="3"/>
      <c r="D130" s="325"/>
      <c r="E130" s="325" t="s">
        <v>26</v>
      </c>
      <c r="F130" s="325" t="s">
        <v>26</v>
      </c>
      <c r="G130" s="325" t="s">
        <v>26</v>
      </c>
      <c r="H130" s="325" t="s">
        <v>26</v>
      </c>
      <c r="I130" s="325" t="s">
        <v>26</v>
      </c>
      <c r="J130" s="325" t="s">
        <v>26</v>
      </c>
      <c r="K130" s="325" t="s">
        <v>26</v>
      </c>
      <c r="L130" s="325" t="s">
        <v>26</v>
      </c>
    </row>
    <row r="131" spans="1:12" ht="11.25" x14ac:dyDescent="0.2">
      <c r="A131" s="325">
        <v>1</v>
      </c>
      <c r="B131" s="3"/>
      <c r="C131" s="3" t="str">
        <f>Input!A85</f>
        <v>INTANGIBLE PLANT</v>
      </c>
      <c r="D131" s="325"/>
      <c r="E131" s="3"/>
      <c r="F131" s="3"/>
      <c r="G131" s="3"/>
      <c r="H131" s="3"/>
      <c r="I131" s="3"/>
      <c r="J131" s="3"/>
      <c r="K131" s="3"/>
      <c r="L131" s="3"/>
    </row>
    <row r="132" spans="1:12" ht="11.25" x14ac:dyDescent="0.2">
      <c r="A132" s="325"/>
      <c r="B132" s="3"/>
      <c r="C132" s="3"/>
      <c r="D132" s="325"/>
      <c r="E132" s="3"/>
      <c r="F132" s="3"/>
      <c r="G132" s="3"/>
      <c r="H132" s="3"/>
      <c r="I132" s="3"/>
      <c r="J132" s="3"/>
      <c r="K132" s="3"/>
      <c r="L132" s="3"/>
    </row>
    <row r="133" spans="1:12" ht="11.25" x14ac:dyDescent="0.2">
      <c r="A133" s="325">
        <f>A131+1</f>
        <v>2</v>
      </c>
      <c r="B133" s="24">
        <f>Input!A86</f>
        <v>301</v>
      </c>
      <c r="C133" s="3" t="str">
        <f>Input!B86</f>
        <v>ORGANIZATION</v>
      </c>
      <c r="D133" s="325" t="str">
        <f>VLOOKUP(Input!C86,'Alloc Table Cust'!$A$7:$B$27,2,FALSE)</f>
        <v>7CUST</v>
      </c>
      <c r="E133" s="3">
        <f>Classification!F133</f>
        <v>218</v>
      </c>
      <c r="F133" s="3">
        <f ca="1">ROUND((VLOOKUP($D133,'Alloc Table Cust'!$B$7:$S$58,13,FALSE)*$E133),0)</f>
        <v>180</v>
      </c>
      <c r="G133" s="3">
        <f ca="1">ROUND((VLOOKUP($D133,'Alloc Table Cust'!$B$7:$T$58,14,FALSE)*$E133),0)</f>
        <v>34</v>
      </c>
      <c r="H133" s="3">
        <f ca="1">ROUND((VLOOKUP($D133,'Alloc Table Cust'!$B$7:$T$58,15,FALSE)*$E133),0)</f>
        <v>0</v>
      </c>
      <c r="I133" s="3">
        <f ca="1">ROUND((VLOOKUP($D133,'Alloc Table Cust'!$B$7:$T$58,16,FALSE)*$E133),0)</f>
        <v>1</v>
      </c>
      <c r="J133" s="3">
        <f ca="1">ROUND((VLOOKUP($D133,'Alloc Table Cust'!$B$7:$T$58,17,FALSE)*$E133),0)</f>
        <v>3</v>
      </c>
      <c r="K133" s="3">
        <f ca="1">ROUND((VLOOKUP($D133,'Alloc Table Cust'!$B$7:$T$58,18,FALSE)*$E133),0)</f>
        <v>0</v>
      </c>
      <c r="L133" s="3">
        <f ca="1">ROUND((VLOOKUP($D133,'Alloc Table Cust'!$B$7:$T$58,19,FALSE)*$E133),0)</f>
        <v>0</v>
      </c>
    </row>
    <row r="134" spans="1:12" ht="11.25" x14ac:dyDescent="0.2">
      <c r="A134" s="325">
        <f>A133+1</f>
        <v>3</v>
      </c>
      <c r="B134" s="24">
        <f>Input!A87</f>
        <v>303</v>
      </c>
      <c r="C134" s="3" t="str">
        <f>Input!B87</f>
        <v>MISC. INTANGIBLE PLANT</v>
      </c>
      <c r="D134" s="325" t="str">
        <f>VLOOKUP(Input!C87,'Alloc Table Cust'!$A$7:$B$27,2,FALSE)</f>
        <v>7CUST</v>
      </c>
      <c r="E134" s="3">
        <f>Classification!F134</f>
        <v>31112</v>
      </c>
      <c r="F134" s="3">
        <f ca="1">ROUND((VLOOKUP($D134,'Alloc Table Cust'!$B$7:$S$58,13,FALSE)*$E134),0)</f>
        <v>25716</v>
      </c>
      <c r="G134" s="3">
        <f ca="1">ROUND((VLOOKUP($D134,'Alloc Table Cust'!$B$7:$T$58,14,FALSE)*$E134),0)</f>
        <v>4796</v>
      </c>
      <c r="H134" s="3">
        <f ca="1">ROUND((VLOOKUP($D134,'Alloc Table Cust'!$B$7:$T$58,15,FALSE)*$E134),0)</f>
        <v>1</v>
      </c>
      <c r="I134" s="3">
        <f ca="1">ROUND((VLOOKUP($D134,'Alloc Table Cust'!$B$7:$T$58,16,FALSE)*$E134),0)</f>
        <v>123</v>
      </c>
      <c r="J134" s="3">
        <f ca="1">ROUND((VLOOKUP($D134,'Alloc Table Cust'!$B$7:$T$58,17,FALSE)*$E134),0)</f>
        <v>476</v>
      </c>
      <c r="K134" s="3">
        <f ca="1">ROUND((VLOOKUP($D134,'Alloc Table Cust'!$B$7:$T$58,18,FALSE)*$E134),0)</f>
        <v>0</v>
      </c>
      <c r="L134" s="3">
        <f ca="1">ROUND((VLOOKUP($D134,'Alloc Table Cust'!$B$7:$T$58,19,FALSE)*$E134),0)</f>
        <v>0</v>
      </c>
    </row>
    <row r="135" spans="1:12" ht="11.25" x14ac:dyDescent="0.2">
      <c r="A135" s="325">
        <f>A134+1</f>
        <v>4</v>
      </c>
      <c r="B135" s="24">
        <f>Input!A88</f>
        <v>303.10000000000002</v>
      </c>
      <c r="C135" s="3" t="str">
        <f>Input!B88</f>
        <v>DIS SOFTWARE</v>
      </c>
      <c r="D135" s="325" t="str">
        <f>VLOOKUP(Input!C88,'Alloc Table Cust'!$A$7:$B$27,2,FALSE)</f>
        <v>7CUST</v>
      </c>
      <c r="E135" s="3">
        <f>Classification!F135</f>
        <v>0</v>
      </c>
      <c r="F135" s="3">
        <f ca="1">ROUND((VLOOKUP($D135,'Alloc Table Cust'!$B$7:$S$58,13,FALSE)*$E135),0)</f>
        <v>0</v>
      </c>
      <c r="G135" s="3">
        <f ca="1">ROUND((VLOOKUP($D135,'Alloc Table Cust'!$B$7:$T$58,14,FALSE)*$E135),0)</f>
        <v>0</v>
      </c>
      <c r="H135" s="3">
        <f ca="1">ROUND((VLOOKUP($D135,'Alloc Table Cust'!$B$7:$T$58,15,FALSE)*$E135),0)</f>
        <v>0</v>
      </c>
      <c r="I135" s="3">
        <f ca="1">ROUND((VLOOKUP($D135,'Alloc Table Cust'!$B$7:$T$58,16,FALSE)*$E135),0)</f>
        <v>0</v>
      </c>
      <c r="J135" s="3">
        <f ca="1">ROUND((VLOOKUP($D135,'Alloc Table Cust'!$B$7:$T$58,17,FALSE)*$E135),0)</f>
        <v>0</v>
      </c>
      <c r="K135" s="3">
        <f ca="1">ROUND((VLOOKUP($D135,'Alloc Table Cust'!$B$7:$T$58,18,FALSE)*$E135),0)</f>
        <v>0</v>
      </c>
      <c r="L135" s="3">
        <f ca="1">ROUND((VLOOKUP($D135,'Alloc Table Cust'!$B$7:$T$58,19,FALSE)*$E135),0)</f>
        <v>0</v>
      </c>
    </row>
    <row r="136" spans="1:12" ht="11.25" x14ac:dyDescent="0.2">
      <c r="A136" s="325">
        <f>A135+1</f>
        <v>5</v>
      </c>
      <c r="B136" s="24">
        <f>Input!A89</f>
        <v>303.2</v>
      </c>
      <c r="C136" s="3" t="str">
        <f>Input!B89</f>
        <v>FARA SOFTWARE</v>
      </c>
      <c r="D136" s="325" t="str">
        <f>VLOOKUP(Input!C89,'Alloc Table Cust'!$A$7:$B$27,2,FALSE)</f>
        <v>7CUST</v>
      </c>
      <c r="E136" s="3">
        <f>Classification!F136</f>
        <v>0</v>
      </c>
      <c r="F136" s="3">
        <f ca="1">ROUND((VLOOKUP($D136,'Alloc Table Cust'!$B$7:$S$58,13,FALSE)*$E136),0)</f>
        <v>0</v>
      </c>
      <c r="G136" s="3">
        <f ca="1">ROUND((VLOOKUP($D136,'Alloc Table Cust'!$B$7:$T$58,14,FALSE)*$E136),0)</f>
        <v>0</v>
      </c>
      <c r="H136" s="3">
        <f ca="1">ROUND((VLOOKUP($D136,'Alloc Table Cust'!$B$7:$T$58,15,FALSE)*$E136),0)</f>
        <v>0</v>
      </c>
      <c r="I136" s="3">
        <f ca="1">ROUND((VLOOKUP($D136,'Alloc Table Cust'!$B$7:$T$58,16,FALSE)*$E136),0)</f>
        <v>0</v>
      </c>
      <c r="J136" s="3">
        <f ca="1">ROUND((VLOOKUP($D136,'Alloc Table Cust'!$B$7:$T$58,17,FALSE)*$E136),0)</f>
        <v>0</v>
      </c>
      <c r="K136" s="3">
        <f ca="1">ROUND((VLOOKUP($D136,'Alloc Table Cust'!$B$7:$T$58,18,FALSE)*$E136),0)</f>
        <v>0</v>
      </c>
      <c r="L136" s="3">
        <f ca="1">ROUND((VLOOKUP($D136,'Alloc Table Cust'!$B$7:$T$58,19,FALSE)*$E136),0)</f>
        <v>0</v>
      </c>
    </row>
    <row r="137" spans="1:12" ht="11.25" x14ac:dyDescent="0.2">
      <c r="A137" s="325">
        <f>A136+1</f>
        <v>6</v>
      </c>
      <c r="B137" s="24">
        <f>Input!A90</f>
        <v>303.3</v>
      </c>
      <c r="C137" s="3" t="str">
        <f>Input!B90</f>
        <v>OTHER SOFTWARE</v>
      </c>
      <c r="D137" s="325" t="str">
        <f>VLOOKUP(Input!C90,'Alloc Table Cust'!$A$7:$B$27,2,FALSE)</f>
        <v>7CUST</v>
      </c>
      <c r="E137" s="26">
        <f>Classification!F137</f>
        <v>3490598</v>
      </c>
      <c r="F137" s="26">
        <f ca="1">ROUND((VLOOKUP($D137,'Alloc Table Cust'!$B$7:$S$58,13,FALSE)*$E137),0)</f>
        <v>2885154</v>
      </c>
      <c r="G137" s="26">
        <f ca="1">ROUND((VLOOKUP($D137,'Alloc Table Cust'!$B$7:$T$58,14,FALSE)*$E137),0)</f>
        <v>538041</v>
      </c>
      <c r="H137" s="26">
        <f ca="1">ROUND((VLOOKUP($D137,'Alloc Table Cust'!$B$7:$T$58,15,FALSE)*$E137),0)</f>
        <v>140</v>
      </c>
      <c r="I137" s="26">
        <f ca="1">ROUND((VLOOKUP($D137,'Alloc Table Cust'!$B$7:$T$58,16,FALSE)*$E137),0)</f>
        <v>13823</v>
      </c>
      <c r="J137" s="26">
        <f ca="1">ROUND((VLOOKUP($D137,'Alloc Table Cust'!$B$7:$T$58,17,FALSE)*$E137),0)</f>
        <v>53441</v>
      </c>
      <c r="K137" s="26">
        <f ca="1">ROUND((VLOOKUP($D137,'Alloc Table Cust'!$B$7:$T$58,18,FALSE)*$E137),0)</f>
        <v>0</v>
      </c>
      <c r="L137" s="26">
        <f ca="1">ROUND((VLOOKUP($D137,'Alloc Table Cust'!$B$7:$T$58,19,FALSE)*$E137),0)</f>
        <v>0</v>
      </c>
    </row>
    <row r="138" spans="1:12" ht="11.25" x14ac:dyDescent="0.2">
      <c r="A138" s="325">
        <f>A137+1</f>
        <v>7</v>
      </c>
      <c r="B138" s="3"/>
      <c r="C138" s="3" t="s">
        <v>30</v>
      </c>
      <c r="D138" s="325"/>
      <c r="E138" s="3">
        <f t="shared" ref="E138:L138" si="28">SUM(E133:E137)</f>
        <v>3521928</v>
      </c>
      <c r="F138" s="3">
        <f t="shared" ca="1" si="28"/>
        <v>2911050</v>
      </c>
      <c r="G138" s="3">
        <f t="shared" ca="1" si="28"/>
        <v>542871</v>
      </c>
      <c r="H138" s="3">
        <f t="shared" ca="1" si="28"/>
        <v>141</v>
      </c>
      <c r="I138" s="3">
        <f t="shared" ca="1" si="28"/>
        <v>13947</v>
      </c>
      <c r="J138" s="3">
        <f t="shared" ca="1" si="28"/>
        <v>53920</v>
      </c>
      <c r="K138" s="3">
        <f t="shared" ca="1" si="28"/>
        <v>0</v>
      </c>
      <c r="L138" s="3">
        <f t="shared" ca="1" si="28"/>
        <v>0</v>
      </c>
    </row>
    <row r="139" spans="1:12" ht="11.25" x14ac:dyDescent="0.2">
      <c r="A139" s="325"/>
      <c r="B139" s="3"/>
      <c r="C139" s="3"/>
      <c r="D139" s="325"/>
      <c r="E139" s="3"/>
      <c r="F139" s="3"/>
      <c r="G139" s="3"/>
      <c r="H139" s="3"/>
      <c r="I139" s="3"/>
      <c r="J139" s="3"/>
      <c r="K139" s="3"/>
      <c r="L139" s="3"/>
    </row>
    <row r="140" spans="1:12" ht="11.25" x14ac:dyDescent="0.2">
      <c r="A140" s="325">
        <f>A138+1</f>
        <v>8</v>
      </c>
      <c r="B140" s="3"/>
      <c r="C140" s="25" t="str">
        <f>Input!A91</f>
        <v>PRODUCTION PLANT</v>
      </c>
      <c r="D140" s="325"/>
      <c r="E140" s="3"/>
      <c r="F140" s="3"/>
      <c r="G140" s="3"/>
      <c r="H140" s="3"/>
      <c r="I140" s="3"/>
      <c r="J140" s="3"/>
      <c r="K140" s="3"/>
      <c r="L140" s="3"/>
    </row>
    <row r="141" spans="1:12" ht="11.25" x14ac:dyDescent="0.2">
      <c r="A141" s="325"/>
      <c r="B141" s="3"/>
      <c r="C141" s="3"/>
      <c r="D141" s="325"/>
      <c r="E141" s="3"/>
      <c r="F141" s="3"/>
      <c r="G141" s="3"/>
      <c r="H141" s="3"/>
      <c r="I141" s="3"/>
      <c r="J141" s="3"/>
      <c r="K141" s="3"/>
      <c r="L141" s="3"/>
    </row>
    <row r="142" spans="1:12" ht="11.25" x14ac:dyDescent="0.2">
      <c r="A142" s="325">
        <f>A140+1</f>
        <v>9</v>
      </c>
      <c r="B142" s="24">
        <f>Input!A92</f>
        <v>304.10000000000002</v>
      </c>
      <c r="C142" s="3" t="str">
        <f>Input!B92</f>
        <v>LAND</v>
      </c>
      <c r="D142" s="325">
        <f>Input!C92</f>
        <v>2</v>
      </c>
      <c r="E142" s="3">
        <f>Classification!F142</f>
        <v>0</v>
      </c>
      <c r="F142" s="3">
        <f>ROUND((VLOOKUP($D142,'Alloc Table Cust'!$B$7:$S$58,13,FALSE)*$E142),0)</f>
        <v>0</v>
      </c>
      <c r="G142" s="3">
        <f>ROUND((VLOOKUP($D142,'Alloc Table Cust'!$B$7:$T$58,14,FALSE)*$E142),0)</f>
        <v>0</v>
      </c>
      <c r="H142" s="3">
        <f>ROUND((VLOOKUP($D142,'Alloc Table Cust'!$B$7:$T$58,15,FALSE)*$E142),0)</f>
        <v>0</v>
      </c>
      <c r="I142" s="3">
        <f>ROUND((VLOOKUP($D142,'Alloc Table Cust'!$B$7:$T$58,16,FALSE)*$E142),0)</f>
        <v>0</v>
      </c>
      <c r="J142" s="3">
        <f>ROUND((VLOOKUP($D142,'Alloc Table Cust'!$B$7:$T$58,17,FALSE)*$E142),0)</f>
        <v>0</v>
      </c>
      <c r="K142" s="3">
        <f>ROUND((VLOOKUP($D142,'Alloc Table Cust'!$B$7:$T$58,18,FALSE)*$E142),0)</f>
        <v>0</v>
      </c>
      <c r="L142" s="3">
        <f>ROUND((VLOOKUP($D142,'Alloc Table Cust'!$B$7:$T$58,19,FALSE)*$E142),0)</f>
        <v>0</v>
      </c>
    </row>
    <row r="143" spans="1:12" ht="11.25" x14ac:dyDescent="0.2">
      <c r="A143" s="325">
        <f>A142+1</f>
        <v>10</v>
      </c>
      <c r="B143" s="24">
        <f>Input!A93</f>
        <v>305</v>
      </c>
      <c r="C143" s="3" t="str">
        <f>Input!B93</f>
        <v>STRUCTURES &amp; IMPROVEMENTS</v>
      </c>
      <c r="D143" s="325">
        <f>Input!C93</f>
        <v>2</v>
      </c>
      <c r="E143" s="3">
        <f>Classification!F143</f>
        <v>0</v>
      </c>
      <c r="F143" s="3">
        <f>ROUND((VLOOKUP($D143,'Alloc Table Cust'!$B$7:$S$58,13,FALSE)*$E143),0)</f>
        <v>0</v>
      </c>
      <c r="G143" s="3">
        <f>ROUND((VLOOKUP($D143,'Alloc Table Cust'!$B$7:$T$58,14,FALSE)*$E143),0)</f>
        <v>0</v>
      </c>
      <c r="H143" s="3">
        <f>ROUND((VLOOKUP($D143,'Alloc Table Cust'!$B$7:$T$58,15,FALSE)*$E143),0)</f>
        <v>0</v>
      </c>
      <c r="I143" s="3">
        <f>ROUND((VLOOKUP($D143,'Alloc Table Cust'!$B$7:$T$58,16,FALSE)*$E143),0)</f>
        <v>0</v>
      </c>
      <c r="J143" s="3">
        <f>ROUND((VLOOKUP($D143,'Alloc Table Cust'!$B$7:$T$58,17,FALSE)*$E143),0)</f>
        <v>0</v>
      </c>
      <c r="K143" s="3">
        <f>ROUND((VLOOKUP($D143,'Alloc Table Cust'!$B$7:$T$58,18,FALSE)*$E143),0)</f>
        <v>0</v>
      </c>
      <c r="L143" s="3">
        <f>ROUND((VLOOKUP($D143,'Alloc Table Cust'!$B$7:$T$58,19,FALSE)*$E143),0)</f>
        <v>0</v>
      </c>
    </row>
    <row r="144" spans="1:12" ht="11.25" x14ac:dyDescent="0.2">
      <c r="A144" s="325">
        <f>A143+1</f>
        <v>11</v>
      </c>
      <c r="B144" s="24">
        <f>Input!A94</f>
        <v>311</v>
      </c>
      <c r="C144" s="3" t="str">
        <f>Input!B94</f>
        <v>LIQUEFIED PETROLEUM GAS EQUIP</v>
      </c>
      <c r="D144" s="325">
        <f>Input!C94</f>
        <v>2</v>
      </c>
      <c r="E144" s="26">
        <f>Classification!F144</f>
        <v>0</v>
      </c>
      <c r="F144" s="26">
        <f>ROUND((VLOOKUP($D144,'Alloc Table Cust'!$B$7:$S$58,13,FALSE)*$E144),0)</f>
        <v>0</v>
      </c>
      <c r="G144" s="26">
        <f>ROUND((VLOOKUP($D144,'Alloc Table Cust'!$B$7:$T$58,14,FALSE)*$E144),0)</f>
        <v>0</v>
      </c>
      <c r="H144" s="26">
        <f>ROUND((VLOOKUP($D144,'Alloc Table Cust'!$B$7:$T$58,15,FALSE)*$E144),0)</f>
        <v>0</v>
      </c>
      <c r="I144" s="26">
        <f>ROUND((VLOOKUP($D144,'Alloc Table Cust'!$B$7:$T$58,16,FALSE)*$E144),0)</f>
        <v>0</v>
      </c>
      <c r="J144" s="26">
        <f>ROUND((VLOOKUP($D144,'Alloc Table Cust'!$B$7:$T$58,17,FALSE)*$E144),0)</f>
        <v>0</v>
      </c>
      <c r="K144" s="26">
        <f>ROUND((VLOOKUP($D144,'Alloc Table Cust'!$B$7:$T$58,18,FALSE)*$E144),0)</f>
        <v>0</v>
      </c>
      <c r="L144" s="26">
        <f>ROUND((VLOOKUP($D144,'Alloc Table Cust'!$B$7:$T$58,19,FALSE)*$E144),0)</f>
        <v>0</v>
      </c>
    </row>
    <row r="145" spans="1:18" ht="11.25" x14ac:dyDescent="0.2">
      <c r="A145" s="325">
        <f>A144+1</f>
        <v>12</v>
      </c>
      <c r="B145" s="3"/>
      <c r="C145" s="3" t="s">
        <v>41</v>
      </c>
      <c r="D145" s="325"/>
      <c r="E145" s="3">
        <f t="shared" ref="E145:L145" si="29">SUM(E142:E144)</f>
        <v>0</v>
      </c>
      <c r="F145" s="3">
        <f t="shared" si="29"/>
        <v>0</v>
      </c>
      <c r="G145" s="3">
        <f t="shared" si="29"/>
        <v>0</v>
      </c>
      <c r="H145" s="3">
        <f t="shared" si="29"/>
        <v>0</v>
      </c>
      <c r="I145" s="3">
        <f t="shared" si="29"/>
        <v>0</v>
      </c>
      <c r="J145" s="3">
        <f t="shared" si="29"/>
        <v>0</v>
      </c>
      <c r="K145" s="3">
        <f t="shared" si="29"/>
        <v>0</v>
      </c>
      <c r="L145" s="3">
        <f t="shared" si="29"/>
        <v>0</v>
      </c>
    </row>
    <row r="146" spans="1:18" ht="11.25" x14ac:dyDescent="0.2">
      <c r="A146" s="325"/>
      <c r="B146" s="3"/>
      <c r="C146" s="3"/>
      <c r="D146" s="325"/>
      <c r="E146" s="3"/>
      <c r="F146" s="3"/>
      <c r="G146" s="3"/>
      <c r="H146" s="3"/>
      <c r="I146" s="3"/>
      <c r="J146" s="3"/>
      <c r="K146" s="3"/>
      <c r="L146" s="3"/>
    </row>
    <row r="147" spans="1:18" ht="11.25" x14ac:dyDescent="0.2">
      <c r="A147" s="325">
        <f>A145+1</f>
        <v>13</v>
      </c>
      <c r="B147" s="24"/>
      <c r="C147" s="25" t="str">
        <f>Input!A95</f>
        <v>DISTRIBUTION PLANT</v>
      </c>
      <c r="D147" s="325"/>
      <c r="E147" s="3"/>
      <c r="F147" s="3"/>
      <c r="G147" s="3"/>
      <c r="H147" s="3"/>
      <c r="I147" s="3"/>
      <c r="J147" s="3"/>
      <c r="K147" s="3"/>
      <c r="L147" s="3"/>
    </row>
    <row r="148" spans="1:18" ht="11.25" x14ac:dyDescent="0.2">
      <c r="A148" s="325"/>
      <c r="B148" s="3"/>
      <c r="C148" s="3"/>
      <c r="D148" s="325"/>
      <c r="E148" s="3"/>
      <c r="F148" s="3"/>
      <c r="G148" s="3"/>
      <c r="H148" s="3"/>
      <c r="I148" s="3"/>
      <c r="J148" s="3"/>
      <c r="K148" s="3"/>
      <c r="L148" s="3"/>
    </row>
    <row r="149" spans="1:18" ht="11.25" x14ac:dyDescent="0.2">
      <c r="A149" s="325">
        <f>A147+1</f>
        <v>14</v>
      </c>
      <c r="B149" s="24">
        <f>Input!A96</f>
        <v>374.1</v>
      </c>
      <c r="C149" s="25" t="str">
        <f>Input!B96</f>
        <v>LAND - CITY GATE &amp; M/L IND M&amp;R</v>
      </c>
      <c r="D149" s="325">
        <f>Input!C96</f>
        <v>5</v>
      </c>
      <c r="E149" s="3">
        <f>Classification!F149</f>
        <v>0</v>
      </c>
      <c r="F149" s="3">
        <f>ROUND((VLOOKUP($D149,'Alloc Table Cust'!$B$7:$S$58,13,FALSE)*$E149),0)</f>
        <v>0</v>
      </c>
      <c r="G149" s="3">
        <f>ROUND((VLOOKUP($D149,'Alloc Table Cust'!$B$7:$T$58,14,FALSE)*$E149),0)</f>
        <v>0</v>
      </c>
      <c r="H149" s="3">
        <f>ROUND((VLOOKUP($D149,'Alloc Table Cust'!$B$7:$T$58,15,FALSE)*$E149),0)</f>
        <v>0</v>
      </c>
      <c r="I149" s="3">
        <f>ROUND((VLOOKUP($D149,'Alloc Table Cust'!$B$7:$T$58,16,FALSE)*$E149),0)</f>
        <v>0</v>
      </c>
      <c r="J149" s="3">
        <f>ROUND((VLOOKUP($D149,'Alloc Table Cust'!$B$7:$T$58,17,FALSE)*$E149),0)</f>
        <v>0</v>
      </c>
      <c r="K149" s="3">
        <f>ROUND((VLOOKUP($D149,'Alloc Table Cust'!$B$7:$T$58,18,FALSE)*$E149),0)</f>
        <v>0</v>
      </c>
      <c r="L149" s="3">
        <f>ROUND((VLOOKUP($D149,'Alloc Table Cust'!$B$7:$T$58,19,FALSE)*$E149),0)</f>
        <v>0</v>
      </c>
      <c r="N149" s="245"/>
      <c r="O149" s="245"/>
      <c r="P149" s="245"/>
      <c r="Q149" s="245"/>
      <c r="R149" s="245"/>
    </row>
    <row r="150" spans="1:18" ht="11.25" x14ac:dyDescent="0.2">
      <c r="A150" s="325">
        <f t="shared" ref="A150:A167" si="30">A149+1</f>
        <v>15</v>
      </c>
      <c r="B150" s="24">
        <f>Input!A97</f>
        <v>374.2</v>
      </c>
      <c r="C150" s="25" t="str">
        <f>Input!B97</f>
        <v>LAND - OTHER DISTRIBUTION</v>
      </c>
      <c r="D150" s="325">
        <f>Input!C97</f>
        <v>5</v>
      </c>
      <c r="E150" s="3">
        <f>Classification!F150</f>
        <v>0</v>
      </c>
      <c r="F150" s="3">
        <f>ROUND((VLOOKUP($D150,'Alloc Table Cust'!$B$7:$S$58,13,FALSE)*$E150),0)</f>
        <v>0</v>
      </c>
      <c r="G150" s="3">
        <f>ROUND((VLOOKUP($D150,'Alloc Table Cust'!$B$7:$T$58,14,FALSE)*$E150),0)</f>
        <v>0</v>
      </c>
      <c r="H150" s="3">
        <f>ROUND((VLOOKUP($D150,'Alloc Table Cust'!$B$7:$T$58,15,FALSE)*$E150),0)</f>
        <v>0</v>
      </c>
      <c r="I150" s="3">
        <f>ROUND((VLOOKUP($D150,'Alloc Table Cust'!$B$7:$T$58,16,FALSE)*$E150),0)</f>
        <v>0</v>
      </c>
      <c r="J150" s="3">
        <f>ROUND((VLOOKUP($D150,'Alloc Table Cust'!$B$7:$T$58,17,FALSE)*$E150),0)</f>
        <v>0</v>
      </c>
      <c r="K150" s="3">
        <f>ROUND((VLOOKUP($D150,'Alloc Table Cust'!$B$7:$T$58,18,FALSE)*$E150),0)</f>
        <v>0</v>
      </c>
      <c r="L150" s="3">
        <f>ROUND((VLOOKUP($D150,'Alloc Table Cust'!$B$7:$T$58,19,FALSE)*$E150),0)</f>
        <v>0</v>
      </c>
      <c r="N150" s="245"/>
      <c r="O150" s="245"/>
      <c r="P150" s="245"/>
      <c r="Q150" s="245"/>
      <c r="R150" s="245"/>
    </row>
    <row r="151" spans="1:18" ht="11.25" x14ac:dyDescent="0.2">
      <c r="A151" s="325">
        <f t="shared" si="30"/>
        <v>16</v>
      </c>
      <c r="B151" s="24">
        <f>Input!A98</f>
        <v>374.4</v>
      </c>
      <c r="C151" s="25" t="str">
        <f>Input!B98</f>
        <v>LAND RIGHTS - OTHER DISTRIBUTION</v>
      </c>
      <c r="D151" s="325">
        <f>Input!C98</f>
        <v>5</v>
      </c>
      <c r="E151" s="3">
        <f>Classification!F151</f>
        <v>0</v>
      </c>
      <c r="F151" s="3">
        <f>ROUND((VLOOKUP($D151,'Alloc Table Cust'!$B$7:$S$58,13,FALSE)*$E151),0)</f>
        <v>0</v>
      </c>
      <c r="G151" s="3">
        <f>ROUND((VLOOKUP($D151,'Alloc Table Cust'!$B$7:$T$58,14,FALSE)*$E151),0)</f>
        <v>0</v>
      </c>
      <c r="H151" s="3">
        <f>ROUND((VLOOKUP($D151,'Alloc Table Cust'!$B$7:$T$58,15,FALSE)*$E151),0)</f>
        <v>0</v>
      </c>
      <c r="I151" s="3">
        <f>ROUND((VLOOKUP($D151,'Alloc Table Cust'!$B$7:$T$58,16,FALSE)*$E151),0)</f>
        <v>0</v>
      </c>
      <c r="J151" s="3">
        <f>ROUND((VLOOKUP($D151,'Alloc Table Cust'!$B$7:$T$58,17,FALSE)*$E151),0)</f>
        <v>0</v>
      </c>
      <c r="K151" s="3">
        <f>ROUND((VLOOKUP($D151,'Alloc Table Cust'!$B$7:$T$58,18,FALSE)*$E151),0)</f>
        <v>0</v>
      </c>
      <c r="L151" s="3">
        <f>ROUND((VLOOKUP($D151,'Alloc Table Cust'!$B$7:$T$58,19,FALSE)*$E151),0)</f>
        <v>0</v>
      </c>
      <c r="N151" s="245"/>
      <c r="O151" s="245"/>
      <c r="P151" s="245"/>
      <c r="Q151" s="245"/>
      <c r="R151" s="245"/>
    </row>
    <row r="152" spans="1:18" ht="11.25" x14ac:dyDescent="0.2">
      <c r="A152" s="325">
        <f t="shared" si="30"/>
        <v>17</v>
      </c>
      <c r="B152" s="24">
        <f>Input!A99</f>
        <v>374.5</v>
      </c>
      <c r="C152" s="25" t="str">
        <f>Input!B99</f>
        <v>RIGHTS OF WAY</v>
      </c>
      <c r="D152" s="325">
        <f>Input!C99</f>
        <v>5</v>
      </c>
      <c r="E152" s="3">
        <f>Classification!F152</f>
        <v>0</v>
      </c>
      <c r="F152" s="3">
        <f>ROUND((VLOOKUP($D152,'Alloc Table Cust'!$B$7:$S$58,13,FALSE)*$E152),0)</f>
        <v>0</v>
      </c>
      <c r="G152" s="3">
        <f>ROUND((VLOOKUP($D152,'Alloc Table Cust'!$B$7:$T$58,14,FALSE)*$E152),0)</f>
        <v>0</v>
      </c>
      <c r="H152" s="3">
        <f>ROUND((VLOOKUP($D152,'Alloc Table Cust'!$B$7:$T$58,15,FALSE)*$E152),0)</f>
        <v>0</v>
      </c>
      <c r="I152" s="3">
        <f>ROUND((VLOOKUP($D152,'Alloc Table Cust'!$B$7:$T$58,16,FALSE)*$E152),0)</f>
        <v>0</v>
      </c>
      <c r="J152" s="3">
        <f>ROUND((VLOOKUP($D152,'Alloc Table Cust'!$B$7:$T$58,17,FALSE)*$E152),0)</f>
        <v>0</v>
      </c>
      <c r="K152" s="3">
        <f>ROUND((VLOOKUP($D152,'Alloc Table Cust'!$B$7:$T$58,18,FALSE)*$E152),0)</f>
        <v>0</v>
      </c>
      <c r="L152" s="3">
        <f>ROUND((VLOOKUP($D152,'Alloc Table Cust'!$B$7:$T$58,19,FALSE)*$E152),0)</f>
        <v>0</v>
      </c>
      <c r="N152" s="245"/>
      <c r="O152" s="245"/>
      <c r="P152" s="245"/>
      <c r="Q152" s="245"/>
      <c r="R152" s="245"/>
    </row>
    <row r="153" spans="1:18" ht="11.25" x14ac:dyDescent="0.2">
      <c r="A153" s="325">
        <f t="shared" si="30"/>
        <v>18</v>
      </c>
      <c r="B153" s="24">
        <f>Input!A100</f>
        <v>375.2</v>
      </c>
      <c r="C153" s="25" t="str">
        <f>Input!B100</f>
        <v>CITY GATE - MEAS &amp; REG STRUCTURES</v>
      </c>
      <c r="D153" s="325">
        <f>Input!C100</f>
        <v>5</v>
      </c>
      <c r="E153" s="3">
        <f>Classification!F153</f>
        <v>0</v>
      </c>
      <c r="F153" s="3">
        <f>ROUND((VLOOKUP($D153,'Alloc Table Cust'!$B$7:$S$58,13,FALSE)*$E153),0)</f>
        <v>0</v>
      </c>
      <c r="G153" s="3">
        <f>ROUND((VLOOKUP($D153,'Alloc Table Cust'!$B$7:$T$58,14,FALSE)*$E153),0)</f>
        <v>0</v>
      </c>
      <c r="H153" s="3">
        <f>ROUND((VLOOKUP($D153,'Alloc Table Cust'!$B$7:$T$58,15,FALSE)*$E153),0)</f>
        <v>0</v>
      </c>
      <c r="I153" s="3">
        <f>ROUND((VLOOKUP($D153,'Alloc Table Cust'!$B$7:$T$58,16,FALSE)*$E153),0)</f>
        <v>0</v>
      </c>
      <c r="J153" s="3">
        <f>ROUND((VLOOKUP($D153,'Alloc Table Cust'!$B$7:$T$58,17,FALSE)*$E153),0)</f>
        <v>0</v>
      </c>
      <c r="K153" s="3">
        <f>ROUND((VLOOKUP($D153,'Alloc Table Cust'!$B$7:$T$58,18,FALSE)*$E153),0)</f>
        <v>0</v>
      </c>
      <c r="L153" s="3">
        <f>ROUND((VLOOKUP($D153,'Alloc Table Cust'!$B$7:$T$58,19,FALSE)*$E153),0)</f>
        <v>0</v>
      </c>
      <c r="N153" s="245"/>
      <c r="O153" s="245"/>
      <c r="P153" s="245"/>
      <c r="Q153" s="245"/>
      <c r="R153" s="245"/>
    </row>
    <row r="154" spans="1:18" ht="11.25" x14ac:dyDescent="0.2">
      <c r="A154" s="325">
        <f t="shared" si="30"/>
        <v>19</v>
      </c>
      <c r="B154" s="24">
        <f>Input!A101</f>
        <v>375.3</v>
      </c>
      <c r="C154" s="25" t="str">
        <f>Input!B101</f>
        <v>STRUC &amp; IMPROV-GENERAL M&amp;R</v>
      </c>
      <c r="D154" s="325">
        <f>Input!C101</f>
        <v>5</v>
      </c>
      <c r="E154" s="3">
        <f>Classification!F154</f>
        <v>0</v>
      </c>
      <c r="F154" s="3">
        <f>ROUND((VLOOKUP($D154,'Alloc Table Cust'!$B$7:$S$58,13,FALSE)*$E154),0)</f>
        <v>0</v>
      </c>
      <c r="G154" s="3">
        <f>ROUND((VLOOKUP($D154,'Alloc Table Cust'!$B$7:$T$58,14,FALSE)*$E154),0)</f>
        <v>0</v>
      </c>
      <c r="H154" s="3">
        <f>ROUND((VLOOKUP($D154,'Alloc Table Cust'!$B$7:$T$58,15,FALSE)*$E154),0)</f>
        <v>0</v>
      </c>
      <c r="I154" s="3">
        <f>ROUND((VLOOKUP($D154,'Alloc Table Cust'!$B$7:$T$58,16,FALSE)*$E154),0)</f>
        <v>0</v>
      </c>
      <c r="J154" s="3">
        <f>ROUND((VLOOKUP($D154,'Alloc Table Cust'!$B$7:$T$58,17,FALSE)*$E154),0)</f>
        <v>0</v>
      </c>
      <c r="K154" s="3">
        <f>ROUND((VLOOKUP($D154,'Alloc Table Cust'!$B$7:$T$58,18,FALSE)*$E154),0)</f>
        <v>0</v>
      </c>
      <c r="L154" s="3">
        <f>ROUND((VLOOKUP($D154,'Alloc Table Cust'!$B$7:$T$58,19,FALSE)*$E154),0)</f>
        <v>0</v>
      </c>
      <c r="N154" s="245"/>
      <c r="O154" s="245"/>
      <c r="P154" s="245"/>
      <c r="Q154" s="245"/>
      <c r="R154" s="245"/>
    </row>
    <row r="155" spans="1:18" ht="11.25" x14ac:dyDescent="0.2">
      <c r="A155" s="325">
        <f t="shared" si="30"/>
        <v>20</v>
      </c>
      <c r="B155" s="24">
        <f>Input!A102</f>
        <v>375.4</v>
      </c>
      <c r="C155" s="25" t="str">
        <f>Input!B102</f>
        <v>STRUC &amp; IMPROV-REGULATING</v>
      </c>
      <c r="D155" s="325">
        <f>Input!C102</f>
        <v>5</v>
      </c>
      <c r="E155" s="3">
        <f>Classification!F155</f>
        <v>0</v>
      </c>
      <c r="F155" s="3">
        <f>ROUND((VLOOKUP($D155,'Alloc Table Cust'!$B$7:$S$58,13,FALSE)*$E155),0)</f>
        <v>0</v>
      </c>
      <c r="G155" s="3">
        <f>ROUND((VLOOKUP($D155,'Alloc Table Cust'!$B$7:$T$58,14,FALSE)*$E155),0)</f>
        <v>0</v>
      </c>
      <c r="H155" s="3">
        <f>ROUND((VLOOKUP($D155,'Alloc Table Cust'!$B$7:$T$58,15,FALSE)*$E155),0)</f>
        <v>0</v>
      </c>
      <c r="I155" s="3">
        <f>ROUND((VLOOKUP($D155,'Alloc Table Cust'!$B$7:$T$58,16,FALSE)*$E155),0)</f>
        <v>0</v>
      </c>
      <c r="J155" s="3">
        <f>ROUND((VLOOKUP($D155,'Alloc Table Cust'!$B$7:$T$58,17,FALSE)*$E155),0)</f>
        <v>0</v>
      </c>
      <c r="K155" s="3">
        <f>ROUND((VLOOKUP($D155,'Alloc Table Cust'!$B$7:$T$58,18,FALSE)*$E155),0)</f>
        <v>0</v>
      </c>
      <c r="L155" s="3">
        <f>ROUND((VLOOKUP($D155,'Alloc Table Cust'!$B$7:$T$58,19,FALSE)*$E155),0)</f>
        <v>0</v>
      </c>
      <c r="N155" s="245"/>
      <c r="O155" s="245"/>
      <c r="P155" s="245"/>
      <c r="Q155" s="245"/>
      <c r="R155" s="245"/>
    </row>
    <row r="156" spans="1:18" ht="11.25" x14ac:dyDescent="0.2">
      <c r="A156" s="325">
        <f t="shared" si="30"/>
        <v>21</v>
      </c>
      <c r="B156" s="24">
        <f>B155</f>
        <v>375.4</v>
      </c>
      <c r="C156" s="25" t="str">
        <f>"DIRECT "&amp;C155</f>
        <v>DIRECT STRUC &amp; IMPROV-REGULATING</v>
      </c>
      <c r="D156" s="325"/>
      <c r="E156" s="3">
        <f>Classification!F156</f>
        <v>0</v>
      </c>
      <c r="F156" s="3">
        <v>0</v>
      </c>
      <c r="G156" s="3">
        <v>0</v>
      </c>
      <c r="H156" s="3">
        <v>0</v>
      </c>
      <c r="I156" s="3">
        <f>E156</f>
        <v>0</v>
      </c>
      <c r="J156" s="3">
        <v>0</v>
      </c>
      <c r="K156" s="3">
        <v>0</v>
      </c>
      <c r="L156" s="3">
        <v>0</v>
      </c>
      <c r="N156" s="245"/>
      <c r="O156" s="245"/>
      <c r="P156" s="245"/>
      <c r="Q156" s="245"/>
      <c r="R156" s="245"/>
    </row>
    <row r="157" spans="1:18" ht="11.25" x14ac:dyDescent="0.2">
      <c r="A157" s="325">
        <f t="shared" si="30"/>
        <v>22</v>
      </c>
      <c r="B157" s="24">
        <f>Input!A103</f>
        <v>375.6</v>
      </c>
      <c r="C157" s="25" t="str">
        <f>Input!B103</f>
        <v>STRUC &amp; IMPROV-DIST. IND. M &amp; R</v>
      </c>
      <c r="D157" s="325">
        <f>Input!C103</f>
        <v>8</v>
      </c>
      <c r="E157" s="3">
        <f>Classification!F157</f>
        <v>0</v>
      </c>
      <c r="F157" s="3">
        <f>ROUND((VLOOKUP($D157,'Alloc Table Cust'!$B$7:$S$58,13,FALSE)*$E157),0)</f>
        <v>0</v>
      </c>
      <c r="G157" s="3">
        <f>ROUND((VLOOKUP($D157,'Alloc Table Cust'!$B$7:$T$58,14,FALSE)*$E157),0)</f>
        <v>0</v>
      </c>
      <c r="H157" s="3">
        <f>ROUND((VLOOKUP($D157,'Alloc Table Cust'!$B$7:$T$58,15,FALSE)*$E157),0)</f>
        <v>0</v>
      </c>
      <c r="I157" s="3">
        <f>ROUND((VLOOKUP($D157,'Alloc Table Cust'!$B$7:$T$58,16,FALSE)*$E157),0)</f>
        <v>0</v>
      </c>
      <c r="J157" s="3">
        <f>ROUND((VLOOKUP($D157,'Alloc Table Cust'!$B$7:$T$58,17,FALSE)*$E157),0)</f>
        <v>0</v>
      </c>
      <c r="K157" s="3">
        <f>ROUND((VLOOKUP($D157,'Alloc Table Cust'!$B$7:$T$58,18,FALSE)*$E157),0)</f>
        <v>0</v>
      </c>
      <c r="L157" s="3">
        <f>ROUND((VLOOKUP($D157,'Alloc Table Cust'!$B$7:$T$58,19,FALSE)*$E157),0)</f>
        <v>0</v>
      </c>
      <c r="N157" s="245"/>
      <c r="O157" s="245"/>
      <c r="P157" s="245"/>
      <c r="Q157" s="245"/>
      <c r="R157" s="245"/>
    </row>
    <row r="158" spans="1:18" ht="11.25" x14ac:dyDescent="0.2">
      <c r="A158" s="325">
        <f t="shared" si="30"/>
        <v>23</v>
      </c>
      <c r="B158" s="24">
        <f>Input!A104</f>
        <v>375.7</v>
      </c>
      <c r="C158" s="25" t="str">
        <f>Input!B104</f>
        <v>STRUC &amp; IMPROV-OTHER DIST. SYSTEM</v>
      </c>
      <c r="D158" s="325" t="str">
        <f>VLOOKUP(Input!C104,'Alloc Table Cust'!$A$7:$B$27,2,FALSE)</f>
        <v>7CUST</v>
      </c>
      <c r="E158" s="3">
        <f>Classification!F158</f>
        <v>3666397</v>
      </c>
      <c r="F158" s="3">
        <f ca="1">ROUND((VLOOKUP($D158,'Alloc Table Cust'!$B$7:$S$58,13,FALSE)*$E158),0)</f>
        <v>3030460</v>
      </c>
      <c r="G158" s="3">
        <f ca="1">ROUND((VLOOKUP($D158,'Alloc Table Cust'!$B$7:$T$58,14,FALSE)*$E158),0)</f>
        <v>565138</v>
      </c>
      <c r="H158" s="3">
        <f ca="1">ROUND((VLOOKUP($D158,'Alloc Table Cust'!$B$7:$T$58,15,FALSE)*$E158),0)</f>
        <v>147</v>
      </c>
      <c r="I158" s="3">
        <f ca="1">ROUND((VLOOKUP($D158,'Alloc Table Cust'!$B$7:$T$58,16,FALSE)*$E158),0)</f>
        <v>14519</v>
      </c>
      <c r="J158" s="3">
        <f ca="1">ROUND((VLOOKUP($D158,'Alloc Table Cust'!$B$7:$T$58,17,FALSE)*$E158),0)</f>
        <v>56133</v>
      </c>
      <c r="K158" s="3">
        <f ca="1">ROUND((VLOOKUP($D158,'Alloc Table Cust'!$B$7:$T$58,18,FALSE)*$E158),0)</f>
        <v>0</v>
      </c>
      <c r="L158" s="3">
        <f ca="1">ROUND((VLOOKUP($D158,'Alloc Table Cust'!$B$7:$T$58,19,FALSE)*$E158),0)</f>
        <v>0</v>
      </c>
      <c r="N158" s="245"/>
      <c r="O158" s="245"/>
      <c r="P158" s="245"/>
      <c r="Q158" s="245"/>
      <c r="R158" s="245"/>
    </row>
    <row r="159" spans="1:18" ht="11.25" x14ac:dyDescent="0.2">
      <c r="A159" s="325">
        <f t="shared" si="30"/>
        <v>24</v>
      </c>
      <c r="B159" s="24">
        <f>Input!A105</f>
        <v>375.71</v>
      </c>
      <c r="C159" s="25" t="str">
        <f>Input!B105</f>
        <v>STRUCT &amp; IMPROV-OTHER DIST. SYSTEM-IMPROV</v>
      </c>
      <c r="D159" s="325" t="str">
        <f>VLOOKUP(Input!C105,'Alloc Table Cust'!$A$7:$B$27,2,FALSE)</f>
        <v>7CUST</v>
      </c>
      <c r="E159" s="3">
        <f>Classification!F159</f>
        <v>108722</v>
      </c>
      <c r="F159" s="3">
        <f ca="1">ROUND((VLOOKUP($D159,'Alloc Table Cust'!$B$7:$S$58,13,FALSE)*$E159),0)</f>
        <v>89864</v>
      </c>
      <c r="G159" s="3">
        <f ca="1">ROUND((VLOOKUP($D159,'Alloc Table Cust'!$B$7:$T$58,14,FALSE)*$E159),0)</f>
        <v>16758</v>
      </c>
      <c r="H159" s="3">
        <f ca="1">ROUND((VLOOKUP($D159,'Alloc Table Cust'!$B$7:$T$58,15,FALSE)*$E159),0)</f>
        <v>4</v>
      </c>
      <c r="I159" s="3">
        <f ca="1">ROUND((VLOOKUP($D159,'Alloc Table Cust'!$B$7:$T$58,16,FALSE)*$E159),0)</f>
        <v>431</v>
      </c>
      <c r="J159" s="3">
        <f ca="1">ROUND((VLOOKUP($D159,'Alloc Table Cust'!$B$7:$T$58,17,FALSE)*$E159),0)</f>
        <v>1665</v>
      </c>
      <c r="K159" s="3">
        <f ca="1">ROUND((VLOOKUP($D159,'Alloc Table Cust'!$B$7:$T$58,18,FALSE)*$E159),0)</f>
        <v>0</v>
      </c>
      <c r="L159" s="3">
        <f ca="1">ROUND((VLOOKUP($D159,'Alloc Table Cust'!$B$7:$T$58,19,FALSE)*$E159),0)</f>
        <v>0</v>
      </c>
    </row>
    <row r="160" spans="1:18" ht="11.25" x14ac:dyDescent="0.2">
      <c r="A160" s="325">
        <f t="shared" si="30"/>
        <v>25</v>
      </c>
      <c r="B160" s="24">
        <f>Input!A106</f>
        <v>375.8</v>
      </c>
      <c r="C160" s="25" t="str">
        <f>Input!B106</f>
        <v>STRUC &amp; IMPROV-COMMUNICATION</v>
      </c>
      <c r="D160" s="325">
        <f>Input!C106</f>
        <v>5</v>
      </c>
      <c r="E160" s="3">
        <f>Classification!F160</f>
        <v>0</v>
      </c>
      <c r="F160" s="3">
        <f>ROUND((VLOOKUP($D160,'Alloc Table Cust'!$B$7:$S$58,13,FALSE)*$E160),0)</f>
        <v>0</v>
      </c>
      <c r="G160" s="3">
        <f>ROUND((VLOOKUP($D160,'Alloc Table Cust'!$B$7:$T$58,14,FALSE)*$E160),0)</f>
        <v>0</v>
      </c>
      <c r="H160" s="3">
        <f>ROUND((VLOOKUP($D160,'Alloc Table Cust'!$B$7:$T$58,15,FALSE)*$E160),0)</f>
        <v>0</v>
      </c>
      <c r="I160" s="3">
        <f>ROUND((VLOOKUP($D160,'Alloc Table Cust'!$B$7:$T$58,16,FALSE)*$E160),0)</f>
        <v>0</v>
      </c>
      <c r="J160" s="3">
        <f>ROUND((VLOOKUP($D160,'Alloc Table Cust'!$B$7:$T$58,17,FALSE)*$E160),0)</f>
        <v>0</v>
      </c>
      <c r="K160" s="3">
        <f>ROUND((VLOOKUP($D160,'Alloc Table Cust'!$B$7:$T$58,18,FALSE)*$E160),0)</f>
        <v>0</v>
      </c>
      <c r="L160" s="3">
        <f>ROUND((VLOOKUP($D160,'Alloc Table Cust'!$B$7:$T$58,19,FALSE)*$E160),0)</f>
        <v>0</v>
      </c>
      <c r="N160" s="245"/>
      <c r="O160" s="245"/>
      <c r="P160" s="245"/>
      <c r="Q160" s="245"/>
      <c r="R160" s="245"/>
    </row>
    <row r="161" spans="1:19" ht="11.25" x14ac:dyDescent="0.2">
      <c r="A161" s="325">
        <f t="shared" si="30"/>
        <v>26</v>
      </c>
      <c r="B161" s="24">
        <f>Input!A107</f>
        <v>376</v>
      </c>
      <c r="C161" s="25" t="str">
        <f>Input!B107</f>
        <v>MAINS</v>
      </c>
      <c r="D161" s="325">
        <f>Input!C107</f>
        <v>5</v>
      </c>
      <c r="E161" s="3">
        <f>Classification!F161</f>
        <v>0</v>
      </c>
      <c r="F161" s="3">
        <f>ROUND((VLOOKUP($D161,'Alloc Table Cust'!$B$7:$S$58,13,FALSE)*$E161),0)</f>
        <v>0</v>
      </c>
      <c r="G161" s="3">
        <f>ROUND((VLOOKUP($D161,'Alloc Table Cust'!$B$7:$T$58,14,FALSE)*$E161),0)</f>
        <v>0</v>
      </c>
      <c r="H161" s="3">
        <f>ROUND((VLOOKUP($D161,'Alloc Table Cust'!$B$7:$T$58,15,FALSE)*$E161),0)</f>
        <v>0</v>
      </c>
      <c r="I161" s="3">
        <f>ROUND((VLOOKUP($D161,'Alloc Table Cust'!$B$7:$T$58,16,FALSE)*$E161),0)</f>
        <v>0</v>
      </c>
      <c r="J161" s="3">
        <f>ROUND((VLOOKUP($D161,'Alloc Table Cust'!$B$7:$T$58,17,FALSE)*$E161),0)</f>
        <v>0</v>
      </c>
      <c r="K161" s="3">
        <f>ROUND((VLOOKUP($D161,'Alloc Table Cust'!$B$7:$T$58,18,FALSE)*$E161),0)</f>
        <v>0</v>
      </c>
      <c r="L161" s="3">
        <f>ROUND((VLOOKUP($D161,'Alloc Table Cust'!$B$7:$T$58,19,FALSE)*$E161),0)</f>
        <v>0</v>
      </c>
      <c r="N161" s="245"/>
      <c r="O161" s="245"/>
      <c r="P161" s="245"/>
      <c r="Q161" s="245"/>
      <c r="R161" s="245"/>
      <c r="S161" s="244"/>
    </row>
    <row r="162" spans="1:19" ht="11.25" x14ac:dyDescent="0.2">
      <c r="A162" s="325">
        <f t="shared" si="30"/>
        <v>27</v>
      </c>
      <c r="B162" s="24">
        <f>Input!A107</f>
        <v>376</v>
      </c>
      <c r="C162" s="25" t="str">
        <f>"DIRECT "&amp;+Input!B107</f>
        <v>DIRECT MAINS</v>
      </c>
      <c r="D162" s="325"/>
      <c r="E162" s="3">
        <f>Classification!F162</f>
        <v>0</v>
      </c>
      <c r="F162" s="3">
        <v>0</v>
      </c>
      <c r="G162" s="3">
        <v>0</v>
      </c>
      <c r="H162" s="3">
        <v>0</v>
      </c>
      <c r="I162" s="3">
        <f>E162</f>
        <v>0</v>
      </c>
      <c r="J162" s="3">
        <v>0</v>
      </c>
      <c r="K162" s="3">
        <v>0</v>
      </c>
      <c r="L162" s="3">
        <v>0</v>
      </c>
      <c r="N162" s="245"/>
      <c r="O162" s="245"/>
      <c r="P162" s="245"/>
      <c r="Q162" s="245"/>
      <c r="R162" s="245"/>
    </row>
    <row r="163" spans="1:19" ht="11.25" x14ac:dyDescent="0.2">
      <c r="A163" s="325">
        <f t="shared" si="30"/>
        <v>28</v>
      </c>
      <c r="B163" s="24">
        <f>Input!A108</f>
        <v>378.1</v>
      </c>
      <c r="C163" s="25" t="str">
        <f>Input!B108</f>
        <v>M &amp; R GENERAL</v>
      </c>
      <c r="D163" s="325">
        <f>Input!C108</f>
        <v>5</v>
      </c>
      <c r="E163" s="3">
        <f>Classification!F163</f>
        <v>0</v>
      </c>
      <c r="F163" s="3">
        <f>ROUND((VLOOKUP($D163,'Alloc Table Cust'!$B$7:$S$58,13,FALSE)*$E163),0)</f>
        <v>0</v>
      </c>
      <c r="G163" s="3">
        <f>ROUND((VLOOKUP($D163,'Alloc Table Cust'!$B$7:$T$58,14,FALSE)*$E163),0)</f>
        <v>0</v>
      </c>
      <c r="H163" s="3">
        <f>ROUND((VLOOKUP($D163,'Alloc Table Cust'!$B$7:$T$58,15,FALSE)*$E163),0)</f>
        <v>0</v>
      </c>
      <c r="I163" s="3">
        <f>ROUND((VLOOKUP($D163,'Alloc Table Cust'!$B$7:$T$58,16,FALSE)*$E163),0)</f>
        <v>0</v>
      </c>
      <c r="J163" s="3">
        <f>ROUND((VLOOKUP($D163,'Alloc Table Cust'!$B$7:$T$58,17,FALSE)*$E163),0)</f>
        <v>0</v>
      </c>
      <c r="K163" s="3">
        <f>ROUND((VLOOKUP($D163,'Alloc Table Cust'!$B$7:$T$58,18,FALSE)*$E163),0)</f>
        <v>0</v>
      </c>
      <c r="L163" s="3">
        <f>ROUND((VLOOKUP($D163,'Alloc Table Cust'!$B$7:$T$58,19,FALSE)*$E163),0)</f>
        <v>0</v>
      </c>
      <c r="N163" s="245"/>
      <c r="O163" s="245"/>
      <c r="P163" s="245"/>
      <c r="Q163" s="245"/>
      <c r="R163" s="245"/>
    </row>
    <row r="164" spans="1:19" ht="11.25" x14ac:dyDescent="0.2">
      <c r="A164" s="325">
        <f t="shared" si="30"/>
        <v>29</v>
      </c>
      <c r="B164" s="24">
        <f>Input!A109</f>
        <v>378.2</v>
      </c>
      <c r="C164" s="25" t="str">
        <f>Input!B109</f>
        <v>M &amp; R GENERAL - REGULATING</v>
      </c>
      <c r="D164" s="325">
        <f>Input!C109</f>
        <v>5</v>
      </c>
      <c r="E164" s="3">
        <f>Classification!F164</f>
        <v>0</v>
      </c>
      <c r="F164" s="3">
        <f>ROUND((VLOOKUP($D164,'Alloc Table Cust'!$B$7:$S$58,13,FALSE)*$E164),0)</f>
        <v>0</v>
      </c>
      <c r="G164" s="3">
        <f>ROUND((VLOOKUP($D164,'Alloc Table Cust'!$B$7:$T$58,14,FALSE)*$E164),0)</f>
        <v>0</v>
      </c>
      <c r="H164" s="3">
        <f>ROUND((VLOOKUP($D164,'Alloc Table Cust'!$B$7:$T$58,15,FALSE)*$E164),0)</f>
        <v>0</v>
      </c>
      <c r="I164" s="3">
        <f>ROUND((VLOOKUP($D164,'Alloc Table Cust'!$B$7:$T$58,16,FALSE)*$E164),0)</f>
        <v>0</v>
      </c>
      <c r="J164" s="3">
        <f>ROUND((VLOOKUP($D164,'Alloc Table Cust'!$B$7:$T$58,17,FALSE)*$E164),0)</f>
        <v>0</v>
      </c>
      <c r="K164" s="3">
        <f>ROUND((VLOOKUP($D164,'Alloc Table Cust'!$B$7:$T$58,18,FALSE)*$E164),0)</f>
        <v>0</v>
      </c>
      <c r="L164" s="3">
        <f>ROUND((VLOOKUP($D164,'Alloc Table Cust'!$B$7:$T$58,19,FALSE)*$E164),0)</f>
        <v>0</v>
      </c>
      <c r="N164" s="245"/>
      <c r="O164" s="245"/>
      <c r="P164" s="245"/>
      <c r="Q164" s="245"/>
      <c r="R164" s="245"/>
    </row>
    <row r="165" spans="1:19" ht="11.25" x14ac:dyDescent="0.2">
      <c r="A165" s="325">
        <f t="shared" si="30"/>
        <v>30</v>
      </c>
      <c r="B165" s="24">
        <f>Input!A110</f>
        <v>378.3</v>
      </c>
      <c r="C165" s="25" t="str">
        <f>Input!B110</f>
        <v>M &amp; R EQUIP - LOCAL GAS PURCHASES</v>
      </c>
      <c r="D165" s="325">
        <f>Input!C110</f>
        <v>5</v>
      </c>
      <c r="E165" s="3">
        <f>Classification!F165</f>
        <v>0</v>
      </c>
      <c r="F165" s="3">
        <f>ROUND((VLOOKUP($D165,'Alloc Table Cust'!$B$7:$S$58,13,FALSE)*$E165),0)</f>
        <v>0</v>
      </c>
      <c r="G165" s="3">
        <f>ROUND((VLOOKUP($D165,'Alloc Table Cust'!$B$7:$T$58,14,FALSE)*$E165),0)</f>
        <v>0</v>
      </c>
      <c r="H165" s="3">
        <f>ROUND((VLOOKUP($D165,'Alloc Table Cust'!$B$7:$T$58,15,FALSE)*$E165),0)</f>
        <v>0</v>
      </c>
      <c r="I165" s="3">
        <f>ROUND((VLOOKUP($D165,'Alloc Table Cust'!$B$7:$T$58,16,FALSE)*$E165),0)</f>
        <v>0</v>
      </c>
      <c r="J165" s="3">
        <f>ROUND((VLOOKUP($D165,'Alloc Table Cust'!$B$7:$T$58,17,FALSE)*$E165),0)</f>
        <v>0</v>
      </c>
      <c r="K165" s="3">
        <f>ROUND((VLOOKUP($D165,'Alloc Table Cust'!$B$7:$T$58,18,FALSE)*$E165),0)</f>
        <v>0</v>
      </c>
      <c r="L165" s="3">
        <f>ROUND((VLOOKUP($D165,'Alloc Table Cust'!$B$7:$T$58,19,FALSE)*$E165),0)</f>
        <v>0</v>
      </c>
      <c r="N165" s="245"/>
      <c r="O165" s="245"/>
      <c r="P165" s="245"/>
      <c r="Q165" s="245"/>
      <c r="R165" s="245"/>
    </row>
    <row r="166" spans="1:19" ht="11.25" x14ac:dyDescent="0.2">
      <c r="A166" s="325">
        <f t="shared" si="30"/>
        <v>31</v>
      </c>
      <c r="B166" s="24">
        <f>Input!A111</f>
        <v>379.1</v>
      </c>
      <c r="C166" s="25" t="str">
        <f>Input!B111</f>
        <v>STA EQUIP - CITY</v>
      </c>
      <c r="D166" s="325">
        <f>Input!C111</f>
        <v>5</v>
      </c>
      <c r="E166" s="3">
        <f>Classification!F166</f>
        <v>0</v>
      </c>
      <c r="F166" s="3">
        <f>ROUND((VLOOKUP($D166,'Alloc Table Cust'!$B$7:$S$58,13,FALSE)*$E166),0)</f>
        <v>0</v>
      </c>
      <c r="G166" s="3">
        <f>ROUND((VLOOKUP($D166,'Alloc Table Cust'!$B$7:$T$58,14,FALSE)*$E166),0)</f>
        <v>0</v>
      </c>
      <c r="H166" s="3">
        <f>ROUND((VLOOKUP($D166,'Alloc Table Cust'!$B$7:$T$58,15,FALSE)*$E166),0)</f>
        <v>0</v>
      </c>
      <c r="I166" s="3">
        <f>ROUND((VLOOKUP($D166,'Alloc Table Cust'!$B$7:$T$58,16,FALSE)*$E166),0)</f>
        <v>0</v>
      </c>
      <c r="J166" s="3">
        <f>ROUND((VLOOKUP($D166,'Alloc Table Cust'!$B$7:$T$58,17,FALSE)*$E166),0)</f>
        <v>0</v>
      </c>
      <c r="K166" s="3">
        <f>ROUND((VLOOKUP($D166,'Alloc Table Cust'!$B$7:$T$58,18,FALSE)*$E166),0)</f>
        <v>0</v>
      </c>
      <c r="L166" s="3">
        <f>ROUND((VLOOKUP($D166,'Alloc Table Cust'!$B$7:$T$58,19,FALSE)*$E166),0)</f>
        <v>0</v>
      </c>
      <c r="N166" s="245"/>
      <c r="O166" s="245"/>
      <c r="P166" s="245"/>
      <c r="Q166" s="245"/>
      <c r="R166" s="245"/>
    </row>
    <row r="167" spans="1:19" ht="11.25" x14ac:dyDescent="0.2">
      <c r="A167" s="325">
        <f t="shared" si="30"/>
        <v>32</v>
      </c>
      <c r="B167" s="24">
        <f>Input!A112</f>
        <v>380</v>
      </c>
      <c r="C167" s="25" t="str">
        <f>Input!B112</f>
        <v>SERVICES</v>
      </c>
      <c r="D167" s="325">
        <f>Input!C112</f>
        <v>15</v>
      </c>
      <c r="E167" s="3">
        <f>Classification!F167</f>
        <v>127467343</v>
      </c>
      <c r="F167" s="3">
        <f ca="1">ROUND((VLOOKUP($D167,'Alloc Table Cust'!$B$7:$S$58,13,FALSE)*$E167),0)</f>
        <v>112461887</v>
      </c>
      <c r="G167" s="3">
        <f ca="1">ROUND((VLOOKUP($D167,'Alloc Table Cust'!$B$7:$T$58,14,FALSE)*$E167),0)</f>
        <v>14554221</v>
      </c>
      <c r="H167" s="3">
        <f ca="1">ROUND((VLOOKUP($D167,'Alloc Table Cust'!$B$7:$T$58,15,FALSE)*$E167),0)</f>
        <v>1275</v>
      </c>
      <c r="I167" s="3">
        <f ca="1">ROUND((VLOOKUP($D167,'Alloc Table Cust'!$B$7:$T$58,16,FALSE)*$E167),0)</f>
        <v>0</v>
      </c>
      <c r="J167" s="3">
        <f ca="1">ROUND((VLOOKUP($D167,'Alloc Table Cust'!$B$7:$T$58,17,FALSE)*$E167),0)</f>
        <v>449960</v>
      </c>
      <c r="K167" s="3">
        <f ca="1">ROUND((VLOOKUP($D167,'Alloc Table Cust'!$B$7:$T$58,18,FALSE)*$E167),0)</f>
        <v>0</v>
      </c>
      <c r="L167" s="3">
        <f ca="1">ROUND((VLOOKUP($D167,'Alloc Table Cust'!$B$7:$T$58,19,FALSE)*$E167),0)</f>
        <v>0</v>
      </c>
      <c r="N167" s="245"/>
      <c r="O167" s="245"/>
      <c r="P167" s="245"/>
      <c r="Q167" s="245"/>
      <c r="R167" s="245"/>
    </row>
    <row r="168" spans="1:19" ht="11.25" x14ac:dyDescent="0.2">
      <c r="A168" s="3" t="s">
        <v>817</v>
      </c>
      <c r="B168" s="3"/>
      <c r="C168" s="14"/>
      <c r="D168" s="325"/>
      <c r="E168" s="3"/>
      <c r="F168" s="325" t="str">
        <f>""&amp;+Input!$B$1</f>
        <v>COLUMBIA GAS OF KENTUCKY, INC.</v>
      </c>
      <c r="H168" s="3"/>
      <c r="I168" s="3"/>
      <c r="J168" s="3"/>
      <c r="K168" s="3"/>
      <c r="L168" s="32" t="str">
        <f>Input!$B$2</f>
        <v>ATTACHMENT CEN-2</v>
      </c>
    </row>
    <row r="169" spans="1:19" ht="11.25" x14ac:dyDescent="0.2">
      <c r="A169" s="3" t="str">
        <f>Input!$B$7</f>
        <v>DEMAND-COMMODITY</v>
      </c>
      <c r="B169" s="3"/>
      <c r="C169" s="3"/>
      <c r="D169" s="325"/>
      <c r="E169" s="3"/>
      <c r="F169" s="325" t="s">
        <v>806</v>
      </c>
      <c r="H169" s="3"/>
      <c r="I169" s="3"/>
      <c r="J169" s="3"/>
      <c r="K169" s="3"/>
      <c r="L169" s="32" t="str">
        <f>"PAGE 57 OF "&amp;FIXED(Input!$B$8,0,TRUE)</f>
        <v>PAGE 57 OF 129</v>
      </c>
    </row>
    <row r="170" spans="1:19" ht="11.25" x14ac:dyDescent="0.2">
      <c r="A170" s="17" t="str">
        <f>Input!$B$6</f>
        <v>FORECASTED TEST YEAR - ORIGINAL FILING</v>
      </c>
      <c r="B170" s="17"/>
      <c r="C170" s="17"/>
      <c r="D170" s="34"/>
      <c r="E170" s="18"/>
      <c r="F170" s="19" t="str">
        <f>"FOR THE TWELVE MONTHS ENDED "&amp;Input!$B$4</f>
        <v>FOR THE TWELVE MONTHS ENDED 12/31/2017</v>
      </c>
      <c r="G170" s="329"/>
      <c r="H170" s="17"/>
      <c r="I170" s="17"/>
      <c r="J170" s="17"/>
      <c r="K170" s="17"/>
      <c r="L170" s="183" t="str">
        <f>"WITNESS: "&amp;Input!$B$5</f>
        <v>WITNESS: C. NOTESTONE</v>
      </c>
    </row>
    <row r="171" spans="1:19" ht="11.25" x14ac:dyDescent="0.2">
      <c r="A171" s="325" t="s">
        <v>5</v>
      </c>
      <c r="B171" s="3" t="s">
        <v>6</v>
      </c>
      <c r="C171" s="3"/>
      <c r="D171" s="325" t="s">
        <v>7</v>
      </c>
      <c r="E171" s="325" t="s">
        <v>8</v>
      </c>
      <c r="F171" s="3"/>
      <c r="G171" s="3"/>
      <c r="H171" s="3"/>
      <c r="I171" s="3"/>
      <c r="J171" s="3"/>
      <c r="K171" s="3"/>
      <c r="L171" s="3"/>
    </row>
    <row r="172" spans="1:19" ht="11.25" x14ac:dyDescent="0.2">
      <c r="A172" s="341" t="s">
        <v>9</v>
      </c>
      <c r="B172" s="341" t="s">
        <v>9</v>
      </c>
      <c r="C172" s="20" t="str">
        <f>Customer!C128</f>
        <v xml:space="preserve"> ACCOUNT TITLE</v>
      </c>
      <c r="D172" s="341" t="s">
        <v>10</v>
      </c>
      <c r="E172" s="341" t="s">
        <v>804</v>
      </c>
      <c r="F172" s="341" t="str">
        <f>"  "&amp;+Input!$C$12</f>
        <v xml:space="preserve">  GS-RESIDENTIAL</v>
      </c>
      <c r="G172" s="341" t="str">
        <f>Input!$C$13</f>
        <v>GS-OTHER</v>
      </c>
      <c r="H172" s="341" t="str">
        <f>Input!$C$14</f>
        <v>IUS</v>
      </c>
      <c r="I172" s="341" t="str">
        <f>Input!$C$15</f>
        <v>DS-ML</v>
      </c>
      <c r="J172" s="341" t="str">
        <f>Input!$C$16</f>
        <v>DS/IS</v>
      </c>
      <c r="K172" s="341" t="str">
        <f>Input!$C$17</f>
        <v>NOT USED</v>
      </c>
      <c r="L172" s="341" t="str">
        <f>Input!$C$18</f>
        <v>NOT USED</v>
      </c>
    </row>
    <row r="173" spans="1:19" ht="11.25" x14ac:dyDescent="0.2">
      <c r="A173" s="325"/>
      <c r="B173" s="342" t="s">
        <v>13</v>
      </c>
      <c r="C173" s="342" t="s">
        <v>14</v>
      </c>
      <c r="D173" s="325" t="s">
        <v>15</v>
      </c>
      <c r="E173" s="325" t="s">
        <v>16</v>
      </c>
      <c r="F173" s="325" t="s">
        <v>17</v>
      </c>
      <c r="G173" s="325" t="s">
        <v>18</v>
      </c>
      <c r="H173" s="325" t="s">
        <v>19</v>
      </c>
      <c r="I173" s="325" t="s">
        <v>20</v>
      </c>
      <c r="J173" s="325" t="s">
        <v>21</v>
      </c>
      <c r="K173" s="325" t="s">
        <v>22</v>
      </c>
      <c r="L173" s="325" t="s">
        <v>23</v>
      </c>
    </row>
    <row r="174" spans="1:19" ht="11.25" x14ac:dyDescent="0.2">
      <c r="A174" s="325"/>
      <c r="B174" s="3"/>
      <c r="C174" s="3"/>
      <c r="D174" s="325"/>
      <c r="E174" s="325" t="s">
        <v>26</v>
      </c>
      <c r="F174" s="325" t="s">
        <v>26</v>
      </c>
      <c r="G174" s="325" t="s">
        <v>26</v>
      </c>
      <c r="H174" s="325" t="s">
        <v>26</v>
      </c>
      <c r="I174" s="325" t="s">
        <v>26</v>
      </c>
      <c r="J174" s="325" t="s">
        <v>26</v>
      </c>
      <c r="K174" s="325" t="s">
        <v>26</v>
      </c>
      <c r="L174" s="325" t="s">
        <v>26</v>
      </c>
    </row>
    <row r="175" spans="1:19" ht="11.25" x14ac:dyDescent="0.2">
      <c r="A175" s="325">
        <v>1</v>
      </c>
      <c r="B175" s="24">
        <f>Input!A112</f>
        <v>380</v>
      </c>
      <c r="C175" s="25" t="str">
        <f>"DIRECT "&amp;+Input!B112</f>
        <v>DIRECT SERVICES</v>
      </c>
      <c r="D175" s="325"/>
      <c r="E175" s="3">
        <f>Classification!F175</f>
        <v>0</v>
      </c>
      <c r="F175" s="3">
        <v>0</v>
      </c>
      <c r="G175" s="3">
        <v>0</v>
      </c>
      <c r="H175" s="3">
        <v>0</v>
      </c>
      <c r="I175" s="3">
        <f>E175</f>
        <v>0</v>
      </c>
      <c r="J175" s="3">
        <v>0</v>
      </c>
      <c r="K175" s="3">
        <v>0</v>
      </c>
      <c r="L175" s="3">
        <v>0</v>
      </c>
      <c r="N175" s="245"/>
      <c r="O175" s="245"/>
      <c r="P175" s="245"/>
      <c r="Q175" s="245"/>
      <c r="R175" s="245"/>
    </row>
    <row r="176" spans="1:19" ht="11.25" x14ac:dyDescent="0.2">
      <c r="A176" s="325">
        <f t="shared" ref="A176:A205" si="31">A175+1</f>
        <v>2</v>
      </c>
      <c r="B176" s="24">
        <f>Input!A113</f>
        <v>381</v>
      </c>
      <c r="C176" s="25" t="str">
        <f>Input!B113</f>
        <v>METERS</v>
      </c>
      <c r="D176" s="325">
        <f>Input!C113</f>
        <v>16</v>
      </c>
      <c r="E176" s="3">
        <f>Classification!F176</f>
        <v>22789579</v>
      </c>
      <c r="F176" s="3">
        <f>ROUND((VLOOKUP($D176,'Alloc Table Cust'!$B$7:$S$58,13,FALSE)*$E176),0)</f>
        <v>16395279</v>
      </c>
      <c r="G176" s="3">
        <f>ROUND((VLOOKUP($D176,'Alloc Table Cust'!$B$7:$T$58,14,FALSE)*$E176),0)</f>
        <v>6292659</v>
      </c>
      <c r="H176" s="3">
        <f>ROUND((VLOOKUP($D176,'Alloc Table Cust'!$B$7:$T$58,15,FALSE)*$E176),0)</f>
        <v>2963</v>
      </c>
      <c r="I176" s="3">
        <f>ROUND((VLOOKUP($D176,'Alloc Table Cust'!$B$7:$T$58,16,FALSE)*$E176),0)</f>
        <v>0</v>
      </c>
      <c r="J176" s="3">
        <f>ROUND((VLOOKUP($D176,'Alloc Table Cust'!$B$7:$T$58,17,FALSE)*$E176),0)</f>
        <v>98679</v>
      </c>
      <c r="K176" s="3">
        <f>ROUND((VLOOKUP($D176,'Alloc Table Cust'!$B$7:$T$58,18,FALSE)*$E176),0)</f>
        <v>0</v>
      </c>
      <c r="L176" s="3">
        <f>ROUND((VLOOKUP($D176,'Alloc Table Cust'!$B$7:$T$58,19,FALSE)*$E176),0)</f>
        <v>0</v>
      </c>
      <c r="N176" s="245"/>
      <c r="O176" s="245"/>
      <c r="P176" s="245"/>
      <c r="Q176" s="245"/>
      <c r="R176" s="245"/>
    </row>
    <row r="177" spans="1:18" ht="11.25" x14ac:dyDescent="0.2">
      <c r="A177" s="325">
        <f t="shared" si="31"/>
        <v>3</v>
      </c>
      <c r="B177" s="24">
        <f>Input!A114</f>
        <v>382</v>
      </c>
      <c r="C177" s="25" t="str">
        <f>Input!B114</f>
        <v>METER INSTALLATIONS</v>
      </c>
      <c r="D177" s="325">
        <f>Input!C114</f>
        <v>16</v>
      </c>
      <c r="E177" s="3">
        <f>Classification!F177</f>
        <v>9462175</v>
      </c>
      <c r="F177" s="3">
        <f>ROUND((VLOOKUP($D177,'Alloc Table Cust'!$B$7:$S$58,13,FALSE)*$E177),0)</f>
        <v>6807278</v>
      </c>
      <c r="G177" s="3">
        <f>ROUND((VLOOKUP($D177,'Alloc Table Cust'!$B$7:$T$58,14,FALSE)*$E177),0)</f>
        <v>2612696</v>
      </c>
      <c r="H177" s="3">
        <f>ROUND((VLOOKUP($D177,'Alloc Table Cust'!$B$7:$T$58,15,FALSE)*$E177),0)</f>
        <v>1230</v>
      </c>
      <c r="I177" s="3">
        <f>ROUND((VLOOKUP($D177,'Alloc Table Cust'!$B$7:$T$58,16,FALSE)*$E177),0)</f>
        <v>0</v>
      </c>
      <c r="J177" s="3">
        <f>ROUND((VLOOKUP($D177,'Alloc Table Cust'!$B$7:$T$58,17,FALSE)*$E177),0)</f>
        <v>40971</v>
      </c>
      <c r="K177" s="3">
        <f>ROUND((VLOOKUP($D177,'Alloc Table Cust'!$B$7:$T$58,18,FALSE)*$E177),0)</f>
        <v>0</v>
      </c>
      <c r="L177" s="3">
        <f>ROUND((VLOOKUP($D177,'Alloc Table Cust'!$B$7:$T$58,19,FALSE)*$E177),0)</f>
        <v>0</v>
      </c>
      <c r="N177" s="245"/>
      <c r="O177" s="245"/>
      <c r="P177" s="245"/>
      <c r="Q177" s="245"/>
      <c r="R177" s="245"/>
    </row>
    <row r="178" spans="1:18" ht="11.25" x14ac:dyDescent="0.2">
      <c r="A178" s="325">
        <f t="shared" si="31"/>
        <v>4</v>
      </c>
      <c r="B178" s="24">
        <f>Input!A115</f>
        <v>383</v>
      </c>
      <c r="C178" s="25" t="str">
        <f>Input!B115</f>
        <v>HOUSE REGULATORS</v>
      </c>
      <c r="D178" s="325">
        <f>Input!C115</f>
        <v>16</v>
      </c>
      <c r="E178" s="3">
        <f>Classification!F178</f>
        <v>5770311</v>
      </c>
      <c r="F178" s="3">
        <f>ROUND((VLOOKUP($D178,'Alloc Table Cust'!$B$7:$S$58,13,FALSE)*$E178),0)</f>
        <v>4151277</v>
      </c>
      <c r="G178" s="3">
        <f>ROUND((VLOOKUP($D178,'Alloc Table Cust'!$B$7:$T$58,14,FALSE)*$E178),0)</f>
        <v>1593298</v>
      </c>
      <c r="H178" s="3">
        <f>ROUND((VLOOKUP($D178,'Alloc Table Cust'!$B$7:$T$58,15,FALSE)*$E178),0)</f>
        <v>750</v>
      </c>
      <c r="I178" s="3">
        <f>ROUND((VLOOKUP($D178,'Alloc Table Cust'!$B$7:$T$58,16,FALSE)*$E178),0)</f>
        <v>0</v>
      </c>
      <c r="J178" s="3">
        <f>ROUND((VLOOKUP($D178,'Alloc Table Cust'!$B$7:$T$58,17,FALSE)*$E178),0)</f>
        <v>24985</v>
      </c>
      <c r="K178" s="3">
        <f>ROUND((VLOOKUP($D178,'Alloc Table Cust'!$B$7:$T$58,18,FALSE)*$E178),0)</f>
        <v>0</v>
      </c>
      <c r="L178" s="3">
        <f>ROUND((VLOOKUP($D178,'Alloc Table Cust'!$B$7:$T$58,19,FALSE)*$E178),0)</f>
        <v>0</v>
      </c>
      <c r="N178" s="245"/>
      <c r="O178" s="245"/>
      <c r="P178" s="245"/>
      <c r="Q178" s="245"/>
      <c r="R178" s="245"/>
    </row>
    <row r="179" spans="1:18" ht="11.25" x14ac:dyDescent="0.2">
      <c r="A179" s="325">
        <f t="shared" si="31"/>
        <v>5</v>
      </c>
      <c r="B179" s="24">
        <f>Input!A116</f>
        <v>384</v>
      </c>
      <c r="C179" s="25" t="str">
        <f>Input!B116</f>
        <v>HOUSE REG INSTALLATIONS</v>
      </c>
      <c r="D179" s="325">
        <f>Input!C116</f>
        <v>16</v>
      </c>
      <c r="E179" s="3">
        <f>Classification!F179</f>
        <v>2257522</v>
      </c>
      <c r="F179" s="3">
        <f>ROUND((VLOOKUP($D179,'Alloc Table Cust'!$B$7:$S$58,13,FALSE)*$E179),0)</f>
        <v>1624106</v>
      </c>
      <c r="G179" s="3">
        <f>ROUND((VLOOKUP($D179,'Alloc Table Cust'!$B$7:$T$58,14,FALSE)*$E179),0)</f>
        <v>623347</v>
      </c>
      <c r="H179" s="3">
        <f>ROUND((VLOOKUP($D179,'Alloc Table Cust'!$B$7:$T$58,15,FALSE)*$E179),0)</f>
        <v>293</v>
      </c>
      <c r="I179" s="3">
        <f>ROUND((VLOOKUP($D179,'Alloc Table Cust'!$B$7:$T$58,16,FALSE)*$E179),0)</f>
        <v>0</v>
      </c>
      <c r="J179" s="3">
        <f>ROUND((VLOOKUP($D179,'Alloc Table Cust'!$B$7:$T$58,17,FALSE)*$E179),0)</f>
        <v>9775</v>
      </c>
      <c r="K179" s="3">
        <f>ROUND((VLOOKUP($D179,'Alloc Table Cust'!$B$7:$T$58,18,FALSE)*$E179),0)</f>
        <v>0</v>
      </c>
      <c r="L179" s="3">
        <f>ROUND((VLOOKUP($D179,'Alloc Table Cust'!$B$7:$T$58,19,FALSE)*$E179),0)</f>
        <v>0</v>
      </c>
      <c r="N179" s="245"/>
      <c r="O179" s="245"/>
      <c r="P179" s="245"/>
      <c r="Q179" s="245"/>
      <c r="R179" s="245"/>
    </row>
    <row r="180" spans="1:18" ht="11.25" x14ac:dyDescent="0.2">
      <c r="A180" s="325">
        <f t="shared" si="31"/>
        <v>6</v>
      </c>
      <c r="B180" s="24">
        <f>Input!A117</f>
        <v>385</v>
      </c>
      <c r="C180" s="25" t="str">
        <f>Input!B117</f>
        <v>IND M&amp;R EQUIPMENT</v>
      </c>
      <c r="D180" s="325">
        <f>Input!C117</f>
        <v>17</v>
      </c>
      <c r="E180" s="3">
        <f>Classification!F180</f>
        <v>2697547</v>
      </c>
      <c r="F180" s="3">
        <f>ROUND((VLOOKUP($D180,'Alloc Table Cust'!$B$7:$S$58,13,FALSE)*$E180),0)</f>
        <v>0</v>
      </c>
      <c r="G180" s="3">
        <f>ROUND((VLOOKUP($D180,'Alloc Table Cust'!$B$7:$T$58,14,FALSE)*$E180),0)</f>
        <v>700742</v>
      </c>
      <c r="H180" s="3">
        <f>ROUND((VLOOKUP($D180,'Alloc Table Cust'!$B$7:$T$58,15,FALSE)*$E180),0)</f>
        <v>782</v>
      </c>
      <c r="I180" s="3">
        <f>ROUND((VLOOKUP($D180,'Alloc Table Cust'!$B$7:$T$58,16,FALSE)*$E180),0)</f>
        <v>0</v>
      </c>
      <c r="J180" s="3">
        <f>ROUND((VLOOKUP($D180,'Alloc Table Cust'!$B$7:$T$58,17,FALSE)*$E180),0)</f>
        <v>1996050</v>
      </c>
      <c r="K180" s="3">
        <f>ROUND((VLOOKUP($D180,'Alloc Table Cust'!$B$7:$T$58,18,FALSE)*$E180),0)</f>
        <v>0</v>
      </c>
      <c r="L180" s="3">
        <f>ROUND((VLOOKUP($D180,'Alloc Table Cust'!$B$7:$T$58,19,FALSE)*$E180),0)</f>
        <v>0</v>
      </c>
      <c r="N180" s="245"/>
      <c r="O180" s="245"/>
      <c r="P180" s="245"/>
      <c r="Q180" s="245"/>
      <c r="R180" s="245"/>
    </row>
    <row r="181" spans="1:18" ht="11.25" x14ac:dyDescent="0.2">
      <c r="A181" s="325">
        <f t="shared" si="31"/>
        <v>7</v>
      </c>
      <c r="B181" s="24">
        <f>Input!A117</f>
        <v>385</v>
      </c>
      <c r="C181" s="25" t="str">
        <f>"DIRECT "&amp;+Input!B117</f>
        <v>DIRECT IND M&amp;R EQUIPMENT</v>
      </c>
      <c r="D181" s="325"/>
      <c r="E181" s="3">
        <f>Classification!F181</f>
        <v>677829</v>
      </c>
      <c r="F181" s="3">
        <v>0</v>
      </c>
      <c r="G181" s="3">
        <v>0</v>
      </c>
      <c r="H181" s="3">
        <v>0</v>
      </c>
      <c r="I181" s="3">
        <f>E181</f>
        <v>677829</v>
      </c>
      <c r="J181" s="3">
        <v>0</v>
      </c>
      <c r="K181" s="3">
        <v>0</v>
      </c>
      <c r="L181" s="3">
        <v>0</v>
      </c>
      <c r="N181" s="245"/>
      <c r="O181" s="245"/>
      <c r="P181" s="245"/>
      <c r="Q181" s="245"/>
      <c r="R181" s="245"/>
    </row>
    <row r="182" spans="1:18" ht="11.25" x14ac:dyDescent="0.2">
      <c r="A182" s="325">
        <f t="shared" si="31"/>
        <v>8</v>
      </c>
      <c r="B182" s="24">
        <f>Input!A118</f>
        <v>387.2</v>
      </c>
      <c r="C182" s="25" t="str">
        <f>Input!B118</f>
        <v>ODORIZATION</v>
      </c>
      <c r="D182" s="325" t="str">
        <f>VLOOKUP(Input!C118,'Alloc Table Cust'!$A$7:$B$27,2,FALSE)</f>
        <v>7CUST</v>
      </c>
      <c r="E182" s="3">
        <f>Classification!F182</f>
        <v>0</v>
      </c>
      <c r="F182" s="3">
        <f ca="1">ROUND((VLOOKUP($D182,'Alloc Table Cust'!$B$7:$S$58,13,FALSE)*$E182),0)</f>
        <v>0</v>
      </c>
      <c r="G182" s="3">
        <f ca="1">ROUND((VLOOKUP($D182,'Alloc Table Cust'!$B$7:$T$58,14,FALSE)*$E182),0)</f>
        <v>0</v>
      </c>
      <c r="H182" s="3">
        <f ca="1">ROUND((VLOOKUP($D182,'Alloc Table Cust'!$B$7:$T$58,15,FALSE)*$E182),0)</f>
        <v>0</v>
      </c>
      <c r="I182" s="3">
        <f ca="1">ROUND((VLOOKUP($D182,'Alloc Table Cust'!$B$7:$T$58,16,FALSE)*$E182),0)</f>
        <v>0</v>
      </c>
      <c r="J182" s="3">
        <f ca="1">ROUND((VLOOKUP($D182,'Alloc Table Cust'!$B$7:$T$58,17,FALSE)*$E182),0)</f>
        <v>0</v>
      </c>
      <c r="K182" s="3">
        <f ca="1">ROUND((VLOOKUP($D182,'Alloc Table Cust'!$B$7:$T$58,18,FALSE)*$E182),0)</f>
        <v>0</v>
      </c>
      <c r="L182" s="3">
        <f ca="1">ROUND((VLOOKUP($D182,'Alloc Table Cust'!$B$7:$T$58,19,FALSE)*$E182),0)</f>
        <v>0</v>
      </c>
    </row>
    <row r="183" spans="1:18" ht="11.25" x14ac:dyDescent="0.2">
      <c r="A183" s="325">
        <f t="shared" si="31"/>
        <v>9</v>
      </c>
      <c r="B183" s="24">
        <f>Input!A119</f>
        <v>387.41</v>
      </c>
      <c r="C183" s="25" t="str">
        <f>Input!B119</f>
        <v>TELEPHONE</v>
      </c>
      <c r="D183" s="325" t="str">
        <f>VLOOKUP(Input!C119,'Alloc Table Cust'!$A$7:$B$27,2,FALSE)</f>
        <v>7CUST</v>
      </c>
      <c r="E183" s="3">
        <f>Classification!F183</f>
        <v>307899</v>
      </c>
      <c r="F183" s="3">
        <f ca="1">ROUND((VLOOKUP($D183,'Alloc Table Cust'!$B$7:$S$58,13,FALSE)*$E183),0)</f>
        <v>254494</v>
      </c>
      <c r="G183" s="3">
        <f ca="1">ROUND((VLOOKUP($D183,'Alloc Table Cust'!$B$7:$T$58,14,FALSE)*$E183),0)</f>
        <v>47460</v>
      </c>
      <c r="H183" s="3">
        <f ca="1">ROUND((VLOOKUP($D183,'Alloc Table Cust'!$B$7:$T$58,15,FALSE)*$E183),0)</f>
        <v>12</v>
      </c>
      <c r="I183" s="3">
        <f ca="1">ROUND((VLOOKUP($D183,'Alloc Table Cust'!$B$7:$T$58,16,FALSE)*$E183),0)</f>
        <v>1219</v>
      </c>
      <c r="J183" s="3">
        <f ca="1">ROUND((VLOOKUP($D183,'Alloc Table Cust'!$B$7:$T$58,17,FALSE)*$E183),0)</f>
        <v>4714</v>
      </c>
      <c r="K183" s="3">
        <f ca="1">ROUND((VLOOKUP($D183,'Alloc Table Cust'!$B$7:$T$58,18,FALSE)*$E183),0)</f>
        <v>0</v>
      </c>
      <c r="L183" s="3">
        <f ca="1">ROUND((VLOOKUP($D183,'Alloc Table Cust'!$B$7:$T$58,19,FALSE)*$E183),0)</f>
        <v>0</v>
      </c>
    </row>
    <row r="184" spans="1:18" ht="11.25" x14ac:dyDescent="0.2">
      <c r="A184" s="325">
        <f t="shared" si="31"/>
        <v>10</v>
      </c>
      <c r="B184" s="24">
        <f>Input!A120</f>
        <v>387.42</v>
      </c>
      <c r="C184" s="25" t="str">
        <f>Input!B120</f>
        <v>RADIO</v>
      </c>
      <c r="D184" s="325" t="str">
        <f>VLOOKUP(Input!C120,'Alloc Table Cust'!$A$7:$B$27,2,FALSE)</f>
        <v>7CUST</v>
      </c>
      <c r="E184" s="3">
        <f>Classification!F184</f>
        <v>332763</v>
      </c>
      <c r="F184" s="3">
        <f ca="1">ROUND((VLOOKUP($D184,'Alloc Table Cust'!$B$7:$S$58,13,FALSE)*$E184),0)</f>
        <v>275045</v>
      </c>
      <c r="G184" s="3">
        <f ca="1">ROUND((VLOOKUP($D184,'Alloc Table Cust'!$B$7:$T$58,14,FALSE)*$E184),0)</f>
        <v>51292</v>
      </c>
      <c r="H184" s="3">
        <f ca="1">ROUND((VLOOKUP($D184,'Alloc Table Cust'!$B$7:$T$58,15,FALSE)*$E184),0)</f>
        <v>13</v>
      </c>
      <c r="I184" s="3">
        <f ca="1">ROUND((VLOOKUP($D184,'Alloc Table Cust'!$B$7:$T$58,16,FALSE)*$E184),0)</f>
        <v>1318</v>
      </c>
      <c r="J184" s="3">
        <f ca="1">ROUND((VLOOKUP($D184,'Alloc Table Cust'!$B$7:$T$58,17,FALSE)*$E184),0)</f>
        <v>5095</v>
      </c>
      <c r="K184" s="3">
        <f ca="1">ROUND((VLOOKUP($D184,'Alloc Table Cust'!$B$7:$T$58,18,FALSE)*$E184),0)</f>
        <v>0</v>
      </c>
      <c r="L184" s="3">
        <f ca="1">ROUND((VLOOKUP($D184,'Alloc Table Cust'!$B$7:$T$58,19,FALSE)*$E184),0)</f>
        <v>0</v>
      </c>
    </row>
    <row r="185" spans="1:18" ht="11.25" x14ac:dyDescent="0.2">
      <c r="A185" s="325">
        <f t="shared" si="31"/>
        <v>11</v>
      </c>
      <c r="B185" s="24">
        <f>Input!A121</f>
        <v>387.44</v>
      </c>
      <c r="C185" s="25" t="str">
        <f>Input!B121</f>
        <v>OTHER COMMUNICATION</v>
      </c>
      <c r="D185" s="325" t="str">
        <f>VLOOKUP(Input!C121,'Alloc Table Cust'!$A$7:$B$27,2,FALSE)</f>
        <v>7CUST</v>
      </c>
      <c r="E185" s="3">
        <f>Classification!F185</f>
        <v>55904</v>
      </c>
      <c r="F185" s="3">
        <f ca="1">ROUND((VLOOKUP($D185,'Alloc Table Cust'!$B$7:$S$58,13,FALSE)*$E185),0)</f>
        <v>46207</v>
      </c>
      <c r="G185" s="3">
        <f ca="1">ROUND((VLOOKUP($D185,'Alloc Table Cust'!$B$7:$T$58,14,FALSE)*$E185),0)</f>
        <v>8617</v>
      </c>
      <c r="H185" s="3">
        <f ca="1">ROUND((VLOOKUP($D185,'Alloc Table Cust'!$B$7:$T$58,15,FALSE)*$E185),0)</f>
        <v>2</v>
      </c>
      <c r="I185" s="3">
        <f ca="1">ROUND((VLOOKUP($D185,'Alloc Table Cust'!$B$7:$T$58,16,FALSE)*$E185),0)</f>
        <v>221</v>
      </c>
      <c r="J185" s="3">
        <f ca="1">ROUND((VLOOKUP($D185,'Alloc Table Cust'!$B$7:$T$58,17,FALSE)*$E185),0)</f>
        <v>856</v>
      </c>
      <c r="K185" s="3">
        <f ca="1">ROUND((VLOOKUP($D185,'Alloc Table Cust'!$B$7:$T$58,18,FALSE)*$E185),0)</f>
        <v>0</v>
      </c>
      <c r="L185" s="3">
        <f ca="1">ROUND((VLOOKUP($D185,'Alloc Table Cust'!$B$7:$T$58,19,FALSE)*$E185),0)</f>
        <v>0</v>
      </c>
    </row>
    <row r="186" spans="1:18" ht="11.25" x14ac:dyDescent="0.2">
      <c r="A186" s="325">
        <f t="shared" si="31"/>
        <v>12</v>
      </c>
      <c r="B186" s="24">
        <f>Input!A122</f>
        <v>387.45</v>
      </c>
      <c r="C186" s="25" t="str">
        <f>Input!B122</f>
        <v>TELEMETERING</v>
      </c>
      <c r="D186" s="325" t="str">
        <f>VLOOKUP(Input!C122,'Alloc Table Cust'!$A$7:$B$27,2,FALSE)</f>
        <v>7CUST</v>
      </c>
      <c r="E186" s="3">
        <f>Classification!F186</f>
        <v>1581646</v>
      </c>
      <c r="F186" s="3">
        <f ca="1">ROUND((VLOOKUP($D186,'Alloc Table Cust'!$B$7:$S$58,13,FALSE)*$E186),0)</f>
        <v>1307310</v>
      </c>
      <c r="G186" s="3">
        <f ca="1">ROUND((VLOOKUP($D186,'Alloc Table Cust'!$B$7:$T$58,14,FALSE)*$E186),0)</f>
        <v>243795</v>
      </c>
      <c r="H186" s="3">
        <f ca="1">ROUND((VLOOKUP($D186,'Alloc Table Cust'!$B$7:$T$58,15,FALSE)*$E186),0)</f>
        <v>63</v>
      </c>
      <c r="I186" s="3">
        <f ca="1">ROUND((VLOOKUP($D186,'Alloc Table Cust'!$B$7:$T$58,16,FALSE)*$E186),0)</f>
        <v>6263</v>
      </c>
      <c r="J186" s="3">
        <f ca="1">ROUND((VLOOKUP($D186,'Alloc Table Cust'!$B$7:$T$58,17,FALSE)*$E186),0)</f>
        <v>24215</v>
      </c>
      <c r="K186" s="3">
        <f ca="1">ROUND((VLOOKUP($D186,'Alloc Table Cust'!$B$7:$T$58,18,FALSE)*$E186),0)</f>
        <v>0</v>
      </c>
      <c r="L186" s="3">
        <f ca="1">ROUND((VLOOKUP($D186,'Alloc Table Cust'!$B$7:$T$58,19,FALSE)*$E186),0)</f>
        <v>0</v>
      </c>
    </row>
    <row r="187" spans="1:18" ht="11.25" x14ac:dyDescent="0.2">
      <c r="A187" s="325">
        <f t="shared" si="31"/>
        <v>13</v>
      </c>
      <c r="B187" s="24">
        <f>Input!A123</f>
        <v>387.46</v>
      </c>
      <c r="C187" s="25" t="str">
        <f>Input!B123</f>
        <v>CIS</v>
      </c>
      <c r="D187" s="325" t="str">
        <f>VLOOKUP(Input!C123,'Alloc Table Cust'!$A$7:$B$27,2,FALSE)</f>
        <v>7CUST</v>
      </c>
      <c r="E187" s="26">
        <f>Classification!F187</f>
        <v>47557</v>
      </c>
      <c r="F187" s="26">
        <f ca="1">ROUND((VLOOKUP($D187,'Alloc Table Cust'!$B$7:$S$58,13,FALSE)*$E187),0)</f>
        <v>39308</v>
      </c>
      <c r="G187" s="26">
        <f ca="1">ROUND((VLOOKUP($D187,'Alloc Table Cust'!$B$7:$T$58,14,FALSE)*$E187),0)</f>
        <v>7330</v>
      </c>
      <c r="H187" s="26">
        <f ca="1">ROUND((VLOOKUP($D187,'Alloc Table Cust'!$B$7:$T$58,15,FALSE)*$E187),0)</f>
        <v>2</v>
      </c>
      <c r="I187" s="26">
        <f ca="1">ROUND((VLOOKUP($D187,'Alloc Table Cust'!$B$7:$T$58,16,FALSE)*$E187),0)</f>
        <v>188</v>
      </c>
      <c r="J187" s="26">
        <f ca="1">ROUND((VLOOKUP($D187,'Alloc Table Cust'!$B$7:$T$58,17,FALSE)*$E187),0)</f>
        <v>728</v>
      </c>
      <c r="K187" s="26">
        <f ca="1">ROUND((VLOOKUP($D187,'Alloc Table Cust'!$B$7:$T$58,18,FALSE)*$E187),0)</f>
        <v>0</v>
      </c>
      <c r="L187" s="26">
        <f ca="1">ROUND((VLOOKUP($D187,'Alloc Table Cust'!$B$7:$T$58,19,FALSE)*$E187),0)</f>
        <v>0</v>
      </c>
    </row>
    <row r="188" spans="1:18" ht="11.25" x14ac:dyDescent="0.2">
      <c r="A188" s="325">
        <f t="shared" si="31"/>
        <v>14</v>
      </c>
      <c r="B188" s="3"/>
      <c r="C188" s="25" t="s">
        <v>84</v>
      </c>
      <c r="D188" s="325"/>
      <c r="E188" s="3">
        <f>SUM(Customer!E149:E167)+SUM(E175:E187)</f>
        <v>177223194</v>
      </c>
      <c r="F188" s="3">
        <f ca="1">SUM(Customer!F149:F167)+SUM(F175:F187)</f>
        <v>146482515</v>
      </c>
      <c r="G188" s="3">
        <f ca="1">SUM(Customer!G149:G167)+SUM(G175:G187)</f>
        <v>27317353</v>
      </c>
      <c r="H188" s="3">
        <f ca="1">SUM(Customer!H149:H167)+SUM(H175:H187)</f>
        <v>7536</v>
      </c>
      <c r="I188" s="3">
        <f ca="1">SUM(Customer!I149:I167)+SUM(I175:I187)</f>
        <v>701988</v>
      </c>
      <c r="J188" s="3">
        <f ca="1">SUM(Customer!J149:J167)+SUM(J175:J187)</f>
        <v>2713826</v>
      </c>
      <c r="K188" s="3">
        <f ca="1">SUM(Customer!K149:K167)+SUM(K175:K187)</f>
        <v>0</v>
      </c>
      <c r="L188" s="3">
        <f ca="1">SUM(Customer!L149:L167)+SUM(L175:L187)</f>
        <v>0</v>
      </c>
    </row>
    <row r="189" spans="1:18" ht="11.25" x14ac:dyDescent="0.2">
      <c r="A189" s="325">
        <f t="shared" si="31"/>
        <v>15</v>
      </c>
      <c r="B189" s="3"/>
      <c r="C189" s="24" t="str">
        <f>Input!A124</f>
        <v>GENERAL PLANT</v>
      </c>
      <c r="D189" s="325"/>
      <c r="E189" s="3"/>
      <c r="F189" s="3"/>
      <c r="G189" s="3"/>
      <c r="H189" s="3"/>
      <c r="I189" s="3"/>
      <c r="J189" s="3"/>
      <c r="K189" s="3"/>
      <c r="L189" s="3"/>
    </row>
    <row r="190" spans="1:18" ht="11.25" x14ac:dyDescent="0.2">
      <c r="A190" s="325">
        <f t="shared" si="31"/>
        <v>16</v>
      </c>
      <c r="B190" s="24">
        <f>Input!A125</f>
        <v>391.1</v>
      </c>
      <c r="C190" s="25" t="str">
        <f>Input!B125</f>
        <v>OFF FURN &amp; EQUIP - UNSPEC</v>
      </c>
      <c r="D190" s="325" t="str">
        <f>VLOOKUP(Input!C125,'Alloc Table Cust'!$A$7:$B$27,2,FALSE)</f>
        <v>7CUST</v>
      </c>
      <c r="E190" s="3">
        <f>Classification!F190</f>
        <v>307692</v>
      </c>
      <c r="F190" s="3">
        <f ca="1">ROUND((VLOOKUP($D190,'Alloc Table Cust'!$B$7:$S$58,13,FALSE)*$E190),0)</f>
        <v>254323</v>
      </c>
      <c r="G190" s="3">
        <f ca="1">ROUND((VLOOKUP($D190,'Alloc Table Cust'!$B$7:$T$58,14,FALSE)*$E190),0)</f>
        <v>47428</v>
      </c>
      <c r="H190" s="3">
        <f ca="1">ROUND((VLOOKUP($D190,'Alloc Table Cust'!$B$7:$T$58,15,FALSE)*$E190),0)</f>
        <v>12</v>
      </c>
      <c r="I190" s="3">
        <f ca="1">ROUND((VLOOKUP($D190,'Alloc Table Cust'!$B$7:$T$58,16,FALSE)*$E190),0)</f>
        <v>1218</v>
      </c>
      <c r="J190" s="3">
        <f ca="1">ROUND((VLOOKUP($D190,'Alloc Table Cust'!$B$7:$T$58,17,FALSE)*$E190),0)</f>
        <v>4711</v>
      </c>
      <c r="K190" s="3">
        <f ca="1">ROUND((VLOOKUP($D190,'Alloc Table Cust'!$B$7:$T$58,18,FALSE)*$E190),0)</f>
        <v>0</v>
      </c>
      <c r="L190" s="3">
        <f ca="1">ROUND((VLOOKUP($D190,'Alloc Table Cust'!$B$7:$T$58,19,FALSE)*$E190),0)</f>
        <v>0</v>
      </c>
    </row>
    <row r="191" spans="1:18" ht="11.25" x14ac:dyDescent="0.2">
      <c r="A191" s="325">
        <f t="shared" si="31"/>
        <v>17</v>
      </c>
      <c r="B191" s="24">
        <f>Input!A126</f>
        <v>391.11</v>
      </c>
      <c r="C191" s="25" t="str">
        <f>Input!B126</f>
        <v>OFF FURN &amp; EQUIP - DATA HAND</v>
      </c>
      <c r="D191" s="325" t="str">
        <f>VLOOKUP(Input!C126,'Alloc Table Cust'!$A$7:$B$27,2,FALSE)</f>
        <v>7CUST</v>
      </c>
      <c r="E191" s="3">
        <f>Classification!F191</f>
        <v>7874</v>
      </c>
      <c r="F191" s="3">
        <f ca="1">ROUND((VLOOKUP($D191,'Alloc Table Cust'!$B$7:$S$58,13,FALSE)*$E191),0)</f>
        <v>6508</v>
      </c>
      <c r="G191" s="3">
        <f ca="1">ROUND((VLOOKUP($D191,'Alloc Table Cust'!$B$7:$T$58,14,FALSE)*$E191),0)</f>
        <v>1214</v>
      </c>
      <c r="H191" s="3">
        <f ca="1">ROUND((VLOOKUP($D191,'Alloc Table Cust'!$B$7:$T$58,15,FALSE)*$E191),0)</f>
        <v>0</v>
      </c>
      <c r="I191" s="3">
        <f ca="1">ROUND((VLOOKUP($D191,'Alloc Table Cust'!$B$7:$T$58,16,FALSE)*$E191),0)</f>
        <v>31</v>
      </c>
      <c r="J191" s="3">
        <f ca="1">ROUND((VLOOKUP($D191,'Alloc Table Cust'!$B$7:$T$58,17,FALSE)*$E191),0)</f>
        <v>121</v>
      </c>
      <c r="K191" s="3">
        <f ca="1">ROUND((VLOOKUP($D191,'Alloc Table Cust'!$B$7:$T$58,18,FALSE)*$E191),0)</f>
        <v>0</v>
      </c>
      <c r="L191" s="3">
        <f ca="1">ROUND((VLOOKUP($D191,'Alloc Table Cust'!$B$7:$T$58,19,FALSE)*$E191),0)</f>
        <v>0</v>
      </c>
    </row>
    <row r="192" spans="1:18" ht="11.25" x14ac:dyDescent="0.2">
      <c r="A192" s="325">
        <f t="shared" si="31"/>
        <v>18</v>
      </c>
      <c r="B192" s="24">
        <f>Input!A127</f>
        <v>391.12</v>
      </c>
      <c r="C192" s="25" t="str">
        <f>Input!B127</f>
        <v>OFF FURN &amp; EQUIP - INFO SYSTEM</v>
      </c>
      <c r="D192" s="325" t="str">
        <f>VLOOKUP(Input!C127,'Alloc Table Cust'!$A$7:$B$27,2,FALSE)</f>
        <v>7CUST</v>
      </c>
      <c r="E192" s="3">
        <f>Classification!F192</f>
        <v>526286</v>
      </c>
      <c r="F192" s="3">
        <f ca="1">ROUND((VLOOKUP($D192,'Alloc Table Cust'!$B$7:$S$58,13,FALSE)*$E192),0)</f>
        <v>435002</v>
      </c>
      <c r="G192" s="3">
        <f ca="1">ROUND((VLOOKUP($D192,'Alloc Table Cust'!$B$7:$T$58,14,FALSE)*$E192),0)</f>
        <v>81122</v>
      </c>
      <c r="H192" s="3">
        <f ca="1">ROUND((VLOOKUP($D192,'Alloc Table Cust'!$B$7:$T$58,15,FALSE)*$E192),0)</f>
        <v>21</v>
      </c>
      <c r="I192" s="3">
        <f ca="1">ROUND((VLOOKUP($D192,'Alloc Table Cust'!$B$7:$T$58,16,FALSE)*$E192),0)</f>
        <v>2084</v>
      </c>
      <c r="J192" s="3">
        <f ca="1">ROUND((VLOOKUP($D192,'Alloc Table Cust'!$B$7:$T$58,17,FALSE)*$E192),0)</f>
        <v>8057</v>
      </c>
      <c r="K192" s="3">
        <f ca="1">ROUND((VLOOKUP($D192,'Alloc Table Cust'!$B$7:$T$58,18,FALSE)*$E192),0)</f>
        <v>0</v>
      </c>
      <c r="L192" s="3">
        <f ca="1">ROUND((VLOOKUP($D192,'Alloc Table Cust'!$B$7:$T$58,19,FALSE)*$E192),0)</f>
        <v>0</v>
      </c>
    </row>
    <row r="193" spans="1:12" ht="11.25" x14ac:dyDescent="0.2">
      <c r="A193" s="325">
        <f t="shared" si="31"/>
        <v>19</v>
      </c>
      <c r="B193" s="24">
        <f>Input!A128</f>
        <v>392.2</v>
      </c>
      <c r="C193" s="25" t="str">
        <f>Input!B128</f>
        <v>TR EQ - TRAILER &gt; $1,000</v>
      </c>
      <c r="D193" s="325" t="str">
        <f>VLOOKUP(Input!C128,'Alloc Table Cust'!$A$7:$B$27,2,FALSE)</f>
        <v>7CUST</v>
      </c>
      <c r="E193" s="3">
        <f>Classification!F193</f>
        <v>40080</v>
      </c>
      <c r="F193" s="3">
        <f ca="1">ROUND((VLOOKUP($D193,'Alloc Table Cust'!$B$7:$S$58,13,FALSE)*$E193),0)</f>
        <v>33128</v>
      </c>
      <c r="G193" s="3">
        <f ca="1">ROUND((VLOOKUP($D193,'Alloc Table Cust'!$B$7:$T$58,14,FALSE)*$E193),0)</f>
        <v>6178</v>
      </c>
      <c r="H193" s="3">
        <f ca="1">ROUND((VLOOKUP($D193,'Alloc Table Cust'!$B$7:$T$58,15,FALSE)*$E193),0)</f>
        <v>2</v>
      </c>
      <c r="I193" s="3">
        <f ca="1">ROUND((VLOOKUP($D193,'Alloc Table Cust'!$B$7:$T$58,16,FALSE)*$E193),0)</f>
        <v>159</v>
      </c>
      <c r="J193" s="3">
        <f ca="1">ROUND((VLOOKUP($D193,'Alloc Table Cust'!$B$7:$T$58,17,FALSE)*$E193),0)</f>
        <v>614</v>
      </c>
      <c r="K193" s="3">
        <f ca="1">ROUND((VLOOKUP($D193,'Alloc Table Cust'!$B$7:$T$58,18,FALSE)*$E193),0)</f>
        <v>0</v>
      </c>
      <c r="L193" s="3">
        <f ca="1">ROUND((VLOOKUP($D193,'Alloc Table Cust'!$B$7:$T$58,19,FALSE)*$E193),0)</f>
        <v>0</v>
      </c>
    </row>
    <row r="194" spans="1:12" ht="11.25" x14ac:dyDescent="0.2">
      <c r="A194" s="325">
        <f t="shared" si="31"/>
        <v>20</v>
      </c>
      <c r="B194" s="24">
        <f>Input!A129</f>
        <v>392.21</v>
      </c>
      <c r="C194" s="25" t="str">
        <f>Input!B129</f>
        <v>TR EQ - TRAILER &lt; $1,000</v>
      </c>
      <c r="D194" s="325" t="str">
        <f>VLOOKUP(Input!C129,'Alloc Table Cust'!$A$7:$B$27,2,FALSE)</f>
        <v>7CUST</v>
      </c>
      <c r="E194" s="3">
        <f>Classification!F194</f>
        <v>10237</v>
      </c>
      <c r="F194" s="3">
        <f ca="1">ROUND((VLOOKUP($D194,'Alloc Table Cust'!$B$7:$S$58,13,FALSE)*$E194),0)</f>
        <v>8461</v>
      </c>
      <c r="G194" s="3">
        <f ca="1">ROUND((VLOOKUP($D194,'Alloc Table Cust'!$B$7:$T$58,14,FALSE)*$E194),0)</f>
        <v>1578</v>
      </c>
      <c r="H194" s="3">
        <f ca="1">ROUND((VLOOKUP($D194,'Alloc Table Cust'!$B$7:$T$58,15,FALSE)*$E194),0)</f>
        <v>0</v>
      </c>
      <c r="I194" s="3">
        <f ca="1">ROUND((VLOOKUP($D194,'Alloc Table Cust'!$B$7:$T$58,16,FALSE)*$E194),0)</f>
        <v>41</v>
      </c>
      <c r="J194" s="3">
        <f ca="1">ROUND((VLOOKUP($D194,'Alloc Table Cust'!$B$7:$T$58,17,FALSE)*$E194),0)</f>
        <v>157</v>
      </c>
      <c r="K194" s="3">
        <f ca="1">ROUND((VLOOKUP($D194,'Alloc Table Cust'!$B$7:$T$58,18,FALSE)*$E194),0)</f>
        <v>0</v>
      </c>
      <c r="L194" s="3">
        <f ca="1">ROUND((VLOOKUP($D194,'Alloc Table Cust'!$B$7:$T$58,19,FALSE)*$E194),0)</f>
        <v>0</v>
      </c>
    </row>
    <row r="195" spans="1:12" ht="11.25" x14ac:dyDescent="0.2">
      <c r="A195" s="325">
        <f t="shared" si="31"/>
        <v>21</v>
      </c>
      <c r="B195" s="24">
        <f>Input!A130</f>
        <v>394.1</v>
      </c>
      <c r="C195" s="25" t="str">
        <f>Input!B130</f>
        <v>TOOLS,SHOP, &amp; GAR EQ-GARAGE &amp; SERV</v>
      </c>
      <c r="D195" s="325" t="str">
        <f>VLOOKUP(Input!C130,'Alloc Table Cust'!$A$7:$B$27,2,FALSE)</f>
        <v>7CUST</v>
      </c>
      <c r="E195" s="3">
        <f>Classification!F195</f>
        <v>10144</v>
      </c>
      <c r="F195" s="3">
        <f ca="1">ROUND((VLOOKUP($D195,'Alloc Table Cust'!$B$7:$S$58,13,FALSE)*$E195),0)</f>
        <v>8385</v>
      </c>
      <c r="G195" s="3">
        <f ca="1">ROUND((VLOOKUP($D195,'Alloc Table Cust'!$B$7:$T$58,14,FALSE)*$E195),0)</f>
        <v>1564</v>
      </c>
      <c r="H195" s="3">
        <f ca="1">ROUND((VLOOKUP($D195,'Alloc Table Cust'!$B$7:$T$58,15,FALSE)*$E195),0)</f>
        <v>0</v>
      </c>
      <c r="I195" s="3">
        <f ca="1">ROUND((VLOOKUP($D195,'Alloc Table Cust'!$B$7:$T$58,16,FALSE)*$E195),0)</f>
        <v>40</v>
      </c>
      <c r="J195" s="3">
        <f ca="1">ROUND((VLOOKUP($D195,'Alloc Table Cust'!$B$7:$T$58,17,FALSE)*$E195),0)</f>
        <v>155</v>
      </c>
      <c r="K195" s="3">
        <f ca="1">ROUND((VLOOKUP($D195,'Alloc Table Cust'!$B$7:$T$58,18,FALSE)*$E195),0)</f>
        <v>0</v>
      </c>
      <c r="L195" s="3">
        <f ca="1">ROUND((VLOOKUP($D195,'Alloc Table Cust'!$B$7:$T$58,19,FALSE)*$E195),0)</f>
        <v>0</v>
      </c>
    </row>
    <row r="196" spans="1:12" ht="11.25" x14ac:dyDescent="0.2">
      <c r="A196" s="325">
        <f t="shared" si="31"/>
        <v>22</v>
      </c>
      <c r="B196" s="24">
        <f>Input!A131</f>
        <v>394.13</v>
      </c>
      <c r="C196" s="25" t="str">
        <f>Input!B131</f>
        <v>TOOLS,SHOP, &amp; GAR EQ-UND TANK CLEANUP</v>
      </c>
      <c r="D196" s="325" t="str">
        <f>VLOOKUP(Input!C131,'Alloc Table Cust'!$A$7:$B$27,2,FALSE)</f>
        <v>7CUST</v>
      </c>
      <c r="E196" s="3">
        <f>Classification!F196</f>
        <v>0</v>
      </c>
      <c r="F196" s="3">
        <f ca="1">ROUND((VLOOKUP($D196,'Alloc Table Cust'!$B$7:$S$58,13,FALSE)*$E196),0)</f>
        <v>0</v>
      </c>
      <c r="G196" s="3">
        <f ca="1">ROUND((VLOOKUP($D196,'Alloc Table Cust'!$B$7:$T$58,14,FALSE)*$E196),0)</f>
        <v>0</v>
      </c>
      <c r="H196" s="3">
        <f ca="1">ROUND((VLOOKUP($D196,'Alloc Table Cust'!$B$7:$T$58,15,FALSE)*$E196),0)</f>
        <v>0</v>
      </c>
      <c r="I196" s="3">
        <f ca="1">ROUND((VLOOKUP($D196,'Alloc Table Cust'!$B$7:$T$58,16,FALSE)*$E196),0)</f>
        <v>0</v>
      </c>
      <c r="J196" s="3">
        <f ca="1">ROUND((VLOOKUP($D196,'Alloc Table Cust'!$B$7:$T$58,17,FALSE)*$E196),0)</f>
        <v>0</v>
      </c>
      <c r="K196" s="3">
        <f ca="1">ROUND((VLOOKUP($D196,'Alloc Table Cust'!$B$7:$T$58,18,FALSE)*$E196),0)</f>
        <v>0</v>
      </c>
      <c r="L196" s="3">
        <f ca="1">ROUND((VLOOKUP($D196,'Alloc Table Cust'!$B$7:$T$58,19,FALSE)*$E196),0)</f>
        <v>0</v>
      </c>
    </row>
    <row r="197" spans="1:12" ht="11.25" x14ac:dyDescent="0.2">
      <c r="A197" s="325">
        <f t="shared" si="31"/>
        <v>23</v>
      </c>
      <c r="B197" s="24">
        <f>Input!A132</f>
        <v>393</v>
      </c>
      <c r="C197" s="25" t="str">
        <f>Input!B132</f>
        <v>STORES EQUIPMENT</v>
      </c>
      <c r="D197" s="325" t="str">
        <f>VLOOKUP(Input!C132,'Alloc Table Cust'!$A$7:$B$27,2,FALSE)</f>
        <v>7CUST</v>
      </c>
      <c r="E197" s="3">
        <f>Classification!F197</f>
        <v>0</v>
      </c>
      <c r="F197" s="3">
        <f ca="1">ROUND((VLOOKUP($D197,'Alloc Table Cust'!$B$7:$S$58,13,FALSE)*$E197),0)</f>
        <v>0</v>
      </c>
      <c r="G197" s="3">
        <f ca="1">ROUND((VLOOKUP($D197,'Alloc Table Cust'!$B$7:$T$58,14,FALSE)*$E197),0)</f>
        <v>0</v>
      </c>
      <c r="H197" s="3">
        <f ca="1">ROUND((VLOOKUP($D197,'Alloc Table Cust'!$B$7:$T$58,15,FALSE)*$E197),0)</f>
        <v>0</v>
      </c>
      <c r="I197" s="3">
        <f ca="1">ROUND((VLOOKUP($D197,'Alloc Table Cust'!$B$7:$T$58,16,FALSE)*$E197),0)</f>
        <v>0</v>
      </c>
      <c r="J197" s="3">
        <f ca="1">ROUND((VLOOKUP($D197,'Alloc Table Cust'!$B$7:$T$58,17,FALSE)*$E197),0)</f>
        <v>0</v>
      </c>
      <c r="K197" s="3">
        <f ca="1">ROUND((VLOOKUP($D197,'Alloc Table Cust'!$B$7:$T$58,18,FALSE)*$E197),0)</f>
        <v>0</v>
      </c>
      <c r="L197" s="3">
        <f ca="1">ROUND((VLOOKUP($D197,'Alloc Table Cust'!$B$7:$T$58,19,FALSE)*$E197),0)</f>
        <v>0</v>
      </c>
    </row>
    <row r="198" spans="1:12" ht="11.25" x14ac:dyDescent="0.2">
      <c r="A198" s="325">
        <f t="shared" si="31"/>
        <v>24</v>
      </c>
      <c r="B198" s="24">
        <f>Input!A133</f>
        <v>394.2</v>
      </c>
      <c r="C198" s="25" t="str">
        <f>Input!B133</f>
        <v>SHOP EQUIPMENT</v>
      </c>
      <c r="D198" s="325" t="str">
        <f>VLOOKUP(Input!C133,'Alloc Table Cust'!$A$7:$B$27,2,FALSE)</f>
        <v>7CUST</v>
      </c>
      <c r="E198" s="3">
        <f>Classification!F198</f>
        <v>0</v>
      </c>
      <c r="F198" s="3">
        <f ca="1">ROUND((VLOOKUP($D198,'Alloc Table Cust'!$B$7:$S$58,13,FALSE)*$E198),0)</f>
        <v>0</v>
      </c>
      <c r="G198" s="3">
        <f ca="1">ROUND((VLOOKUP($D198,'Alloc Table Cust'!$B$7:$T$58,14,FALSE)*$E198),0)</f>
        <v>0</v>
      </c>
      <c r="H198" s="3">
        <f ca="1">ROUND((VLOOKUP($D198,'Alloc Table Cust'!$B$7:$T$58,15,FALSE)*$E198),0)</f>
        <v>0</v>
      </c>
      <c r="I198" s="3">
        <f ca="1">ROUND((VLOOKUP($D198,'Alloc Table Cust'!$B$7:$T$58,16,FALSE)*$E198),0)</f>
        <v>0</v>
      </c>
      <c r="J198" s="3">
        <f ca="1">ROUND((VLOOKUP($D198,'Alloc Table Cust'!$B$7:$T$58,17,FALSE)*$E198),0)</f>
        <v>0</v>
      </c>
      <c r="K198" s="3">
        <f ca="1">ROUND((VLOOKUP($D198,'Alloc Table Cust'!$B$7:$T$58,18,FALSE)*$E198),0)</f>
        <v>0</v>
      </c>
      <c r="L198" s="3">
        <f ca="1">ROUND((VLOOKUP($D198,'Alloc Table Cust'!$B$7:$T$58,19,FALSE)*$E198),0)</f>
        <v>0</v>
      </c>
    </row>
    <row r="199" spans="1:12" ht="11.25" x14ac:dyDescent="0.2">
      <c r="A199" s="325">
        <f t="shared" si="31"/>
        <v>25</v>
      </c>
      <c r="B199" s="24">
        <f>Input!A134</f>
        <v>394.3</v>
      </c>
      <c r="C199" s="25" t="str">
        <f>Input!B134</f>
        <v>TOOLS &amp; OTHER EQUIPMENT</v>
      </c>
      <c r="D199" s="325" t="str">
        <f>VLOOKUP(Input!C134,'Alloc Table Cust'!$A$7:$B$27,2,FALSE)</f>
        <v>7CUST</v>
      </c>
      <c r="E199" s="3">
        <f>Classification!F199</f>
        <v>1363809</v>
      </c>
      <c r="F199" s="3">
        <f ca="1">ROUND((VLOOKUP($D199,'Alloc Table Cust'!$B$7:$S$58,13,FALSE)*$E199),0)</f>
        <v>1127256</v>
      </c>
      <c r="G199" s="3">
        <f ca="1">ROUND((VLOOKUP($D199,'Alloc Table Cust'!$B$7:$T$58,14,FALSE)*$E199),0)</f>
        <v>210218</v>
      </c>
      <c r="H199" s="3">
        <f ca="1">ROUND((VLOOKUP($D199,'Alloc Table Cust'!$B$7:$T$58,15,FALSE)*$E199),0)</f>
        <v>55</v>
      </c>
      <c r="I199" s="3">
        <f ca="1">ROUND((VLOOKUP($D199,'Alloc Table Cust'!$B$7:$T$58,16,FALSE)*$E199),0)</f>
        <v>5401</v>
      </c>
      <c r="J199" s="3">
        <f ca="1">ROUND((VLOOKUP($D199,'Alloc Table Cust'!$B$7:$T$58,17,FALSE)*$E199),0)</f>
        <v>20880</v>
      </c>
      <c r="K199" s="3">
        <f ca="1">ROUND((VLOOKUP($D199,'Alloc Table Cust'!$B$7:$T$58,18,FALSE)*$E199),0)</f>
        <v>0</v>
      </c>
      <c r="L199" s="3">
        <f ca="1">ROUND((VLOOKUP($D199,'Alloc Table Cust'!$B$7:$T$58,19,FALSE)*$E199),0)</f>
        <v>0</v>
      </c>
    </row>
    <row r="200" spans="1:12" ht="11.25" x14ac:dyDescent="0.2">
      <c r="A200" s="325">
        <f t="shared" si="31"/>
        <v>26</v>
      </c>
      <c r="B200" s="24">
        <f>Input!A135</f>
        <v>395</v>
      </c>
      <c r="C200" s="25" t="str">
        <f>Input!B135</f>
        <v>LABORATORY EQUIPMENT</v>
      </c>
      <c r="D200" s="325" t="str">
        <f>VLOOKUP(Input!C135,'Alloc Table Cust'!$A$7:$B$27,2,FALSE)</f>
        <v>7CUST</v>
      </c>
      <c r="E200" s="3">
        <f>Classification!F200</f>
        <v>3874</v>
      </c>
      <c r="F200" s="3">
        <f ca="1">ROUND((VLOOKUP($D200,'Alloc Table Cust'!$B$7:$S$58,13,FALSE)*$E200),0)</f>
        <v>3202</v>
      </c>
      <c r="G200" s="3">
        <f ca="1">ROUND((VLOOKUP($D200,'Alloc Table Cust'!$B$7:$T$58,14,FALSE)*$E200),0)</f>
        <v>597</v>
      </c>
      <c r="H200" s="3">
        <f ca="1">ROUND((VLOOKUP($D200,'Alloc Table Cust'!$B$7:$T$58,15,FALSE)*$E200),0)</f>
        <v>0</v>
      </c>
      <c r="I200" s="3">
        <f ca="1">ROUND((VLOOKUP($D200,'Alloc Table Cust'!$B$7:$T$58,16,FALSE)*$E200),0)</f>
        <v>15</v>
      </c>
      <c r="J200" s="3">
        <f ca="1">ROUND((VLOOKUP($D200,'Alloc Table Cust'!$B$7:$T$58,17,FALSE)*$E200),0)</f>
        <v>59</v>
      </c>
      <c r="K200" s="3">
        <f ca="1">ROUND((VLOOKUP($D200,'Alloc Table Cust'!$B$7:$T$58,18,FALSE)*$E200),0)</f>
        <v>0</v>
      </c>
      <c r="L200" s="3">
        <f ca="1">ROUND((VLOOKUP($D200,'Alloc Table Cust'!$B$7:$T$58,19,FALSE)*$E200),0)</f>
        <v>0</v>
      </c>
    </row>
    <row r="201" spans="1:12" ht="11.25" x14ac:dyDescent="0.2">
      <c r="A201" s="325">
        <f t="shared" si="31"/>
        <v>27</v>
      </c>
      <c r="B201" s="24">
        <f>Input!A136</f>
        <v>396</v>
      </c>
      <c r="C201" s="25" t="str">
        <f>Input!B136</f>
        <v>POWER OP EQUIP-GEN TOOLS</v>
      </c>
      <c r="D201" s="325" t="str">
        <f>VLOOKUP(Input!C136,'Alloc Table Cust'!$A$7:$B$27,2,FALSE)</f>
        <v>7CUST</v>
      </c>
      <c r="E201" s="3">
        <f>Classification!F201</f>
        <v>105930</v>
      </c>
      <c r="F201" s="3">
        <f ca="1">ROUND((VLOOKUP($D201,'Alloc Table Cust'!$B$7:$S$58,13,FALSE)*$E201),0)</f>
        <v>87556</v>
      </c>
      <c r="G201" s="3">
        <f ca="1">ROUND((VLOOKUP($D201,'Alloc Table Cust'!$B$7:$T$58,14,FALSE)*$E201),0)</f>
        <v>16328</v>
      </c>
      <c r="H201" s="3">
        <f ca="1">ROUND((VLOOKUP($D201,'Alloc Table Cust'!$B$7:$T$58,15,FALSE)*$E201),0)</f>
        <v>4</v>
      </c>
      <c r="I201" s="3">
        <f ca="1">ROUND((VLOOKUP($D201,'Alloc Table Cust'!$B$7:$T$58,16,FALSE)*$E201),0)</f>
        <v>419</v>
      </c>
      <c r="J201" s="3">
        <f ca="1">ROUND((VLOOKUP($D201,'Alloc Table Cust'!$B$7:$T$58,17,FALSE)*$E201),0)</f>
        <v>1622</v>
      </c>
      <c r="K201" s="3">
        <f ca="1">ROUND((VLOOKUP($D201,'Alloc Table Cust'!$B$7:$T$58,18,FALSE)*$E201),0)</f>
        <v>0</v>
      </c>
      <c r="L201" s="3">
        <f ca="1">ROUND((VLOOKUP($D201,'Alloc Table Cust'!$B$7:$T$58,19,FALSE)*$E201),0)</f>
        <v>0</v>
      </c>
    </row>
    <row r="202" spans="1:12" ht="11.25" x14ac:dyDescent="0.2">
      <c r="A202" s="325">
        <f t="shared" si="31"/>
        <v>28</v>
      </c>
      <c r="B202" s="24">
        <f>Input!A137</f>
        <v>397.5</v>
      </c>
      <c r="C202" s="25" t="str">
        <f>Input!B137</f>
        <v>COMMUNICATION EQUIP - TELEMETERING</v>
      </c>
      <c r="D202" s="325" t="str">
        <f>VLOOKUP(Input!C137,'Alloc Table Cust'!$A$7:$B$27,2,FALSE)</f>
        <v>7CUST</v>
      </c>
      <c r="E202" s="3">
        <f>Classification!F202</f>
        <v>0</v>
      </c>
      <c r="F202" s="3">
        <f ca="1">ROUND((VLOOKUP($D202,'Alloc Table Cust'!$B$7:$S$58,13,FALSE)*$E202),0)</f>
        <v>0</v>
      </c>
      <c r="G202" s="3">
        <f ca="1">ROUND((VLOOKUP($D202,'Alloc Table Cust'!$B$7:$T$58,14,FALSE)*$E202),0)</f>
        <v>0</v>
      </c>
      <c r="H202" s="3">
        <f ca="1">ROUND((VLOOKUP($D202,'Alloc Table Cust'!$B$7:$T$58,15,FALSE)*$E202),0)</f>
        <v>0</v>
      </c>
      <c r="I202" s="3">
        <f ca="1">ROUND((VLOOKUP($D202,'Alloc Table Cust'!$B$7:$T$58,16,FALSE)*$E202),0)</f>
        <v>0</v>
      </c>
      <c r="J202" s="3">
        <f ca="1">ROUND((VLOOKUP($D202,'Alloc Table Cust'!$B$7:$T$58,17,FALSE)*$E202),0)</f>
        <v>0</v>
      </c>
      <c r="K202" s="3">
        <f ca="1">ROUND((VLOOKUP($D202,'Alloc Table Cust'!$B$7:$T$58,18,FALSE)*$E202),0)</f>
        <v>0</v>
      </c>
      <c r="L202" s="3">
        <f ca="1">ROUND((VLOOKUP($D202,'Alloc Table Cust'!$B$7:$T$58,19,FALSE)*$E202),0)</f>
        <v>0</v>
      </c>
    </row>
    <row r="203" spans="1:12" ht="11.25" x14ac:dyDescent="0.2">
      <c r="A203" s="325">
        <f t="shared" si="31"/>
        <v>29</v>
      </c>
      <c r="B203" s="24">
        <f>Input!A138</f>
        <v>398</v>
      </c>
      <c r="C203" s="25" t="str">
        <f>Input!B138</f>
        <v>MISCELLANEOUS EQUIPMENT</v>
      </c>
      <c r="D203" s="325" t="str">
        <f>VLOOKUP(Input!C138,'Alloc Table Cust'!$A$7:$B$27,2,FALSE)</f>
        <v>7CUST</v>
      </c>
      <c r="E203" s="26">
        <f>Classification!F203</f>
        <v>123056</v>
      </c>
      <c r="F203" s="26">
        <f ca="1">ROUND((VLOOKUP($D203,'Alloc Table Cust'!$B$7:$S$58,13,FALSE)*$E203),0)</f>
        <v>101712</v>
      </c>
      <c r="G203" s="26">
        <f ca="1">ROUND((VLOOKUP($D203,'Alloc Table Cust'!$B$7:$T$58,14,FALSE)*$E203),0)</f>
        <v>18968</v>
      </c>
      <c r="H203" s="26">
        <f ca="1">ROUND((VLOOKUP($D203,'Alloc Table Cust'!$B$7:$T$58,15,FALSE)*$E203),0)</f>
        <v>5</v>
      </c>
      <c r="I203" s="26">
        <f ca="1">ROUND((VLOOKUP($D203,'Alloc Table Cust'!$B$7:$T$58,16,FALSE)*$E203),0)</f>
        <v>487</v>
      </c>
      <c r="J203" s="26">
        <f ca="1">ROUND((VLOOKUP($D203,'Alloc Table Cust'!$B$7:$T$58,17,FALSE)*$E203),0)</f>
        <v>1884</v>
      </c>
      <c r="K203" s="26">
        <f ca="1">ROUND((VLOOKUP($D203,'Alloc Table Cust'!$B$7:$T$58,18,FALSE)*$E203),0)</f>
        <v>0</v>
      </c>
      <c r="L203" s="26">
        <f ca="1">ROUND((VLOOKUP($D203,'Alloc Table Cust'!$B$7:$T$58,19,FALSE)*$E203),0)</f>
        <v>0</v>
      </c>
    </row>
    <row r="204" spans="1:12" ht="11.25" x14ac:dyDescent="0.2">
      <c r="A204" s="325">
        <f t="shared" si="31"/>
        <v>30</v>
      </c>
      <c r="B204" s="3"/>
      <c r="C204" s="25" t="s">
        <v>90</v>
      </c>
      <c r="D204" s="325"/>
      <c r="E204" s="26">
        <f t="shared" ref="E204:L204" si="32">SUM(E190:E203)</f>
        <v>2498982</v>
      </c>
      <c r="F204" s="26">
        <f t="shared" ca="1" si="32"/>
        <v>2065533</v>
      </c>
      <c r="G204" s="26">
        <f t="shared" ca="1" si="32"/>
        <v>385195</v>
      </c>
      <c r="H204" s="26">
        <f t="shared" ca="1" si="32"/>
        <v>99</v>
      </c>
      <c r="I204" s="26">
        <f t="shared" ca="1" si="32"/>
        <v>9895</v>
      </c>
      <c r="J204" s="26">
        <f t="shared" ca="1" si="32"/>
        <v>38260</v>
      </c>
      <c r="K204" s="26">
        <f t="shared" ca="1" si="32"/>
        <v>0</v>
      </c>
      <c r="L204" s="26">
        <f t="shared" ca="1" si="32"/>
        <v>0</v>
      </c>
    </row>
    <row r="205" spans="1:12" ht="11.25" x14ac:dyDescent="0.2">
      <c r="A205" s="325">
        <f t="shared" si="31"/>
        <v>31</v>
      </c>
      <c r="B205" s="3"/>
      <c r="C205" s="25" t="s">
        <v>93</v>
      </c>
      <c r="D205" s="325"/>
      <c r="E205" s="3">
        <f>Customer!E138+Customer!E145+E188+E204</f>
        <v>183244104</v>
      </c>
      <c r="F205" s="3">
        <f ca="1">Customer!F138+Customer!F145+F188+F204</f>
        <v>151459098</v>
      </c>
      <c r="G205" s="3">
        <f ca="1">Customer!G138+Customer!G145+G188+G204</f>
        <v>28245419</v>
      </c>
      <c r="H205" s="3">
        <f ca="1">Customer!H138+Customer!H145+H188+H204</f>
        <v>7776</v>
      </c>
      <c r="I205" s="3">
        <f ca="1">Customer!I138+Customer!I145+I188+I204</f>
        <v>725830</v>
      </c>
      <c r="J205" s="3">
        <f ca="1">Customer!J138+Customer!J145+J188+J204</f>
        <v>2806006</v>
      </c>
      <c r="K205" s="3">
        <f ca="1">Customer!K138+Customer!K145+K188+K204</f>
        <v>0</v>
      </c>
      <c r="L205" s="3">
        <f ca="1">Customer!L138+Customer!L145+L188+L204</f>
        <v>0</v>
      </c>
    </row>
    <row r="206" spans="1:12" ht="11.25" x14ac:dyDescent="0.2">
      <c r="A206" s="3" t="s">
        <v>817</v>
      </c>
      <c r="B206" s="3"/>
      <c r="C206" s="14"/>
      <c r="D206" s="325"/>
      <c r="E206" s="3"/>
      <c r="F206" s="325" t="str">
        <f>" "&amp;+Input!$B$1</f>
        <v xml:space="preserve"> COLUMBIA GAS OF KENTUCKY, INC.</v>
      </c>
      <c r="H206" s="3"/>
      <c r="I206" s="3"/>
      <c r="J206" s="3"/>
      <c r="K206" s="3"/>
      <c r="L206" s="32" t="str">
        <f>Input!$B$2</f>
        <v>ATTACHMENT CEN-2</v>
      </c>
    </row>
    <row r="207" spans="1:12" ht="11.25" x14ac:dyDescent="0.2">
      <c r="A207" s="3" t="str">
        <f>Input!$B$7</f>
        <v>DEMAND-COMMODITY</v>
      </c>
      <c r="B207" s="3"/>
      <c r="C207" s="3"/>
      <c r="D207" s="325"/>
      <c r="E207" s="3"/>
      <c r="F207" s="325" t="s">
        <v>158</v>
      </c>
      <c r="H207" s="3"/>
      <c r="I207" s="3"/>
      <c r="J207" s="3"/>
      <c r="K207" s="3"/>
      <c r="L207" s="32" t="str">
        <f>"PAGE 58 OF "&amp;FIXED(Input!$B$8,0,TRUE)</f>
        <v>PAGE 58 OF 129</v>
      </c>
    </row>
    <row r="208" spans="1:12" ht="11.25" x14ac:dyDescent="0.2">
      <c r="A208" s="17" t="str">
        <f>Input!$B$6</f>
        <v>FORECASTED TEST YEAR - ORIGINAL FILING</v>
      </c>
      <c r="B208" s="17"/>
      <c r="C208" s="17"/>
      <c r="D208" s="34"/>
      <c r="E208" s="18"/>
      <c r="F208" s="19" t="str">
        <f>"FOR THE TWELVE MONTHS ENDED "&amp;Input!$B$4</f>
        <v>FOR THE TWELVE MONTHS ENDED 12/31/2017</v>
      </c>
      <c r="G208" s="329"/>
      <c r="H208" s="17"/>
      <c r="I208" s="17"/>
      <c r="J208" s="17"/>
      <c r="K208" s="17"/>
      <c r="L208" s="183" t="str">
        <f>"WITNESS: "&amp;Input!$B$5</f>
        <v>WITNESS: C. NOTESTONE</v>
      </c>
    </row>
    <row r="209" spans="1:12" ht="11.25" x14ac:dyDescent="0.2">
      <c r="A209" s="325" t="s">
        <v>5</v>
      </c>
      <c r="B209" s="3" t="s">
        <v>6</v>
      </c>
      <c r="C209" s="3"/>
      <c r="D209" s="325" t="s">
        <v>7</v>
      </c>
      <c r="E209" s="325" t="s">
        <v>8</v>
      </c>
      <c r="F209" s="325"/>
      <c r="G209" s="325"/>
      <c r="H209" s="325"/>
      <c r="I209" s="325"/>
      <c r="J209" s="325"/>
      <c r="K209" s="325"/>
      <c r="L209" s="325"/>
    </row>
    <row r="210" spans="1:12" ht="11.25" x14ac:dyDescent="0.2">
      <c r="A210" s="341" t="s">
        <v>9</v>
      </c>
      <c r="B210" s="341" t="s">
        <v>9</v>
      </c>
      <c r="C210" s="34" t="str">
        <f>Customer!C128</f>
        <v xml:space="preserve"> ACCOUNT TITLE</v>
      </c>
      <c r="D210" s="341" t="s">
        <v>10</v>
      </c>
      <c r="E210" s="341" t="s">
        <v>804</v>
      </c>
      <c r="F210" s="341" t="str">
        <f>"  "&amp;+Input!$C$12</f>
        <v xml:space="preserve">  GS-RESIDENTIAL</v>
      </c>
      <c r="G210" s="341" t="str">
        <f>Input!$C$13</f>
        <v>GS-OTHER</v>
      </c>
      <c r="H210" s="341" t="str">
        <f>Input!$C$14</f>
        <v>IUS</v>
      </c>
      <c r="I210" s="341" t="str">
        <f>Input!$C$15</f>
        <v>DS-ML</v>
      </c>
      <c r="J210" s="341" t="str">
        <f>Input!$C$16</f>
        <v>DS/IS</v>
      </c>
      <c r="K210" s="341" t="str">
        <f>Input!$C$17</f>
        <v>NOT USED</v>
      </c>
      <c r="L210" s="341" t="str">
        <f>Input!$C$18</f>
        <v>NOT USED</v>
      </c>
    </row>
    <row r="211" spans="1:12" ht="11.25" x14ac:dyDescent="0.2">
      <c r="A211" s="325"/>
      <c r="B211" s="342" t="s">
        <v>13</v>
      </c>
      <c r="C211" s="342" t="s">
        <v>14</v>
      </c>
      <c r="D211" s="325" t="s">
        <v>15</v>
      </c>
      <c r="E211" s="325" t="s">
        <v>16</v>
      </c>
      <c r="F211" s="325" t="s">
        <v>17</v>
      </c>
      <c r="G211" s="325" t="s">
        <v>18</v>
      </c>
      <c r="H211" s="325" t="s">
        <v>19</v>
      </c>
      <c r="I211" s="325" t="s">
        <v>20</v>
      </c>
      <c r="J211" s="325" t="s">
        <v>21</v>
      </c>
      <c r="K211" s="325" t="s">
        <v>22</v>
      </c>
      <c r="L211" s="325" t="s">
        <v>23</v>
      </c>
    </row>
    <row r="212" spans="1:12" ht="11.25" x14ac:dyDescent="0.2">
      <c r="A212" s="325"/>
      <c r="B212" s="3"/>
      <c r="C212" s="3"/>
      <c r="D212" s="325"/>
      <c r="E212" s="325" t="s">
        <v>26</v>
      </c>
      <c r="F212" s="325" t="s">
        <v>26</v>
      </c>
      <c r="G212" s="325" t="s">
        <v>26</v>
      </c>
      <c r="H212" s="325" t="s">
        <v>26</v>
      </c>
      <c r="I212" s="325" t="s">
        <v>26</v>
      </c>
      <c r="J212" s="325" t="s">
        <v>26</v>
      </c>
      <c r="K212" s="325" t="s">
        <v>26</v>
      </c>
      <c r="L212" s="325" t="s">
        <v>26</v>
      </c>
    </row>
    <row r="213" spans="1:12" ht="11.25" x14ac:dyDescent="0.2">
      <c r="A213" s="325">
        <v>1</v>
      </c>
      <c r="B213" s="3"/>
      <c r="C213" s="3" t="str">
        <f>Input!A145</f>
        <v>INTANGIBLE PLANT</v>
      </c>
      <c r="D213" s="325"/>
      <c r="E213" s="3"/>
      <c r="F213" s="3"/>
      <c r="G213" s="3"/>
      <c r="H213" s="3"/>
      <c r="I213" s="3"/>
      <c r="J213" s="3"/>
      <c r="K213" s="3"/>
      <c r="L213" s="3"/>
    </row>
    <row r="214" spans="1:12" ht="11.25" x14ac:dyDescent="0.2">
      <c r="A214" s="325"/>
      <c r="B214" s="3"/>
      <c r="C214" s="3"/>
      <c r="D214" s="325"/>
      <c r="E214" s="3"/>
      <c r="F214" s="3"/>
      <c r="G214" s="3"/>
      <c r="H214" s="3"/>
      <c r="I214" s="3"/>
      <c r="J214" s="3"/>
      <c r="K214" s="3"/>
      <c r="L214" s="3"/>
    </row>
    <row r="215" spans="1:12" ht="11.25" x14ac:dyDescent="0.2">
      <c r="A215" s="325">
        <f>A213+1</f>
        <v>2</v>
      </c>
      <c r="B215" s="24">
        <f>Input!A146</f>
        <v>301</v>
      </c>
      <c r="C215" s="3" t="str">
        <f>Input!B146</f>
        <v>ORGANIZATION</v>
      </c>
      <c r="D215" s="325" t="str">
        <f>D133</f>
        <v>7CUST</v>
      </c>
      <c r="E215" s="3">
        <f>Classification!F215</f>
        <v>0</v>
      </c>
      <c r="F215" s="3">
        <f ca="1">ROUND((VLOOKUP($D215,'Alloc Table Cust'!$B$7:$S$58,13,FALSE)*$E215),0)</f>
        <v>0</v>
      </c>
      <c r="G215" s="3">
        <f ca="1">ROUND((VLOOKUP($D215,'Alloc Table Cust'!$B$7:$T$58,14,FALSE)*$E215),0)</f>
        <v>0</v>
      </c>
      <c r="H215" s="3">
        <f ca="1">ROUND((VLOOKUP($D215,'Alloc Table Cust'!$B$7:$T$58,15,FALSE)*$E215),0)</f>
        <v>0</v>
      </c>
      <c r="I215" s="3">
        <f ca="1">ROUND((VLOOKUP($D215,'Alloc Table Cust'!$B$7:$T$58,16,FALSE)*$E215),0)</f>
        <v>0</v>
      </c>
      <c r="J215" s="3">
        <f ca="1">ROUND((VLOOKUP($D215,'Alloc Table Cust'!$B$7:$T$58,17,FALSE)*$E215),0)</f>
        <v>0</v>
      </c>
      <c r="K215" s="3">
        <f ca="1">ROUND((VLOOKUP($D215,'Alloc Table Cust'!$B$7:$T$58,18,FALSE)*$E215),0)</f>
        <v>0</v>
      </c>
      <c r="L215" s="3">
        <f ca="1">ROUND((VLOOKUP($D215,'Alloc Table Cust'!$B$7:$T$58,19,FALSE)*$E215),0)</f>
        <v>0</v>
      </c>
    </row>
    <row r="216" spans="1:12" ht="11.25" x14ac:dyDescent="0.2">
      <c r="A216" s="325">
        <f>A215+1</f>
        <v>3</v>
      </c>
      <c r="B216" s="24">
        <f>Input!A147</f>
        <v>303</v>
      </c>
      <c r="C216" s="3" t="str">
        <f>Input!B147</f>
        <v>MISC. INTANGIBLE PLANT</v>
      </c>
      <c r="D216" s="325" t="str">
        <f t="shared" ref="D216:D219" si="33">D134</f>
        <v>7CUST</v>
      </c>
      <c r="E216" s="3">
        <f>Classification!F216</f>
        <v>20549</v>
      </c>
      <c r="F216" s="3">
        <f ca="1">ROUND((VLOOKUP($D216,'Alloc Table Cust'!$B$7:$S$58,13,FALSE)*$E216),0)</f>
        <v>16985</v>
      </c>
      <c r="G216" s="3">
        <f ca="1">ROUND((VLOOKUP($D216,'Alloc Table Cust'!$B$7:$T$58,14,FALSE)*$E216),0)</f>
        <v>3167</v>
      </c>
      <c r="H216" s="3">
        <f ca="1">ROUND((VLOOKUP($D216,'Alloc Table Cust'!$B$7:$T$58,15,FALSE)*$E216),0)</f>
        <v>1</v>
      </c>
      <c r="I216" s="3">
        <f ca="1">ROUND((VLOOKUP($D216,'Alloc Table Cust'!$B$7:$T$58,16,FALSE)*$E216),0)</f>
        <v>81</v>
      </c>
      <c r="J216" s="3">
        <f ca="1">ROUND((VLOOKUP($D216,'Alloc Table Cust'!$B$7:$T$58,17,FALSE)*$E216),0)</f>
        <v>315</v>
      </c>
      <c r="K216" s="3">
        <f ca="1">ROUND((VLOOKUP($D216,'Alloc Table Cust'!$B$7:$T$58,18,FALSE)*$E216),0)</f>
        <v>0</v>
      </c>
      <c r="L216" s="3">
        <f ca="1">ROUND((VLOOKUP($D216,'Alloc Table Cust'!$B$7:$T$58,19,FALSE)*$E216),0)</f>
        <v>0</v>
      </c>
    </row>
    <row r="217" spans="1:12" ht="11.25" x14ac:dyDescent="0.2">
      <c r="A217" s="325">
        <f>A216+1</f>
        <v>4</v>
      </c>
      <c r="B217" s="24">
        <f>Input!A148</f>
        <v>303.10000000000002</v>
      </c>
      <c r="C217" s="3" t="str">
        <f>Input!B148</f>
        <v>DIS SOFTWARE</v>
      </c>
      <c r="D217" s="325" t="str">
        <f t="shared" si="33"/>
        <v>7CUST</v>
      </c>
      <c r="E217" s="3">
        <f>Classification!F217</f>
        <v>0</v>
      </c>
      <c r="F217" s="3">
        <f ca="1">ROUND((VLOOKUP($D217,'Alloc Table Cust'!$B$7:$S$58,13,FALSE)*$E217),0)</f>
        <v>0</v>
      </c>
      <c r="G217" s="3">
        <f ca="1">ROUND((VLOOKUP($D217,'Alloc Table Cust'!$B$7:$T$58,14,FALSE)*$E217),0)</f>
        <v>0</v>
      </c>
      <c r="H217" s="3">
        <f ca="1">ROUND((VLOOKUP($D217,'Alloc Table Cust'!$B$7:$T$58,15,FALSE)*$E217),0)</f>
        <v>0</v>
      </c>
      <c r="I217" s="3">
        <f ca="1">ROUND((VLOOKUP($D217,'Alloc Table Cust'!$B$7:$T$58,16,FALSE)*$E217),0)</f>
        <v>0</v>
      </c>
      <c r="J217" s="3">
        <f ca="1">ROUND((VLOOKUP($D217,'Alloc Table Cust'!$B$7:$T$58,17,FALSE)*$E217),0)</f>
        <v>0</v>
      </c>
      <c r="K217" s="3">
        <f ca="1">ROUND((VLOOKUP($D217,'Alloc Table Cust'!$B$7:$T$58,18,FALSE)*$E217),0)</f>
        <v>0</v>
      </c>
      <c r="L217" s="3">
        <f ca="1">ROUND((VLOOKUP($D217,'Alloc Table Cust'!$B$7:$T$58,19,FALSE)*$E217),0)</f>
        <v>0</v>
      </c>
    </row>
    <row r="218" spans="1:12" ht="11.25" x14ac:dyDescent="0.2">
      <c r="A218" s="325">
        <f>A217+1</f>
        <v>5</v>
      </c>
      <c r="B218" s="24">
        <f>Input!A149</f>
        <v>303.2</v>
      </c>
      <c r="C218" s="3" t="str">
        <f>Input!B149</f>
        <v>FARA SOFTWARE</v>
      </c>
      <c r="D218" s="325" t="str">
        <f t="shared" si="33"/>
        <v>7CUST</v>
      </c>
      <c r="E218" s="3">
        <f>Classification!F218</f>
        <v>0</v>
      </c>
      <c r="F218" s="3">
        <f ca="1">ROUND((VLOOKUP($D218,'Alloc Table Cust'!$B$7:$S$58,13,FALSE)*$E218),0)</f>
        <v>0</v>
      </c>
      <c r="G218" s="3">
        <f ca="1">ROUND((VLOOKUP($D218,'Alloc Table Cust'!$B$7:$T$58,14,FALSE)*$E218),0)</f>
        <v>0</v>
      </c>
      <c r="H218" s="3">
        <f ca="1">ROUND((VLOOKUP($D218,'Alloc Table Cust'!$B$7:$T$58,15,FALSE)*$E218),0)</f>
        <v>0</v>
      </c>
      <c r="I218" s="3">
        <f ca="1">ROUND((VLOOKUP($D218,'Alloc Table Cust'!$B$7:$T$58,16,FALSE)*$E218),0)</f>
        <v>0</v>
      </c>
      <c r="J218" s="3">
        <f ca="1">ROUND((VLOOKUP($D218,'Alloc Table Cust'!$B$7:$T$58,17,FALSE)*$E218),0)</f>
        <v>0</v>
      </c>
      <c r="K218" s="3">
        <f ca="1">ROUND((VLOOKUP($D218,'Alloc Table Cust'!$B$7:$T$58,18,FALSE)*$E218),0)</f>
        <v>0</v>
      </c>
      <c r="L218" s="3">
        <f ca="1">ROUND((VLOOKUP($D218,'Alloc Table Cust'!$B$7:$T$58,19,FALSE)*$E218),0)</f>
        <v>0</v>
      </c>
    </row>
    <row r="219" spans="1:12" ht="11.25" x14ac:dyDescent="0.2">
      <c r="A219" s="325">
        <f>A218+1</f>
        <v>6</v>
      </c>
      <c r="B219" s="24">
        <f>Input!A150</f>
        <v>303.3</v>
      </c>
      <c r="C219" s="3" t="str">
        <f>Input!B150</f>
        <v>OTHER SOFTWARE</v>
      </c>
      <c r="D219" s="325" t="str">
        <f t="shared" si="33"/>
        <v>7CUST</v>
      </c>
      <c r="E219" s="26">
        <f>Classification!F219</f>
        <v>1433069</v>
      </c>
      <c r="F219" s="26">
        <f ca="1">ROUND((VLOOKUP($D219,'Alloc Table Cust'!$B$7:$S$58,13,FALSE)*$E219),0)</f>
        <v>1184503</v>
      </c>
      <c r="G219" s="26">
        <f ca="1">ROUND((VLOOKUP($D219,'Alloc Table Cust'!$B$7:$T$58,14,FALSE)*$E219),0)</f>
        <v>220893</v>
      </c>
      <c r="H219" s="26">
        <f ca="1">ROUND((VLOOKUP($D219,'Alloc Table Cust'!$B$7:$T$58,15,FALSE)*$E219),0)</f>
        <v>57</v>
      </c>
      <c r="I219" s="26">
        <f ca="1">ROUND((VLOOKUP($D219,'Alloc Table Cust'!$B$7:$T$58,16,FALSE)*$E219),0)</f>
        <v>5675</v>
      </c>
      <c r="J219" s="26">
        <f ca="1">ROUND((VLOOKUP($D219,'Alloc Table Cust'!$B$7:$T$58,17,FALSE)*$E219),0)</f>
        <v>21940</v>
      </c>
      <c r="K219" s="26">
        <f ca="1">ROUND((VLOOKUP($D219,'Alloc Table Cust'!$B$7:$T$58,18,FALSE)*$E219),0)</f>
        <v>0</v>
      </c>
      <c r="L219" s="26">
        <f ca="1">ROUND((VLOOKUP($D219,'Alloc Table Cust'!$B$7:$T$58,19,FALSE)*$E219),0)</f>
        <v>0</v>
      </c>
    </row>
    <row r="220" spans="1:12" ht="11.25" x14ac:dyDescent="0.2">
      <c r="A220" s="325">
        <f>A219+1</f>
        <v>7</v>
      </c>
      <c r="B220" s="3"/>
      <c r="C220" s="3" t="s">
        <v>159</v>
      </c>
      <c r="D220" s="325"/>
      <c r="E220" s="3">
        <f t="shared" ref="E220:L220" si="34">SUM(E215:E219)</f>
        <v>1453618</v>
      </c>
      <c r="F220" s="3">
        <f t="shared" ca="1" si="34"/>
        <v>1201488</v>
      </c>
      <c r="G220" s="3">
        <f t="shared" ca="1" si="34"/>
        <v>224060</v>
      </c>
      <c r="H220" s="3">
        <f t="shared" ca="1" si="34"/>
        <v>58</v>
      </c>
      <c r="I220" s="3">
        <f t="shared" ca="1" si="34"/>
        <v>5756</v>
      </c>
      <c r="J220" s="3">
        <f t="shared" ca="1" si="34"/>
        <v>22255</v>
      </c>
      <c r="K220" s="3">
        <f t="shared" ca="1" si="34"/>
        <v>0</v>
      </c>
      <c r="L220" s="3">
        <f t="shared" ca="1" si="34"/>
        <v>0</v>
      </c>
    </row>
    <row r="221" spans="1:12" ht="11.25" x14ac:dyDescent="0.2">
      <c r="A221" s="325"/>
      <c r="B221" s="24"/>
      <c r="C221" s="3"/>
      <c r="D221" s="325"/>
      <c r="E221" s="3"/>
      <c r="F221" s="3"/>
      <c r="G221" s="3"/>
      <c r="H221" s="3"/>
      <c r="I221" s="3"/>
      <c r="J221" s="3"/>
      <c r="K221" s="3"/>
      <c r="L221" s="3"/>
    </row>
    <row r="222" spans="1:12" ht="11.25" x14ac:dyDescent="0.2">
      <c r="A222" s="325">
        <f>A220+1</f>
        <v>8</v>
      </c>
      <c r="B222" s="3"/>
      <c r="C222" s="3" t="str">
        <f>Input!A151</f>
        <v>PRODUCTION PLANT</v>
      </c>
      <c r="D222" s="325"/>
      <c r="E222" s="3"/>
      <c r="F222" s="3"/>
      <c r="G222" s="3"/>
      <c r="H222" s="3"/>
      <c r="I222" s="3"/>
      <c r="J222" s="3"/>
      <c r="K222" s="3"/>
      <c r="L222" s="3"/>
    </row>
    <row r="223" spans="1:12" ht="11.25" x14ac:dyDescent="0.2">
      <c r="A223" s="325"/>
      <c r="B223" s="3"/>
      <c r="C223" s="3"/>
      <c r="D223" s="325"/>
      <c r="E223" s="3"/>
      <c r="F223" s="3"/>
      <c r="G223" s="3"/>
      <c r="H223" s="3"/>
      <c r="I223" s="3"/>
      <c r="J223" s="3"/>
      <c r="K223" s="3"/>
      <c r="L223" s="3"/>
    </row>
    <row r="224" spans="1:12" ht="11.25" x14ac:dyDescent="0.2">
      <c r="A224" s="325">
        <f>A222+1</f>
        <v>9</v>
      </c>
      <c r="B224" s="24">
        <f>Input!A152</f>
        <v>304.10000000000002</v>
      </c>
      <c r="C224" s="3" t="str">
        <f>Input!B152</f>
        <v>LAND</v>
      </c>
      <c r="D224" s="325">
        <f>Input!C152</f>
        <v>2</v>
      </c>
      <c r="E224" s="3">
        <f>Classification!F224</f>
        <v>0</v>
      </c>
      <c r="F224" s="3">
        <f>ROUND((VLOOKUP($D224,'Alloc Table Cust'!$B$7:$S$58,13,FALSE)*$E224),0)</f>
        <v>0</v>
      </c>
      <c r="G224" s="3">
        <f>ROUND((VLOOKUP($D224,'Alloc Table Cust'!$B$7:$T$58,14,FALSE)*$E224),0)</f>
        <v>0</v>
      </c>
      <c r="H224" s="3">
        <f>ROUND((VLOOKUP($D224,'Alloc Table Cust'!$B$7:$T$58,15,FALSE)*$E224),0)</f>
        <v>0</v>
      </c>
      <c r="I224" s="3">
        <f>ROUND((VLOOKUP($D224,'Alloc Table Cust'!$B$7:$T$58,16,FALSE)*$E224),0)</f>
        <v>0</v>
      </c>
      <c r="J224" s="3">
        <f>ROUND((VLOOKUP($D224,'Alloc Table Cust'!$B$7:$T$58,17,FALSE)*$E224),0)</f>
        <v>0</v>
      </c>
      <c r="K224" s="3">
        <f>ROUND((VLOOKUP($D224,'Alloc Table Cust'!$B$7:$T$58,18,FALSE)*$E224),0)</f>
        <v>0</v>
      </c>
      <c r="L224" s="3">
        <f>ROUND((VLOOKUP($D224,'Alloc Table Cust'!$B$7:$T$58,19,FALSE)*$E224),0)</f>
        <v>0</v>
      </c>
    </row>
    <row r="225" spans="1:13" ht="11.25" x14ac:dyDescent="0.2">
      <c r="A225" s="325">
        <f>A224+1</f>
        <v>10</v>
      </c>
      <c r="B225" s="24">
        <f>Input!A153</f>
        <v>305</v>
      </c>
      <c r="C225" s="3" t="str">
        <f>Input!B153</f>
        <v>STRUCTURES &amp; IMPROVEMENTS</v>
      </c>
      <c r="D225" s="325">
        <f>Input!C153</f>
        <v>2</v>
      </c>
      <c r="E225" s="3">
        <f>Classification!F225</f>
        <v>0</v>
      </c>
      <c r="F225" s="3">
        <f>ROUND((VLOOKUP($D225,'Alloc Table Cust'!$B$7:$S$58,13,FALSE)*$E225),0)</f>
        <v>0</v>
      </c>
      <c r="G225" s="3">
        <f>ROUND((VLOOKUP($D225,'Alloc Table Cust'!$B$7:$T$58,14,FALSE)*$E225),0)</f>
        <v>0</v>
      </c>
      <c r="H225" s="3">
        <f>ROUND((VLOOKUP($D225,'Alloc Table Cust'!$B$7:$T$58,15,FALSE)*$E225),0)</f>
        <v>0</v>
      </c>
      <c r="I225" s="3">
        <f>ROUND((VLOOKUP($D225,'Alloc Table Cust'!$B$7:$T$58,16,FALSE)*$E225),0)</f>
        <v>0</v>
      </c>
      <c r="J225" s="3">
        <f>ROUND((VLOOKUP($D225,'Alloc Table Cust'!$B$7:$T$58,17,FALSE)*$E225),0)</f>
        <v>0</v>
      </c>
      <c r="K225" s="3">
        <f>ROUND((VLOOKUP($D225,'Alloc Table Cust'!$B$7:$T$58,18,FALSE)*$E225),0)</f>
        <v>0</v>
      </c>
      <c r="L225" s="3">
        <f>ROUND((VLOOKUP($D225,'Alloc Table Cust'!$B$7:$T$58,19,FALSE)*$E225),0)</f>
        <v>0</v>
      </c>
    </row>
    <row r="226" spans="1:13" ht="11.25" x14ac:dyDescent="0.2">
      <c r="A226" s="325">
        <f>A225+1</f>
        <v>11</v>
      </c>
      <c r="B226" s="24">
        <f>Input!A154</f>
        <v>311</v>
      </c>
      <c r="C226" s="3" t="str">
        <f>Input!B154</f>
        <v>LIQUEFIED PETROLEUM GAS EQUIP</v>
      </c>
      <c r="D226" s="325">
        <f>Input!C154</f>
        <v>2</v>
      </c>
      <c r="E226" s="26">
        <f>Classification!F226</f>
        <v>0</v>
      </c>
      <c r="F226" s="26">
        <f>ROUND((VLOOKUP($D226,'Alloc Table Cust'!$B$7:$S$58,13,FALSE)*$E226),0)</f>
        <v>0</v>
      </c>
      <c r="G226" s="26">
        <f>ROUND((VLOOKUP($D226,'Alloc Table Cust'!$B$7:$T$58,14,FALSE)*$E226),0)</f>
        <v>0</v>
      </c>
      <c r="H226" s="26">
        <f>ROUND((VLOOKUP($D226,'Alloc Table Cust'!$B$7:$T$58,15,FALSE)*$E226),0)</f>
        <v>0</v>
      </c>
      <c r="I226" s="26">
        <f>ROUND((VLOOKUP($D226,'Alloc Table Cust'!$B$7:$T$58,16,FALSE)*$E226),0)</f>
        <v>0</v>
      </c>
      <c r="J226" s="26">
        <f>ROUND((VLOOKUP($D226,'Alloc Table Cust'!$B$7:$T$58,17,FALSE)*$E226),0)</f>
        <v>0</v>
      </c>
      <c r="K226" s="26">
        <f>ROUND((VLOOKUP($D226,'Alloc Table Cust'!$B$7:$T$58,18,FALSE)*$E226),0)</f>
        <v>0</v>
      </c>
      <c r="L226" s="26">
        <f>ROUND((VLOOKUP($D226,'Alloc Table Cust'!$B$7:$T$58,19,FALSE)*$E226),0)</f>
        <v>0</v>
      </c>
    </row>
    <row r="227" spans="1:13" ht="11.25" x14ac:dyDescent="0.2">
      <c r="A227" s="325">
        <f>A226+1</f>
        <v>12</v>
      </c>
      <c r="B227" s="24"/>
      <c r="C227" s="3" t="s">
        <v>160</v>
      </c>
      <c r="D227" s="325"/>
      <c r="E227" s="3">
        <f t="shared" ref="E227:L227" si="35">SUM(E224:E226)</f>
        <v>0</v>
      </c>
      <c r="F227" s="3">
        <f t="shared" si="35"/>
        <v>0</v>
      </c>
      <c r="G227" s="3">
        <f t="shared" si="35"/>
        <v>0</v>
      </c>
      <c r="H227" s="3">
        <f t="shared" si="35"/>
        <v>0</v>
      </c>
      <c r="I227" s="3">
        <f t="shared" si="35"/>
        <v>0</v>
      </c>
      <c r="J227" s="3">
        <f t="shared" si="35"/>
        <v>0</v>
      </c>
      <c r="K227" s="3">
        <f t="shared" si="35"/>
        <v>0</v>
      </c>
      <c r="L227" s="3">
        <f t="shared" si="35"/>
        <v>0</v>
      </c>
    </row>
    <row r="228" spans="1:13" ht="11.25" x14ac:dyDescent="0.2">
      <c r="A228" s="325"/>
      <c r="B228" s="24"/>
      <c r="C228" s="3"/>
      <c r="D228" s="325"/>
      <c r="E228" s="26"/>
      <c r="F228" s="26"/>
      <c r="G228" s="26"/>
      <c r="H228" s="26"/>
      <c r="I228" s="26"/>
      <c r="J228" s="26"/>
      <c r="K228" s="26"/>
      <c r="L228" s="26"/>
    </row>
    <row r="229" spans="1:13" ht="11.25" x14ac:dyDescent="0.2">
      <c r="A229" s="325">
        <f>A227+1</f>
        <v>13</v>
      </c>
      <c r="B229" s="3"/>
      <c r="C229" s="24" t="str">
        <f>Input!A155</f>
        <v>DISTRIBUTION PLANT</v>
      </c>
      <c r="D229" s="325"/>
      <c r="E229" s="26"/>
      <c r="F229" s="26"/>
      <c r="G229" s="26"/>
      <c r="H229" s="26"/>
      <c r="I229" s="26"/>
      <c r="J229" s="26"/>
      <c r="K229" s="26"/>
      <c r="L229" s="26"/>
    </row>
    <row r="230" spans="1:13" ht="11.25" x14ac:dyDescent="0.2">
      <c r="A230" s="325"/>
      <c r="B230" s="3"/>
      <c r="C230" s="3"/>
      <c r="D230" s="325"/>
      <c r="E230" s="3"/>
      <c r="F230" s="3"/>
      <c r="G230" s="3"/>
      <c r="H230" s="3"/>
      <c r="I230" s="3"/>
      <c r="J230" s="3"/>
      <c r="K230" s="3"/>
      <c r="L230" s="3"/>
    </row>
    <row r="231" spans="1:13" ht="11.25" x14ac:dyDescent="0.2">
      <c r="A231" s="325">
        <f>A229+1</f>
        <v>14</v>
      </c>
      <c r="B231" s="24">
        <f>Input!A156</f>
        <v>374.1</v>
      </c>
      <c r="C231" s="3" t="str">
        <f>Input!B156</f>
        <v>LAND - CITY GATE &amp; M/L IND M&amp;R</v>
      </c>
      <c r="D231" s="325">
        <f>Input!C156</f>
        <v>5</v>
      </c>
      <c r="E231" s="3">
        <f>Classification!F231</f>
        <v>0</v>
      </c>
      <c r="F231" s="3">
        <f>ROUND((VLOOKUP($D231,'Alloc Table Cust'!$B$7:$S$58,13,FALSE)*$E231),0)</f>
        <v>0</v>
      </c>
      <c r="G231" s="3">
        <f>ROUND((VLOOKUP($D231,'Alloc Table Cust'!$B$7:$T$58,14,FALSE)*$E231),0)</f>
        <v>0</v>
      </c>
      <c r="H231" s="3">
        <f>ROUND((VLOOKUP($D231,'Alloc Table Cust'!$B$7:$T$58,15,FALSE)*$E231),0)</f>
        <v>0</v>
      </c>
      <c r="I231" s="3">
        <f>ROUND((VLOOKUP($D231,'Alloc Table Cust'!$B$7:$T$58,16,FALSE)*$E231),0)</f>
        <v>0</v>
      </c>
      <c r="J231" s="3">
        <f>ROUND((VLOOKUP($D231,'Alloc Table Cust'!$B$7:$T$58,17,FALSE)*$E231),0)</f>
        <v>0</v>
      </c>
      <c r="K231" s="3">
        <f>ROUND((VLOOKUP($D231,'Alloc Table Cust'!$B$7:$T$58,18,FALSE)*$E231),0)</f>
        <v>0</v>
      </c>
      <c r="L231" s="3">
        <f>ROUND((VLOOKUP($D231,'Alloc Table Cust'!$B$7:$T$58,19,FALSE)*$E231),0)</f>
        <v>0</v>
      </c>
    </row>
    <row r="232" spans="1:13" ht="11.25" x14ac:dyDescent="0.2">
      <c r="A232" s="325">
        <f t="shared" ref="A232:A250" si="36">A231+1</f>
        <v>15</v>
      </c>
      <c r="B232" s="24">
        <f>Input!A157</f>
        <v>374.2</v>
      </c>
      <c r="C232" s="3" t="str">
        <f>Input!B157</f>
        <v>LAND - OTHER DISTRIBUTION</v>
      </c>
      <c r="D232" s="325">
        <f>Input!C157</f>
        <v>5</v>
      </c>
      <c r="E232" s="3">
        <f>Classification!F232</f>
        <v>0</v>
      </c>
      <c r="F232" s="3">
        <f>ROUND((VLOOKUP($D232,'Alloc Table Cust'!$B$7:$S$58,13,FALSE)*$E232),0)</f>
        <v>0</v>
      </c>
      <c r="G232" s="3">
        <f>ROUND((VLOOKUP($D232,'Alloc Table Cust'!$B$7:$T$58,14,FALSE)*$E232),0)</f>
        <v>0</v>
      </c>
      <c r="H232" s="3">
        <f>ROUND((VLOOKUP($D232,'Alloc Table Cust'!$B$7:$T$58,15,FALSE)*$E232),0)</f>
        <v>0</v>
      </c>
      <c r="I232" s="3">
        <f>ROUND((VLOOKUP($D232,'Alloc Table Cust'!$B$7:$T$58,16,FALSE)*$E232),0)</f>
        <v>0</v>
      </c>
      <c r="J232" s="3">
        <f>ROUND((VLOOKUP($D232,'Alloc Table Cust'!$B$7:$T$58,17,FALSE)*$E232),0)</f>
        <v>0</v>
      </c>
      <c r="K232" s="3">
        <f>ROUND((VLOOKUP($D232,'Alloc Table Cust'!$B$7:$T$58,18,FALSE)*$E232),0)</f>
        <v>0</v>
      </c>
      <c r="L232" s="3">
        <f>ROUND((VLOOKUP($D232,'Alloc Table Cust'!$B$7:$T$58,19,FALSE)*$E232),0)</f>
        <v>0</v>
      </c>
    </row>
    <row r="233" spans="1:13" ht="11.25" x14ac:dyDescent="0.2">
      <c r="A233" s="325">
        <f t="shared" si="36"/>
        <v>16</v>
      </c>
      <c r="B233" s="24">
        <f>Input!A158</f>
        <v>374.4</v>
      </c>
      <c r="C233" s="3" t="str">
        <f>Input!B158</f>
        <v>LAND RIGHTS - OTHER DISTRIBUTION</v>
      </c>
      <c r="D233" s="325">
        <f>Input!C158</f>
        <v>5</v>
      </c>
      <c r="E233" s="3">
        <f>Classification!F233</f>
        <v>0</v>
      </c>
      <c r="F233" s="3">
        <f>ROUND((VLOOKUP($D233,'Alloc Table Cust'!$B$7:$S$58,13,FALSE)*$E233),0)</f>
        <v>0</v>
      </c>
      <c r="G233" s="3">
        <f>ROUND((VLOOKUP($D233,'Alloc Table Cust'!$B$7:$T$58,14,FALSE)*$E233),0)</f>
        <v>0</v>
      </c>
      <c r="H233" s="3">
        <f>ROUND((VLOOKUP($D233,'Alloc Table Cust'!$B$7:$T$58,15,FALSE)*$E233),0)</f>
        <v>0</v>
      </c>
      <c r="I233" s="3">
        <f>ROUND((VLOOKUP($D233,'Alloc Table Cust'!$B$7:$T$58,16,FALSE)*$E233),0)</f>
        <v>0</v>
      </c>
      <c r="J233" s="3">
        <f>ROUND((VLOOKUP($D233,'Alloc Table Cust'!$B$7:$T$58,17,FALSE)*$E233),0)</f>
        <v>0</v>
      </c>
      <c r="K233" s="3">
        <f>ROUND((VLOOKUP($D233,'Alloc Table Cust'!$B$7:$T$58,18,FALSE)*$E233),0)</f>
        <v>0</v>
      </c>
      <c r="L233" s="3">
        <f>ROUND((VLOOKUP($D233,'Alloc Table Cust'!$B$7:$T$58,19,FALSE)*$E233),0)</f>
        <v>0</v>
      </c>
    </row>
    <row r="234" spans="1:13" ht="11.25" x14ac:dyDescent="0.2">
      <c r="A234" s="325">
        <f t="shared" si="36"/>
        <v>17</v>
      </c>
      <c r="B234" s="24">
        <f>Input!A159</f>
        <v>374.5</v>
      </c>
      <c r="C234" s="3" t="str">
        <f>Input!B159</f>
        <v>RIGHTS OF WAY</v>
      </c>
      <c r="D234" s="325">
        <f>Input!C159</f>
        <v>5</v>
      </c>
      <c r="E234" s="3">
        <f>Classification!F234</f>
        <v>0</v>
      </c>
      <c r="F234" s="3">
        <f>ROUND((VLOOKUP($D234,'Alloc Table Cust'!$B$7:$S$58,13,FALSE)*$E234),0)</f>
        <v>0</v>
      </c>
      <c r="G234" s="3">
        <f>ROUND((VLOOKUP($D234,'Alloc Table Cust'!$B$7:$T$58,14,FALSE)*$E234),0)</f>
        <v>0</v>
      </c>
      <c r="H234" s="3">
        <f>ROUND((VLOOKUP($D234,'Alloc Table Cust'!$B$7:$T$58,15,FALSE)*$E234),0)</f>
        <v>0</v>
      </c>
      <c r="I234" s="3">
        <f>ROUND((VLOOKUP($D234,'Alloc Table Cust'!$B$7:$T$58,16,FALSE)*$E234),0)</f>
        <v>0</v>
      </c>
      <c r="J234" s="3">
        <f>ROUND((VLOOKUP($D234,'Alloc Table Cust'!$B$7:$T$58,17,FALSE)*$E234),0)</f>
        <v>0</v>
      </c>
      <c r="K234" s="3">
        <f>ROUND((VLOOKUP($D234,'Alloc Table Cust'!$B$7:$T$58,18,FALSE)*$E234),0)</f>
        <v>0</v>
      </c>
      <c r="L234" s="3">
        <f>ROUND((VLOOKUP($D234,'Alloc Table Cust'!$B$7:$T$58,19,FALSE)*$E234),0)</f>
        <v>0</v>
      </c>
    </row>
    <row r="235" spans="1:13" ht="11.25" x14ac:dyDescent="0.2">
      <c r="A235" s="325">
        <f t="shared" si="36"/>
        <v>18</v>
      </c>
      <c r="B235" s="24">
        <f>Input!A160</f>
        <v>375.2</v>
      </c>
      <c r="C235" s="3" t="str">
        <f>Input!B160</f>
        <v>CITY GATE - MEAS &amp; REG STRUCTURES</v>
      </c>
      <c r="D235" s="325">
        <f>Input!C160</f>
        <v>5</v>
      </c>
      <c r="E235" s="3">
        <f>Classification!F235</f>
        <v>0</v>
      </c>
      <c r="F235" s="3">
        <f>ROUND((VLOOKUP($D235,'Alloc Table Cust'!$B$7:$S$58,13,FALSE)*$E235),0)</f>
        <v>0</v>
      </c>
      <c r="G235" s="3">
        <f>ROUND((VLOOKUP($D235,'Alloc Table Cust'!$B$7:$T$58,14,FALSE)*$E235),0)</f>
        <v>0</v>
      </c>
      <c r="H235" s="3">
        <f>ROUND((VLOOKUP($D235,'Alloc Table Cust'!$B$7:$T$58,15,FALSE)*$E235),0)</f>
        <v>0</v>
      </c>
      <c r="I235" s="3">
        <f>ROUND((VLOOKUP($D235,'Alloc Table Cust'!$B$7:$T$58,16,FALSE)*$E235),0)</f>
        <v>0</v>
      </c>
      <c r="J235" s="3">
        <f>ROUND((VLOOKUP($D235,'Alloc Table Cust'!$B$7:$T$58,17,FALSE)*$E235),0)</f>
        <v>0</v>
      </c>
      <c r="K235" s="3">
        <f>ROUND((VLOOKUP($D235,'Alloc Table Cust'!$B$7:$T$58,18,FALSE)*$E235),0)</f>
        <v>0</v>
      </c>
      <c r="L235" s="3">
        <f>ROUND((VLOOKUP($D235,'Alloc Table Cust'!$B$7:$T$58,19,FALSE)*$E235),0)</f>
        <v>0</v>
      </c>
    </row>
    <row r="236" spans="1:13" ht="11.25" x14ac:dyDescent="0.2">
      <c r="A236" s="325">
        <f t="shared" si="36"/>
        <v>19</v>
      </c>
      <c r="B236" s="24">
        <f>Input!A161</f>
        <v>375.3</v>
      </c>
      <c r="C236" s="3" t="str">
        <f>Input!B161</f>
        <v>STRUC &amp; IMPROV-GENERAL M&amp;R</v>
      </c>
      <c r="D236" s="325">
        <f>Input!C161</f>
        <v>5</v>
      </c>
      <c r="E236" s="3">
        <f>Classification!F236</f>
        <v>0</v>
      </c>
      <c r="F236" s="3">
        <f>ROUND((VLOOKUP($D236,'Alloc Table Cust'!$B$7:$S$58,13,FALSE)*$E236),0)</f>
        <v>0</v>
      </c>
      <c r="G236" s="3">
        <f>ROUND((VLOOKUP($D236,'Alloc Table Cust'!$B$7:$T$58,14,FALSE)*$E236),0)</f>
        <v>0</v>
      </c>
      <c r="H236" s="3">
        <f>ROUND((VLOOKUP($D236,'Alloc Table Cust'!$B$7:$T$58,15,FALSE)*$E236),0)</f>
        <v>0</v>
      </c>
      <c r="I236" s="3">
        <f>ROUND((VLOOKUP($D236,'Alloc Table Cust'!$B$7:$T$58,16,FALSE)*$E236),0)</f>
        <v>0</v>
      </c>
      <c r="J236" s="3">
        <f>ROUND((VLOOKUP($D236,'Alloc Table Cust'!$B$7:$T$58,17,FALSE)*$E236),0)</f>
        <v>0</v>
      </c>
      <c r="K236" s="3">
        <f>ROUND((VLOOKUP($D236,'Alloc Table Cust'!$B$7:$T$58,18,FALSE)*$E236),0)</f>
        <v>0</v>
      </c>
      <c r="L236" s="3">
        <f>ROUND((VLOOKUP($D236,'Alloc Table Cust'!$B$7:$T$58,19,FALSE)*$E236),0)</f>
        <v>0</v>
      </c>
    </row>
    <row r="237" spans="1:13" ht="11.25" x14ac:dyDescent="0.2">
      <c r="A237" s="325">
        <f t="shared" si="36"/>
        <v>20</v>
      </c>
      <c r="B237" s="24">
        <f>Input!A162</f>
        <v>375.4</v>
      </c>
      <c r="C237" s="3" t="str">
        <f>Input!B162</f>
        <v>STRUC &amp; IMPROV-REGULATING</v>
      </c>
      <c r="D237" s="325">
        <f>Input!C162</f>
        <v>5</v>
      </c>
      <c r="E237" s="3">
        <f>Classification!F237</f>
        <v>0</v>
      </c>
      <c r="F237" s="3">
        <f>ROUND((VLOOKUP($D237,'Alloc Table Cust'!$B$7:$S$58,13,FALSE)*$E237),0)</f>
        <v>0</v>
      </c>
      <c r="G237" s="3">
        <f>ROUND((VLOOKUP($D237,'Alloc Table Cust'!$B$7:$T$58,14,FALSE)*$E237),0)</f>
        <v>0</v>
      </c>
      <c r="H237" s="3">
        <f>ROUND((VLOOKUP($D237,'Alloc Table Cust'!$B$7:$T$58,15,FALSE)*$E237),0)</f>
        <v>0</v>
      </c>
      <c r="I237" s="3">
        <f>ROUND((VLOOKUP($D237,'Alloc Table Cust'!$B$7:$T$58,16,FALSE)*$E237),0)</f>
        <v>0</v>
      </c>
      <c r="J237" s="3">
        <f>ROUND((VLOOKUP($D237,'Alloc Table Cust'!$B$7:$T$58,17,FALSE)*$E237),0)</f>
        <v>0</v>
      </c>
      <c r="K237" s="3">
        <f>ROUND((VLOOKUP($D237,'Alloc Table Cust'!$B$7:$T$58,18,FALSE)*$E237),0)</f>
        <v>0</v>
      </c>
      <c r="L237" s="3">
        <f>ROUND((VLOOKUP($D237,'Alloc Table Cust'!$B$7:$T$58,19,FALSE)*$E237),0)</f>
        <v>0</v>
      </c>
    </row>
    <row r="238" spans="1:13" ht="11.25" x14ac:dyDescent="0.2">
      <c r="A238" s="325">
        <f t="shared" si="36"/>
        <v>21</v>
      </c>
      <c r="B238" s="24">
        <f>B237</f>
        <v>375.4</v>
      </c>
      <c r="C238" s="3" t="str">
        <f>C156</f>
        <v>DIRECT STRUC &amp; IMPROV-REGULATING</v>
      </c>
      <c r="D238" s="325"/>
      <c r="E238" s="3">
        <f>Classification!F238</f>
        <v>0</v>
      </c>
      <c r="F238" s="3">
        <v>0</v>
      </c>
      <c r="G238" s="3">
        <v>0</v>
      </c>
      <c r="H238" s="3">
        <v>0</v>
      </c>
      <c r="I238" s="3">
        <f>E238</f>
        <v>0</v>
      </c>
      <c r="J238" s="3">
        <v>0</v>
      </c>
      <c r="K238" s="3">
        <v>0</v>
      </c>
      <c r="L238" s="3">
        <v>0</v>
      </c>
      <c r="M238" s="3"/>
    </row>
    <row r="239" spans="1:13" ht="11.25" x14ac:dyDescent="0.2">
      <c r="A239" s="325">
        <f t="shared" si="36"/>
        <v>22</v>
      </c>
      <c r="B239" s="24">
        <f>Input!A163</f>
        <v>375.6</v>
      </c>
      <c r="C239" s="3" t="str">
        <f>Input!B163</f>
        <v>STRUC &amp; IMPROV-DIST. IND. M &amp; R</v>
      </c>
      <c r="D239" s="325">
        <f>Input!C163</f>
        <v>8</v>
      </c>
      <c r="E239" s="3">
        <f>Classification!F239</f>
        <v>0</v>
      </c>
      <c r="F239" s="3">
        <f>ROUND((VLOOKUP($D239,'Alloc Table Cust'!$B$7:$S$58,13,FALSE)*$E239),0)</f>
        <v>0</v>
      </c>
      <c r="G239" s="3">
        <f>ROUND((VLOOKUP($D239,'Alloc Table Cust'!$B$7:$T$58,14,FALSE)*$E239),0)</f>
        <v>0</v>
      </c>
      <c r="H239" s="3">
        <f>ROUND((VLOOKUP($D239,'Alloc Table Cust'!$B$7:$T$58,15,FALSE)*$E239),0)</f>
        <v>0</v>
      </c>
      <c r="I239" s="3">
        <f>ROUND((VLOOKUP($D239,'Alloc Table Cust'!$B$7:$T$58,16,FALSE)*$E239),0)</f>
        <v>0</v>
      </c>
      <c r="J239" s="3">
        <f>ROUND((VLOOKUP($D239,'Alloc Table Cust'!$B$7:$T$58,17,FALSE)*$E239),0)</f>
        <v>0</v>
      </c>
      <c r="K239" s="3">
        <f>ROUND((VLOOKUP($D239,'Alloc Table Cust'!$B$7:$T$58,18,FALSE)*$E239),0)</f>
        <v>0</v>
      </c>
      <c r="L239" s="3">
        <f>ROUND((VLOOKUP($D239,'Alloc Table Cust'!$B$7:$T$58,19,FALSE)*$E239),0)</f>
        <v>0</v>
      </c>
    </row>
    <row r="240" spans="1:13" ht="11.25" x14ac:dyDescent="0.2">
      <c r="A240" s="325">
        <f t="shared" si="36"/>
        <v>23</v>
      </c>
      <c r="B240" s="24">
        <f>Input!A164</f>
        <v>375.7</v>
      </c>
      <c r="C240" s="3" t="str">
        <f>Input!B164</f>
        <v>STRUC &amp; IMPROV-OTHER DIST. SYSTEM</v>
      </c>
      <c r="D240" s="325" t="str">
        <f>D158</f>
        <v>7CUST</v>
      </c>
      <c r="E240" s="3">
        <f>Classification!F240</f>
        <v>1410111</v>
      </c>
      <c r="F240" s="3">
        <f ca="1">ROUND((VLOOKUP($D240,'Alloc Table Cust'!$B$7:$S$58,13,FALSE)*$E240),0)</f>
        <v>1165527</v>
      </c>
      <c r="G240" s="3">
        <f ca="1">ROUND((VLOOKUP($D240,'Alloc Table Cust'!$B$7:$T$58,14,FALSE)*$E240),0)</f>
        <v>217355</v>
      </c>
      <c r="H240" s="3">
        <f ca="1">ROUND((VLOOKUP($D240,'Alloc Table Cust'!$B$7:$T$58,15,FALSE)*$E240),0)</f>
        <v>56</v>
      </c>
      <c r="I240" s="3">
        <f ca="1">ROUND((VLOOKUP($D240,'Alloc Table Cust'!$B$7:$T$58,16,FALSE)*$E240),0)</f>
        <v>5584</v>
      </c>
      <c r="J240" s="3">
        <f ca="1">ROUND((VLOOKUP($D240,'Alloc Table Cust'!$B$7:$T$58,17,FALSE)*$E240),0)</f>
        <v>21589</v>
      </c>
      <c r="K240" s="3">
        <f ca="1">ROUND((VLOOKUP($D240,'Alloc Table Cust'!$B$7:$T$58,18,FALSE)*$E240),0)</f>
        <v>0</v>
      </c>
      <c r="L240" s="3">
        <f ca="1">ROUND((VLOOKUP($D240,'Alloc Table Cust'!$B$7:$T$58,19,FALSE)*$E240),0)</f>
        <v>0</v>
      </c>
    </row>
    <row r="241" spans="1:12" ht="11.25" x14ac:dyDescent="0.2">
      <c r="A241" s="325">
        <f t="shared" si="36"/>
        <v>24</v>
      </c>
      <c r="B241" s="24">
        <f>Input!A165</f>
        <v>375.71</v>
      </c>
      <c r="C241" s="3" t="str">
        <f>Input!B165</f>
        <v>STRUCT &amp; IMPROV-OTHER DIST. SYSTEM-IMPROV</v>
      </c>
      <c r="D241" s="325" t="str">
        <f>D159</f>
        <v>7CUST</v>
      </c>
      <c r="E241" s="3">
        <f>Classification!F241</f>
        <v>83368</v>
      </c>
      <c r="F241" s="3">
        <f ca="1">ROUND((VLOOKUP($D241,'Alloc Table Cust'!$B$7:$S$58,13,FALSE)*$E241),0)</f>
        <v>68908</v>
      </c>
      <c r="G241" s="3">
        <f ca="1">ROUND((VLOOKUP($D241,'Alloc Table Cust'!$B$7:$T$58,14,FALSE)*$E241),0)</f>
        <v>12850</v>
      </c>
      <c r="H241" s="3">
        <f ca="1">ROUND((VLOOKUP($D241,'Alloc Table Cust'!$B$7:$T$58,15,FALSE)*$E241),0)</f>
        <v>3</v>
      </c>
      <c r="I241" s="3">
        <f ca="1">ROUND((VLOOKUP($D241,'Alloc Table Cust'!$B$7:$T$58,16,FALSE)*$E241),0)</f>
        <v>330</v>
      </c>
      <c r="J241" s="3">
        <f ca="1">ROUND((VLOOKUP($D241,'Alloc Table Cust'!$B$7:$T$58,17,FALSE)*$E241),0)</f>
        <v>1276</v>
      </c>
      <c r="K241" s="3">
        <f ca="1">ROUND((VLOOKUP($D241,'Alloc Table Cust'!$B$7:$T$58,18,FALSE)*$E241),0)</f>
        <v>0</v>
      </c>
      <c r="L241" s="3">
        <f ca="1">ROUND((VLOOKUP($D241,'Alloc Table Cust'!$B$7:$T$58,19,FALSE)*$E241),0)</f>
        <v>0</v>
      </c>
    </row>
    <row r="242" spans="1:12" ht="11.25" x14ac:dyDescent="0.2">
      <c r="A242" s="325">
        <f t="shared" si="36"/>
        <v>25</v>
      </c>
      <c r="B242" s="24">
        <f>Input!A166</f>
        <v>375.8</v>
      </c>
      <c r="C242" s="3" t="str">
        <f>Input!B166</f>
        <v>STRUC &amp; IMPROV-COMMUNICATION</v>
      </c>
      <c r="D242" s="325">
        <f>Input!C166</f>
        <v>5</v>
      </c>
      <c r="E242" s="3">
        <f>Classification!F242</f>
        <v>0</v>
      </c>
      <c r="F242" s="3">
        <f>ROUND((VLOOKUP($D242,'Alloc Table Cust'!$B$7:$S$58,13,FALSE)*$E242),0)</f>
        <v>0</v>
      </c>
      <c r="G242" s="3">
        <f>ROUND((VLOOKUP($D242,'Alloc Table Cust'!$B$7:$T$58,14,FALSE)*$E242),0)</f>
        <v>0</v>
      </c>
      <c r="H242" s="3">
        <f>ROUND((VLOOKUP($D242,'Alloc Table Cust'!$B$7:$T$58,15,FALSE)*$E242),0)</f>
        <v>0</v>
      </c>
      <c r="I242" s="3">
        <f>ROUND((VLOOKUP($D242,'Alloc Table Cust'!$B$7:$T$58,16,FALSE)*$E242),0)</f>
        <v>0</v>
      </c>
      <c r="J242" s="3">
        <f>ROUND((VLOOKUP($D242,'Alloc Table Cust'!$B$7:$T$58,17,FALSE)*$E242),0)</f>
        <v>0</v>
      </c>
      <c r="K242" s="3">
        <f>ROUND((VLOOKUP($D242,'Alloc Table Cust'!$B$7:$T$58,18,FALSE)*$E242),0)</f>
        <v>0</v>
      </c>
      <c r="L242" s="3">
        <f>ROUND((VLOOKUP($D242,'Alloc Table Cust'!$B$7:$T$58,19,FALSE)*$E242),0)</f>
        <v>0</v>
      </c>
    </row>
    <row r="243" spans="1:12" ht="11.25" x14ac:dyDescent="0.2">
      <c r="A243" s="325">
        <f t="shared" si="36"/>
        <v>26</v>
      </c>
      <c r="B243" s="24">
        <f>Input!A167</f>
        <v>376</v>
      </c>
      <c r="C243" s="3" t="str">
        <f>Input!B167</f>
        <v>MAINS</v>
      </c>
      <c r="D243" s="325">
        <f>Input!C167</f>
        <v>5</v>
      </c>
      <c r="E243" s="3">
        <f>Classification!F243</f>
        <v>0</v>
      </c>
      <c r="F243" s="3">
        <f>ROUND((VLOOKUP($D243,'Alloc Table Cust'!$B$7:$S$58,13,FALSE)*$E243),0)</f>
        <v>0</v>
      </c>
      <c r="G243" s="3">
        <f>ROUND((VLOOKUP($D243,'Alloc Table Cust'!$B$7:$T$58,14,FALSE)*$E243),0)</f>
        <v>0</v>
      </c>
      <c r="H243" s="3">
        <f>ROUND((VLOOKUP($D243,'Alloc Table Cust'!$B$7:$T$58,15,FALSE)*$E243),0)</f>
        <v>0</v>
      </c>
      <c r="I243" s="3">
        <f>ROUND((VLOOKUP($D243,'Alloc Table Cust'!$B$7:$T$58,16,FALSE)*$E243),0)</f>
        <v>0</v>
      </c>
      <c r="J243" s="3">
        <f>ROUND((VLOOKUP($D243,'Alloc Table Cust'!$B$7:$T$58,17,FALSE)*$E243),0)</f>
        <v>0</v>
      </c>
      <c r="K243" s="3">
        <f>ROUND((VLOOKUP($D243,'Alloc Table Cust'!$B$7:$T$58,18,FALSE)*$E243),0)</f>
        <v>0</v>
      </c>
      <c r="L243" s="3">
        <f>ROUND((VLOOKUP($D243,'Alloc Table Cust'!$B$7:$T$58,19,FALSE)*$E243),0)</f>
        <v>0</v>
      </c>
    </row>
    <row r="244" spans="1:12" ht="11.25" x14ac:dyDescent="0.2">
      <c r="A244" s="325">
        <f t="shared" si="36"/>
        <v>27</v>
      </c>
      <c r="B244" s="24">
        <f>Input!A167</f>
        <v>376</v>
      </c>
      <c r="C244" s="3" t="str">
        <f>"DIRECT "&amp;+Input!B167</f>
        <v>DIRECT MAINS</v>
      </c>
      <c r="D244" s="325"/>
      <c r="E244" s="3">
        <f>Classification!F244</f>
        <v>0</v>
      </c>
      <c r="F244" s="3">
        <v>0</v>
      </c>
      <c r="G244" s="3">
        <v>0</v>
      </c>
      <c r="H244" s="3">
        <v>0</v>
      </c>
      <c r="I244" s="3">
        <f>E244</f>
        <v>0</v>
      </c>
      <c r="J244" s="3">
        <v>0</v>
      </c>
      <c r="K244" s="3">
        <v>0</v>
      </c>
      <c r="L244" s="3">
        <v>0</v>
      </c>
    </row>
    <row r="245" spans="1:12" ht="11.25" x14ac:dyDescent="0.2">
      <c r="A245" s="325">
        <f t="shared" si="36"/>
        <v>28</v>
      </c>
      <c r="B245" s="24">
        <f>Input!A168</f>
        <v>378.1</v>
      </c>
      <c r="C245" s="3" t="str">
        <f>Input!B168</f>
        <v>M &amp; R GENERAL</v>
      </c>
      <c r="D245" s="325">
        <f>Input!C168</f>
        <v>5</v>
      </c>
      <c r="E245" s="3">
        <f>Classification!F245</f>
        <v>0</v>
      </c>
      <c r="F245" s="3">
        <f>ROUND((VLOOKUP($D245,'Alloc Table Cust'!$B$7:$S$58,13,FALSE)*$E245),0)</f>
        <v>0</v>
      </c>
      <c r="G245" s="3">
        <f>ROUND((VLOOKUP($D245,'Alloc Table Cust'!$B$7:$T$58,14,FALSE)*$E245),0)</f>
        <v>0</v>
      </c>
      <c r="H245" s="3">
        <f>ROUND((VLOOKUP($D245,'Alloc Table Cust'!$B$7:$T$58,15,FALSE)*$E245),0)</f>
        <v>0</v>
      </c>
      <c r="I245" s="3">
        <f>ROUND((VLOOKUP($D245,'Alloc Table Cust'!$B$7:$T$58,16,FALSE)*$E245),0)</f>
        <v>0</v>
      </c>
      <c r="J245" s="3">
        <f>ROUND((VLOOKUP($D245,'Alloc Table Cust'!$B$7:$T$58,17,FALSE)*$E245),0)</f>
        <v>0</v>
      </c>
      <c r="K245" s="3">
        <f>ROUND((VLOOKUP($D245,'Alloc Table Cust'!$B$7:$T$58,18,FALSE)*$E245),0)</f>
        <v>0</v>
      </c>
      <c r="L245" s="3">
        <f>ROUND((VLOOKUP($D245,'Alloc Table Cust'!$B$7:$T$58,19,FALSE)*$E245),0)</f>
        <v>0</v>
      </c>
    </row>
    <row r="246" spans="1:12" ht="11.25" x14ac:dyDescent="0.2">
      <c r="A246" s="325">
        <f t="shared" si="36"/>
        <v>29</v>
      </c>
      <c r="B246" s="24">
        <f>Input!A169</f>
        <v>378.2</v>
      </c>
      <c r="C246" s="3" t="str">
        <f>Input!B169</f>
        <v>M &amp; R GENERAL - REGULATING</v>
      </c>
      <c r="D246" s="325">
        <f>Input!C169</f>
        <v>5</v>
      </c>
      <c r="E246" s="3">
        <f>Classification!F246</f>
        <v>0</v>
      </c>
      <c r="F246" s="3">
        <f>ROUND((VLOOKUP($D246,'Alloc Table Cust'!$B$7:$S$58,13,FALSE)*$E246),0)</f>
        <v>0</v>
      </c>
      <c r="G246" s="3">
        <f>ROUND((VLOOKUP($D246,'Alloc Table Cust'!$B$7:$T$58,14,FALSE)*$E246),0)</f>
        <v>0</v>
      </c>
      <c r="H246" s="3">
        <f>ROUND((VLOOKUP($D246,'Alloc Table Cust'!$B$7:$T$58,15,FALSE)*$E246),0)</f>
        <v>0</v>
      </c>
      <c r="I246" s="3">
        <f>ROUND((VLOOKUP($D246,'Alloc Table Cust'!$B$7:$T$58,16,FALSE)*$E246),0)</f>
        <v>0</v>
      </c>
      <c r="J246" s="3">
        <f>ROUND((VLOOKUP($D246,'Alloc Table Cust'!$B$7:$T$58,17,FALSE)*$E246),0)</f>
        <v>0</v>
      </c>
      <c r="K246" s="3">
        <f>ROUND((VLOOKUP($D246,'Alloc Table Cust'!$B$7:$T$58,18,FALSE)*$E246),0)</f>
        <v>0</v>
      </c>
      <c r="L246" s="3">
        <f>ROUND((VLOOKUP($D246,'Alloc Table Cust'!$B$7:$T$58,19,FALSE)*$E246),0)</f>
        <v>0</v>
      </c>
    </row>
    <row r="247" spans="1:12" ht="11.25" x14ac:dyDescent="0.2">
      <c r="A247" s="325">
        <f t="shared" si="36"/>
        <v>30</v>
      </c>
      <c r="B247" s="24">
        <f>Input!A170</f>
        <v>378.3</v>
      </c>
      <c r="C247" s="3" t="str">
        <f>Input!B170</f>
        <v>M &amp; R EQUIP - LOCAL GAS PURCHASES</v>
      </c>
      <c r="D247" s="325">
        <f>Input!C170</f>
        <v>5</v>
      </c>
      <c r="E247" s="3">
        <f>Classification!F247</f>
        <v>0</v>
      </c>
      <c r="F247" s="3">
        <f>ROUND((VLOOKUP($D247,'Alloc Table Cust'!$B$7:$S$58,13,FALSE)*$E247),0)</f>
        <v>0</v>
      </c>
      <c r="G247" s="3">
        <f>ROUND((VLOOKUP($D247,'Alloc Table Cust'!$B$7:$T$58,14,FALSE)*$E247),0)</f>
        <v>0</v>
      </c>
      <c r="H247" s="3">
        <f>ROUND((VLOOKUP($D247,'Alloc Table Cust'!$B$7:$T$58,15,FALSE)*$E247),0)</f>
        <v>0</v>
      </c>
      <c r="I247" s="3">
        <f>ROUND((VLOOKUP($D247,'Alloc Table Cust'!$B$7:$T$58,16,FALSE)*$E247),0)</f>
        <v>0</v>
      </c>
      <c r="J247" s="3">
        <f>ROUND((VLOOKUP($D247,'Alloc Table Cust'!$B$7:$T$58,17,FALSE)*$E247),0)</f>
        <v>0</v>
      </c>
      <c r="K247" s="3">
        <f>ROUND((VLOOKUP($D247,'Alloc Table Cust'!$B$7:$T$58,18,FALSE)*$E247),0)</f>
        <v>0</v>
      </c>
      <c r="L247" s="3">
        <f>ROUND((VLOOKUP($D247,'Alloc Table Cust'!$B$7:$T$58,19,FALSE)*$E247),0)</f>
        <v>0</v>
      </c>
    </row>
    <row r="248" spans="1:12" ht="11.25" x14ac:dyDescent="0.2">
      <c r="A248" s="325">
        <f t="shared" si="36"/>
        <v>31</v>
      </c>
      <c r="B248" s="24">
        <f>Input!A171</f>
        <v>379.1</v>
      </c>
      <c r="C248" s="3" t="str">
        <f>Input!B171</f>
        <v>STA EQUIP - CITY</v>
      </c>
      <c r="D248" s="325">
        <f>Input!C171</f>
        <v>5</v>
      </c>
      <c r="E248" s="3">
        <f>Classification!F248</f>
        <v>0</v>
      </c>
      <c r="F248" s="3">
        <f>ROUND((VLOOKUP($D248,'Alloc Table Cust'!$B$7:$S$58,13,FALSE)*$E248),0)</f>
        <v>0</v>
      </c>
      <c r="G248" s="3">
        <f>ROUND((VLOOKUP($D248,'Alloc Table Cust'!$B$7:$T$58,14,FALSE)*$E248),0)</f>
        <v>0</v>
      </c>
      <c r="H248" s="3">
        <f>ROUND((VLOOKUP($D248,'Alloc Table Cust'!$B$7:$T$58,15,FALSE)*$E248),0)</f>
        <v>0</v>
      </c>
      <c r="I248" s="3">
        <f>ROUND((VLOOKUP($D248,'Alloc Table Cust'!$B$7:$T$58,16,FALSE)*$E248),0)</f>
        <v>0</v>
      </c>
      <c r="J248" s="3">
        <f>ROUND((VLOOKUP($D248,'Alloc Table Cust'!$B$7:$T$58,17,FALSE)*$E248),0)</f>
        <v>0</v>
      </c>
      <c r="K248" s="3">
        <f>ROUND((VLOOKUP($D248,'Alloc Table Cust'!$B$7:$T$58,18,FALSE)*$E248),0)</f>
        <v>0</v>
      </c>
      <c r="L248" s="3">
        <f>ROUND((VLOOKUP($D248,'Alloc Table Cust'!$B$7:$T$58,19,FALSE)*$E248),0)</f>
        <v>0</v>
      </c>
    </row>
    <row r="249" spans="1:12" ht="11.25" x14ac:dyDescent="0.2">
      <c r="A249" s="325">
        <f t="shared" si="36"/>
        <v>32</v>
      </c>
      <c r="B249" s="24">
        <f>Input!A172</f>
        <v>380</v>
      </c>
      <c r="C249" s="3" t="str">
        <f>Input!B172</f>
        <v>SERVICES</v>
      </c>
      <c r="D249" s="325">
        <f>Input!C172</f>
        <v>15</v>
      </c>
      <c r="E249" s="3">
        <f>Classification!F249</f>
        <v>61085053</v>
      </c>
      <c r="F249" s="3">
        <f ca="1">ROUND((VLOOKUP($D249,'Alloc Table Cust'!$B$7:$S$58,13,FALSE)*$E249),0)</f>
        <v>53894121</v>
      </c>
      <c r="G249" s="3">
        <f ca="1">ROUND((VLOOKUP($D249,'Alloc Table Cust'!$B$7:$T$58,14,FALSE)*$E249),0)</f>
        <v>6974691</v>
      </c>
      <c r="H249" s="3">
        <f ca="1">ROUND((VLOOKUP($D249,'Alloc Table Cust'!$B$7:$T$58,15,FALSE)*$E249),0)</f>
        <v>611</v>
      </c>
      <c r="I249" s="3">
        <f ca="1">ROUND((VLOOKUP($D249,'Alloc Table Cust'!$B$7:$T$58,16,FALSE)*$E249),0)</f>
        <v>0</v>
      </c>
      <c r="J249" s="3">
        <f ca="1">ROUND((VLOOKUP($D249,'Alloc Table Cust'!$B$7:$T$58,17,FALSE)*$E249),0)</f>
        <v>215630</v>
      </c>
      <c r="K249" s="3">
        <f ca="1">ROUND((VLOOKUP($D249,'Alloc Table Cust'!$B$7:$T$58,18,FALSE)*$E249),0)</f>
        <v>0</v>
      </c>
      <c r="L249" s="3">
        <f ca="1">ROUND((VLOOKUP($D249,'Alloc Table Cust'!$B$7:$T$58,19,FALSE)*$E249),0)</f>
        <v>0</v>
      </c>
    </row>
    <row r="250" spans="1:12" ht="11.25" x14ac:dyDescent="0.2">
      <c r="A250" s="325">
        <f t="shared" si="36"/>
        <v>33</v>
      </c>
      <c r="B250" s="24">
        <f>Input!A172</f>
        <v>380</v>
      </c>
      <c r="C250" s="3" t="str">
        <f>"DIRECT "&amp;+Input!B172</f>
        <v>DIRECT SERVICES</v>
      </c>
      <c r="D250" s="325"/>
      <c r="E250" s="3">
        <f>Classification!F250</f>
        <v>0</v>
      </c>
      <c r="F250" s="3">
        <v>0</v>
      </c>
      <c r="G250" s="3">
        <v>0</v>
      </c>
      <c r="H250" s="3">
        <v>0</v>
      </c>
      <c r="I250" s="3">
        <f>E250</f>
        <v>0</v>
      </c>
      <c r="J250" s="3">
        <v>0</v>
      </c>
      <c r="K250" s="3">
        <v>0</v>
      </c>
      <c r="L250" s="3">
        <v>0</v>
      </c>
    </row>
    <row r="251" spans="1:12" ht="11.25" x14ac:dyDescent="0.2">
      <c r="A251" s="3" t="s">
        <v>817</v>
      </c>
      <c r="B251" s="3"/>
      <c r="C251" s="14"/>
      <c r="D251" s="325"/>
      <c r="E251" s="3"/>
      <c r="F251" s="325" t="str">
        <f>""&amp;+Input!$B$1</f>
        <v>COLUMBIA GAS OF KENTUCKY, INC.</v>
      </c>
      <c r="H251" s="3"/>
      <c r="I251" s="3"/>
      <c r="J251" s="3"/>
      <c r="K251" s="3"/>
      <c r="L251" s="32" t="str">
        <f>Input!$B$2</f>
        <v>ATTACHMENT CEN-2</v>
      </c>
    </row>
    <row r="252" spans="1:12" ht="11.25" x14ac:dyDescent="0.2">
      <c r="A252" s="3" t="str">
        <f>Input!$B$7</f>
        <v>DEMAND-COMMODITY</v>
      </c>
      <c r="B252" s="3"/>
      <c r="C252" s="3"/>
      <c r="D252" s="325"/>
      <c r="E252" s="3"/>
      <c r="F252" s="325" t="s">
        <v>161</v>
      </c>
      <c r="H252" s="3"/>
      <c r="I252" s="3"/>
      <c r="J252" s="3"/>
      <c r="K252" s="3"/>
      <c r="L252" s="32" t="str">
        <f>"PAGE 59 OF "&amp;FIXED(Input!$B$8,0,TRUE)</f>
        <v>PAGE 59 OF 129</v>
      </c>
    </row>
    <row r="253" spans="1:12" ht="11.25" x14ac:dyDescent="0.2">
      <c r="A253" s="17" t="str">
        <f>Input!$B$6</f>
        <v>FORECASTED TEST YEAR - ORIGINAL FILING</v>
      </c>
      <c r="B253" s="17"/>
      <c r="C253" s="17"/>
      <c r="D253" s="34"/>
      <c r="E253" s="18"/>
      <c r="F253" s="19" t="str">
        <f>"FOR THE TWELVE MONTHS ENDED "&amp;Input!$B$4</f>
        <v>FOR THE TWELVE MONTHS ENDED 12/31/2017</v>
      </c>
      <c r="G253" s="329"/>
      <c r="H253" s="17"/>
      <c r="I253" s="17"/>
      <c r="J253" s="17"/>
      <c r="K253" s="17"/>
      <c r="L253" s="183" t="str">
        <f>"WITNESS: "&amp;Input!$B$5</f>
        <v>WITNESS: C. NOTESTONE</v>
      </c>
    </row>
    <row r="254" spans="1:12" ht="11.25" x14ac:dyDescent="0.2">
      <c r="A254" s="325" t="s">
        <v>5</v>
      </c>
      <c r="B254" s="3" t="s">
        <v>6</v>
      </c>
      <c r="C254" s="3"/>
      <c r="D254" s="325" t="s">
        <v>7</v>
      </c>
      <c r="E254" s="325" t="s">
        <v>8</v>
      </c>
      <c r="F254" s="325"/>
      <c r="G254" s="325"/>
      <c r="H254" s="325"/>
      <c r="I254" s="325"/>
      <c r="J254" s="325"/>
      <c r="K254" s="325"/>
      <c r="L254" s="325"/>
    </row>
    <row r="255" spans="1:12" ht="11.25" x14ac:dyDescent="0.2">
      <c r="A255" s="341" t="s">
        <v>9</v>
      </c>
      <c r="B255" s="341" t="s">
        <v>9</v>
      </c>
      <c r="C255" s="34" t="str">
        <f>Customer!C128</f>
        <v xml:space="preserve"> ACCOUNT TITLE</v>
      </c>
      <c r="D255" s="341" t="s">
        <v>10</v>
      </c>
      <c r="E255" s="341" t="s">
        <v>804</v>
      </c>
      <c r="F255" s="341" t="str">
        <f>"  "&amp;+Input!$C$12</f>
        <v xml:space="preserve">  GS-RESIDENTIAL</v>
      </c>
      <c r="G255" s="341" t="str">
        <f>Input!$C$13</f>
        <v>GS-OTHER</v>
      </c>
      <c r="H255" s="341" t="str">
        <f>Input!$C$14</f>
        <v>IUS</v>
      </c>
      <c r="I255" s="341" t="str">
        <f>Input!$C$15</f>
        <v>DS-ML</v>
      </c>
      <c r="J255" s="341" t="str">
        <f>Input!$C$16</f>
        <v>DS/IS</v>
      </c>
      <c r="K255" s="341" t="str">
        <f>Input!$C$17</f>
        <v>NOT USED</v>
      </c>
      <c r="L255" s="341" t="str">
        <f>Input!$C$18</f>
        <v>NOT USED</v>
      </c>
    </row>
    <row r="256" spans="1:12" ht="11.25" x14ac:dyDescent="0.2">
      <c r="A256" s="325"/>
      <c r="B256" s="342" t="s">
        <v>13</v>
      </c>
      <c r="C256" s="342" t="s">
        <v>14</v>
      </c>
      <c r="D256" s="325" t="s">
        <v>15</v>
      </c>
      <c r="E256" s="325" t="s">
        <v>16</v>
      </c>
      <c r="F256" s="325" t="s">
        <v>17</v>
      </c>
      <c r="G256" s="325" t="s">
        <v>18</v>
      </c>
      <c r="H256" s="325" t="s">
        <v>19</v>
      </c>
      <c r="I256" s="325" t="s">
        <v>20</v>
      </c>
      <c r="J256" s="325" t="s">
        <v>21</v>
      </c>
      <c r="K256" s="325" t="s">
        <v>22</v>
      </c>
      <c r="L256" s="325" t="s">
        <v>23</v>
      </c>
    </row>
    <row r="257" spans="1:12" ht="11.25" x14ac:dyDescent="0.2">
      <c r="A257" s="325"/>
      <c r="B257" s="3"/>
      <c r="C257" s="3"/>
      <c r="D257" s="325"/>
      <c r="E257" s="325" t="s">
        <v>26</v>
      </c>
      <c r="F257" s="325" t="s">
        <v>26</v>
      </c>
      <c r="G257" s="325" t="s">
        <v>26</v>
      </c>
      <c r="H257" s="325" t="s">
        <v>26</v>
      </c>
      <c r="I257" s="325" t="s">
        <v>26</v>
      </c>
      <c r="J257" s="325" t="s">
        <v>26</v>
      </c>
      <c r="K257" s="325" t="s">
        <v>26</v>
      </c>
      <c r="L257" s="325" t="s">
        <v>26</v>
      </c>
    </row>
    <row r="258" spans="1:12" ht="11.25" x14ac:dyDescent="0.2">
      <c r="A258" s="325"/>
      <c r="B258" s="24"/>
      <c r="C258" s="36"/>
      <c r="D258" s="325"/>
      <c r="E258" s="3"/>
      <c r="F258" s="3"/>
      <c r="G258" s="3"/>
      <c r="H258" s="3"/>
      <c r="I258" s="3"/>
      <c r="J258" s="3"/>
      <c r="K258" s="3"/>
      <c r="L258" s="3"/>
    </row>
    <row r="259" spans="1:12" ht="11.25" x14ac:dyDescent="0.2">
      <c r="A259" s="325">
        <v>1</v>
      </c>
      <c r="B259" s="24">
        <f>Input!A173</f>
        <v>381</v>
      </c>
      <c r="C259" s="3" t="str">
        <f>Input!B173</f>
        <v>METERS</v>
      </c>
      <c r="D259" s="325">
        <f>Input!C173</f>
        <v>16</v>
      </c>
      <c r="E259" s="3">
        <f>Classification!F259</f>
        <v>6025045</v>
      </c>
      <c r="F259" s="3">
        <f>ROUND((VLOOKUP($D259,'Alloc Table Cust'!$B$7:$S$58,13,FALSE)*$E259),0)</f>
        <v>4334538</v>
      </c>
      <c r="G259" s="3">
        <f>ROUND((VLOOKUP($D259,'Alloc Table Cust'!$B$7:$T$58,14,FALSE)*$E259),0)</f>
        <v>1663635</v>
      </c>
      <c r="H259" s="3">
        <f>ROUND((VLOOKUP($D259,'Alloc Table Cust'!$B$7:$T$58,15,FALSE)*$E259),0)</f>
        <v>783</v>
      </c>
      <c r="I259" s="3">
        <f>ROUND((VLOOKUP($D259,'Alloc Table Cust'!$B$7:$T$58,16,FALSE)*$E259),0)</f>
        <v>0</v>
      </c>
      <c r="J259" s="3">
        <f>ROUND((VLOOKUP($D259,'Alloc Table Cust'!$B$7:$T$58,17,FALSE)*$E259),0)</f>
        <v>26088</v>
      </c>
      <c r="K259" s="3">
        <f>ROUND((VLOOKUP($D259,'Alloc Table Cust'!$B$7:$T$58,18,FALSE)*$E259),0)</f>
        <v>0</v>
      </c>
      <c r="L259" s="3">
        <f>ROUND((VLOOKUP($D259,'Alloc Table Cust'!$B$7:$T$58,19,FALSE)*$E259),0)</f>
        <v>0</v>
      </c>
    </row>
    <row r="260" spans="1:12" ht="11.25" x14ac:dyDescent="0.2">
      <c r="A260" s="325">
        <f t="shared" ref="A260:A271" si="37">A259+1</f>
        <v>2</v>
      </c>
      <c r="B260" s="24">
        <f>Input!A174</f>
        <v>382</v>
      </c>
      <c r="C260" s="3" t="str">
        <f>Input!B174</f>
        <v>METER INSTALLATIONS</v>
      </c>
      <c r="D260" s="325">
        <f>Input!C174</f>
        <v>16</v>
      </c>
      <c r="E260" s="3">
        <f>Classification!F260</f>
        <v>4714156</v>
      </c>
      <c r="F260" s="3">
        <f>ROUND((VLOOKUP($D260,'Alloc Table Cust'!$B$7:$S$58,13,FALSE)*$E260),0)</f>
        <v>3391458</v>
      </c>
      <c r="G260" s="3">
        <f>ROUND((VLOOKUP($D260,'Alloc Table Cust'!$B$7:$T$58,14,FALSE)*$E260),0)</f>
        <v>1301673</v>
      </c>
      <c r="H260" s="3">
        <f>ROUND((VLOOKUP($D260,'Alloc Table Cust'!$B$7:$T$58,15,FALSE)*$E260),0)</f>
        <v>613</v>
      </c>
      <c r="I260" s="3">
        <f>ROUND((VLOOKUP($D260,'Alloc Table Cust'!$B$7:$T$58,16,FALSE)*$E260),0)</f>
        <v>0</v>
      </c>
      <c r="J260" s="3">
        <f>ROUND((VLOOKUP($D260,'Alloc Table Cust'!$B$7:$T$58,17,FALSE)*$E260),0)</f>
        <v>20412</v>
      </c>
      <c r="K260" s="3">
        <f>ROUND((VLOOKUP($D260,'Alloc Table Cust'!$B$7:$T$58,18,FALSE)*$E260),0)</f>
        <v>0</v>
      </c>
      <c r="L260" s="3">
        <f>ROUND((VLOOKUP($D260,'Alloc Table Cust'!$B$7:$T$58,19,FALSE)*$E260),0)</f>
        <v>0</v>
      </c>
    </row>
    <row r="261" spans="1:12" ht="11.25" x14ac:dyDescent="0.2">
      <c r="A261" s="325">
        <f t="shared" si="37"/>
        <v>3</v>
      </c>
      <c r="B261" s="24">
        <f>Input!A175</f>
        <v>383</v>
      </c>
      <c r="C261" s="3" t="str">
        <f>Input!B175</f>
        <v>HOUSE REGULATORS</v>
      </c>
      <c r="D261" s="325">
        <f>Input!C175</f>
        <v>16</v>
      </c>
      <c r="E261" s="3">
        <f>Classification!F261</f>
        <v>1568587</v>
      </c>
      <c r="F261" s="3">
        <f>ROUND((VLOOKUP($D261,'Alloc Table Cust'!$B$7:$S$58,13,FALSE)*$E261),0)</f>
        <v>1128473</v>
      </c>
      <c r="G261" s="3">
        <f>ROUND((VLOOKUP($D261,'Alloc Table Cust'!$B$7:$T$58,14,FALSE)*$E261),0)</f>
        <v>433118</v>
      </c>
      <c r="H261" s="3">
        <f>ROUND((VLOOKUP($D261,'Alloc Table Cust'!$B$7:$T$58,15,FALSE)*$E261),0)</f>
        <v>204</v>
      </c>
      <c r="I261" s="3">
        <f>ROUND((VLOOKUP($D261,'Alloc Table Cust'!$B$7:$T$58,16,FALSE)*$E261),0)</f>
        <v>0</v>
      </c>
      <c r="J261" s="3">
        <f>ROUND((VLOOKUP($D261,'Alloc Table Cust'!$B$7:$T$58,17,FALSE)*$E261),0)</f>
        <v>6792</v>
      </c>
      <c r="K261" s="3">
        <f>ROUND((VLOOKUP($D261,'Alloc Table Cust'!$B$7:$T$58,18,FALSE)*$E261),0)</f>
        <v>0</v>
      </c>
      <c r="L261" s="3">
        <f>ROUND((VLOOKUP($D261,'Alloc Table Cust'!$B$7:$T$58,19,FALSE)*$E261),0)</f>
        <v>0</v>
      </c>
    </row>
    <row r="262" spans="1:12" ht="11.25" x14ac:dyDescent="0.2">
      <c r="A262" s="325">
        <f t="shared" si="37"/>
        <v>4</v>
      </c>
      <c r="B262" s="24">
        <f>Input!A176</f>
        <v>384</v>
      </c>
      <c r="C262" s="3" t="str">
        <f>Input!B176</f>
        <v>HOUSE REG INSTALLATIONS</v>
      </c>
      <c r="D262" s="325">
        <f>Input!C176</f>
        <v>16</v>
      </c>
      <c r="E262" s="3">
        <f>Classification!F262</f>
        <v>1780729</v>
      </c>
      <c r="F262" s="3">
        <f>ROUND((VLOOKUP($D262,'Alloc Table Cust'!$B$7:$S$58,13,FALSE)*$E262),0)</f>
        <v>1281092</v>
      </c>
      <c r="G262" s="3">
        <f>ROUND((VLOOKUP($D262,'Alloc Table Cust'!$B$7:$T$58,14,FALSE)*$E262),0)</f>
        <v>491695</v>
      </c>
      <c r="H262" s="3">
        <f>ROUND((VLOOKUP($D262,'Alloc Table Cust'!$B$7:$T$58,15,FALSE)*$E262),0)</f>
        <v>231</v>
      </c>
      <c r="I262" s="3">
        <f>ROUND((VLOOKUP($D262,'Alloc Table Cust'!$B$7:$T$58,16,FALSE)*$E262),0)</f>
        <v>0</v>
      </c>
      <c r="J262" s="3">
        <f>ROUND((VLOOKUP($D262,'Alloc Table Cust'!$B$7:$T$58,17,FALSE)*$E262),0)</f>
        <v>7711</v>
      </c>
      <c r="K262" s="3">
        <f>ROUND((VLOOKUP($D262,'Alloc Table Cust'!$B$7:$T$58,18,FALSE)*$E262),0)</f>
        <v>0</v>
      </c>
      <c r="L262" s="3">
        <f>ROUND((VLOOKUP($D262,'Alloc Table Cust'!$B$7:$T$58,19,FALSE)*$E262),0)</f>
        <v>0</v>
      </c>
    </row>
    <row r="263" spans="1:12" ht="11.25" x14ac:dyDescent="0.2">
      <c r="A263" s="325">
        <f t="shared" si="37"/>
        <v>5</v>
      </c>
      <c r="B263" s="24">
        <f>Input!A177</f>
        <v>385</v>
      </c>
      <c r="C263" s="3" t="str">
        <f>Input!B177</f>
        <v>IND M&amp;R EQUIPMENT</v>
      </c>
      <c r="D263" s="325">
        <f>Input!C177</f>
        <v>17</v>
      </c>
      <c r="E263" s="3">
        <f>Classification!F263</f>
        <v>823118</v>
      </c>
      <c r="F263" s="3">
        <f>ROUND((VLOOKUP($D263,'Alloc Table Cust'!$B$7:$S$58,13,FALSE)*$E263),0)</f>
        <v>0</v>
      </c>
      <c r="G263" s="3">
        <f>ROUND((VLOOKUP($D263,'Alloc Table Cust'!$B$7:$T$58,14,FALSE)*$E263),0)</f>
        <v>213821</v>
      </c>
      <c r="H263" s="3">
        <f>ROUND((VLOOKUP($D263,'Alloc Table Cust'!$B$7:$T$58,15,FALSE)*$E263),0)</f>
        <v>239</v>
      </c>
      <c r="I263" s="3">
        <f>ROUND((VLOOKUP($D263,'Alloc Table Cust'!$B$7:$T$58,16,FALSE)*$E263),0)</f>
        <v>0</v>
      </c>
      <c r="J263" s="3">
        <f>ROUND((VLOOKUP($D263,'Alloc Table Cust'!$B$7:$T$58,17,FALSE)*$E263),0)</f>
        <v>609066</v>
      </c>
      <c r="K263" s="3">
        <f>ROUND((VLOOKUP($D263,'Alloc Table Cust'!$B$7:$T$58,18,FALSE)*$E263),0)</f>
        <v>0</v>
      </c>
      <c r="L263" s="3">
        <f>ROUND((VLOOKUP($D263,'Alloc Table Cust'!$B$7:$T$58,19,FALSE)*$E263),0)</f>
        <v>0</v>
      </c>
    </row>
    <row r="264" spans="1:12" ht="11.25" x14ac:dyDescent="0.2">
      <c r="A264" s="325">
        <f t="shared" si="37"/>
        <v>6</v>
      </c>
      <c r="B264" s="24">
        <f>Input!A177</f>
        <v>385</v>
      </c>
      <c r="C264" s="3" t="str">
        <f>"DIRECT "&amp;+Input!B177</f>
        <v>DIRECT IND M&amp;R EQUIPMENT</v>
      </c>
      <c r="D264" s="325"/>
      <c r="E264" s="3">
        <f>Classification!F264</f>
        <v>133766</v>
      </c>
      <c r="F264" s="3">
        <v>0</v>
      </c>
      <c r="G264" s="3">
        <v>0</v>
      </c>
      <c r="H264" s="3">
        <v>0</v>
      </c>
      <c r="I264" s="3">
        <f>E264</f>
        <v>133766</v>
      </c>
      <c r="J264" s="3">
        <v>0</v>
      </c>
      <c r="K264" s="3">
        <v>0</v>
      </c>
      <c r="L264" s="3">
        <v>0</v>
      </c>
    </row>
    <row r="265" spans="1:12" ht="11.25" x14ac:dyDescent="0.2">
      <c r="A265" s="325">
        <f t="shared" si="37"/>
        <v>7</v>
      </c>
      <c r="B265" s="24">
        <f>Input!A178</f>
        <v>387.2</v>
      </c>
      <c r="C265" s="3" t="str">
        <f>Input!B178</f>
        <v>ODORIZATION</v>
      </c>
      <c r="D265" s="325" t="str">
        <f>D182</f>
        <v>7CUST</v>
      </c>
      <c r="E265" s="3">
        <f>Classification!F265</f>
        <v>-25071</v>
      </c>
      <c r="F265" s="3">
        <f ca="1">ROUND((VLOOKUP($D265,'Alloc Table Cust'!$B$7:$S$58,13,FALSE)*$E265),0)</f>
        <v>-20722</v>
      </c>
      <c r="G265" s="3">
        <f ca="1">ROUND((VLOOKUP($D265,'Alloc Table Cust'!$B$7:$T$58,14,FALSE)*$E265),0)</f>
        <v>-3864</v>
      </c>
      <c r="H265" s="3">
        <f ca="1">ROUND((VLOOKUP($D265,'Alloc Table Cust'!$B$7:$T$58,15,FALSE)*$E265),0)</f>
        <v>-1</v>
      </c>
      <c r="I265" s="3">
        <f ca="1">ROUND((VLOOKUP($D265,'Alloc Table Cust'!$B$7:$T$58,16,FALSE)*$E265),0)</f>
        <v>-99</v>
      </c>
      <c r="J265" s="3">
        <f ca="1">ROUND((VLOOKUP($D265,'Alloc Table Cust'!$B$7:$T$58,17,FALSE)*$E265),0)</f>
        <v>-384</v>
      </c>
      <c r="K265" s="3">
        <f ca="1">ROUND((VLOOKUP($D265,'Alloc Table Cust'!$B$7:$T$58,18,FALSE)*$E265),0)</f>
        <v>0</v>
      </c>
      <c r="L265" s="3">
        <f ca="1">ROUND((VLOOKUP($D265,'Alloc Table Cust'!$B$7:$T$58,19,FALSE)*$E265),0)</f>
        <v>0</v>
      </c>
    </row>
    <row r="266" spans="1:12" ht="11.25" x14ac:dyDescent="0.2">
      <c r="A266" s="325">
        <f t="shared" si="37"/>
        <v>8</v>
      </c>
      <c r="B266" s="24">
        <f>Input!A179</f>
        <v>387.41</v>
      </c>
      <c r="C266" s="3" t="str">
        <f>Input!B179</f>
        <v>TELEPHONE</v>
      </c>
      <c r="D266" s="325" t="str">
        <f t="shared" ref="D266:D270" si="38">D183</f>
        <v>7CUST</v>
      </c>
      <c r="E266" s="3">
        <f>Classification!F266</f>
        <v>167311</v>
      </c>
      <c r="F266" s="3">
        <f ca="1">ROUND((VLOOKUP($D266,'Alloc Table Cust'!$B$7:$S$58,13,FALSE)*$E266),0)</f>
        <v>138291</v>
      </c>
      <c r="G266" s="3">
        <f ca="1">ROUND((VLOOKUP($D266,'Alloc Table Cust'!$B$7:$T$58,14,FALSE)*$E266),0)</f>
        <v>25789</v>
      </c>
      <c r="H266" s="3">
        <f ca="1">ROUND((VLOOKUP($D266,'Alloc Table Cust'!$B$7:$T$58,15,FALSE)*$E266),0)</f>
        <v>7</v>
      </c>
      <c r="I266" s="3">
        <f ca="1">ROUND((VLOOKUP($D266,'Alloc Table Cust'!$B$7:$T$58,16,FALSE)*$E266),0)</f>
        <v>663</v>
      </c>
      <c r="J266" s="3">
        <f ca="1">ROUND((VLOOKUP($D266,'Alloc Table Cust'!$B$7:$T$58,17,FALSE)*$E266),0)</f>
        <v>2562</v>
      </c>
      <c r="K266" s="3">
        <f ca="1">ROUND((VLOOKUP($D266,'Alloc Table Cust'!$B$7:$T$58,18,FALSE)*$E266),0)</f>
        <v>0</v>
      </c>
      <c r="L266" s="3">
        <f ca="1">ROUND((VLOOKUP($D266,'Alloc Table Cust'!$B$7:$T$58,19,FALSE)*$E266),0)</f>
        <v>0</v>
      </c>
    </row>
    <row r="267" spans="1:12" ht="11.25" x14ac:dyDescent="0.2">
      <c r="A267" s="325">
        <f t="shared" si="37"/>
        <v>9</v>
      </c>
      <c r="B267" s="24">
        <f>Input!A180</f>
        <v>387.42</v>
      </c>
      <c r="C267" s="3" t="str">
        <f>Input!B180</f>
        <v>RADIO</v>
      </c>
      <c r="D267" s="325" t="str">
        <f t="shared" si="38"/>
        <v>7CUST</v>
      </c>
      <c r="E267" s="3">
        <f>Classification!F267</f>
        <v>237446</v>
      </c>
      <c r="F267" s="3">
        <f ca="1">ROUND((VLOOKUP($D267,'Alloc Table Cust'!$B$7:$S$58,13,FALSE)*$E267),0)</f>
        <v>196261</v>
      </c>
      <c r="G267" s="3">
        <f ca="1">ROUND((VLOOKUP($D267,'Alloc Table Cust'!$B$7:$T$58,14,FALSE)*$E267),0)</f>
        <v>36600</v>
      </c>
      <c r="H267" s="3">
        <f ca="1">ROUND((VLOOKUP($D267,'Alloc Table Cust'!$B$7:$T$58,15,FALSE)*$E267),0)</f>
        <v>9</v>
      </c>
      <c r="I267" s="3">
        <f ca="1">ROUND((VLOOKUP($D267,'Alloc Table Cust'!$B$7:$T$58,16,FALSE)*$E267),0)</f>
        <v>940</v>
      </c>
      <c r="J267" s="3">
        <f ca="1">ROUND((VLOOKUP($D267,'Alloc Table Cust'!$B$7:$T$58,17,FALSE)*$E267),0)</f>
        <v>3635</v>
      </c>
      <c r="K267" s="3">
        <f ca="1">ROUND((VLOOKUP($D267,'Alloc Table Cust'!$B$7:$T$58,18,FALSE)*$E267),0)</f>
        <v>0</v>
      </c>
      <c r="L267" s="3">
        <f ca="1">ROUND((VLOOKUP($D267,'Alloc Table Cust'!$B$7:$T$58,19,FALSE)*$E267),0)</f>
        <v>0</v>
      </c>
    </row>
    <row r="268" spans="1:12" ht="11.25" x14ac:dyDescent="0.2">
      <c r="A268" s="325">
        <f t="shared" si="37"/>
        <v>10</v>
      </c>
      <c r="B268" s="24">
        <f>Input!A181</f>
        <v>387.44</v>
      </c>
      <c r="C268" s="3" t="str">
        <f>Input!B181</f>
        <v>OTHER COMMUNICATION</v>
      </c>
      <c r="D268" s="325" t="str">
        <f t="shared" si="38"/>
        <v>7CUST</v>
      </c>
      <c r="E268" s="3">
        <f>Classification!F268</f>
        <v>21196</v>
      </c>
      <c r="F268" s="3">
        <f ca="1">ROUND((VLOOKUP($D268,'Alloc Table Cust'!$B$7:$S$58,13,FALSE)*$E268),0)</f>
        <v>17520</v>
      </c>
      <c r="G268" s="3">
        <f ca="1">ROUND((VLOOKUP($D268,'Alloc Table Cust'!$B$7:$T$58,14,FALSE)*$E268),0)</f>
        <v>3267</v>
      </c>
      <c r="H268" s="3">
        <f ca="1">ROUND((VLOOKUP($D268,'Alloc Table Cust'!$B$7:$T$58,15,FALSE)*$E268),0)</f>
        <v>1</v>
      </c>
      <c r="I268" s="3">
        <f ca="1">ROUND((VLOOKUP($D268,'Alloc Table Cust'!$B$7:$T$58,16,FALSE)*$E268),0)</f>
        <v>84</v>
      </c>
      <c r="J268" s="3">
        <f ca="1">ROUND((VLOOKUP($D268,'Alloc Table Cust'!$B$7:$T$58,17,FALSE)*$E268),0)</f>
        <v>325</v>
      </c>
      <c r="K268" s="3">
        <f ca="1">ROUND((VLOOKUP($D268,'Alloc Table Cust'!$B$7:$T$58,18,FALSE)*$E268),0)</f>
        <v>0</v>
      </c>
      <c r="L268" s="3">
        <f ca="1">ROUND((VLOOKUP($D268,'Alloc Table Cust'!$B$7:$T$58,19,FALSE)*$E268),0)</f>
        <v>0</v>
      </c>
    </row>
    <row r="269" spans="1:12" ht="11.25" x14ac:dyDescent="0.2">
      <c r="A269" s="325">
        <f t="shared" si="37"/>
        <v>11</v>
      </c>
      <c r="B269" s="24">
        <f>Input!A182</f>
        <v>387.45</v>
      </c>
      <c r="C269" s="3" t="str">
        <f>Input!B182</f>
        <v>TELEMETERING</v>
      </c>
      <c r="D269" s="325" t="str">
        <f t="shared" si="38"/>
        <v>7CUST</v>
      </c>
      <c r="E269" s="3">
        <f>Classification!F269</f>
        <v>221586</v>
      </c>
      <c r="F269" s="3">
        <f ca="1">ROUND((VLOOKUP($D269,'Alloc Table Cust'!$B$7:$S$58,13,FALSE)*$E269),0)</f>
        <v>183152</v>
      </c>
      <c r="G269" s="3">
        <f ca="1">ROUND((VLOOKUP($D269,'Alloc Table Cust'!$B$7:$T$58,14,FALSE)*$E269),0)</f>
        <v>34155</v>
      </c>
      <c r="H269" s="3">
        <f ca="1">ROUND((VLOOKUP($D269,'Alloc Table Cust'!$B$7:$T$58,15,FALSE)*$E269),0)</f>
        <v>9</v>
      </c>
      <c r="I269" s="3">
        <f ca="1">ROUND((VLOOKUP($D269,'Alloc Table Cust'!$B$7:$T$58,16,FALSE)*$E269),0)</f>
        <v>877</v>
      </c>
      <c r="J269" s="3">
        <f ca="1">ROUND((VLOOKUP($D269,'Alloc Table Cust'!$B$7:$T$58,17,FALSE)*$E269),0)</f>
        <v>3392</v>
      </c>
      <c r="K269" s="3">
        <f ca="1">ROUND((VLOOKUP($D269,'Alloc Table Cust'!$B$7:$T$58,18,FALSE)*$E269),0)</f>
        <v>0</v>
      </c>
      <c r="L269" s="3">
        <f ca="1">ROUND((VLOOKUP($D269,'Alloc Table Cust'!$B$7:$T$58,19,FALSE)*$E269),0)</f>
        <v>0</v>
      </c>
    </row>
    <row r="270" spans="1:12" ht="11.25" x14ac:dyDescent="0.2">
      <c r="A270" s="325">
        <f t="shared" si="37"/>
        <v>12</v>
      </c>
      <c r="B270" s="24">
        <f>Input!A183</f>
        <v>387.46</v>
      </c>
      <c r="C270" s="3" t="str">
        <f>Input!B183</f>
        <v>CIS</v>
      </c>
      <c r="D270" s="325" t="str">
        <f t="shared" si="38"/>
        <v>7CUST</v>
      </c>
      <c r="E270" s="26">
        <f>Classification!F270</f>
        <v>47855</v>
      </c>
      <c r="F270" s="26">
        <f ca="1">ROUND((VLOOKUP($D270,'Alloc Table Cust'!$B$7:$S$58,13,FALSE)*$E270),0)</f>
        <v>39555</v>
      </c>
      <c r="G270" s="26">
        <f ca="1">ROUND((VLOOKUP($D270,'Alloc Table Cust'!$B$7:$T$58,14,FALSE)*$E270),0)</f>
        <v>7376</v>
      </c>
      <c r="H270" s="26">
        <f ca="1">ROUND((VLOOKUP($D270,'Alloc Table Cust'!$B$7:$T$58,15,FALSE)*$E270),0)</f>
        <v>2</v>
      </c>
      <c r="I270" s="26">
        <f ca="1">ROUND((VLOOKUP($D270,'Alloc Table Cust'!$B$7:$T$58,16,FALSE)*$E270),0)</f>
        <v>190</v>
      </c>
      <c r="J270" s="26">
        <f ca="1">ROUND((VLOOKUP($D270,'Alloc Table Cust'!$B$7:$T$58,17,FALSE)*$E270),0)</f>
        <v>733</v>
      </c>
      <c r="K270" s="26">
        <f ca="1">ROUND((VLOOKUP($D270,'Alloc Table Cust'!$B$7:$T$58,18,FALSE)*$E270),0)</f>
        <v>0</v>
      </c>
      <c r="L270" s="26">
        <f ca="1">ROUND((VLOOKUP($D270,'Alloc Table Cust'!$B$7:$T$58,19,FALSE)*$E270),0)</f>
        <v>0</v>
      </c>
    </row>
    <row r="271" spans="1:12" ht="11.25" x14ac:dyDescent="0.2">
      <c r="A271" s="325">
        <f t="shared" si="37"/>
        <v>13</v>
      </c>
      <c r="B271" s="3"/>
      <c r="C271" s="3" t="s">
        <v>84</v>
      </c>
      <c r="D271" s="325"/>
      <c r="E271" s="3">
        <f>SUM(Customer!E231:E250)+SUM(E259:E270)</f>
        <v>78294256</v>
      </c>
      <c r="F271" s="3">
        <f ca="1">SUM(Customer!F231:F250)+SUM(F259:F270)</f>
        <v>65818174</v>
      </c>
      <c r="G271" s="3">
        <f ca="1">SUM(Customer!G231:G250)+SUM(G259:G270)</f>
        <v>11412161</v>
      </c>
      <c r="H271" s="3">
        <f ca="1">SUM(Customer!H231:H250)+SUM(H259:H270)</f>
        <v>2767</v>
      </c>
      <c r="I271" s="3">
        <f ca="1">SUM(Customer!I231:I250)+SUM(I259:I270)</f>
        <v>142335</v>
      </c>
      <c r="J271" s="3">
        <f ca="1">SUM(Customer!J231:J250)+SUM(J259:J270)</f>
        <v>918827</v>
      </c>
      <c r="K271" s="3">
        <f ca="1">SUM(Customer!K231:K250)+SUM(K259:K270)</f>
        <v>0</v>
      </c>
      <c r="L271" s="3">
        <f ca="1">SUM(Customer!L231:L250)+SUM(L259:L270)</f>
        <v>0</v>
      </c>
    </row>
    <row r="272" spans="1:12" ht="11.25" x14ac:dyDescent="0.2">
      <c r="A272" s="325"/>
      <c r="B272" s="3"/>
      <c r="C272" s="3"/>
      <c r="D272" s="325"/>
      <c r="E272" s="3"/>
      <c r="F272" s="3"/>
      <c r="G272" s="3"/>
      <c r="H272" s="3"/>
      <c r="I272" s="3"/>
      <c r="J272" s="3"/>
      <c r="K272" s="3"/>
      <c r="L272" s="3"/>
    </row>
    <row r="273" spans="1:12" ht="11.25" x14ac:dyDescent="0.2">
      <c r="A273" s="325">
        <f>A271+1</f>
        <v>14</v>
      </c>
      <c r="B273" s="3"/>
      <c r="C273" s="24" t="str">
        <f>Input!A186</f>
        <v>GENERAL PLANT</v>
      </c>
      <c r="D273" s="325"/>
      <c r="E273" s="3"/>
      <c r="F273" s="3"/>
      <c r="G273" s="3"/>
      <c r="H273" s="3"/>
      <c r="I273" s="3"/>
      <c r="J273" s="3"/>
      <c r="K273" s="3"/>
      <c r="L273" s="3"/>
    </row>
    <row r="274" spans="1:12" ht="11.25" x14ac:dyDescent="0.2">
      <c r="A274" s="325"/>
      <c r="B274" s="3"/>
      <c r="C274" s="3"/>
      <c r="D274" s="325"/>
      <c r="E274" s="3"/>
      <c r="F274" s="3"/>
      <c r="G274" s="3"/>
      <c r="H274" s="3"/>
      <c r="I274" s="3"/>
      <c r="J274" s="3"/>
      <c r="K274" s="3"/>
      <c r="L274" s="3"/>
    </row>
    <row r="275" spans="1:12" ht="11.25" x14ac:dyDescent="0.2">
      <c r="A275" s="325">
        <f>A273+1</f>
        <v>15</v>
      </c>
      <c r="B275" s="24">
        <f>Input!A187</f>
        <v>391.1</v>
      </c>
      <c r="C275" s="3" t="str">
        <f>Input!B187</f>
        <v>OFF FURN &amp; EQUIP - UNSPEC</v>
      </c>
      <c r="D275" s="325" t="str">
        <f>D190</f>
        <v>7CUST</v>
      </c>
      <c r="E275" s="3">
        <f>Classification!F275</f>
        <v>-13913</v>
      </c>
      <c r="F275" s="3">
        <f ca="1">ROUND((VLOOKUP($D275,'Alloc Table Cust'!$B$7:$S$58,13,FALSE)*$E275),0)</f>
        <v>-11500</v>
      </c>
      <c r="G275" s="3">
        <f ca="1">ROUND((VLOOKUP($D275,'Alloc Table Cust'!$B$7:$T$58,14,FALSE)*$E275),0)</f>
        <v>-2145</v>
      </c>
      <c r="H275" s="3">
        <f ca="1">ROUND((VLOOKUP($D275,'Alloc Table Cust'!$B$7:$T$58,15,FALSE)*$E275),0)</f>
        <v>-1</v>
      </c>
      <c r="I275" s="3">
        <f ca="1">ROUND((VLOOKUP($D275,'Alloc Table Cust'!$B$7:$T$58,16,FALSE)*$E275),0)</f>
        <v>-55</v>
      </c>
      <c r="J275" s="3">
        <f ca="1">ROUND((VLOOKUP($D275,'Alloc Table Cust'!$B$7:$T$58,17,FALSE)*$E275),0)</f>
        <v>-213</v>
      </c>
      <c r="K275" s="3">
        <f ca="1">ROUND((VLOOKUP($D275,'Alloc Table Cust'!$B$7:$T$58,18,FALSE)*$E275),0)</f>
        <v>0</v>
      </c>
      <c r="L275" s="3">
        <f ca="1">ROUND((VLOOKUP($D275,'Alloc Table Cust'!$B$7:$T$58,19,FALSE)*$E275),0)</f>
        <v>0</v>
      </c>
    </row>
    <row r="276" spans="1:12" ht="11.25" x14ac:dyDescent="0.2">
      <c r="A276" s="325">
        <f t="shared" ref="A276:A289" si="39">A275+1</f>
        <v>16</v>
      </c>
      <c r="B276" s="24">
        <f>Input!A188</f>
        <v>391.11</v>
      </c>
      <c r="C276" s="3" t="str">
        <f>Input!B188</f>
        <v>OFF FURN &amp; EQUIP - DATA HAND</v>
      </c>
      <c r="D276" s="325" t="str">
        <f t="shared" ref="D276:D288" si="40">D191</f>
        <v>7CUST</v>
      </c>
      <c r="E276" s="3">
        <f>Classification!F276</f>
        <v>-4752</v>
      </c>
      <c r="F276" s="3">
        <f ca="1">ROUND((VLOOKUP($D276,'Alloc Table Cust'!$B$7:$S$58,13,FALSE)*$E276),0)</f>
        <v>-3928</v>
      </c>
      <c r="G276" s="3">
        <f ca="1">ROUND((VLOOKUP($D276,'Alloc Table Cust'!$B$7:$T$58,14,FALSE)*$E276),0)</f>
        <v>-732</v>
      </c>
      <c r="H276" s="3">
        <f ca="1">ROUND((VLOOKUP($D276,'Alloc Table Cust'!$B$7:$T$58,15,FALSE)*$E276),0)</f>
        <v>0</v>
      </c>
      <c r="I276" s="3">
        <f ca="1">ROUND((VLOOKUP($D276,'Alloc Table Cust'!$B$7:$T$58,16,FALSE)*$E276),0)</f>
        <v>-19</v>
      </c>
      <c r="J276" s="3">
        <f ca="1">ROUND((VLOOKUP($D276,'Alloc Table Cust'!$B$7:$T$58,17,FALSE)*$E276),0)</f>
        <v>-73</v>
      </c>
      <c r="K276" s="3">
        <f ca="1">ROUND((VLOOKUP($D276,'Alloc Table Cust'!$B$7:$T$58,18,FALSE)*$E276),0)</f>
        <v>0</v>
      </c>
      <c r="L276" s="3">
        <f ca="1">ROUND((VLOOKUP($D276,'Alloc Table Cust'!$B$7:$T$58,19,FALSE)*$E276),0)</f>
        <v>0</v>
      </c>
    </row>
    <row r="277" spans="1:12" ht="11.25" x14ac:dyDescent="0.2">
      <c r="A277" s="325">
        <f t="shared" si="39"/>
        <v>17</v>
      </c>
      <c r="B277" s="24">
        <f>Input!A189</f>
        <v>391.12</v>
      </c>
      <c r="C277" s="3" t="str">
        <f>Input!B189</f>
        <v>OFF FURN &amp; EQUIP - INFO SYSTEM</v>
      </c>
      <c r="D277" s="325" t="str">
        <f t="shared" si="40"/>
        <v>7CUST</v>
      </c>
      <c r="E277" s="3">
        <f>Classification!F277</f>
        <v>313909</v>
      </c>
      <c r="F277" s="3">
        <f ca="1">ROUND((VLOOKUP($D277,'Alloc Table Cust'!$B$7:$S$58,13,FALSE)*$E277),0)</f>
        <v>259461</v>
      </c>
      <c r="G277" s="3">
        <f ca="1">ROUND((VLOOKUP($D277,'Alloc Table Cust'!$B$7:$T$58,14,FALSE)*$E277),0)</f>
        <v>48386</v>
      </c>
      <c r="H277" s="3">
        <f ca="1">ROUND((VLOOKUP($D277,'Alloc Table Cust'!$B$7:$T$58,15,FALSE)*$E277),0)</f>
        <v>13</v>
      </c>
      <c r="I277" s="3">
        <f ca="1">ROUND((VLOOKUP($D277,'Alloc Table Cust'!$B$7:$T$58,16,FALSE)*$E277),0)</f>
        <v>1243</v>
      </c>
      <c r="J277" s="3">
        <f ca="1">ROUND((VLOOKUP($D277,'Alloc Table Cust'!$B$7:$T$58,17,FALSE)*$E277),0)</f>
        <v>4806</v>
      </c>
      <c r="K277" s="3">
        <f ca="1">ROUND((VLOOKUP($D277,'Alloc Table Cust'!$B$7:$T$58,18,FALSE)*$E277),0)</f>
        <v>0</v>
      </c>
      <c r="L277" s="3">
        <f ca="1">ROUND((VLOOKUP($D277,'Alloc Table Cust'!$B$7:$T$58,19,FALSE)*$E277),0)</f>
        <v>0</v>
      </c>
    </row>
    <row r="278" spans="1:12" ht="11.25" x14ac:dyDescent="0.2">
      <c r="A278" s="325">
        <f t="shared" si="39"/>
        <v>18</v>
      </c>
      <c r="B278" s="24">
        <f>Input!A190</f>
        <v>392.2</v>
      </c>
      <c r="C278" s="3" t="str">
        <f>Input!B190</f>
        <v>TR EQ - TRAILER &gt; $1,000</v>
      </c>
      <c r="D278" s="325" t="str">
        <f t="shared" si="40"/>
        <v>7CUST</v>
      </c>
      <c r="E278" s="3">
        <f>Classification!F278</f>
        <v>11313</v>
      </c>
      <c r="F278" s="3">
        <f ca="1">ROUND((VLOOKUP($D278,'Alloc Table Cust'!$B$7:$S$58,13,FALSE)*$E278),0)</f>
        <v>9351</v>
      </c>
      <c r="G278" s="3">
        <f ca="1">ROUND((VLOOKUP($D278,'Alloc Table Cust'!$B$7:$T$58,14,FALSE)*$E278),0)</f>
        <v>1744</v>
      </c>
      <c r="H278" s="3">
        <f ca="1">ROUND((VLOOKUP($D278,'Alloc Table Cust'!$B$7:$T$58,15,FALSE)*$E278),0)</f>
        <v>0</v>
      </c>
      <c r="I278" s="3">
        <f ca="1">ROUND((VLOOKUP($D278,'Alloc Table Cust'!$B$7:$T$58,16,FALSE)*$E278),0)</f>
        <v>45</v>
      </c>
      <c r="J278" s="3">
        <f ca="1">ROUND((VLOOKUP($D278,'Alloc Table Cust'!$B$7:$T$58,17,FALSE)*$E278),0)</f>
        <v>173</v>
      </c>
      <c r="K278" s="3">
        <f ca="1">ROUND((VLOOKUP($D278,'Alloc Table Cust'!$B$7:$T$58,18,FALSE)*$E278),0)</f>
        <v>0</v>
      </c>
      <c r="L278" s="3">
        <f ca="1">ROUND((VLOOKUP($D278,'Alloc Table Cust'!$B$7:$T$58,19,FALSE)*$E278),0)</f>
        <v>0</v>
      </c>
    </row>
    <row r="279" spans="1:12" ht="11.25" x14ac:dyDescent="0.2">
      <c r="A279" s="325">
        <f t="shared" si="39"/>
        <v>19</v>
      </c>
      <c r="B279" s="24">
        <f>Input!A191</f>
        <v>392.21</v>
      </c>
      <c r="C279" s="3" t="str">
        <f>Input!B191</f>
        <v>TR EQ - TRAILER &lt; $1,000</v>
      </c>
      <c r="D279" s="325" t="str">
        <f t="shared" si="40"/>
        <v>7CUST</v>
      </c>
      <c r="E279" s="3">
        <f>Classification!F279</f>
        <v>2640</v>
      </c>
      <c r="F279" s="3">
        <f ca="1">ROUND((VLOOKUP($D279,'Alloc Table Cust'!$B$7:$S$58,13,FALSE)*$E279),0)</f>
        <v>2182</v>
      </c>
      <c r="G279" s="3">
        <f ca="1">ROUND((VLOOKUP($D279,'Alloc Table Cust'!$B$7:$T$58,14,FALSE)*$E279),0)</f>
        <v>407</v>
      </c>
      <c r="H279" s="3">
        <f ca="1">ROUND((VLOOKUP($D279,'Alloc Table Cust'!$B$7:$T$58,15,FALSE)*$E279),0)</f>
        <v>0</v>
      </c>
      <c r="I279" s="3">
        <f ca="1">ROUND((VLOOKUP($D279,'Alloc Table Cust'!$B$7:$T$58,16,FALSE)*$E279),0)</f>
        <v>10</v>
      </c>
      <c r="J279" s="3">
        <f ca="1">ROUND((VLOOKUP($D279,'Alloc Table Cust'!$B$7:$T$58,17,FALSE)*$E279),0)</f>
        <v>40</v>
      </c>
      <c r="K279" s="3">
        <f ca="1">ROUND((VLOOKUP($D279,'Alloc Table Cust'!$B$7:$T$58,18,FALSE)*$E279),0)</f>
        <v>0</v>
      </c>
      <c r="L279" s="3">
        <f ca="1">ROUND((VLOOKUP($D279,'Alloc Table Cust'!$B$7:$T$58,19,FALSE)*$E279),0)</f>
        <v>0</v>
      </c>
    </row>
    <row r="280" spans="1:12" ht="11.25" x14ac:dyDescent="0.2">
      <c r="A280" s="325">
        <f t="shared" si="39"/>
        <v>20</v>
      </c>
      <c r="B280" s="24">
        <f>Input!A192</f>
        <v>394.1</v>
      </c>
      <c r="C280" s="3" t="str">
        <f>Input!B192</f>
        <v>TOOLS,SHOP, &amp; GAR EQ-GARAGE &amp; SERV</v>
      </c>
      <c r="D280" s="325" t="str">
        <f t="shared" si="40"/>
        <v>7CUST</v>
      </c>
      <c r="E280" s="3">
        <f>Classification!F280</f>
        <v>6317</v>
      </c>
      <c r="F280" s="3">
        <f ca="1">ROUND((VLOOKUP($D280,'Alloc Table Cust'!$B$7:$S$58,13,FALSE)*$E280),0)</f>
        <v>5221</v>
      </c>
      <c r="G280" s="3">
        <f ca="1">ROUND((VLOOKUP($D280,'Alloc Table Cust'!$B$7:$T$58,14,FALSE)*$E280),0)</f>
        <v>974</v>
      </c>
      <c r="H280" s="3">
        <f ca="1">ROUND((VLOOKUP($D280,'Alloc Table Cust'!$B$7:$T$58,15,FALSE)*$E280),0)</f>
        <v>0</v>
      </c>
      <c r="I280" s="3">
        <f ca="1">ROUND((VLOOKUP($D280,'Alloc Table Cust'!$B$7:$T$58,16,FALSE)*$E280),0)</f>
        <v>25</v>
      </c>
      <c r="J280" s="3">
        <f ca="1">ROUND((VLOOKUP($D280,'Alloc Table Cust'!$B$7:$T$58,17,FALSE)*$E280),0)</f>
        <v>97</v>
      </c>
      <c r="K280" s="3">
        <f ca="1">ROUND((VLOOKUP($D280,'Alloc Table Cust'!$B$7:$T$58,18,FALSE)*$E280),0)</f>
        <v>0</v>
      </c>
      <c r="L280" s="3">
        <f ca="1">ROUND((VLOOKUP($D280,'Alloc Table Cust'!$B$7:$T$58,19,FALSE)*$E280),0)</f>
        <v>0</v>
      </c>
    </row>
    <row r="281" spans="1:12" ht="11.25" x14ac:dyDescent="0.2">
      <c r="A281" s="325">
        <f t="shared" si="39"/>
        <v>21</v>
      </c>
      <c r="B281" s="24">
        <f>Input!A193</f>
        <v>394.13</v>
      </c>
      <c r="C281" s="3" t="str">
        <f>Input!B193</f>
        <v>TOOLS,SHOP, &amp; GAR EQ-UND TANK CLEANUP</v>
      </c>
      <c r="D281" s="325" t="str">
        <f t="shared" si="40"/>
        <v>7CUST</v>
      </c>
      <c r="E281" s="3">
        <f>Classification!F281</f>
        <v>15876</v>
      </c>
      <c r="F281" s="3">
        <f ca="1">ROUND((VLOOKUP($D281,'Alloc Table Cust'!$B$7:$S$58,13,FALSE)*$E281),0)</f>
        <v>13122</v>
      </c>
      <c r="G281" s="3">
        <f ca="1">ROUND((VLOOKUP($D281,'Alloc Table Cust'!$B$7:$T$58,14,FALSE)*$E281),0)</f>
        <v>2447</v>
      </c>
      <c r="H281" s="3">
        <f ca="1">ROUND((VLOOKUP($D281,'Alloc Table Cust'!$B$7:$T$58,15,FALSE)*$E281),0)</f>
        <v>1</v>
      </c>
      <c r="I281" s="3">
        <f ca="1">ROUND((VLOOKUP($D281,'Alloc Table Cust'!$B$7:$T$58,16,FALSE)*$E281),0)</f>
        <v>63</v>
      </c>
      <c r="J281" s="3">
        <f ca="1">ROUND((VLOOKUP($D281,'Alloc Table Cust'!$B$7:$T$58,17,FALSE)*$E281),0)</f>
        <v>243</v>
      </c>
      <c r="K281" s="3">
        <f ca="1">ROUND((VLOOKUP($D281,'Alloc Table Cust'!$B$7:$T$58,18,FALSE)*$E281),0)</f>
        <v>0</v>
      </c>
      <c r="L281" s="3">
        <f ca="1">ROUND((VLOOKUP($D281,'Alloc Table Cust'!$B$7:$T$58,19,FALSE)*$E281),0)</f>
        <v>0</v>
      </c>
    </row>
    <row r="282" spans="1:12" ht="11.25" x14ac:dyDescent="0.2">
      <c r="A282" s="325">
        <f t="shared" si="39"/>
        <v>22</v>
      </c>
      <c r="B282" s="24">
        <f>Input!A194</f>
        <v>393</v>
      </c>
      <c r="C282" s="3" t="str">
        <f>Input!B194</f>
        <v>STORES EQUIPMENT</v>
      </c>
      <c r="D282" s="325" t="str">
        <f t="shared" si="40"/>
        <v>7CUST</v>
      </c>
      <c r="E282" s="3">
        <f>Classification!F282</f>
        <v>0</v>
      </c>
      <c r="F282" s="3">
        <f ca="1">ROUND((VLOOKUP($D282,'Alloc Table Cust'!$B$7:$S$58,13,FALSE)*$E282),0)</f>
        <v>0</v>
      </c>
      <c r="G282" s="3">
        <f ca="1">ROUND((VLOOKUP($D282,'Alloc Table Cust'!$B$7:$T$58,14,FALSE)*$E282),0)</f>
        <v>0</v>
      </c>
      <c r="H282" s="3">
        <f ca="1">ROUND((VLOOKUP($D282,'Alloc Table Cust'!$B$7:$T$58,15,FALSE)*$E282),0)</f>
        <v>0</v>
      </c>
      <c r="I282" s="3">
        <f ca="1">ROUND((VLOOKUP($D282,'Alloc Table Cust'!$B$7:$T$58,16,FALSE)*$E282),0)</f>
        <v>0</v>
      </c>
      <c r="J282" s="3">
        <f ca="1">ROUND((VLOOKUP($D282,'Alloc Table Cust'!$B$7:$T$58,17,FALSE)*$E282),0)</f>
        <v>0</v>
      </c>
      <c r="K282" s="3">
        <f ca="1">ROUND((VLOOKUP($D282,'Alloc Table Cust'!$B$7:$T$58,18,FALSE)*$E282),0)</f>
        <v>0</v>
      </c>
      <c r="L282" s="3">
        <f ca="1">ROUND((VLOOKUP($D282,'Alloc Table Cust'!$B$7:$T$58,19,FALSE)*$E282),0)</f>
        <v>0</v>
      </c>
    </row>
    <row r="283" spans="1:12" ht="11.25" x14ac:dyDescent="0.2">
      <c r="A283" s="325">
        <f t="shared" si="39"/>
        <v>23</v>
      </c>
      <c r="B283" s="24">
        <f>Input!A195</f>
        <v>394.2</v>
      </c>
      <c r="C283" s="3" t="str">
        <f>Input!B195</f>
        <v>SHOP EQUIPMENT</v>
      </c>
      <c r="D283" s="325" t="str">
        <f t="shared" si="40"/>
        <v>7CUST</v>
      </c>
      <c r="E283" s="3">
        <f>Classification!F283</f>
        <v>77</v>
      </c>
      <c r="F283" s="3">
        <f ca="1">ROUND((VLOOKUP($D283,'Alloc Table Cust'!$B$7:$S$58,13,FALSE)*$E283),0)</f>
        <v>64</v>
      </c>
      <c r="G283" s="3">
        <f ca="1">ROUND((VLOOKUP($D283,'Alloc Table Cust'!$B$7:$T$58,14,FALSE)*$E283),0)</f>
        <v>12</v>
      </c>
      <c r="H283" s="3">
        <f ca="1">ROUND((VLOOKUP($D283,'Alloc Table Cust'!$B$7:$T$58,15,FALSE)*$E283),0)</f>
        <v>0</v>
      </c>
      <c r="I283" s="3">
        <f ca="1">ROUND((VLOOKUP($D283,'Alloc Table Cust'!$B$7:$T$58,16,FALSE)*$E283),0)</f>
        <v>0</v>
      </c>
      <c r="J283" s="3">
        <f ca="1">ROUND((VLOOKUP($D283,'Alloc Table Cust'!$B$7:$T$58,17,FALSE)*$E283),0)</f>
        <v>1</v>
      </c>
      <c r="K283" s="3">
        <f ca="1">ROUND((VLOOKUP($D283,'Alloc Table Cust'!$B$7:$T$58,18,FALSE)*$E283),0)</f>
        <v>0</v>
      </c>
      <c r="L283" s="3">
        <f ca="1">ROUND((VLOOKUP($D283,'Alloc Table Cust'!$B$7:$T$58,19,FALSE)*$E283),0)</f>
        <v>0</v>
      </c>
    </row>
    <row r="284" spans="1:12" ht="11.25" x14ac:dyDescent="0.2">
      <c r="A284" s="325">
        <f t="shared" si="39"/>
        <v>24</v>
      </c>
      <c r="B284" s="24">
        <f>Input!A196</f>
        <v>394.3</v>
      </c>
      <c r="C284" s="3" t="str">
        <f>Input!B196</f>
        <v>TOOLS &amp; OTHER EQUIPMENT</v>
      </c>
      <c r="D284" s="325" t="str">
        <f t="shared" si="40"/>
        <v>7CUST</v>
      </c>
      <c r="E284" s="3">
        <f>Classification!F284</f>
        <v>557824</v>
      </c>
      <c r="F284" s="3">
        <f ca="1">ROUND((VLOOKUP($D284,'Alloc Table Cust'!$B$7:$S$58,13,FALSE)*$E284),0)</f>
        <v>461069</v>
      </c>
      <c r="G284" s="3">
        <f ca="1">ROUND((VLOOKUP($D284,'Alloc Table Cust'!$B$7:$T$58,14,FALSE)*$E284),0)</f>
        <v>85983</v>
      </c>
      <c r="H284" s="3">
        <f ca="1">ROUND((VLOOKUP($D284,'Alloc Table Cust'!$B$7:$T$58,15,FALSE)*$E284),0)</f>
        <v>22</v>
      </c>
      <c r="I284" s="3">
        <f ca="1">ROUND((VLOOKUP($D284,'Alloc Table Cust'!$B$7:$T$58,16,FALSE)*$E284),0)</f>
        <v>2209</v>
      </c>
      <c r="J284" s="3">
        <f ca="1">ROUND((VLOOKUP($D284,'Alloc Table Cust'!$B$7:$T$58,17,FALSE)*$E284),0)</f>
        <v>8540</v>
      </c>
      <c r="K284" s="3">
        <f ca="1">ROUND((VLOOKUP($D284,'Alloc Table Cust'!$B$7:$T$58,18,FALSE)*$E284),0)</f>
        <v>0</v>
      </c>
      <c r="L284" s="3">
        <f ca="1">ROUND((VLOOKUP($D284,'Alloc Table Cust'!$B$7:$T$58,19,FALSE)*$E284),0)</f>
        <v>0</v>
      </c>
    </row>
    <row r="285" spans="1:12" ht="11.25" x14ac:dyDescent="0.2">
      <c r="A285" s="325">
        <f t="shared" si="39"/>
        <v>25</v>
      </c>
      <c r="B285" s="24">
        <f>Input!A197</f>
        <v>395</v>
      </c>
      <c r="C285" s="3" t="str">
        <f>Input!B197</f>
        <v>LABORATORY EQUIPMENT</v>
      </c>
      <c r="D285" s="325" t="str">
        <f t="shared" si="40"/>
        <v>7CUST</v>
      </c>
      <c r="E285" s="3">
        <f>Classification!F285</f>
        <v>3249</v>
      </c>
      <c r="F285" s="3">
        <f ca="1">ROUND((VLOOKUP($D285,'Alloc Table Cust'!$B$7:$S$58,13,FALSE)*$E285),0)</f>
        <v>2685</v>
      </c>
      <c r="G285" s="3">
        <f ca="1">ROUND((VLOOKUP($D285,'Alloc Table Cust'!$B$7:$T$58,14,FALSE)*$E285),0)</f>
        <v>501</v>
      </c>
      <c r="H285" s="3">
        <f ca="1">ROUND((VLOOKUP($D285,'Alloc Table Cust'!$B$7:$T$58,15,FALSE)*$E285),0)</f>
        <v>0</v>
      </c>
      <c r="I285" s="3">
        <f ca="1">ROUND((VLOOKUP($D285,'Alloc Table Cust'!$B$7:$T$58,16,FALSE)*$E285),0)</f>
        <v>13</v>
      </c>
      <c r="J285" s="3">
        <f ca="1">ROUND((VLOOKUP($D285,'Alloc Table Cust'!$B$7:$T$58,17,FALSE)*$E285),0)</f>
        <v>50</v>
      </c>
      <c r="K285" s="3">
        <f ca="1">ROUND((VLOOKUP($D285,'Alloc Table Cust'!$B$7:$T$58,18,FALSE)*$E285),0)</f>
        <v>0</v>
      </c>
      <c r="L285" s="3">
        <f ca="1">ROUND((VLOOKUP($D285,'Alloc Table Cust'!$B$7:$T$58,19,FALSE)*$E285),0)</f>
        <v>0</v>
      </c>
    </row>
    <row r="286" spans="1:12" ht="11.25" x14ac:dyDescent="0.2">
      <c r="A286" s="325">
        <f t="shared" si="39"/>
        <v>26</v>
      </c>
      <c r="B286" s="24">
        <f>Input!A198</f>
        <v>396</v>
      </c>
      <c r="C286" s="3" t="str">
        <f>Input!B198</f>
        <v>POWER OP EQUIP-GEN TOOLS</v>
      </c>
      <c r="D286" s="325" t="str">
        <f t="shared" si="40"/>
        <v>7CUST</v>
      </c>
      <c r="E286" s="3">
        <f>Classification!F286</f>
        <v>84781</v>
      </c>
      <c r="F286" s="3">
        <f ca="1">ROUND((VLOOKUP($D286,'Alloc Table Cust'!$B$7:$S$58,13,FALSE)*$E286),0)</f>
        <v>70076</v>
      </c>
      <c r="G286" s="3">
        <f ca="1">ROUND((VLOOKUP($D286,'Alloc Table Cust'!$B$7:$T$58,14,FALSE)*$E286),0)</f>
        <v>13068</v>
      </c>
      <c r="H286" s="3">
        <f ca="1">ROUND((VLOOKUP($D286,'Alloc Table Cust'!$B$7:$T$58,15,FALSE)*$E286),0)</f>
        <v>3</v>
      </c>
      <c r="I286" s="3">
        <f ca="1">ROUND((VLOOKUP($D286,'Alloc Table Cust'!$B$7:$T$58,16,FALSE)*$E286),0)</f>
        <v>336</v>
      </c>
      <c r="J286" s="3">
        <f ca="1">ROUND((VLOOKUP($D286,'Alloc Table Cust'!$B$7:$T$58,17,FALSE)*$E286),0)</f>
        <v>1298</v>
      </c>
      <c r="K286" s="3">
        <f ca="1">ROUND((VLOOKUP($D286,'Alloc Table Cust'!$B$7:$T$58,18,FALSE)*$E286),0)</f>
        <v>0</v>
      </c>
      <c r="L286" s="3">
        <f ca="1">ROUND((VLOOKUP($D286,'Alloc Table Cust'!$B$7:$T$58,19,FALSE)*$E286),0)</f>
        <v>0</v>
      </c>
    </row>
    <row r="287" spans="1:12" ht="11.25" x14ac:dyDescent="0.2">
      <c r="A287" s="325">
        <f t="shared" si="39"/>
        <v>27</v>
      </c>
      <c r="B287" s="24"/>
      <c r="C287" s="3" t="str">
        <f>Input!B199</f>
        <v>RETIREMENT WORK IN PROGRESS</v>
      </c>
      <c r="D287" s="325" t="str">
        <f t="shared" si="40"/>
        <v>7CUST</v>
      </c>
      <c r="E287" s="3">
        <f>Classification!F287</f>
        <v>0</v>
      </c>
      <c r="F287" s="3">
        <f ca="1">ROUND((VLOOKUP($D287,'Alloc Table Cust'!$B$7:$S$58,13,FALSE)*$E287),0)</f>
        <v>0</v>
      </c>
      <c r="G287" s="3">
        <f ca="1">ROUND((VLOOKUP($D287,'Alloc Table Cust'!$B$7:$T$58,14,FALSE)*$E287),0)</f>
        <v>0</v>
      </c>
      <c r="H287" s="3">
        <f ca="1">ROUND((VLOOKUP($D287,'Alloc Table Cust'!$B$7:$T$58,15,FALSE)*$E287),0)</f>
        <v>0</v>
      </c>
      <c r="I287" s="3">
        <f ca="1">ROUND((VLOOKUP($D287,'Alloc Table Cust'!$B$7:$T$58,16,FALSE)*$E287),0)</f>
        <v>0</v>
      </c>
      <c r="J287" s="3">
        <f ca="1">ROUND((VLOOKUP($D287,'Alloc Table Cust'!$B$7:$T$58,17,FALSE)*$E287),0)</f>
        <v>0</v>
      </c>
      <c r="K287" s="3">
        <f ca="1">ROUND((VLOOKUP($D287,'Alloc Table Cust'!$B$7:$T$58,18,FALSE)*$E287),0)</f>
        <v>0</v>
      </c>
      <c r="L287" s="3">
        <f ca="1">ROUND((VLOOKUP($D287,'Alloc Table Cust'!$B$7:$T$58,19,FALSE)*$E287),0)</f>
        <v>0</v>
      </c>
    </row>
    <row r="288" spans="1:12" ht="11.25" x14ac:dyDescent="0.2">
      <c r="A288" s="325">
        <f t="shared" si="39"/>
        <v>28</v>
      </c>
      <c r="B288" s="24">
        <f>Input!A200</f>
        <v>398</v>
      </c>
      <c r="C288" s="3" t="str">
        <f>Input!B200</f>
        <v>MISCELLANEOUS EQUIPMENT</v>
      </c>
      <c r="D288" s="325" t="str">
        <f t="shared" si="40"/>
        <v>7CUST</v>
      </c>
      <c r="E288" s="26">
        <f>Classification!F288</f>
        <v>5061</v>
      </c>
      <c r="F288" s="26">
        <f ca="1">ROUND((VLOOKUP($D288,'Alloc Table Cust'!$B$7:$S$58,13,FALSE)*$E288),0)</f>
        <v>4183</v>
      </c>
      <c r="G288" s="26">
        <f ca="1">ROUND((VLOOKUP($D288,'Alloc Table Cust'!$B$7:$T$58,14,FALSE)*$E288),0)</f>
        <v>780</v>
      </c>
      <c r="H288" s="26">
        <f ca="1">ROUND((VLOOKUP($D288,'Alloc Table Cust'!$B$7:$T$58,15,FALSE)*$E288),0)</f>
        <v>0</v>
      </c>
      <c r="I288" s="26">
        <f ca="1">ROUND((VLOOKUP($D288,'Alloc Table Cust'!$B$7:$T$58,16,FALSE)*$E288),0)</f>
        <v>20</v>
      </c>
      <c r="J288" s="26">
        <f ca="1">ROUND((VLOOKUP($D288,'Alloc Table Cust'!$B$7:$T$58,17,FALSE)*$E288),0)</f>
        <v>77</v>
      </c>
      <c r="K288" s="26">
        <f ca="1">ROUND((VLOOKUP($D288,'Alloc Table Cust'!$B$7:$T$58,18,FALSE)*$E288),0)</f>
        <v>0</v>
      </c>
      <c r="L288" s="26">
        <f ca="1">ROUND((VLOOKUP($D288,'Alloc Table Cust'!$B$7:$T$58,19,FALSE)*$E288),0)</f>
        <v>0</v>
      </c>
    </row>
    <row r="289" spans="1:12" ht="11.25" x14ac:dyDescent="0.2">
      <c r="A289" s="325">
        <f t="shared" si="39"/>
        <v>29</v>
      </c>
      <c r="B289" s="24"/>
      <c r="C289" s="25" t="s">
        <v>90</v>
      </c>
      <c r="D289" s="325"/>
      <c r="E289" s="26">
        <f t="shared" ref="E289:L289" si="41">SUM(E275:E288)</f>
        <v>982382</v>
      </c>
      <c r="F289" s="26">
        <f t="shared" ca="1" si="41"/>
        <v>811986</v>
      </c>
      <c r="G289" s="26">
        <f t="shared" ca="1" si="41"/>
        <v>151425</v>
      </c>
      <c r="H289" s="26">
        <f t="shared" ca="1" si="41"/>
        <v>38</v>
      </c>
      <c r="I289" s="26">
        <f t="shared" ca="1" si="41"/>
        <v>3890</v>
      </c>
      <c r="J289" s="26">
        <f t="shared" ca="1" si="41"/>
        <v>15039</v>
      </c>
      <c r="K289" s="26">
        <f t="shared" ca="1" si="41"/>
        <v>0</v>
      </c>
      <c r="L289" s="26">
        <f t="shared" ca="1" si="41"/>
        <v>0</v>
      </c>
    </row>
    <row r="290" spans="1:12" ht="11.25" x14ac:dyDescent="0.2">
      <c r="A290" s="325"/>
      <c r="B290" s="24"/>
      <c r="C290" s="3"/>
      <c r="D290" s="325"/>
      <c r="E290" s="3"/>
      <c r="F290" s="3"/>
      <c r="G290" s="3"/>
      <c r="H290" s="3"/>
      <c r="I290" s="3"/>
      <c r="J290" s="3"/>
      <c r="K290" s="3"/>
      <c r="L290" s="3"/>
    </row>
    <row r="291" spans="1:12" ht="11.25" x14ac:dyDescent="0.2">
      <c r="A291" s="325">
        <f>A289+1</f>
        <v>30</v>
      </c>
      <c r="B291" s="3"/>
      <c r="C291" s="25" t="s">
        <v>162</v>
      </c>
      <c r="D291" s="325"/>
      <c r="E291" s="3">
        <f>Customer!E220+Customer!E227+E271+E289</f>
        <v>80730256</v>
      </c>
      <c r="F291" s="3">
        <f ca="1">Customer!F220+Customer!F227+F271+F289</f>
        <v>67831648</v>
      </c>
      <c r="G291" s="3">
        <f ca="1">Customer!G220+Customer!G227+G271+G289</f>
        <v>11787646</v>
      </c>
      <c r="H291" s="3">
        <f ca="1">Customer!H220+Customer!H227+H271+H289</f>
        <v>2863</v>
      </c>
      <c r="I291" s="3">
        <f ca="1">Customer!I220+Customer!I227+I271+I289</f>
        <v>151981</v>
      </c>
      <c r="J291" s="3">
        <f ca="1">Customer!J220+Customer!J227+J271+J289</f>
        <v>956121</v>
      </c>
      <c r="K291" s="3">
        <f ca="1">Customer!K220+Customer!K227+K271+K289</f>
        <v>0</v>
      </c>
      <c r="L291" s="3">
        <f ca="1">Customer!L220+Customer!L227+L271+L289</f>
        <v>0</v>
      </c>
    </row>
    <row r="292" spans="1:12" ht="11.25" x14ac:dyDescent="0.2">
      <c r="A292" s="3" t="s">
        <v>817</v>
      </c>
      <c r="B292" s="3"/>
      <c r="C292" s="14"/>
      <c r="D292" s="325"/>
      <c r="E292" s="3"/>
      <c r="F292" s="325" t="str">
        <f>" "&amp;+Input!$B$1</f>
        <v xml:space="preserve"> COLUMBIA GAS OF KENTUCKY, INC.</v>
      </c>
      <c r="H292" s="3"/>
      <c r="I292" s="3"/>
      <c r="J292" s="3"/>
      <c r="K292" s="3"/>
      <c r="L292" s="32" t="str">
        <f>Input!$B$2</f>
        <v>ATTACHMENT CEN-2</v>
      </c>
    </row>
    <row r="293" spans="1:12" ht="11.25" x14ac:dyDescent="0.2">
      <c r="A293" s="3" t="str">
        <f>Input!$B$7</f>
        <v>DEMAND-COMMODITY</v>
      </c>
      <c r="B293" s="3"/>
      <c r="C293" s="3"/>
      <c r="D293" s="325"/>
      <c r="E293" s="3"/>
      <c r="F293" s="325" t="s">
        <v>165</v>
      </c>
      <c r="H293" s="3"/>
      <c r="I293" s="3"/>
      <c r="J293" s="3"/>
      <c r="K293" s="3"/>
      <c r="L293" s="32" t="str">
        <f>"PAGE 60 OF "&amp;FIXED(Input!$B$8,0,TRUE)</f>
        <v>PAGE 60 OF 129</v>
      </c>
    </row>
    <row r="294" spans="1:12" ht="11.25" x14ac:dyDescent="0.2">
      <c r="A294" s="17" t="str">
        <f>Input!$B$6</f>
        <v>FORECASTED TEST YEAR - ORIGINAL FILING</v>
      </c>
      <c r="B294" s="17"/>
      <c r="C294" s="17"/>
      <c r="D294" s="34"/>
      <c r="E294" s="18"/>
      <c r="F294" s="19" t="str">
        <f>"FOR THE TWELVE MONTHS ENDED "&amp;Input!$B$4</f>
        <v>FOR THE TWELVE MONTHS ENDED 12/31/2017</v>
      </c>
      <c r="G294" s="329"/>
      <c r="H294" s="17"/>
      <c r="I294" s="17"/>
      <c r="J294" s="17"/>
      <c r="K294" s="17"/>
      <c r="L294" s="183" t="str">
        <f>"WITNESS: "&amp;Input!$B$5</f>
        <v>WITNESS: C. NOTESTONE</v>
      </c>
    </row>
    <row r="295" spans="1:12" ht="11.25" x14ac:dyDescent="0.2">
      <c r="A295" s="325" t="s">
        <v>5</v>
      </c>
      <c r="B295" s="3" t="s">
        <v>6</v>
      </c>
      <c r="C295" s="3"/>
      <c r="D295" s="325" t="s">
        <v>7</v>
      </c>
      <c r="E295" s="325" t="s">
        <v>8</v>
      </c>
      <c r="F295" s="3"/>
      <c r="G295" s="3"/>
      <c r="H295" s="3"/>
      <c r="I295" s="3"/>
      <c r="J295" s="3"/>
      <c r="K295" s="3"/>
      <c r="L295" s="3"/>
    </row>
    <row r="296" spans="1:12" ht="11.25" x14ac:dyDescent="0.2">
      <c r="A296" s="341" t="s">
        <v>9</v>
      </c>
      <c r="B296" s="341" t="s">
        <v>9</v>
      </c>
      <c r="C296" s="34" t="str">
        <f>Customer!C128</f>
        <v xml:space="preserve"> ACCOUNT TITLE</v>
      </c>
      <c r="D296" s="341" t="s">
        <v>10</v>
      </c>
      <c r="E296" s="341" t="s">
        <v>804</v>
      </c>
      <c r="F296" s="341" t="str">
        <f>"  "&amp;+Input!$C$12</f>
        <v xml:space="preserve">  GS-RESIDENTIAL</v>
      </c>
      <c r="G296" s="341" t="str">
        <f>Input!$C$13</f>
        <v>GS-OTHER</v>
      </c>
      <c r="H296" s="341" t="str">
        <f>Input!$C$14</f>
        <v>IUS</v>
      </c>
      <c r="I296" s="341" t="str">
        <f>Input!$C$15</f>
        <v>DS-ML</v>
      </c>
      <c r="J296" s="341" t="str">
        <f>Input!$C$16</f>
        <v>DS/IS</v>
      </c>
      <c r="K296" s="341" t="str">
        <f>Input!$C$17</f>
        <v>NOT USED</v>
      </c>
      <c r="L296" s="341" t="str">
        <f>Input!$C$18</f>
        <v>NOT USED</v>
      </c>
    </row>
    <row r="297" spans="1:12" ht="11.25" x14ac:dyDescent="0.2">
      <c r="A297" s="3"/>
      <c r="B297" s="342" t="s">
        <v>13</v>
      </c>
      <c r="C297" s="342" t="s">
        <v>14</v>
      </c>
      <c r="D297" s="325" t="s">
        <v>15</v>
      </c>
      <c r="E297" s="325" t="s">
        <v>16</v>
      </c>
      <c r="F297" s="325" t="s">
        <v>17</v>
      </c>
      <c r="G297" s="325" t="s">
        <v>18</v>
      </c>
      <c r="H297" s="325" t="s">
        <v>19</v>
      </c>
      <c r="I297" s="325" t="s">
        <v>20</v>
      </c>
      <c r="J297" s="325" t="s">
        <v>21</v>
      </c>
      <c r="K297" s="325" t="s">
        <v>22</v>
      </c>
      <c r="L297" s="325" t="s">
        <v>23</v>
      </c>
    </row>
    <row r="298" spans="1:12" ht="11.25" x14ac:dyDescent="0.2">
      <c r="A298" s="3"/>
      <c r="B298" s="3"/>
      <c r="C298" s="3"/>
      <c r="D298" s="325"/>
      <c r="E298" s="325" t="s">
        <v>26</v>
      </c>
      <c r="F298" s="325" t="s">
        <v>26</v>
      </c>
      <c r="G298" s="325" t="s">
        <v>26</v>
      </c>
      <c r="H298" s="325" t="s">
        <v>26</v>
      </c>
      <c r="I298" s="325" t="s">
        <v>26</v>
      </c>
      <c r="J298" s="325" t="s">
        <v>26</v>
      </c>
      <c r="K298" s="325" t="s">
        <v>26</v>
      </c>
      <c r="L298" s="325" t="s">
        <v>26</v>
      </c>
    </row>
    <row r="299" spans="1:12" ht="11.25" x14ac:dyDescent="0.2">
      <c r="A299" s="3"/>
      <c r="B299" s="3"/>
      <c r="C299" s="3" t="str">
        <f>Input!A209</f>
        <v>INTANGIBLE PLANT</v>
      </c>
      <c r="D299" s="325"/>
      <c r="E299" s="3"/>
      <c r="F299" s="3"/>
      <c r="G299" s="3"/>
      <c r="H299" s="3"/>
      <c r="I299" s="3"/>
      <c r="J299" s="3"/>
      <c r="K299" s="3"/>
      <c r="L299" s="3"/>
    </row>
    <row r="300" spans="1:12" ht="11.25" x14ac:dyDescent="0.2">
      <c r="A300" s="3"/>
      <c r="B300" s="3"/>
      <c r="C300" s="3"/>
      <c r="D300" s="325"/>
      <c r="E300" s="3"/>
      <c r="F300" s="3"/>
      <c r="G300" s="3"/>
      <c r="H300" s="3"/>
      <c r="I300" s="3"/>
      <c r="J300" s="3"/>
      <c r="K300" s="3"/>
      <c r="L300" s="3"/>
    </row>
    <row r="301" spans="1:12" ht="11.25" x14ac:dyDescent="0.2">
      <c r="A301" s="3">
        <v>1</v>
      </c>
      <c r="B301" s="24">
        <f>Input!A210</f>
        <v>301</v>
      </c>
      <c r="C301" s="3" t="str">
        <f>Input!B210</f>
        <v>ORGANIZATION</v>
      </c>
      <c r="D301" s="325" t="str">
        <f>D215</f>
        <v>7CUST</v>
      </c>
      <c r="E301" s="3">
        <f>Classification!F301</f>
        <v>0</v>
      </c>
      <c r="F301" s="3">
        <f ca="1">ROUND((VLOOKUP($D301,'Alloc Table Cust'!$B$7:$S$58,13,FALSE)*$E301),0)</f>
        <v>0</v>
      </c>
      <c r="G301" s="3">
        <f ca="1">ROUND((VLOOKUP($D301,'Alloc Table Cust'!$B$7:$T$58,14,FALSE)*$E301),0)</f>
        <v>0</v>
      </c>
      <c r="H301" s="3">
        <f ca="1">ROUND((VLOOKUP($D301,'Alloc Table Cust'!$B$7:$T$58,15,FALSE)*$E301),0)</f>
        <v>0</v>
      </c>
      <c r="I301" s="3">
        <f ca="1">ROUND((VLOOKUP($D301,'Alloc Table Cust'!$B$7:$T$58,16,FALSE)*$E301),0)</f>
        <v>0</v>
      </c>
      <c r="J301" s="3">
        <f ca="1">ROUND((VLOOKUP($D301,'Alloc Table Cust'!$B$7:$T$58,17,FALSE)*$E301),0)</f>
        <v>0</v>
      </c>
      <c r="K301" s="3">
        <f ca="1">ROUND((VLOOKUP($D301,'Alloc Table Cust'!$B$7:$T$58,18,FALSE)*$E301),0)</f>
        <v>0</v>
      </c>
      <c r="L301" s="3">
        <f ca="1">ROUND((VLOOKUP($D301,'Alloc Table Cust'!$B$7:$T$58,19,FALSE)*$E301),0)</f>
        <v>0</v>
      </c>
    </row>
    <row r="302" spans="1:12" ht="11.25" x14ac:dyDescent="0.2">
      <c r="A302" s="3">
        <f>A301+1</f>
        <v>2</v>
      </c>
      <c r="B302" s="24">
        <f>Input!A211</f>
        <v>303</v>
      </c>
      <c r="C302" s="3" t="str">
        <f>Input!B211</f>
        <v>MISC. INTANGIBLE PLANT</v>
      </c>
      <c r="D302" s="325" t="str">
        <f t="shared" ref="D302:D305" si="42">D216</f>
        <v>7CUST</v>
      </c>
      <c r="E302" s="3">
        <f>Classification!F302</f>
        <v>1037</v>
      </c>
      <c r="F302" s="3">
        <f ca="1">ROUND((VLOOKUP($D302,'Alloc Table Cust'!$B$7:$S$58,13,FALSE)*$E302),0)</f>
        <v>857</v>
      </c>
      <c r="G302" s="3">
        <f ca="1">ROUND((VLOOKUP($D302,'Alloc Table Cust'!$B$7:$T$58,14,FALSE)*$E302),0)</f>
        <v>160</v>
      </c>
      <c r="H302" s="3">
        <f ca="1">ROUND((VLOOKUP($D302,'Alloc Table Cust'!$B$7:$T$58,15,FALSE)*$E302),0)</f>
        <v>0</v>
      </c>
      <c r="I302" s="3">
        <f ca="1">ROUND((VLOOKUP($D302,'Alloc Table Cust'!$B$7:$T$58,16,FALSE)*$E302),0)</f>
        <v>4</v>
      </c>
      <c r="J302" s="3">
        <f ca="1">ROUND((VLOOKUP($D302,'Alloc Table Cust'!$B$7:$T$58,17,FALSE)*$E302),0)</f>
        <v>16</v>
      </c>
      <c r="K302" s="3">
        <f ca="1">ROUND((VLOOKUP($D302,'Alloc Table Cust'!$B$7:$T$58,18,FALSE)*$E302),0)</f>
        <v>0</v>
      </c>
      <c r="L302" s="3">
        <f ca="1">ROUND((VLOOKUP($D302,'Alloc Table Cust'!$B$7:$T$58,19,FALSE)*$E302),0)</f>
        <v>0</v>
      </c>
    </row>
    <row r="303" spans="1:12" ht="11.25" x14ac:dyDescent="0.2">
      <c r="A303" s="3">
        <f>A302+1</f>
        <v>3</v>
      </c>
      <c r="B303" s="24">
        <f>Input!A212</f>
        <v>303.10000000000002</v>
      </c>
      <c r="C303" s="3" t="str">
        <f>Input!B212</f>
        <v>DIS SOFTWARE</v>
      </c>
      <c r="D303" s="325" t="str">
        <f t="shared" si="42"/>
        <v>7CUST</v>
      </c>
      <c r="E303" s="3">
        <f>Classification!F303</f>
        <v>0</v>
      </c>
      <c r="F303" s="3">
        <f ca="1">ROUND((VLOOKUP($D303,'Alloc Table Cust'!$B$7:$S$58,13,FALSE)*$E303),0)</f>
        <v>0</v>
      </c>
      <c r="G303" s="3">
        <f ca="1">ROUND((VLOOKUP($D303,'Alloc Table Cust'!$B$7:$T$58,14,FALSE)*$E303),0)</f>
        <v>0</v>
      </c>
      <c r="H303" s="3">
        <f ca="1">ROUND((VLOOKUP($D303,'Alloc Table Cust'!$B$7:$T$58,15,FALSE)*$E303),0)</f>
        <v>0</v>
      </c>
      <c r="I303" s="3">
        <f ca="1">ROUND((VLOOKUP($D303,'Alloc Table Cust'!$B$7:$T$58,16,FALSE)*$E303),0)</f>
        <v>0</v>
      </c>
      <c r="J303" s="3">
        <f ca="1">ROUND((VLOOKUP($D303,'Alloc Table Cust'!$B$7:$T$58,17,FALSE)*$E303),0)</f>
        <v>0</v>
      </c>
      <c r="K303" s="3">
        <f ca="1">ROUND((VLOOKUP($D303,'Alloc Table Cust'!$B$7:$T$58,18,FALSE)*$E303),0)</f>
        <v>0</v>
      </c>
      <c r="L303" s="3">
        <f ca="1">ROUND((VLOOKUP($D303,'Alloc Table Cust'!$B$7:$T$58,19,FALSE)*$E303),0)</f>
        <v>0</v>
      </c>
    </row>
    <row r="304" spans="1:12" ht="11.25" x14ac:dyDescent="0.2">
      <c r="A304" s="3">
        <f>A303+1</f>
        <v>4</v>
      </c>
      <c r="B304" s="24">
        <f>Input!A213</f>
        <v>303.2</v>
      </c>
      <c r="C304" s="3" t="str">
        <f>Input!B213</f>
        <v>FARA SOFTWARE</v>
      </c>
      <c r="D304" s="325" t="str">
        <f t="shared" si="42"/>
        <v>7CUST</v>
      </c>
      <c r="E304" s="3">
        <f>Classification!F304</f>
        <v>0</v>
      </c>
      <c r="F304" s="3">
        <f ca="1">ROUND((VLOOKUP($D304,'Alloc Table Cust'!$B$7:$S$58,13,FALSE)*$E304),0)</f>
        <v>0</v>
      </c>
      <c r="G304" s="3">
        <f ca="1">ROUND((VLOOKUP($D304,'Alloc Table Cust'!$B$7:$T$58,14,FALSE)*$E304),0)</f>
        <v>0</v>
      </c>
      <c r="H304" s="3">
        <f ca="1">ROUND((VLOOKUP($D304,'Alloc Table Cust'!$B$7:$T$58,15,FALSE)*$E304),0)</f>
        <v>0</v>
      </c>
      <c r="I304" s="3">
        <f ca="1">ROUND((VLOOKUP($D304,'Alloc Table Cust'!$B$7:$T$58,16,FALSE)*$E304),0)</f>
        <v>0</v>
      </c>
      <c r="J304" s="3">
        <f ca="1">ROUND((VLOOKUP($D304,'Alloc Table Cust'!$B$7:$T$58,17,FALSE)*$E304),0)</f>
        <v>0</v>
      </c>
      <c r="K304" s="3">
        <f ca="1">ROUND((VLOOKUP($D304,'Alloc Table Cust'!$B$7:$T$58,18,FALSE)*$E304),0)</f>
        <v>0</v>
      </c>
      <c r="L304" s="3">
        <f ca="1">ROUND((VLOOKUP($D304,'Alloc Table Cust'!$B$7:$T$58,19,FALSE)*$E304),0)</f>
        <v>0</v>
      </c>
    </row>
    <row r="305" spans="1:12" ht="11.25" x14ac:dyDescent="0.2">
      <c r="A305" s="3">
        <f>A304+1</f>
        <v>5</v>
      </c>
      <c r="B305" s="24">
        <f>Input!A214</f>
        <v>303.3</v>
      </c>
      <c r="C305" s="3" t="str">
        <f>Input!B214</f>
        <v>OTHER SOFTWARE</v>
      </c>
      <c r="D305" s="325" t="str">
        <f t="shared" si="42"/>
        <v>7CUST</v>
      </c>
      <c r="E305" s="26">
        <f>Classification!F305</f>
        <v>532135</v>
      </c>
      <c r="F305" s="26">
        <f ca="1">ROUND((VLOOKUP($D305,'Alloc Table Cust'!$B$7:$S$58,13,FALSE)*$E305),0)</f>
        <v>439836</v>
      </c>
      <c r="G305" s="26">
        <f ca="1">ROUND((VLOOKUP($D305,'Alloc Table Cust'!$B$7:$T$58,14,FALSE)*$E305),0)</f>
        <v>82023</v>
      </c>
      <c r="H305" s="26">
        <f ca="1">ROUND((VLOOKUP($D305,'Alloc Table Cust'!$B$7:$T$58,15,FALSE)*$E305),0)</f>
        <v>21</v>
      </c>
      <c r="I305" s="26">
        <f ca="1">ROUND((VLOOKUP($D305,'Alloc Table Cust'!$B$7:$T$58,16,FALSE)*$E305),0)</f>
        <v>2107</v>
      </c>
      <c r="J305" s="26">
        <f ca="1">ROUND((VLOOKUP($D305,'Alloc Table Cust'!$B$7:$T$58,17,FALSE)*$E305),0)</f>
        <v>8147</v>
      </c>
      <c r="K305" s="26">
        <f ca="1">ROUND((VLOOKUP($D305,'Alloc Table Cust'!$B$7:$T$58,18,FALSE)*$E305),0)</f>
        <v>0</v>
      </c>
      <c r="L305" s="26">
        <f ca="1">ROUND((VLOOKUP($D305,'Alloc Table Cust'!$B$7:$T$58,19,FALSE)*$E305),0)</f>
        <v>0</v>
      </c>
    </row>
    <row r="306" spans="1:12" ht="11.25" x14ac:dyDescent="0.2">
      <c r="A306" s="3">
        <f>A305+1</f>
        <v>6</v>
      </c>
      <c r="B306" s="24"/>
      <c r="C306" s="3" t="s">
        <v>159</v>
      </c>
      <c r="D306" s="325"/>
      <c r="E306" s="3">
        <f t="shared" ref="E306:L306" si="43">SUM(E301:E305)</f>
        <v>533172</v>
      </c>
      <c r="F306" s="3">
        <f t="shared" ca="1" si="43"/>
        <v>440693</v>
      </c>
      <c r="G306" s="3">
        <f t="shared" ca="1" si="43"/>
        <v>82183</v>
      </c>
      <c r="H306" s="3">
        <f t="shared" ca="1" si="43"/>
        <v>21</v>
      </c>
      <c r="I306" s="3">
        <f t="shared" ca="1" si="43"/>
        <v>2111</v>
      </c>
      <c r="J306" s="3">
        <f t="shared" ca="1" si="43"/>
        <v>8163</v>
      </c>
      <c r="K306" s="3">
        <f t="shared" ca="1" si="43"/>
        <v>0</v>
      </c>
      <c r="L306" s="3">
        <f t="shared" ca="1" si="43"/>
        <v>0</v>
      </c>
    </row>
    <row r="307" spans="1:12" ht="11.25" x14ac:dyDescent="0.2">
      <c r="A307" s="3"/>
      <c r="B307" s="3"/>
      <c r="C307" s="3"/>
      <c r="D307" s="325"/>
      <c r="E307" s="3"/>
      <c r="F307" s="3"/>
      <c r="G307" s="3"/>
      <c r="H307" s="3"/>
      <c r="I307" s="3"/>
      <c r="J307" s="3"/>
      <c r="K307" s="3"/>
      <c r="L307" s="3"/>
    </row>
    <row r="308" spans="1:12" ht="11.25" x14ac:dyDescent="0.2">
      <c r="A308" s="3">
        <f>A306+1</f>
        <v>7</v>
      </c>
      <c r="B308" s="3"/>
      <c r="C308" s="24" t="str">
        <f>Input!A215</f>
        <v>PRODUCTION PLANT</v>
      </c>
      <c r="D308" s="325"/>
      <c r="E308" s="3"/>
      <c r="F308" s="3"/>
      <c r="G308" s="3"/>
      <c r="H308" s="3"/>
      <c r="I308" s="3"/>
      <c r="J308" s="3"/>
      <c r="K308" s="3"/>
      <c r="L308" s="3"/>
    </row>
    <row r="309" spans="1:12" ht="11.25" x14ac:dyDescent="0.2">
      <c r="A309" s="3"/>
      <c r="B309" s="3"/>
      <c r="C309" s="3"/>
      <c r="D309" s="325"/>
      <c r="E309" s="3"/>
      <c r="F309" s="3"/>
      <c r="G309" s="3"/>
      <c r="H309" s="3"/>
      <c r="I309" s="3"/>
      <c r="J309" s="3"/>
      <c r="K309" s="3"/>
      <c r="L309" s="3"/>
    </row>
    <row r="310" spans="1:12" ht="11.25" x14ac:dyDescent="0.2">
      <c r="A310" s="3">
        <f>A308+1</f>
        <v>8</v>
      </c>
      <c r="B310" s="24">
        <f>Input!A216</f>
        <v>304.10000000000002</v>
      </c>
      <c r="C310" s="24" t="str">
        <f>Input!B216</f>
        <v>LAND</v>
      </c>
      <c r="D310" s="249">
        <f>Input!C216</f>
        <v>2</v>
      </c>
      <c r="E310" s="3">
        <f>Classification!F310</f>
        <v>0</v>
      </c>
      <c r="F310" s="3">
        <f>ROUND((VLOOKUP($D310,'Alloc Table Cust'!$B$7:$S$58,13,FALSE)*$E310),0)</f>
        <v>0</v>
      </c>
      <c r="G310" s="3">
        <f>ROUND((VLOOKUP($D310,'Alloc Table Cust'!$B$7:$T$58,14,FALSE)*$E310),0)</f>
        <v>0</v>
      </c>
      <c r="H310" s="3">
        <f>ROUND((VLOOKUP($D310,'Alloc Table Cust'!$B$7:$T$58,15,FALSE)*$E310),0)</f>
        <v>0</v>
      </c>
      <c r="I310" s="3">
        <f>ROUND((VLOOKUP($D310,'Alloc Table Cust'!$B$7:$T$58,16,FALSE)*$E310),0)</f>
        <v>0</v>
      </c>
      <c r="J310" s="3">
        <f>ROUND((VLOOKUP($D310,'Alloc Table Cust'!$B$7:$T$58,17,FALSE)*$E310),0)</f>
        <v>0</v>
      </c>
      <c r="K310" s="3">
        <f>ROUND((VLOOKUP($D310,'Alloc Table Cust'!$B$7:$T$58,18,FALSE)*$E310),0)</f>
        <v>0</v>
      </c>
      <c r="L310" s="3">
        <f>ROUND((VLOOKUP($D310,'Alloc Table Cust'!$B$7:$T$58,19,FALSE)*$E310),0)</f>
        <v>0</v>
      </c>
    </row>
    <row r="311" spans="1:12" ht="11.25" x14ac:dyDescent="0.2">
      <c r="A311" s="3">
        <f>A310+1</f>
        <v>9</v>
      </c>
      <c r="B311" s="24">
        <f>Input!A217</f>
        <v>305</v>
      </c>
      <c r="C311" s="24" t="str">
        <f>Input!B217</f>
        <v>STRUCTURES &amp; IMPROVEMENTS</v>
      </c>
      <c r="D311" s="249">
        <f>Input!C217</f>
        <v>2</v>
      </c>
      <c r="E311" s="3">
        <f>Classification!F311</f>
        <v>0</v>
      </c>
      <c r="F311" s="3">
        <f>ROUND((VLOOKUP($D311,'Alloc Table Cust'!$B$7:$S$58,13,FALSE)*$E311),0)</f>
        <v>0</v>
      </c>
      <c r="G311" s="3">
        <f>ROUND((VLOOKUP($D311,'Alloc Table Cust'!$B$7:$T$58,14,FALSE)*$E311),0)</f>
        <v>0</v>
      </c>
      <c r="H311" s="3">
        <f>ROUND((VLOOKUP($D311,'Alloc Table Cust'!$B$7:$T$58,15,FALSE)*$E311),0)</f>
        <v>0</v>
      </c>
      <c r="I311" s="3">
        <f>ROUND((VLOOKUP($D311,'Alloc Table Cust'!$B$7:$T$58,16,FALSE)*$E311),0)</f>
        <v>0</v>
      </c>
      <c r="J311" s="3">
        <f>ROUND((VLOOKUP($D311,'Alloc Table Cust'!$B$7:$T$58,17,FALSE)*$E311),0)</f>
        <v>0</v>
      </c>
      <c r="K311" s="3">
        <f>ROUND((VLOOKUP($D311,'Alloc Table Cust'!$B$7:$T$58,18,FALSE)*$E311),0)</f>
        <v>0</v>
      </c>
      <c r="L311" s="3">
        <f>ROUND((VLOOKUP($D311,'Alloc Table Cust'!$B$7:$T$58,19,FALSE)*$E311),0)</f>
        <v>0</v>
      </c>
    </row>
    <row r="312" spans="1:12" ht="11.25" x14ac:dyDescent="0.2">
      <c r="A312" s="3">
        <f>A311+1</f>
        <v>10</v>
      </c>
      <c r="B312" s="24">
        <f>Input!A218</f>
        <v>311</v>
      </c>
      <c r="C312" s="24" t="str">
        <f>Input!B218</f>
        <v>LIQUEFIED PETROLEUM GAS EQUIP</v>
      </c>
      <c r="D312" s="249">
        <f>Input!C218</f>
        <v>2</v>
      </c>
      <c r="E312" s="26">
        <f>Classification!F312</f>
        <v>0</v>
      </c>
      <c r="F312" s="26">
        <f>ROUND((VLOOKUP($D312,'Alloc Table Cust'!$B$7:$S$58,13,FALSE)*$E312),0)</f>
        <v>0</v>
      </c>
      <c r="G312" s="26">
        <f>ROUND((VLOOKUP($D312,'Alloc Table Cust'!$B$7:$T$58,14,FALSE)*$E312),0)</f>
        <v>0</v>
      </c>
      <c r="H312" s="26">
        <f>ROUND((VLOOKUP($D312,'Alloc Table Cust'!$B$7:$T$58,15,FALSE)*$E312),0)</f>
        <v>0</v>
      </c>
      <c r="I312" s="26">
        <f>ROUND((VLOOKUP($D312,'Alloc Table Cust'!$B$7:$T$58,16,FALSE)*$E312),0)</f>
        <v>0</v>
      </c>
      <c r="J312" s="26">
        <f>ROUND((VLOOKUP($D312,'Alloc Table Cust'!$B$7:$T$58,17,FALSE)*$E312),0)</f>
        <v>0</v>
      </c>
      <c r="K312" s="26">
        <f>ROUND((VLOOKUP($D312,'Alloc Table Cust'!$B$7:$T$58,18,FALSE)*$E312),0)</f>
        <v>0</v>
      </c>
      <c r="L312" s="26">
        <f>ROUND((VLOOKUP($D312,'Alloc Table Cust'!$B$7:$T$58,19,FALSE)*$E312),0)</f>
        <v>0</v>
      </c>
    </row>
    <row r="313" spans="1:12" ht="11.25" x14ac:dyDescent="0.2">
      <c r="A313" s="3">
        <f>A312+1</f>
        <v>11</v>
      </c>
      <c r="B313" s="24"/>
      <c r="C313" s="3" t="s">
        <v>160</v>
      </c>
      <c r="D313" s="325"/>
      <c r="E313" s="3">
        <f t="shared" ref="E313:L313" si="44">SUM(E310:E312)</f>
        <v>0</v>
      </c>
      <c r="F313" s="3">
        <f t="shared" si="44"/>
        <v>0</v>
      </c>
      <c r="G313" s="3">
        <f t="shared" si="44"/>
        <v>0</v>
      </c>
      <c r="H313" s="3">
        <f t="shared" si="44"/>
        <v>0</v>
      </c>
      <c r="I313" s="3">
        <f t="shared" si="44"/>
        <v>0</v>
      </c>
      <c r="J313" s="3">
        <f t="shared" si="44"/>
        <v>0</v>
      </c>
      <c r="K313" s="3">
        <f t="shared" si="44"/>
        <v>0</v>
      </c>
      <c r="L313" s="3">
        <f t="shared" si="44"/>
        <v>0</v>
      </c>
    </row>
    <row r="314" spans="1:12" ht="11.25" x14ac:dyDescent="0.2">
      <c r="A314" s="3"/>
      <c r="B314" s="3"/>
      <c r="C314" s="3"/>
      <c r="D314" s="325"/>
      <c r="E314" s="3"/>
      <c r="F314" s="3"/>
      <c r="G314" s="3"/>
      <c r="H314" s="3"/>
      <c r="I314" s="3"/>
      <c r="J314" s="3"/>
      <c r="K314" s="3"/>
      <c r="L314" s="3"/>
    </row>
    <row r="315" spans="1:12" ht="11.25" x14ac:dyDescent="0.2">
      <c r="A315" s="3">
        <f>A313+1</f>
        <v>12</v>
      </c>
      <c r="B315" s="3"/>
      <c r="C315" s="3" t="str">
        <f>Input!A219</f>
        <v>DISTRIBUTION PLANT</v>
      </c>
      <c r="D315" s="325"/>
      <c r="E315" s="3"/>
      <c r="F315" s="3"/>
      <c r="G315" s="3"/>
      <c r="H315" s="3"/>
      <c r="I315" s="3"/>
      <c r="J315" s="3"/>
      <c r="K315" s="3"/>
      <c r="L315" s="3"/>
    </row>
    <row r="316" spans="1:12" ht="11.25" x14ac:dyDescent="0.2">
      <c r="A316" s="3"/>
      <c r="B316" s="3"/>
      <c r="C316" s="3"/>
      <c r="D316" s="325"/>
      <c r="E316" s="3"/>
      <c r="F316" s="3"/>
      <c r="G316" s="3"/>
      <c r="H316" s="3"/>
      <c r="I316" s="3"/>
      <c r="J316" s="3"/>
      <c r="K316" s="3"/>
      <c r="L316" s="3"/>
    </row>
    <row r="317" spans="1:12" ht="11.25" x14ac:dyDescent="0.2">
      <c r="A317" s="3">
        <f>A315+1</f>
        <v>13</v>
      </c>
      <c r="B317" s="24">
        <f>Input!A220</f>
        <v>374.1</v>
      </c>
      <c r="C317" s="3" t="str">
        <f>Input!B220</f>
        <v>LAND - CITY GATE &amp; M/L IND M&amp;R</v>
      </c>
      <c r="D317" s="325">
        <f>Input!C220</f>
        <v>5</v>
      </c>
      <c r="E317" s="3">
        <f>Classification!F317</f>
        <v>0</v>
      </c>
      <c r="F317" s="3">
        <f>ROUND((VLOOKUP($D317,'Alloc Table Cust'!$B$7:$S$58,13,FALSE)*$E317),0)</f>
        <v>0</v>
      </c>
      <c r="G317" s="3">
        <f>ROUND((VLOOKUP($D317,'Alloc Table Cust'!$B$7:$T$58,14,FALSE)*$E317),0)</f>
        <v>0</v>
      </c>
      <c r="H317" s="3">
        <f>ROUND((VLOOKUP($D317,'Alloc Table Cust'!$B$7:$T$58,15,FALSE)*$E317),0)</f>
        <v>0</v>
      </c>
      <c r="I317" s="3">
        <f>ROUND((VLOOKUP($D317,'Alloc Table Cust'!$B$7:$T$58,16,FALSE)*$E317),0)</f>
        <v>0</v>
      </c>
      <c r="J317" s="3">
        <f>ROUND((VLOOKUP($D317,'Alloc Table Cust'!$B$7:$T$58,17,FALSE)*$E317),0)</f>
        <v>0</v>
      </c>
      <c r="K317" s="3">
        <f>ROUND((VLOOKUP($D317,'Alloc Table Cust'!$B$7:$T$58,18,FALSE)*$E317),0)</f>
        <v>0</v>
      </c>
      <c r="L317" s="3">
        <f>ROUND((VLOOKUP($D317,'Alloc Table Cust'!$B$7:$T$58,19,FALSE)*$E317),0)</f>
        <v>0</v>
      </c>
    </row>
    <row r="318" spans="1:12" ht="11.25" x14ac:dyDescent="0.2">
      <c r="A318" s="3">
        <f t="shared" ref="A318:A336" si="45">A317+1</f>
        <v>14</v>
      </c>
      <c r="B318" s="24">
        <f>Input!A221</f>
        <v>374.2</v>
      </c>
      <c r="C318" s="3" t="str">
        <f>Input!B221</f>
        <v>LAND - OTHER DISTRIBUTION</v>
      </c>
      <c r="D318" s="325">
        <f>Input!C221</f>
        <v>5</v>
      </c>
      <c r="E318" s="3">
        <f>Classification!F318</f>
        <v>0</v>
      </c>
      <c r="F318" s="3">
        <f>ROUND((VLOOKUP($D318,'Alloc Table Cust'!$B$7:$S$58,13,FALSE)*$E318),0)</f>
        <v>0</v>
      </c>
      <c r="G318" s="3">
        <f>ROUND((VLOOKUP($D318,'Alloc Table Cust'!$B$7:$T$58,14,FALSE)*$E318),0)</f>
        <v>0</v>
      </c>
      <c r="H318" s="3">
        <f>ROUND((VLOOKUP($D318,'Alloc Table Cust'!$B$7:$T$58,15,FALSE)*$E318),0)</f>
        <v>0</v>
      </c>
      <c r="I318" s="3">
        <f>ROUND((VLOOKUP($D318,'Alloc Table Cust'!$B$7:$T$58,16,FALSE)*$E318),0)</f>
        <v>0</v>
      </c>
      <c r="J318" s="3">
        <f>ROUND((VLOOKUP($D318,'Alloc Table Cust'!$B$7:$T$58,17,FALSE)*$E318),0)</f>
        <v>0</v>
      </c>
      <c r="K318" s="3">
        <f>ROUND((VLOOKUP($D318,'Alloc Table Cust'!$B$7:$T$58,18,FALSE)*$E318),0)</f>
        <v>0</v>
      </c>
      <c r="L318" s="3">
        <f>ROUND((VLOOKUP($D318,'Alloc Table Cust'!$B$7:$T$58,19,FALSE)*$E318),0)</f>
        <v>0</v>
      </c>
    </row>
    <row r="319" spans="1:12" ht="11.25" x14ac:dyDescent="0.2">
      <c r="A319" s="3">
        <f t="shared" si="45"/>
        <v>15</v>
      </c>
      <c r="B319" s="24">
        <f>Input!A222</f>
        <v>374.4</v>
      </c>
      <c r="C319" s="3" t="str">
        <f>Input!B222</f>
        <v>LAND RIGHTS - OTHER DISTRIBUTION</v>
      </c>
      <c r="D319" s="325">
        <f>Input!C222</f>
        <v>5</v>
      </c>
      <c r="E319" s="3">
        <f>Classification!F319</f>
        <v>0</v>
      </c>
      <c r="F319" s="3">
        <f>ROUND((VLOOKUP($D319,'Alloc Table Cust'!$B$7:$S$58,13,FALSE)*$E319),0)</f>
        <v>0</v>
      </c>
      <c r="G319" s="3">
        <f>ROUND((VLOOKUP($D319,'Alloc Table Cust'!$B$7:$T$58,14,FALSE)*$E319),0)</f>
        <v>0</v>
      </c>
      <c r="H319" s="3">
        <f>ROUND((VLOOKUP($D319,'Alloc Table Cust'!$B$7:$T$58,15,FALSE)*$E319),0)</f>
        <v>0</v>
      </c>
      <c r="I319" s="3">
        <f>ROUND((VLOOKUP($D319,'Alloc Table Cust'!$B$7:$T$58,16,FALSE)*$E319),0)</f>
        <v>0</v>
      </c>
      <c r="J319" s="3">
        <f>ROUND((VLOOKUP($D319,'Alloc Table Cust'!$B$7:$T$58,17,FALSE)*$E319),0)</f>
        <v>0</v>
      </c>
      <c r="K319" s="3">
        <f>ROUND((VLOOKUP($D319,'Alloc Table Cust'!$B$7:$T$58,18,FALSE)*$E319),0)</f>
        <v>0</v>
      </c>
      <c r="L319" s="3">
        <f>ROUND((VLOOKUP($D319,'Alloc Table Cust'!$B$7:$T$58,19,FALSE)*$E319),0)</f>
        <v>0</v>
      </c>
    </row>
    <row r="320" spans="1:12" ht="11.25" x14ac:dyDescent="0.2">
      <c r="A320" s="3">
        <f t="shared" si="45"/>
        <v>16</v>
      </c>
      <c r="B320" s="24">
        <f>Input!A223</f>
        <v>374.5</v>
      </c>
      <c r="C320" s="3" t="str">
        <f>Input!B223</f>
        <v>RIGHTS OF WAY</v>
      </c>
      <c r="D320" s="325">
        <f>Input!C223</f>
        <v>5</v>
      </c>
      <c r="E320" s="3">
        <f>Classification!F320</f>
        <v>0</v>
      </c>
      <c r="F320" s="3">
        <f>ROUND((VLOOKUP($D320,'Alloc Table Cust'!$B$7:$S$58,13,FALSE)*$E320),0)</f>
        <v>0</v>
      </c>
      <c r="G320" s="3">
        <f>ROUND((VLOOKUP($D320,'Alloc Table Cust'!$B$7:$T$58,14,FALSE)*$E320),0)</f>
        <v>0</v>
      </c>
      <c r="H320" s="3">
        <f>ROUND((VLOOKUP($D320,'Alloc Table Cust'!$B$7:$T$58,15,FALSE)*$E320),0)</f>
        <v>0</v>
      </c>
      <c r="I320" s="3">
        <f>ROUND((VLOOKUP($D320,'Alloc Table Cust'!$B$7:$T$58,16,FALSE)*$E320),0)</f>
        <v>0</v>
      </c>
      <c r="J320" s="3">
        <f>ROUND((VLOOKUP($D320,'Alloc Table Cust'!$B$7:$T$58,17,FALSE)*$E320),0)</f>
        <v>0</v>
      </c>
      <c r="K320" s="3">
        <f>ROUND((VLOOKUP($D320,'Alloc Table Cust'!$B$7:$T$58,18,FALSE)*$E320),0)</f>
        <v>0</v>
      </c>
      <c r="L320" s="3">
        <f>ROUND((VLOOKUP($D320,'Alloc Table Cust'!$B$7:$T$58,19,FALSE)*$E320),0)</f>
        <v>0</v>
      </c>
    </row>
    <row r="321" spans="1:12" ht="11.25" x14ac:dyDescent="0.2">
      <c r="A321" s="3">
        <f t="shared" si="45"/>
        <v>17</v>
      </c>
      <c r="B321" s="24">
        <f>Input!A224</f>
        <v>375.2</v>
      </c>
      <c r="C321" s="3" t="str">
        <f>Input!B224</f>
        <v>CITY GATE - MEAS &amp; REG STRUCTURES</v>
      </c>
      <c r="D321" s="325">
        <f>Input!C224</f>
        <v>5</v>
      </c>
      <c r="E321" s="3">
        <f>Classification!F321</f>
        <v>0</v>
      </c>
      <c r="F321" s="3">
        <f>ROUND((VLOOKUP($D321,'Alloc Table Cust'!$B$7:$S$58,13,FALSE)*$E321),0)</f>
        <v>0</v>
      </c>
      <c r="G321" s="3">
        <f>ROUND((VLOOKUP($D321,'Alloc Table Cust'!$B$7:$T$58,14,FALSE)*$E321),0)</f>
        <v>0</v>
      </c>
      <c r="H321" s="3">
        <f>ROUND((VLOOKUP($D321,'Alloc Table Cust'!$B$7:$T$58,15,FALSE)*$E321),0)</f>
        <v>0</v>
      </c>
      <c r="I321" s="3">
        <f>ROUND((VLOOKUP($D321,'Alloc Table Cust'!$B$7:$T$58,16,FALSE)*$E321),0)</f>
        <v>0</v>
      </c>
      <c r="J321" s="3">
        <f>ROUND((VLOOKUP($D321,'Alloc Table Cust'!$B$7:$T$58,17,FALSE)*$E321),0)</f>
        <v>0</v>
      </c>
      <c r="K321" s="3">
        <f>ROUND((VLOOKUP($D321,'Alloc Table Cust'!$B$7:$T$58,18,FALSE)*$E321),0)</f>
        <v>0</v>
      </c>
      <c r="L321" s="3">
        <f>ROUND((VLOOKUP($D321,'Alloc Table Cust'!$B$7:$T$58,19,FALSE)*$E321),0)</f>
        <v>0</v>
      </c>
    </row>
    <row r="322" spans="1:12" ht="11.25" x14ac:dyDescent="0.2">
      <c r="A322" s="3">
        <f t="shared" si="45"/>
        <v>18</v>
      </c>
      <c r="B322" s="24">
        <f>Input!A225</f>
        <v>375.3</v>
      </c>
      <c r="C322" s="3" t="str">
        <f>Input!B225</f>
        <v>STRUC &amp; IMPROV-GENERAL M&amp;R</v>
      </c>
      <c r="D322" s="325">
        <f>Input!C225</f>
        <v>5</v>
      </c>
      <c r="E322" s="3">
        <f>Classification!F322</f>
        <v>0</v>
      </c>
      <c r="F322" s="3">
        <f>ROUND((VLOOKUP($D322,'Alloc Table Cust'!$B$7:$S$58,13,FALSE)*$E322),0)</f>
        <v>0</v>
      </c>
      <c r="G322" s="3">
        <f>ROUND((VLOOKUP($D322,'Alloc Table Cust'!$B$7:$T$58,14,FALSE)*$E322),0)</f>
        <v>0</v>
      </c>
      <c r="H322" s="3">
        <f>ROUND((VLOOKUP($D322,'Alloc Table Cust'!$B$7:$T$58,15,FALSE)*$E322),0)</f>
        <v>0</v>
      </c>
      <c r="I322" s="3">
        <f>ROUND((VLOOKUP($D322,'Alloc Table Cust'!$B$7:$T$58,16,FALSE)*$E322),0)</f>
        <v>0</v>
      </c>
      <c r="J322" s="3">
        <f>ROUND((VLOOKUP($D322,'Alloc Table Cust'!$B$7:$T$58,17,FALSE)*$E322),0)</f>
        <v>0</v>
      </c>
      <c r="K322" s="3">
        <f>ROUND((VLOOKUP($D322,'Alloc Table Cust'!$B$7:$T$58,18,FALSE)*$E322),0)</f>
        <v>0</v>
      </c>
      <c r="L322" s="3">
        <f>ROUND((VLOOKUP($D322,'Alloc Table Cust'!$B$7:$T$58,19,FALSE)*$E322),0)</f>
        <v>0</v>
      </c>
    </row>
    <row r="323" spans="1:12" ht="11.25" x14ac:dyDescent="0.2">
      <c r="A323" s="3">
        <f t="shared" si="45"/>
        <v>19</v>
      </c>
      <c r="B323" s="24">
        <f>Input!A226</f>
        <v>375.4</v>
      </c>
      <c r="C323" s="3" t="str">
        <f>Input!B226</f>
        <v>STRUC &amp; IMPROV-REGULATING</v>
      </c>
      <c r="D323" s="325">
        <f>Input!C226</f>
        <v>5</v>
      </c>
      <c r="E323" s="3">
        <f>Classification!F323</f>
        <v>0</v>
      </c>
      <c r="F323" s="3">
        <f>ROUND((VLOOKUP($D323,'Alloc Table Cust'!$B$7:$S$58,13,FALSE)*$E323),0)</f>
        <v>0</v>
      </c>
      <c r="G323" s="3">
        <f>ROUND((VLOOKUP($D323,'Alloc Table Cust'!$B$7:$T$58,14,FALSE)*$E323),0)</f>
        <v>0</v>
      </c>
      <c r="H323" s="3">
        <f>ROUND((VLOOKUP($D323,'Alloc Table Cust'!$B$7:$T$58,15,FALSE)*$E323),0)</f>
        <v>0</v>
      </c>
      <c r="I323" s="3">
        <f>ROUND((VLOOKUP($D323,'Alloc Table Cust'!$B$7:$T$58,16,FALSE)*$E323),0)</f>
        <v>0</v>
      </c>
      <c r="J323" s="3">
        <f>ROUND((VLOOKUP($D323,'Alloc Table Cust'!$B$7:$T$58,17,FALSE)*$E323),0)</f>
        <v>0</v>
      </c>
      <c r="K323" s="3">
        <f>ROUND((VLOOKUP($D323,'Alloc Table Cust'!$B$7:$T$58,18,FALSE)*$E323),0)</f>
        <v>0</v>
      </c>
      <c r="L323" s="3">
        <f>ROUND((VLOOKUP($D323,'Alloc Table Cust'!$B$7:$T$58,19,FALSE)*$E323),0)</f>
        <v>0</v>
      </c>
    </row>
    <row r="324" spans="1:12" ht="11.25" x14ac:dyDescent="0.2">
      <c r="A324" s="3">
        <f t="shared" si="45"/>
        <v>20</v>
      </c>
      <c r="B324" s="24">
        <f>B323</f>
        <v>375.4</v>
      </c>
      <c r="C324" s="3" t="str">
        <f>"DIRECT "&amp;C323</f>
        <v>DIRECT STRUC &amp; IMPROV-REGULATING</v>
      </c>
      <c r="D324" s="325"/>
      <c r="E324" s="3">
        <f>Classification!F324</f>
        <v>0</v>
      </c>
      <c r="F324" s="3">
        <v>0</v>
      </c>
      <c r="G324" s="3">
        <v>0</v>
      </c>
      <c r="H324" s="3">
        <v>0</v>
      </c>
      <c r="I324" s="3">
        <f>E324</f>
        <v>0</v>
      </c>
      <c r="J324" s="3">
        <v>0</v>
      </c>
      <c r="K324" s="3">
        <v>0</v>
      </c>
      <c r="L324" s="3">
        <v>0</v>
      </c>
    </row>
    <row r="325" spans="1:12" ht="11.25" x14ac:dyDescent="0.2">
      <c r="A325" s="3">
        <f t="shared" si="45"/>
        <v>21</v>
      </c>
      <c r="B325" s="24">
        <f>Input!A227</f>
        <v>375.6</v>
      </c>
      <c r="C325" s="3" t="str">
        <f>Input!B227</f>
        <v>STRUC &amp; IMPROV-DIST. IND. M &amp; R</v>
      </c>
      <c r="D325" s="325">
        <f>Input!C227</f>
        <v>8</v>
      </c>
      <c r="E325" s="3">
        <f>Classification!F325</f>
        <v>0</v>
      </c>
      <c r="F325" s="3">
        <f>ROUND((VLOOKUP($D325,'Alloc Table Cust'!$B$7:$S$58,13,FALSE)*$E325),0)</f>
        <v>0</v>
      </c>
      <c r="G325" s="3">
        <f>ROUND((VLOOKUP($D325,'Alloc Table Cust'!$B$7:$T$58,14,FALSE)*$E325),0)</f>
        <v>0</v>
      </c>
      <c r="H325" s="3">
        <f>ROUND((VLOOKUP($D325,'Alloc Table Cust'!$B$7:$T$58,15,FALSE)*$E325),0)</f>
        <v>0</v>
      </c>
      <c r="I325" s="3">
        <f>ROUND((VLOOKUP($D325,'Alloc Table Cust'!$B$7:$T$58,16,FALSE)*$E325),0)</f>
        <v>0</v>
      </c>
      <c r="J325" s="3">
        <f>ROUND((VLOOKUP($D325,'Alloc Table Cust'!$B$7:$T$58,17,FALSE)*$E325),0)</f>
        <v>0</v>
      </c>
      <c r="K325" s="3">
        <f>ROUND((VLOOKUP($D325,'Alloc Table Cust'!$B$7:$T$58,18,FALSE)*$E325),0)</f>
        <v>0</v>
      </c>
      <c r="L325" s="3">
        <f>ROUND((VLOOKUP($D325,'Alloc Table Cust'!$B$7:$T$58,19,FALSE)*$E325),0)</f>
        <v>0</v>
      </c>
    </row>
    <row r="326" spans="1:12" ht="11.25" x14ac:dyDescent="0.2">
      <c r="A326" s="3">
        <f t="shared" si="45"/>
        <v>22</v>
      </c>
      <c r="B326" s="24">
        <f>Input!A228</f>
        <v>375.7</v>
      </c>
      <c r="C326" s="3" t="str">
        <f>Input!B228</f>
        <v>STRUC &amp; IMPROV-OTHER DIST. SYSTEM</v>
      </c>
      <c r="D326" s="325" t="str">
        <f>D240</f>
        <v>7CUST</v>
      </c>
      <c r="E326" s="3">
        <f>Classification!F326</f>
        <v>77723</v>
      </c>
      <c r="F326" s="3">
        <f ca="1">ROUND((VLOOKUP($D326,'Alloc Table Cust'!$B$7:$S$58,13,FALSE)*$E326),0)</f>
        <v>64242</v>
      </c>
      <c r="G326" s="3">
        <f ca="1">ROUND((VLOOKUP($D326,'Alloc Table Cust'!$B$7:$T$58,14,FALSE)*$E326),0)</f>
        <v>11980</v>
      </c>
      <c r="H326" s="3">
        <f ca="1">ROUND((VLOOKUP($D326,'Alloc Table Cust'!$B$7:$T$58,15,FALSE)*$E326),0)</f>
        <v>3</v>
      </c>
      <c r="I326" s="3">
        <f ca="1">ROUND((VLOOKUP($D326,'Alloc Table Cust'!$B$7:$T$58,16,FALSE)*$E326),0)</f>
        <v>308</v>
      </c>
      <c r="J326" s="3">
        <f ca="1">ROUND((VLOOKUP($D326,'Alloc Table Cust'!$B$7:$T$58,17,FALSE)*$E326),0)</f>
        <v>1190</v>
      </c>
      <c r="K326" s="3">
        <f ca="1">ROUND((VLOOKUP($D326,'Alloc Table Cust'!$B$7:$T$58,18,FALSE)*$E326),0)</f>
        <v>0</v>
      </c>
      <c r="L326" s="3">
        <f ca="1">ROUND((VLOOKUP($D326,'Alloc Table Cust'!$B$7:$T$58,19,FALSE)*$E326),0)</f>
        <v>0</v>
      </c>
    </row>
    <row r="327" spans="1:12" ht="11.25" x14ac:dyDescent="0.2">
      <c r="A327" s="3">
        <f t="shared" si="45"/>
        <v>23</v>
      </c>
      <c r="B327" s="24">
        <f>Input!A229</f>
        <v>375.71</v>
      </c>
      <c r="C327" s="3" t="str">
        <f>Input!B229</f>
        <v>STRUCT &amp; IMPROV-OTHER DIST. SYSTEM-IMPROV</v>
      </c>
      <c r="D327" s="325" t="str">
        <f>D241</f>
        <v>7CUST</v>
      </c>
      <c r="E327" s="3">
        <f>Classification!F327</f>
        <v>13830</v>
      </c>
      <c r="F327" s="3">
        <f ca="1">ROUND((VLOOKUP($D327,'Alloc Table Cust'!$B$7:$S$58,13,FALSE)*$E327),0)</f>
        <v>11431</v>
      </c>
      <c r="G327" s="3">
        <f ca="1">ROUND((VLOOKUP($D327,'Alloc Table Cust'!$B$7:$T$58,14,FALSE)*$E327),0)</f>
        <v>2132</v>
      </c>
      <c r="H327" s="3">
        <f ca="1">ROUND((VLOOKUP($D327,'Alloc Table Cust'!$B$7:$T$58,15,FALSE)*$E327),0)</f>
        <v>1</v>
      </c>
      <c r="I327" s="3">
        <f ca="1">ROUND((VLOOKUP($D327,'Alloc Table Cust'!$B$7:$T$58,16,FALSE)*$E327),0)</f>
        <v>55</v>
      </c>
      <c r="J327" s="3">
        <f ca="1">ROUND((VLOOKUP($D327,'Alloc Table Cust'!$B$7:$T$58,17,FALSE)*$E327),0)</f>
        <v>212</v>
      </c>
      <c r="K327" s="3">
        <f ca="1">ROUND((VLOOKUP($D327,'Alloc Table Cust'!$B$7:$T$58,18,FALSE)*$E327),0)</f>
        <v>0</v>
      </c>
      <c r="L327" s="3">
        <f ca="1">ROUND((VLOOKUP($D327,'Alloc Table Cust'!$B$7:$T$58,19,FALSE)*$E327),0)</f>
        <v>0</v>
      </c>
    </row>
    <row r="328" spans="1:12" ht="11.25" x14ac:dyDescent="0.2">
      <c r="A328" s="3">
        <f t="shared" si="45"/>
        <v>24</v>
      </c>
      <c r="B328" s="24">
        <f>Input!A230</f>
        <v>375.8</v>
      </c>
      <c r="C328" s="3" t="str">
        <f>Input!B230</f>
        <v>STRUC &amp; IMPROV-COMMUNICATION</v>
      </c>
      <c r="D328" s="325">
        <f>Input!C230</f>
        <v>5</v>
      </c>
      <c r="E328" s="3">
        <f>Classification!F328</f>
        <v>0</v>
      </c>
      <c r="F328" s="3">
        <f>ROUND((VLOOKUP($D328,'Alloc Table Cust'!$B$7:$S$58,13,FALSE)*$E328),0)</f>
        <v>0</v>
      </c>
      <c r="G328" s="3">
        <f>ROUND((VLOOKUP($D328,'Alloc Table Cust'!$B$7:$T$58,14,FALSE)*$E328),0)</f>
        <v>0</v>
      </c>
      <c r="H328" s="3">
        <f>ROUND((VLOOKUP($D328,'Alloc Table Cust'!$B$7:$T$58,15,FALSE)*$E328),0)</f>
        <v>0</v>
      </c>
      <c r="I328" s="3">
        <f>ROUND((VLOOKUP($D328,'Alloc Table Cust'!$B$7:$T$58,16,FALSE)*$E328),0)</f>
        <v>0</v>
      </c>
      <c r="J328" s="3">
        <f>ROUND((VLOOKUP($D328,'Alloc Table Cust'!$B$7:$T$58,17,FALSE)*$E328),0)</f>
        <v>0</v>
      </c>
      <c r="K328" s="3">
        <f>ROUND((VLOOKUP($D328,'Alloc Table Cust'!$B$7:$T$58,18,FALSE)*$E328),0)</f>
        <v>0</v>
      </c>
      <c r="L328" s="3">
        <f>ROUND((VLOOKUP($D328,'Alloc Table Cust'!$B$7:$T$58,19,FALSE)*$E328),0)</f>
        <v>0</v>
      </c>
    </row>
    <row r="329" spans="1:12" ht="11.25" x14ac:dyDescent="0.2">
      <c r="A329" s="3">
        <f t="shared" si="45"/>
        <v>25</v>
      </c>
      <c r="B329" s="24">
        <f>Input!A231</f>
        <v>376</v>
      </c>
      <c r="C329" s="3" t="str">
        <f>Input!B231</f>
        <v>MAINS</v>
      </c>
      <c r="D329" s="325">
        <f>Input!C231</f>
        <v>5</v>
      </c>
      <c r="E329" s="3">
        <f>Classification!F329</f>
        <v>0</v>
      </c>
      <c r="F329" s="3">
        <f>ROUND((VLOOKUP($D329,'Alloc Table Cust'!$B$7:$S$58,13,FALSE)*$E329),0)</f>
        <v>0</v>
      </c>
      <c r="G329" s="3">
        <f>ROUND((VLOOKUP($D329,'Alloc Table Cust'!$B$7:$T$58,14,FALSE)*$E329),0)</f>
        <v>0</v>
      </c>
      <c r="H329" s="3">
        <f>ROUND((VLOOKUP($D329,'Alloc Table Cust'!$B$7:$T$58,15,FALSE)*$E329),0)</f>
        <v>0</v>
      </c>
      <c r="I329" s="3">
        <f>ROUND((VLOOKUP($D329,'Alloc Table Cust'!$B$7:$T$58,16,FALSE)*$E329),0)</f>
        <v>0</v>
      </c>
      <c r="J329" s="3">
        <f>ROUND((VLOOKUP($D329,'Alloc Table Cust'!$B$7:$T$58,17,FALSE)*$E329),0)</f>
        <v>0</v>
      </c>
      <c r="K329" s="3">
        <f>ROUND((VLOOKUP($D329,'Alloc Table Cust'!$B$7:$T$58,18,FALSE)*$E329),0)</f>
        <v>0</v>
      </c>
      <c r="L329" s="3">
        <f>ROUND((VLOOKUP($D329,'Alloc Table Cust'!$B$7:$T$58,19,FALSE)*$E329),0)</f>
        <v>0</v>
      </c>
    </row>
    <row r="330" spans="1:12" ht="11.25" x14ac:dyDescent="0.2">
      <c r="A330" s="3">
        <f t="shared" si="45"/>
        <v>26</v>
      </c>
      <c r="B330" s="24">
        <f>Input!A231</f>
        <v>376</v>
      </c>
      <c r="C330" s="3" t="str">
        <f>"DIRECT "&amp;+Input!B231</f>
        <v>DIRECT MAINS</v>
      </c>
      <c r="D330" s="325"/>
      <c r="E330" s="3">
        <f>Classification!F330</f>
        <v>0</v>
      </c>
      <c r="F330" s="3">
        <v>0</v>
      </c>
      <c r="G330" s="3">
        <v>0</v>
      </c>
      <c r="H330" s="3">
        <v>0</v>
      </c>
      <c r="I330" s="3">
        <f>E330</f>
        <v>0</v>
      </c>
      <c r="J330" s="3">
        <v>0</v>
      </c>
      <c r="K330" s="3">
        <v>0</v>
      </c>
      <c r="L330" s="3">
        <v>0</v>
      </c>
    </row>
    <row r="331" spans="1:12" ht="11.25" x14ac:dyDescent="0.2">
      <c r="A331" s="3">
        <f t="shared" si="45"/>
        <v>27</v>
      </c>
      <c r="B331" s="24">
        <f>Input!A232</f>
        <v>378.1</v>
      </c>
      <c r="C331" s="3" t="str">
        <f>Input!B232</f>
        <v>M &amp; R GENERAL</v>
      </c>
      <c r="D331" s="325">
        <f>Input!C232</f>
        <v>5</v>
      </c>
      <c r="E331" s="3">
        <f>Classification!F331</f>
        <v>0</v>
      </c>
      <c r="F331" s="3">
        <f>ROUND((VLOOKUP($D331,'Alloc Table Cust'!$B$7:$S$58,13,FALSE)*$E331),0)</f>
        <v>0</v>
      </c>
      <c r="G331" s="3">
        <f>ROUND((VLOOKUP($D331,'Alloc Table Cust'!$B$7:$T$58,14,FALSE)*$E331),0)</f>
        <v>0</v>
      </c>
      <c r="H331" s="3">
        <f>ROUND((VLOOKUP($D331,'Alloc Table Cust'!$B$7:$T$58,15,FALSE)*$E331),0)</f>
        <v>0</v>
      </c>
      <c r="I331" s="3">
        <f>ROUND((VLOOKUP($D331,'Alloc Table Cust'!$B$7:$T$58,16,FALSE)*$E331),0)</f>
        <v>0</v>
      </c>
      <c r="J331" s="3">
        <f>ROUND((VLOOKUP($D331,'Alloc Table Cust'!$B$7:$T$58,17,FALSE)*$E331),0)</f>
        <v>0</v>
      </c>
      <c r="K331" s="3">
        <f>ROUND((VLOOKUP($D331,'Alloc Table Cust'!$B$7:$T$58,18,FALSE)*$E331),0)</f>
        <v>0</v>
      </c>
      <c r="L331" s="3">
        <f>ROUND((VLOOKUP($D331,'Alloc Table Cust'!$B$7:$T$58,19,FALSE)*$E331),0)</f>
        <v>0</v>
      </c>
    </row>
    <row r="332" spans="1:12" ht="11.25" x14ac:dyDescent="0.2">
      <c r="A332" s="3">
        <f t="shared" si="45"/>
        <v>28</v>
      </c>
      <c r="B332" s="24">
        <f>Input!A233</f>
        <v>378.2</v>
      </c>
      <c r="C332" s="3" t="str">
        <f>Input!B233</f>
        <v>M &amp; R GENERAL - REGULATING</v>
      </c>
      <c r="D332" s="325">
        <f>Input!C233</f>
        <v>5</v>
      </c>
      <c r="E332" s="3">
        <f>Classification!F332</f>
        <v>0</v>
      </c>
      <c r="F332" s="3">
        <f>ROUND((VLOOKUP($D332,'Alloc Table Cust'!$B$7:$S$58,13,FALSE)*$E332),0)</f>
        <v>0</v>
      </c>
      <c r="G332" s="3">
        <f>ROUND((VLOOKUP($D332,'Alloc Table Cust'!$B$7:$T$58,14,FALSE)*$E332),0)</f>
        <v>0</v>
      </c>
      <c r="H332" s="3">
        <f>ROUND((VLOOKUP($D332,'Alloc Table Cust'!$B$7:$T$58,15,FALSE)*$E332),0)</f>
        <v>0</v>
      </c>
      <c r="I332" s="3">
        <f>ROUND((VLOOKUP($D332,'Alloc Table Cust'!$B$7:$T$58,16,FALSE)*$E332),0)</f>
        <v>0</v>
      </c>
      <c r="J332" s="3">
        <f>ROUND((VLOOKUP($D332,'Alloc Table Cust'!$B$7:$T$58,17,FALSE)*$E332),0)</f>
        <v>0</v>
      </c>
      <c r="K332" s="3">
        <f>ROUND((VLOOKUP($D332,'Alloc Table Cust'!$B$7:$T$58,18,FALSE)*$E332),0)</f>
        <v>0</v>
      </c>
      <c r="L332" s="3">
        <f>ROUND((VLOOKUP($D332,'Alloc Table Cust'!$B$7:$T$58,19,FALSE)*$E332),0)</f>
        <v>0</v>
      </c>
    </row>
    <row r="333" spans="1:12" ht="11.25" x14ac:dyDescent="0.2">
      <c r="A333" s="3">
        <f t="shared" si="45"/>
        <v>29</v>
      </c>
      <c r="B333" s="24">
        <f>Input!A234</f>
        <v>378.3</v>
      </c>
      <c r="C333" s="3" t="str">
        <f>Input!B234</f>
        <v>M &amp; R EQUIP - LOCAL GAS PURCHASES</v>
      </c>
      <c r="D333" s="325">
        <f>Input!C234</f>
        <v>5</v>
      </c>
      <c r="E333" s="3">
        <f>Classification!F333</f>
        <v>0</v>
      </c>
      <c r="F333" s="3">
        <f>ROUND((VLOOKUP($D333,'Alloc Table Cust'!$B$7:$S$58,13,FALSE)*$E333),0)</f>
        <v>0</v>
      </c>
      <c r="G333" s="3">
        <f>ROUND((VLOOKUP($D333,'Alloc Table Cust'!$B$7:$T$58,14,FALSE)*$E333),0)</f>
        <v>0</v>
      </c>
      <c r="H333" s="3">
        <f>ROUND((VLOOKUP($D333,'Alloc Table Cust'!$B$7:$T$58,15,FALSE)*$E333),0)</f>
        <v>0</v>
      </c>
      <c r="I333" s="3">
        <f>ROUND((VLOOKUP($D333,'Alloc Table Cust'!$B$7:$T$58,16,FALSE)*$E333),0)</f>
        <v>0</v>
      </c>
      <c r="J333" s="3">
        <f>ROUND((VLOOKUP($D333,'Alloc Table Cust'!$B$7:$T$58,17,FALSE)*$E333),0)</f>
        <v>0</v>
      </c>
      <c r="K333" s="3">
        <f>ROUND((VLOOKUP($D333,'Alloc Table Cust'!$B$7:$T$58,18,FALSE)*$E333),0)</f>
        <v>0</v>
      </c>
      <c r="L333" s="3">
        <f>ROUND((VLOOKUP($D333,'Alloc Table Cust'!$B$7:$T$58,19,FALSE)*$E333),0)</f>
        <v>0</v>
      </c>
    </row>
    <row r="334" spans="1:12" ht="11.25" x14ac:dyDescent="0.2">
      <c r="A334" s="3">
        <f t="shared" si="45"/>
        <v>30</v>
      </c>
      <c r="B334" s="24">
        <f>Input!A235</f>
        <v>379.1</v>
      </c>
      <c r="C334" s="3" t="str">
        <f>Input!B235</f>
        <v>STA EQUIP - CITY</v>
      </c>
      <c r="D334" s="325">
        <f>Input!C235</f>
        <v>5</v>
      </c>
      <c r="E334" s="3">
        <f>Classification!F334</f>
        <v>0</v>
      </c>
      <c r="F334" s="3">
        <f>ROUND((VLOOKUP($D334,'Alloc Table Cust'!$B$7:$S$58,13,FALSE)*$E334),0)</f>
        <v>0</v>
      </c>
      <c r="G334" s="3">
        <f>ROUND((VLOOKUP($D334,'Alloc Table Cust'!$B$7:$T$58,14,FALSE)*$E334),0)</f>
        <v>0</v>
      </c>
      <c r="H334" s="3">
        <f>ROUND((VLOOKUP($D334,'Alloc Table Cust'!$B$7:$T$58,15,FALSE)*$E334),0)</f>
        <v>0</v>
      </c>
      <c r="I334" s="3">
        <f>ROUND((VLOOKUP($D334,'Alloc Table Cust'!$B$7:$T$58,16,FALSE)*$E334),0)</f>
        <v>0</v>
      </c>
      <c r="J334" s="3">
        <f>ROUND((VLOOKUP($D334,'Alloc Table Cust'!$B$7:$T$58,17,FALSE)*$E334),0)</f>
        <v>0</v>
      </c>
      <c r="K334" s="3">
        <f>ROUND((VLOOKUP($D334,'Alloc Table Cust'!$B$7:$T$58,18,FALSE)*$E334),0)</f>
        <v>0</v>
      </c>
      <c r="L334" s="3">
        <f>ROUND((VLOOKUP($D334,'Alloc Table Cust'!$B$7:$T$58,19,FALSE)*$E334),0)</f>
        <v>0</v>
      </c>
    </row>
    <row r="335" spans="1:12" ht="11.25" x14ac:dyDescent="0.2">
      <c r="A335" s="3">
        <f t="shared" si="45"/>
        <v>31</v>
      </c>
      <c r="B335" s="24">
        <f>Input!A236</f>
        <v>380</v>
      </c>
      <c r="C335" s="3" t="str">
        <f>Input!B236</f>
        <v>SERVICES</v>
      </c>
      <c r="D335" s="325">
        <f>Input!C236</f>
        <v>15</v>
      </c>
      <c r="E335" s="3">
        <f>Classification!F335</f>
        <v>6496995</v>
      </c>
      <c r="F335" s="3">
        <f ca="1">ROUND((VLOOKUP($D335,'Alloc Table Cust'!$B$7:$S$58,13,FALSE)*$E335),0)</f>
        <v>5732169</v>
      </c>
      <c r="G335" s="3">
        <f ca="1">ROUND((VLOOKUP($D335,'Alloc Table Cust'!$B$7:$T$58,14,FALSE)*$E335),0)</f>
        <v>741827</v>
      </c>
      <c r="H335" s="3">
        <f ca="1">ROUND((VLOOKUP($D335,'Alloc Table Cust'!$B$7:$T$58,15,FALSE)*$E335),0)</f>
        <v>65</v>
      </c>
      <c r="I335" s="3">
        <f ca="1">ROUND((VLOOKUP($D335,'Alloc Table Cust'!$B$7:$T$58,16,FALSE)*$E335),0)</f>
        <v>0</v>
      </c>
      <c r="J335" s="3">
        <f ca="1">ROUND((VLOOKUP($D335,'Alloc Table Cust'!$B$7:$T$58,17,FALSE)*$E335),0)</f>
        <v>22934</v>
      </c>
      <c r="K335" s="3">
        <f ca="1">ROUND((VLOOKUP($D335,'Alloc Table Cust'!$B$7:$T$58,18,FALSE)*$E335),0)</f>
        <v>0</v>
      </c>
      <c r="L335" s="3">
        <f ca="1">ROUND((VLOOKUP($D335,'Alloc Table Cust'!$B$7:$T$58,19,FALSE)*$E335),0)</f>
        <v>0</v>
      </c>
    </row>
    <row r="336" spans="1:12" ht="11.25" x14ac:dyDescent="0.2">
      <c r="A336" s="3">
        <f t="shared" si="45"/>
        <v>32</v>
      </c>
      <c r="B336" s="24">
        <f>Input!A236</f>
        <v>380</v>
      </c>
      <c r="C336" s="3" t="s">
        <v>815</v>
      </c>
      <c r="D336" s="325"/>
      <c r="E336" s="3">
        <f>Classification!F336</f>
        <v>0</v>
      </c>
      <c r="F336" s="3">
        <v>0</v>
      </c>
      <c r="G336" s="3">
        <v>0</v>
      </c>
      <c r="H336" s="3">
        <v>0</v>
      </c>
      <c r="I336" s="3">
        <f>E336</f>
        <v>0</v>
      </c>
      <c r="J336" s="3">
        <v>0</v>
      </c>
      <c r="K336" s="3">
        <v>0</v>
      </c>
      <c r="L336" s="3">
        <v>0</v>
      </c>
    </row>
    <row r="337" spans="1:12" ht="11.25" x14ac:dyDescent="0.2">
      <c r="A337" s="3" t="s">
        <v>817</v>
      </c>
      <c r="B337" s="3"/>
      <c r="C337" s="14"/>
      <c r="D337" s="325"/>
      <c r="E337" s="15"/>
      <c r="F337" s="325" t="str">
        <f>""&amp;+Input!$B$1</f>
        <v>COLUMBIA GAS OF KENTUCKY, INC.</v>
      </c>
      <c r="H337" s="3"/>
      <c r="I337" s="3"/>
      <c r="J337" s="3"/>
      <c r="K337" s="3"/>
      <c r="L337" s="32" t="str">
        <f>Input!$B$2</f>
        <v>ATTACHMENT CEN-2</v>
      </c>
    </row>
    <row r="338" spans="1:12" ht="11.25" x14ac:dyDescent="0.2">
      <c r="A338" s="3" t="str">
        <f>Input!$B$7</f>
        <v>DEMAND-COMMODITY</v>
      </c>
      <c r="B338" s="3"/>
      <c r="C338" s="3"/>
      <c r="D338" s="325"/>
      <c r="E338" s="3"/>
      <c r="F338" s="325" t="s">
        <v>579</v>
      </c>
      <c r="H338" s="3"/>
      <c r="I338" s="3"/>
      <c r="J338" s="3"/>
      <c r="K338" s="3"/>
      <c r="L338" s="32" t="str">
        <f>"PAGE 61 OF "&amp;FIXED(Input!$B$8,0,TRUE)</f>
        <v>PAGE 61 OF 129</v>
      </c>
    </row>
    <row r="339" spans="1:12" ht="11.25" x14ac:dyDescent="0.2">
      <c r="A339" s="17" t="str">
        <f>Input!$B$6</f>
        <v>FORECASTED TEST YEAR - ORIGINAL FILING</v>
      </c>
      <c r="B339" s="17"/>
      <c r="C339" s="17"/>
      <c r="D339" s="34"/>
      <c r="E339" s="17"/>
      <c r="F339" s="19" t="str">
        <f>"FOR THE TWELVE MONTHS ENDED "&amp;Input!$B$4</f>
        <v>FOR THE TWELVE MONTHS ENDED 12/31/2017</v>
      </c>
      <c r="G339" s="329"/>
      <c r="H339" s="17"/>
      <c r="I339" s="17"/>
      <c r="J339" s="17"/>
      <c r="K339" s="17"/>
      <c r="L339" s="183" t="str">
        <f>"WITNESS: "&amp;Input!$B$5</f>
        <v>WITNESS: C. NOTESTONE</v>
      </c>
    </row>
    <row r="340" spans="1:12" ht="11.25" x14ac:dyDescent="0.2">
      <c r="A340" s="325" t="s">
        <v>5</v>
      </c>
      <c r="B340" s="3" t="s">
        <v>6</v>
      </c>
      <c r="C340" s="3"/>
      <c r="D340" s="325" t="s">
        <v>7</v>
      </c>
      <c r="E340" s="325" t="s">
        <v>8</v>
      </c>
      <c r="F340" s="3"/>
      <c r="G340" s="3"/>
      <c r="H340" s="3"/>
      <c r="I340" s="3"/>
      <c r="J340" s="3"/>
      <c r="K340" s="3"/>
      <c r="L340" s="3"/>
    </row>
    <row r="341" spans="1:12" ht="11.25" x14ac:dyDescent="0.2">
      <c r="A341" s="341" t="s">
        <v>9</v>
      </c>
      <c r="B341" s="341" t="s">
        <v>9</v>
      </c>
      <c r="C341" s="34" t="str">
        <f>Customer!C128</f>
        <v xml:space="preserve"> ACCOUNT TITLE</v>
      </c>
      <c r="D341" s="341" t="s">
        <v>10</v>
      </c>
      <c r="E341" s="341" t="s">
        <v>804</v>
      </c>
      <c r="F341" s="341" t="str">
        <f>"  "&amp;+Input!$C$12</f>
        <v xml:space="preserve">  GS-RESIDENTIAL</v>
      </c>
      <c r="G341" s="341" t="str">
        <f>Input!$C$13</f>
        <v>GS-OTHER</v>
      </c>
      <c r="H341" s="341" t="str">
        <f>Input!$C$14</f>
        <v>IUS</v>
      </c>
      <c r="I341" s="341" t="str">
        <f>Input!$C$15</f>
        <v>DS-ML</v>
      </c>
      <c r="J341" s="341" t="str">
        <f>Input!$C$16</f>
        <v>DS/IS</v>
      </c>
      <c r="K341" s="341" t="str">
        <f>Input!$C$17</f>
        <v>NOT USED</v>
      </c>
      <c r="L341" s="341" t="str">
        <f>Input!$C$18</f>
        <v>NOT USED</v>
      </c>
    </row>
    <row r="342" spans="1:12" ht="11.25" x14ac:dyDescent="0.2">
      <c r="A342" s="3"/>
      <c r="B342" s="342" t="s">
        <v>13</v>
      </c>
      <c r="C342" s="342" t="s">
        <v>14</v>
      </c>
      <c r="D342" s="325" t="s">
        <v>15</v>
      </c>
      <c r="E342" s="325" t="s">
        <v>16</v>
      </c>
      <c r="F342" s="325" t="s">
        <v>17</v>
      </c>
      <c r="G342" s="325" t="s">
        <v>18</v>
      </c>
      <c r="H342" s="325" t="s">
        <v>19</v>
      </c>
      <c r="I342" s="325" t="s">
        <v>20</v>
      </c>
      <c r="J342" s="325" t="s">
        <v>21</v>
      </c>
      <c r="K342" s="325" t="s">
        <v>22</v>
      </c>
      <c r="L342" s="325" t="s">
        <v>23</v>
      </c>
    </row>
    <row r="343" spans="1:12" ht="11.25" x14ac:dyDescent="0.2">
      <c r="A343" s="3"/>
      <c r="B343" s="3"/>
      <c r="C343" s="3"/>
      <c r="D343" s="325"/>
      <c r="E343" s="325" t="s">
        <v>26</v>
      </c>
      <c r="F343" s="325" t="s">
        <v>26</v>
      </c>
      <c r="G343" s="325" t="s">
        <v>26</v>
      </c>
      <c r="H343" s="325" t="s">
        <v>26</v>
      </c>
      <c r="I343" s="325" t="s">
        <v>26</v>
      </c>
      <c r="J343" s="325" t="s">
        <v>26</v>
      </c>
      <c r="K343" s="325" t="s">
        <v>26</v>
      </c>
      <c r="L343" s="325" t="s">
        <v>26</v>
      </c>
    </row>
    <row r="344" spans="1:12" ht="11.25" x14ac:dyDescent="0.2">
      <c r="A344" s="3">
        <v>1</v>
      </c>
      <c r="B344" s="24">
        <f>Input!A237</f>
        <v>381</v>
      </c>
      <c r="C344" s="3" t="str">
        <f>Input!B237</f>
        <v>METERS</v>
      </c>
      <c r="D344" s="325">
        <f>Input!C237</f>
        <v>16</v>
      </c>
      <c r="E344" s="3">
        <f>Classification!F344</f>
        <v>1172264</v>
      </c>
      <c r="F344" s="3">
        <f>ROUND((VLOOKUP($D344,'Alloc Table Cust'!$B$7:$S$58,13,FALSE)*$E344),0)</f>
        <v>843350</v>
      </c>
      <c r="G344" s="3">
        <f>ROUND((VLOOKUP($D344,'Alloc Table Cust'!$B$7:$T$58,14,FALSE)*$E344),0)</f>
        <v>323686</v>
      </c>
      <c r="H344" s="3">
        <f>ROUND((VLOOKUP($D344,'Alloc Table Cust'!$B$7:$T$58,15,FALSE)*$E344),0)</f>
        <v>152</v>
      </c>
      <c r="I344" s="3">
        <f>ROUND((VLOOKUP($D344,'Alloc Table Cust'!$B$7:$T$58,16,FALSE)*$E344),0)</f>
        <v>0</v>
      </c>
      <c r="J344" s="3">
        <f>ROUND((VLOOKUP($D344,'Alloc Table Cust'!$B$7:$T$58,17,FALSE)*$E344),0)</f>
        <v>5076</v>
      </c>
      <c r="K344" s="3">
        <f>ROUND((VLOOKUP($D344,'Alloc Table Cust'!$B$7:$T$58,18,FALSE)*$E344),0)</f>
        <v>0</v>
      </c>
      <c r="L344" s="3">
        <f>ROUND((VLOOKUP($D344,'Alloc Table Cust'!$B$7:$T$58,19,FALSE)*$E344),0)</f>
        <v>0</v>
      </c>
    </row>
    <row r="345" spans="1:12" ht="11.25" x14ac:dyDescent="0.2">
      <c r="A345" s="3">
        <f t="shared" ref="A345:A356" si="46">A344+1</f>
        <v>2</v>
      </c>
      <c r="B345" s="24">
        <f>Input!A238</f>
        <v>382</v>
      </c>
      <c r="C345" s="3" t="str">
        <f>Input!B238</f>
        <v>METER INSTALLATIONS</v>
      </c>
      <c r="D345" s="325">
        <f>Input!C238</f>
        <v>16</v>
      </c>
      <c r="E345" s="3">
        <f>Classification!F345</f>
        <v>230831</v>
      </c>
      <c r="F345" s="3">
        <f>ROUND((VLOOKUP($D345,'Alloc Table Cust'!$B$7:$S$58,13,FALSE)*$E345),0)</f>
        <v>166064</v>
      </c>
      <c r="G345" s="3">
        <f>ROUND((VLOOKUP($D345,'Alloc Table Cust'!$B$7:$T$58,14,FALSE)*$E345),0)</f>
        <v>63737</v>
      </c>
      <c r="H345" s="3">
        <f>ROUND((VLOOKUP($D345,'Alloc Table Cust'!$B$7:$T$58,15,FALSE)*$E345),0)</f>
        <v>30</v>
      </c>
      <c r="I345" s="3">
        <f>ROUND((VLOOKUP($D345,'Alloc Table Cust'!$B$7:$T$58,16,FALSE)*$E345),0)</f>
        <v>0</v>
      </c>
      <c r="J345" s="3">
        <f>ROUND((VLOOKUP($D345,'Alloc Table Cust'!$B$7:$T$58,17,FALSE)*$E345),0)</f>
        <v>999</v>
      </c>
      <c r="K345" s="3">
        <f>ROUND((VLOOKUP($D345,'Alloc Table Cust'!$B$7:$T$58,18,FALSE)*$E345),0)</f>
        <v>0</v>
      </c>
      <c r="L345" s="3">
        <f>ROUND((VLOOKUP($D345,'Alloc Table Cust'!$B$7:$T$58,19,FALSE)*$E345),0)</f>
        <v>0</v>
      </c>
    </row>
    <row r="346" spans="1:12" ht="11.25" x14ac:dyDescent="0.2">
      <c r="A346" s="3">
        <f t="shared" si="46"/>
        <v>3</v>
      </c>
      <c r="B346" s="24">
        <f>Input!A239</f>
        <v>383</v>
      </c>
      <c r="C346" s="3" t="str">
        <f>Input!B239</f>
        <v>HOUSE REGULATORS</v>
      </c>
      <c r="D346" s="325">
        <f>Input!C239</f>
        <v>16</v>
      </c>
      <c r="E346" s="3">
        <f>Classification!F346</f>
        <v>157520</v>
      </c>
      <c r="F346" s="3">
        <f>ROUND((VLOOKUP($D346,'Alloc Table Cust'!$B$7:$S$58,13,FALSE)*$E346),0)</f>
        <v>113323</v>
      </c>
      <c r="G346" s="3">
        <f>ROUND((VLOOKUP($D346,'Alloc Table Cust'!$B$7:$T$58,14,FALSE)*$E346),0)</f>
        <v>43494</v>
      </c>
      <c r="H346" s="3">
        <f>ROUND((VLOOKUP($D346,'Alloc Table Cust'!$B$7:$T$58,15,FALSE)*$E346),0)</f>
        <v>20</v>
      </c>
      <c r="I346" s="3">
        <f>ROUND((VLOOKUP($D346,'Alloc Table Cust'!$B$7:$T$58,16,FALSE)*$E346),0)</f>
        <v>0</v>
      </c>
      <c r="J346" s="3">
        <f>ROUND((VLOOKUP($D346,'Alloc Table Cust'!$B$7:$T$58,17,FALSE)*$E346),0)</f>
        <v>682</v>
      </c>
      <c r="K346" s="3">
        <f>ROUND((VLOOKUP($D346,'Alloc Table Cust'!$B$7:$T$58,18,FALSE)*$E346),0)</f>
        <v>0</v>
      </c>
      <c r="L346" s="3">
        <f>ROUND((VLOOKUP($D346,'Alloc Table Cust'!$B$7:$T$58,19,FALSE)*$E346),0)</f>
        <v>0</v>
      </c>
    </row>
    <row r="347" spans="1:12" ht="11.25" x14ac:dyDescent="0.2">
      <c r="A347" s="3">
        <f t="shared" si="46"/>
        <v>4</v>
      </c>
      <c r="B347" s="24">
        <f>Input!A240</f>
        <v>384</v>
      </c>
      <c r="C347" s="3" t="str">
        <f>Input!B240</f>
        <v>HOUSE REG INSTALLATIONS</v>
      </c>
      <c r="D347" s="325">
        <f>Input!C240</f>
        <v>16</v>
      </c>
      <c r="E347" s="3">
        <f>Classification!F347</f>
        <v>22800</v>
      </c>
      <c r="F347" s="3">
        <f>ROUND((VLOOKUP($D347,'Alloc Table Cust'!$B$7:$S$58,13,FALSE)*$E347),0)</f>
        <v>16403</v>
      </c>
      <c r="G347" s="3">
        <f>ROUND((VLOOKUP($D347,'Alloc Table Cust'!$B$7:$T$58,14,FALSE)*$E347),0)</f>
        <v>6296</v>
      </c>
      <c r="H347" s="3">
        <f>ROUND((VLOOKUP($D347,'Alloc Table Cust'!$B$7:$T$58,15,FALSE)*$E347),0)</f>
        <v>3</v>
      </c>
      <c r="I347" s="3">
        <f>ROUND((VLOOKUP($D347,'Alloc Table Cust'!$B$7:$T$58,16,FALSE)*$E347),0)</f>
        <v>0</v>
      </c>
      <c r="J347" s="3">
        <f>ROUND((VLOOKUP($D347,'Alloc Table Cust'!$B$7:$T$58,17,FALSE)*$E347),0)</f>
        <v>99</v>
      </c>
      <c r="K347" s="3">
        <f>ROUND((VLOOKUP($D347,'Alloc Table Cust'!$B$7:$T$58,18,FALSE)*$E347),0)</f>
        <v>0</v>
      </c>
      <c r="L347" s="3">
        <f>ROUND((VLOOKUP($D347,'Alloc Table Cust'!$B$7:$T$58,19,FALSE)*$E347),0)</f>
        <v>0</v>
      </c>
    </row>
    <row r="348" spans="1:12" ht="11.25" x14ac:dyDescent="0.2">
      <c r="A348" s="3">
        <f t="shared" si="46"/>
        <v>5</v>
      </c>
      <c r="B348" s="24">
        <f>Input!A241</f>
        <v>385</v>
      </c>
      <c r="C348" s="3" t="str">
        <f>Input!B241</f>
        <v>IND M&amp;R EQUIPMENT</v>
      </c>
      <c r="D348" s="325">
        <f>Input!C241</f>
        <v>17</v>
      </c>
      <c r="E348" s="3">
        <f>Classification!F348</f>
        <v>158316</v>
      </c>
      <c r="F348" s="3">
        <f>ROUND((VLOOKUP($D348,'Alloc Table Cust'!$B$7:$S$58,13,FALSE)*$E348),0)</f>
        <v>0</v>
      </c>
      <c r="G348" s="3">
        <f>ROUND((VLOOKUP($D348,'Alloc Table Cust'!$B$7:$T$58,14,FALSE)*$E348),0)</f>
        <v>41126</v>
      </c>
      <c r="H348" s="3">
        <f>ROUND((VLOOKUP($D348,'Alloc Table Cust'!$B$7:$T$58,15,FALSE)*$E348),0)</f>
        <v>46</v>
      </c>
      <c r="I348" s="3">
        <f>ROUND((VLOOKUP($D348,'Alloc Table Cust'!$B$7:$T$58,16,FALSE)*$E348),0)</f>
        <v>0</v>
      </c>
      <c r="J348" s="3">
        <f>ROUND((VLOOKUP($D348,'Alloc Table Cust'!$B$7:$T$58,17,FALSE)*$E348),0)</f>
        <v>117146</v>
      </c>
      <c r="K348" s="3">
        <f>ROUND((VLOOKUP($D348,'Alloc Table Cust'!$B$7:$T$58,18,FALSE)*$E348),0)</f>
        <v>0</v>
      </c>
      <c r="L348" s="3">
        <f>ROUND((VLOOKUP($D348,'Alloc Table Cust'!$B$7:$T$58,19,FALSE)*$E348),0)</f>
        <v>0</v>
      </c>
    </row>
    <row r="349" spans="1:12" ht="11.25" x14ac:dyDescent="0.2">
      <c r="A349" s="3">
        <f t="shared" si="46"/>
        <v>6</v>
      </c>
      <c r="B349" s="24">
        <f>'Total Co'!B349</f>
        <v>385</v>
      </c>
      <c r="C349" s="24" t="str">
        <f>'Total Co'!C349</f>
        <v>DIRECT IND M&amp;R EQUIPMENT</v>
      </c>
      <c r="D349" s="325"/>
      <c r="E349" s="3">
        <f>Classification!F349</f>
        <v>13065</v>
      </c>
      <c r="F349" s="3">
        <v>0</v>
      </c>
      <c r="G349" s="3">
        <v>0</v>
      </c>
      <c r="H349" s="3">
        <v>0</v>
      </c>
      <c r="I349" s="3">
        <f>E349</f>
        <v>13065</v>
      </c>
      <c r="J349" s="3">
        <v>0</v>
      </c>
      <c r="K349" s="3">
        <v>0</v>
      </c>
      <c r="L349" s="3">
        <v>0</v>
      </c>
    </row>
    <row r="350" spans="1:12" ht="11.25" x14ac:dyDescent="0.2">
      <c r="A350" s="3">
        <f t="shared" si="46"/>
        <v>7</v>
      </c>
      <c r="B350" s="24">
        <f>Input!A242</f>
        <v>387.2</v>
      </c>
      <c r="C350" s="3" t="str">
        <f>Input!B242</f>
        <v>ODORIZATION</v>
      </c>
      <c r="D350" s="325" t="str">
        <f>D265</f>
        <v>7CUST</v>
      </c>
      <c r="E350" s="3">
        <f>Classification!F350</f>
        <v>0</v>
      </c>
      <c r="F350" s="3">
        <f ca="1">ROUND((VLOOKUP($D350,'Alloc Table Cust'!$B$7:$S$58,13,FALSE)*$E350),0)</f>
        <v>0</v>
      </c>
      <c r="G350" s="3">
        <f ca="1">ROUND((VLOOKUP($D350,'Alloc Table Cust'!$B$7:$T$58,14,FALSE)*$E350),0)</f>
        <v>0</v>
      </c>
      <c r="H350" s="3">
        <f ca="1">ROUND((VLOOKUP($D350,'Alloc Table Cust'!$B$7:$T$58,15,FALSE)*$E350),0)</f>
        <v>0</v>
      </c>
      <c r="I350" s="3">
        <f ca="1">ROUND((VLOOKUP($D350,'Alloc Table Cust'!$B$7:$T$58,16,FALSE)*$E350),0)</f>
        <v>0</v>
      </c>
      <c r="J350" s="3">
        <f ca="1">ROUND((VLOOKUP($D350,'Alloc Table Cust'!$B$7:$T$58,17,FALSE)*$E350),0)</f>
        <v>0</v>
      </c>
      <c r="K350" s="3">
        <f ca="1">ROUND((VLOOKUP($D350,'Alloc Table Cust'!$B$7:$T$58,18,FALSE)*$E350),0)</f>
        <v>0</v>
      </c>
      <c r="L350" s="3">
        <f ca="1">ROUND((VLOOKUP($D350,'Alloc Table Cust'!$B$7:$T$58,19,FALSE)*$E350),0)</f>
        <v>0</v>
      </c>
    </row>
    <row r="351" spans="1:12" ht="11.25" x14ac:dyDescent="0.2">
      <c r="A351" s="3">
        <f t="shared" si="46"/>
        <v>8</v>
      </c>
      <c r="B351" s="24">
        <f>Input!A243</f>
        <v>387.41</v>
      </c>
      <c r="C351" s="3" t="str">
        <f>Input!B243</f>
        <v>TELEPHONE</v>
      </c>
      <c r="D351" s="325" t="str">
        <f t="shared" ref="D351:D355" si="47">D266</f>
        <v>7CUST</v>
      </c>
      <c r="E351" s="3">
        <f>Classification!F351</f>
        <v>11515</v>
      </c>
      <c r="F351" s="3">
        <f ca="1">ROUND((VLOOKUP($D351,'Alloc Table Cust'!$B$7:$S$58,13,FALSE)*$E351),0)</f>
        <v>9518</v>
      </c>
      <c r="G351" s="3">
        <f ca="1">ROUND((VLOOKUP($D351,'Alloc Table Cust'!$B$7:$T$58,14,FALSE)*$E351),0)</f>
        <v>1775</v>
      </c>
      <c r="H351" s="3">
        <f ca="1">ROUND((VLOOKUP($D351,'Alloc Table Cust'!$B$7:$T$58,15,FALSE)*$E351),0)</f>
        <v>0</v>
      </c>
      <c r="I351" s="3">
        <f ca="1">ROUND((VLOOKUP($D351,'Alloc Table Cust'!$B$7:$T$58,16,FALSE)*$E351),0)</f>
        <v>46</v>
      </c>
      <c r="J351" s="3">
        <f ca="1">ROUND((VLOOKUP($D351,'Alloc Table Cust'!$B$7:$T$58,17,FALSE)*$E351),0)</f>
        <v>176</v>
      </c>
      <c r="K351" s="3">
        <f ca="1">ROUND((VLOOKUP($D351,'Alloc Table Cust'!$B$7:$T$58,18,FALSE)*$E351),0)</f>
        <v>0</v>
      </c>
      <c r="L351" s="3">
        <f ca="1">ROUND((VLOOKUP($D351,'Alloc Table Cust'!$B$7:$T$58,19,FALSE)*$E351),0)</f>
        <v>0</v>
      </c>
    </row>
    <row r="352" spans="1:12" ht="11.25" x14ac:dyDescent="0.2">
      <c r="A352" s="3">
        <f t="shared" si="46"/>
        <v>9</v>
      </c>
      <c r="B352" s="24">
        <f>Input!A244</f>
        <v>387.42</v>
      </c>
      <c r="C352" s="3" t="str">
        <f>Input!B244</f>
        <v>RADIO</v>
      </c>
      <c r="D352" s="325" t="str">
        <f t="shared" si="47"/>
        <v>7CUST</v>
      </c>
      <c r="E352" s="3">
        <f>Classification!F352</f>
        <v>12444</v>
      </c>
      <c r="F352" s="3">
        <f ca="1">ROUND((VLOOKUP($D352,'Alloc Table Cust'!$B$7:$S$58,13,FALSE)*$E352),0)</f>
        <v>10286</v>
      </c>
      <c r="G352" s="3">
        <f ca="1">ROUND((VLOOKUP($D352,'Alloc Table Cust'!$B$7:$T$58,14,FALSE)*$E352),0)</f>
        <v>1918</v>
      </c>
      <c r="H352" s="3">
        <f ca="1">ROUND((VLOOKUP($D352,'Alloc Table Cust'!$B$7:$T$58,15,FALSE)*$E352),0)</f>
        <v>0</v>
      </c>
      <c r="I352" s="3">
        <f ca="1">ROUND((VLOOKUP($D352,'Alloc Table Cust'!$B$7:$T$58,16,FALSE)*$E352),0)</f>
        <v>49</v>
      </c>
      <c r="J352" s="3">
        <f ca="1">ROUND((VLOOKUP($D352,'Alloc Table Cust'!$B$7:$T$58,17,FALSE)*$E352),0)</f>
        <v>191</v>
      </c>
      <c r="K352" s="3">
        <f ca="1">ROUND((VLOOKUP($D352,'Alloc Table Cust'!$B$7:$T$58,18,FALSE)*$E352),0)</f>
        <v>0</v>
      </c>
      <c r="L352" s="3">
        <f ca="1">ROUND((VLOOKUP($D352,'Alloc Table Cust'!$B$7:$T$58,19,FALSE)*$E352),0)</f>
        <v>0</v>
      </c>
    </row>
    <row r="353" spans="1:19" ht="11.25" x14ac:dyDescent="0.2">
      <c r="A353" s="3">
        <f t="shared" si="46"/>
        <v>10</v>
      </c>
      <c r="B353" s="24">
        <f>Input!A245</f>
        <v>387.44</v>
      </c>
      <c r="C353" s="3" t="str">
        <f>Input!B245</f>
        <v>OTHER COMMUNICATION</v>
      </c>
      <c r="D353" s="325" t="str">
        <f t="shared" si="47"/>
        <v>7CUST</v>
      </c>
      <c r="E353" s="3">
        <f>Classification!F353</f>
        <v>2089</v>
      </c>
      <c r="F353" s="3">
        <f ca="1">ROUND((VLOOKUP($D353,'Alloc Table Cust'!$B$7:$S$58,13,FALSE)*$E353),0)</f>
        <v>1727</v>
      </c>
      <c r="G353" s="3">
        <f ca="1">ROUND((VLOOKUP($D353,'Alloc Table Cust'!$B$7:$T$58,14,FALSE)*$E353),0)</f>
        <v>322</v>
      </c>
      <c r="H353" s="3">
        <f ca="1">ROUND((VLOOKUP($D353,'Alloc Table Cust'!$B$7:$T$58,15,FALSE)*$E353),0)</f>
        <v>0</v>
      </c>
      <c r="I353" s="3">
        <f ca="1">ROUND((VLOOKUP($D353,'Alloc Table Cust'!$B$7:$T$58,16,FALSE)*$E353),0)</f>
        <v>8</v>
      </c>
      <c r="J353" s="3">
        <f ca="1">ROUND((VLOOKUP($D353,'Alloc Table Cust'!$B$7:$T$58,17,FALSE)*$E353),0)</f>
        <v>32</v>
      </c>
      <c r="K353" s="3">
        <f ca="1">ROUND((VLOOKUP($D353,'Alloc Table Cust'!$B$7:$T$58,18,FALSE)*$E353),0)</f>
        <v>0</v>
      </c>
      <c r="L353" s="3">
        <f ca="1">ROUND((VLOOKUP($D353,'Alloc Table Cust'!$B$7:$T$58,19,FALSE)*$E353),0)</f>
        <v>0</v>
      </c>
    </row>
    <row r="354" spans="1:19" ht="11.25" x14ac:dyDescent="0.2">
      <c r="A354" s="3">
        <f t="shared" si="46"/>
        <v>11</v>
      </c>
      <c r="B354" s="24">
        <f>Input!A246</f>
        <v>387.45</v>
      </c>
      <c r="C354" s="3" t="str">
        <f>Input!B246</f>
        <v>TELEMETERING</v>
      </c>
      <c r="D354" s="325" t="str">
        <f t="shared" si="47"/>
        <v>7CUST</v>
      </c>
      <c r="E354" s="3">
        <f>Classification!F354</f>
        <v>58934</v>
      </c>
      <c r="F354" s="3">
        <f ca="1">ROUND((VLOOKUP($D354,'Alloc Table Cust'!$B$7:$S$58,13,FALSE)*$E354),0)</f>
        <v>48712</v>
      </c>
      <c r="G354" s="3">
        <f ca="1">ROUND((VLOOKUP($D354,'Alloc Table Cust'!$B$7:$T$58,14,FALSE)*$E354),0)</f>
        <v>9084</v>
      </c>
      <c r="H354" s="3">
        <f ca="1">ROUND((VLOOKUP($D354,'Alloc Table Cust'!$B$7:$T$58,15,FALSE)*$E354),0)</f>
        <v>2</v>
      </c>
      <c r="I354" s="3">
        <f ca="1">ROUND((VLOOKUP($D354,'Alloc Table Cust'!$B$7:$T$58,16,FALSE)*$E354),0)</f>
        <v>233</v>
      </c>
      <c r="J354" s="3">
        <f ca="1">ROUND((VLOOKUP($D354,'Alloc Table Cust'!$B$7:$T$58,17,FALSE)*$E354),0)</f>
        <v>902</v>
      </c>
      <c r="K354" s="3">
        <f ca="1">ROUND((VLOOKUP($D354,'Alloc Table Cust'!$B$7:$T$58,18,FALSE)*$E354),0)</f>
        <v>0</v>
      </c>
      <c r="L354" s="3">
        <f ca="1">ROUND((VLOOKUP($D354,'Alloc Table Cust'!$B$7:$T$58,19,FALSE)*$E354),0)</f>
        <v>0</v>
      </c>
      <c r="N354" s="244"/>
      <c r="O354" s="244"/>
      <c r="P354" s="244"/>
      <c r="Q354" s="244"/>
      <c r="R354" s="244"/>
      <c r="S354" s="244"/>
    </row>
    <row r="355" spans="1:19" ht="11.25" x14ac:dyDescent="0.2">
      <c r="A355" s="3">
        <f t="shared" si="46"/>
        <v>12</v>
      </c>
      <c r="B355" s="24">
        <f>Input!A247</f>
        <v>387.46</v>
      </c>
      <c r="C355" s="3" t="str">
        <f>Input!B247</f>
        <v>CIS</v>
      </c>
      <c r="D355" s="325" t="str">
        <f t="shared" si="47"/>
        <v>7CUST</v>
      </c>
      <c r="E355" s="26">
        <f>Classification!F355</f>
        <v>1778</v>
      </c>
      <c r="F355" s="26">
        <f ca="1">ROUND((VLOOKUP($D355,'Alloc Table Cust'!$B$7:$S$58,13,FALSE)*$E355),0)</f>
        <v>1470</v>
      </c>
      <c r="G355" s="26">
        <f ca="1">ROUND((VLOOKUP($D355,'Alloc Table Cust'!$B$7:$T$58,14,FALSE)*$E355),0)</f>
        <v>274</v>
      </c>
      <c r="H355" s="26">
        <f ca="1">ROUND((VLOOKUP($D355,'Alloc Table Cust'!$B$7:$T$58,15,FALSE)*$E355),0)</f>
        <v>0</v>
      </c>
      <c r="I355" s="26">
        <f ca="1">ROUND((VLOOKUP($D355,'Alloc Table Cust'!$B$7:$T$58,16,FALSE)*$E355),0)</f>
        <v>7</v>
      </c>
      <c r="J355" s="26">
        <f ca="1">ROUND((VLOOKUP($D355,'Alloc Table Cust'!$B$7:$T$58,17,FALSE)*$E355),0)</f>
        <v>27</v>
      </c>
      <c r="K355" s="26">
        <f ca="1">ROUND((VLOOKUP($D355,'Alloc Table Cust'!$B$7:$T$58,18,FALSE)*$E355),0)</f>
        <v>0</v>
      </c>
      <c r="L355" s="26">
        <f ca="1">ROUND((VLOOKUP($D355,'Alloc Table Cust'!$B$7:$T$58,19,FALSE)*$E355),0)</f>
        <v>0</v>
      </c>
    </row>
    <row r="356" spans="1:19" ht="11.25" x14ac:dyDescent="0.2">
      <c r="A356" s="3">
        <f t="shared" si="46"/>
        <v>13</v>
      </c>
      <c r="B356" s="3"/>
      <c r="C356" s="3" t="s">
        <v>84</v>
      </c>
      <c r="D356" s="325"/>
      <c r="E356" s="3">
        <f>SUM(Customer!E317:E336)+SUM(E344:E355)</f>
        <v>8430104</v>
      </c>
      <c r="F356" s="3">
        <f ca="1">SUM(Customer!F317:F336)+SUM(F344:F355)</f>
        <v>7018695</v>
      </c>
      <c r="G356" s="3">
        <f ca="1">SUM(Customer!G317:G336)+SUM(G344:G355)</f>
        <v>1247651</v>
      </c>
      <c r="H356" s="3">
        <f ca="1">SUM(Customer!H317:H336)+SUM(H344:H355)</f>
        <v>322</v>
      </c>
      <c r="I356" s="3">
        <f ca="1">SUM(Customer!I317:I336)+SUM(I344:I355)</f>
        <v>13771</v>
      </c>
      <c r="J356" s="3">
        <f ca="1">SUM(Customer!J317:J336)+SUM(J344:J355)</f>
        <v>149666</v>
      </c>
      <c r="K356" s="3">
        <f ca="1">SUM(Customer!K317:K336)+SUM(K344:K355)</f>
        <v>0</v>
      </c>
      <c r="L356" s="3">
        <f ca="1">SUM(Customer!L317:L336)+SUM(L344:L355)</f>
        <v>0</v>
      </c>
    </row>
    <row r="357" spans="1:19" ht="11.25" x14ac:dyDescent="0.2">
      <c r="A357" s="3"/>
      <c r="B357" s="3"/>
      <c r="C357" s="3"/>
      <c r="D357" s="325"/>
      <c r="E357" s="3"/>
      <c r="F357" s="3"/>
      <c r="G357" s="3"/>
      <c r="H357" s="3"/>
      <c r="I357" s="3"/>
      <c r="J357" s="3"/>
      <c r="K357" s="3"/>
      <c r="L357" s="3"/>
    </row>
    <row r="358" spans="1:19" ht="11.25" x14ac:dyDescent="0.2">
      <c r="A358" s="3">
        <f>A356+1</f>
        <v>14</v>
      </c>
      <c r="B358" s="3"/>
      <c r="C358" s="24" t="str">
        <f>Input!A248</f>
        <v>GENERAL PLANT</v>
      </c>
      <c r="D358" s="325"/>
      <c r="E358" s="3"/>
      <c r="F358" s="3"/>
      <c r="G358" s="3"/>
      <c r="H358" s="3"/>
      <c r="I358" s="3"/>
      <c r="J358" s="3"/>
      <c r="K358" s="3"/>
      <c r="L358" s="3"/>
    </row>
    <row r="359" spans="1:19" ht="11.25" x14ac:dyDescent="0.2">
      <c r="A359" s="3"/>
      <c r="B359" s="3"/>
      <c r="C359" s="3"/>
      <c r="D359" s="325"/>
      <c r="E359" s="3"/>
      <c r="F359" s="3"/>
      <c r="G359" s="3"/>
      <c r="H359" s="3"/>
      <c r="I359" s="3"/>
      <c r="J359" s="3"/>
      <c r="K359" s="3"/>
      <c r="L359" s="3"/>
    </row>
    <row r="360" spans="1:19" ht="11.25" x14ac:dyDescent="0.2">
      <c r="A360" s="3">
        <f>A358+1</f>
        <v>15</v>
      </c>
      <c r="B360" s="24">
        <f>Input!A249</f>
        <v>391.1</v>
      </c>
      <c r="C360" s="3" t="str">
        <f>Input!B249</f>
        <v>OFF FURN &amp; EQUIP - UNSPEC</v>
      </c>
      <c r="D360" s="325" t="str">
        <f>D275</f>
        <v>7CUST</v>
      </c>
      <c r="E360" s="3">
        <f>Classification!F360</f>
        <v>15300</v>
      </c>
      <c r="F360" s="3">
        <f ca="1">ROUND((VLOOKUP($D360,'Alloc Table Cust'!$B$7:$S$58,13,FALSE)*$E360),0)</f>
        <v>12646</v>
      </c>
      <c r="G360" s="3">
        <f ca="1">ROUND((VLOOKUP($D360,'Alloc Table Cust'!$B$7:$T$58,14,FALSE)*$E360),0)</f>
        <v>2358</v>
      </c>
      <c r="H360" s="3">
        <f ca="1">ROUND((VLOOKUP($D360,'Alloc Table Cust'!$B$7:$T$58,15,FALSE)*$E360),0)</f>
        <v>1</v>
      </c>
      <c r="I360" s="3">
        <f ca="1">ROUND((VLOOKUP($D360,'Alloc Table Cust'!$B$7:$T$58,16,FALSE)*$E360),0)</f>
        <v>61</v>
      </c>
      <c r="J360" s="3">
        <f ca="1">ROUND((VLOOKUP($D360,'Alloc Table Cust'!$B$7:$T$58,17,FALSE)*$E360),0)</f>
        <v>234</v>
      </c>
      <c r="K360" s="3">
        <f ca="1">ROUND((VLOOKUP($D360,'Alloc Table Cust'!$B$7:$T$58,18,FALSE)*$E360),0)</f>
        <v>0</v>
      </c>
      <c r="L360" s="3">
        <f ca="1">ROUND((VLOOKUP($D360,'Alloc Table Cust'!$B$7:$T$58,19,FALSE)*$E360),0)</f>
        <v>0</v>
      </c>
    </row>
    <row r="361" spans="1:19" ht="11.25" x14ac:dyDescent="0.2">
      <c r="A361" s="3">
        <f t="shared" ref="A361:A373" si="48">A360+1</f>
        <v>16</v>
      </c>
      <c r="B361" s="24">
        <f>Input!A250</f>
        <v>391.11</v>
      </c>
      <c r="C361" s="3" t="str">
        <f>Input!B250</f>
        <v>OFF FURN &amp; EQUIP - DATA HAND</v>
      </c>
      <c r="D361" s="325" t="str">
        <f t="shared" ref="D361:D372" si="49">D276</f>
        <v>7CUST</v>
      </c>
      <c r="E361" s="3">
        <f>Classification!F361</f>
        <v>527</v>
      </c>
      <c r="F361" s="3">
        <f ca="1">ROUND((VLOOKUP($D361,'Alloc Table Cust'!$B$7:$S$58,13,FALSE)*$E361),0)</f>
        <v>436</v>
      </c>
      <c r="G361" s="3">
        <f ca="1">ROUND((VLOOKUP($D361,'Alloc Table Cust'!$B$7:$T$58,14,FALSE)*$E361),0)</f>
        <v>81</v>
      </c>
      <c r="H361" s="3">
        <f ca="1">ROUND((VLOOKUP($D361,'Alloc Table Cust'!$B$7:$T$58,15,FALSE)*$E361),0)</f>
        <v>0</v>
      </c>
      <c r="I361" s="3">
        <f ca="1">ROUND((VLOOKUP($D361,'Alloc Table Cust'!$B$7:$T$58,16,FALSE)*$E361),0)</f>
        <v>2</v>
      </c>
      <c r="J361" s="3">
        <f ca="1">ROUND((VLOOKUP($D361,'Alloc Table Cust'!$B$7:$T$58,17,FALSE)*$E361),0)</f>
        <v>8</v>
      </c>
      <c r="K361" s="3">
        <f ca="1">ROUND((VLOOKUP($D361,'Alloc Table Cust'!$B$7:$T$58,18,FALSE)*$E361),0)</f>
        <v>0</v>
      </c>
      <c r="L361" s="3">
        <f ca="1">ROUND((VLOOKUP($D361,'Alloc Table Cust'!$B$7:$T$58,19,FALSE)*$E361),0)</f>
        <v>0</v>
      </c>
    </row>
    <row r="362" spans="1:19" ht="11.25" x14ac:dyDescent="0.2">
      <c r="A362" s="3">
        <f t="shared" si="48"/>
        <v>17</v>
      </c>
      <c r="B362" s="24">
        <f>Input!A251</f>
        <v>391.12</v>
      </c>
      <c r="C362" s="3" t="str">
        <f>Input!B251</f>
        <v>OFF FURN &amp; EQUIP - INFO SYSTEM</v>
      </c>
      <c r="D362" s="325" t="str">
        <f t="shared" si="49"/>
        <v>7CUST</v>
      </c>
      <c r="E362" s="3">
        <f>Classification!F362</f>
        <v>106039</v>
      </c>
      <c r="F362" s="3">
        <f ca="1">ROUND((VLOOKUP($D362,'Alloc Table Cust'!$B$7:$S$58,13,FALSE)*$E362),0)</f>
        <v>87647</v>
      </c>
      <c r="G362" s="3">
        <f ca="1">ROUND((VLOOKUP($D362,'Alloc Table Cust'!$B$7:$T$58,14,FALSE)*$E362),0)</f>
        <v>16345</v>
      </c>
      <c r="H362" s="3">
        <f ca="1">ROUND((VLOOKUP($D362,'Alloc Table Cust'!$B$7:$T$58,15,FALSE)*$E362),0)</f>
        <v>4</v>
      </c>
      <c r="I362" s="3">
        <f ca="1">ROUND((VLOOKUP($D362,'Alloc Table Cust'!$B$7:$T$58,16,FALSE)*$E362),0)</f>
        <v>420</v>
      </c>
      <c r="J362" s="3">
        <f ca="1">ROUND((VLOOKUP($D362,'Alloc Table Cust'!$B$7:$T$58,17,FALSE)*$E362),0)</f>
        <v>1623</v>
      </c>
      <c r="K362" s="3">
        <f ca="1">ROUND((VLOOKUP($D362,'Alloc Table Cust'!$B$7:$T$58,18,FALSE)*$E362),0)</f>
        <v>0</v>
      </c>
      <c r="L362" s="3">
        <f ca="1">ROUND((VLOOKUP($D362,'Alloc Table Cust'!$B$7:$T$58,19,FALSE)*$E362),0)</f>
        <v>0</v>
      </c>
      <c r="N362" s="244"/>
      <c r="O362" s="244"/>
      <c r="P362" s="244"/>
      <c r="Q362" s="244"/>
      <c r="R362" s="244"/>
      <c r="S362" s="244"/>
    </row>
    <row r="363" spans="1:19" ht="11.25" x14ac:dyDescent="0.2">
      <c r="A363" s="3">
        <f t="shared" si="48"/>
        <v>18</v>
      </c>
      <c r="B363" s="24">
        <f>Input!A252</f>
        <v>392.2</v>
      </c>
      <c r="C363" s="3" t="str">
        <f>Input!B252</f>
        <v>TR EQ - TRAILER &gt; $1,000</v>
      </c>
      <c r="D363" s="325" t="str">
        <f t="shared" si="49"/>
        <v>7CUST</v>
      </c>
      <c r="E363" s="3">
        <f>Classification!F363</f>
        <v>3666</v>
      </c>
      <c r="F363" s="3">
        <f ca="1">ROUND((VLOOKUP($D363,'Alloc Table Cust'!$B$7:$S$58,13,FALSE)*$E363),0)</f>
        <v>3030</v>
      </c>
      <c r="G363" s="3">
        <f ca="1">ROUND((VLOOKUP($D363,'Alloc Table Cust'!$B$7:$T$58,14,FALSE)*$E363),0)</f>
        <v>565</v>
      </c>
      <c r="H363" s="3">
        <f ca="1">ROUND((VLOOKUP($D363,'Alloc Table Cust'!$B$7:$T$58,15,FALSE)*$E363),0)</f>
        <v>0</v>
      </c>
      <c r="I363" s="3">
        <f ca="1">ROUND((VLOOKUP($D363,'Alloc Table Cust'!$B$7:$T$58,16,FALSE)*$E363),0)</f>
        <v>15</v>
      </c>
      <c r="J363" s="3">
        <f ca="1">ROUND((VLOOKUP($D363,'Alloc Table Cust'!$B$7:$T$58,17,FALSE)*$E363),0)</f>
        <v>56</v>
      </c>
      <c r="K363" s="3">
        <f ca="1">ROUND((VLOOKUP($D363,'Alloc Table Cust'!$B$7:$T$58,18,FALSE)*$E363),0)</f>
        <v>0</v>
      </c>
      <c r="L363" s="3">
        <f ca="1">ROUND((VLOOKUP($D363,'Alloc Table Cust'!$B$7:$T$58,19,FALSE)*$E363),0)</f>
        <v>0</v>
      </c>
    </row>
    <row r="364" spans="1:19" ht="11.25" x14ac:dyDescent="0.2">
      <c r="A364" s="3">
        <f t="shared" si="48"/>
        <v>19</v>
      </c>
      <c r="B364" s="24">
        <f>Input!A253</f>
        <v>392.21</v>
      </c>
      <c r="C364" s="3" t="str">
        <f>Input!B253</f>
        <v>TR EQ - TRAILER &lt; $1,000</v>
      </c>
      <c r="D364" s="325" t="str">
        <f t="shared" si="49"/>
        <v>7CUST</v>
      </c>
      <c r="E364" s="3">
        <f>Classification!F364</f>
        <v>939</v>
      </c>
      <c r="F364" s="3">
        <f ca="1">ROUND((VLOOKUP($D364,'Alloc Table Cust'!$B$7:$S$58,13,FALSE)*$E364),0)</f>
        <v>776</v>
      </c>
      <c r="G364" s="3">
        <f ca="1">ROUND((VLOOKUP($D364,'Alloc Table Cust'!$B$7:$T$58,14,FALSE)*$E364),0)</f>
        <v>145</v>
      </c>
      <c r="H364" s="3">
        <f ca="1">ROUND((VLOOKUP($D364,'Alloc Table Cust'!$B$7:$T$58,15,FALSE)*$E364),0)</f>
        <v>0</v>
      </c>
      <c r="I364" s="3">
        <f ca="1">ROUND((VLOOKUP($D364,'Alloc Table Cust'!$B$7:$T$58,16,FALSE)*$E364),0)</f>
        <v>4</v>
      </c>
      <c r="J364" s="3">
        <f ca="1">ROUND((VLOOKUP($D364,'Alloc Table Cust'!$B$7:$T$58,17,FALSE)*$E364),0)</f>
        <v>14</v>
      </c>
      <c r="K364" s="3">
        <f ca="1">ROUND((VLOOKUP($D364,'Alloc Table Cust'!$B$7:$T$58,18,FALSE)*$E364),0)</f>
        <v>0</v>
      </c>
      <c r="L364" s="3">
        <f ca="1">ROUND((VLOOKUP($D364,'Alloc Table Cust'!$B$7:$T$58,19,FALSE)*$E364),0)</f>
        <v>0</v>
      </c>
    </row>
    <row r="365" spans="1:19" ht="11.25" x14ac:dyDescent="0.2">
      <c r="A365" s="3">
        <f t="shared" si="48"/>
        <v>20</v>
      </c>
      <c r="B365" s="24">
        <f>Input!A254</f>
        <v>394.1</v>
      </c>
      <c r="C365" s="3" t="str">
        <f>Input!B254</f>
        <v>TOOLS,SHOP, &amp; GAR EQ-GARAGE &amp; SERV</v>
      </c>
      <c r="D365" s="325" t="str">
        <f t="shared" si="49"/>
        <v>7CUST</v>
      </c>
      <c r="E365" s="3">
        <f>Classification!F365</f>
        <v>407</v>
      </c>
      <c r="F365" s="3">
        <f ca="1">ROUND((VLOOKUP($D365,'Alloc Table Cust'!$B$7:$S$58,13,FALSE)*$E365),0)</f>
        <v>336</v>
      </c>
      <c r="G365" s="3">
        <f ca="1">ROUND((VLOOKUP($D365,'Alloc Table Cust'!$B$7:$T$58,14,FALSE)*$E365),0)</f>
        <v>63</v>
      </c>
      <c r="H365" s="3">
        <f ca="1">ROUND((VLOOKUP($D365,'Alloc Table Cust'!$B$7:$T$58,15,FALSE)*$E365),0)</f>
        <v>0</v>
      </c>
      <c r="I365" s="3">
        <f ca="1">ROUND((VLOOKUP($D365,'Alloc Table Cust'!$B$7:$T$58,16,FALSE)*$E365),0)</f>
        <v>2</v>
      </c>
      <c r="J365" s="3">
        <f ca="1">ROUND((VLOOKUP($D365,'Alloc Table Cust'!$B$7:$T$58,17,FALSE)*$E365),0)</f>
        <v>6</v>
      </c>
      <c r="K365" s="3">
        <f ca="1">ROUND((VLOOKUP($D365,'Alloc Table Cust'!$B$7:$T$58,18,FALSE)*$E365),0)</f>
        <v>0</v>
      </c>
      <c r="L365" s="3">
        <f ca="1">ROUND((VLOOKUP($D365,'Alloc Table Cust'!$B$7:$T$58,19,FALSE)*$E365),0)</f>
        <v>0</v>
      </c>
    </row>
    <row r="366" spans="1:19" ht="11.25" x14ac:dyDescent="0.2">
      <c r="A366" s="3">
        <f t="shared" si="48"/>
        <v>21</v>
      </c>
      <c r="B366" s="24">
        <f>Input!A255</f>
        <v>394.13</v>
      </c>
      <c r="C366" s="3" t="str">
        <f>Input!B255</f>
        <v>TOOLS,SHOP, &amp; GAR EQ-UND TANK CLEANUP</v>
      </c>
      <c r="D366" s="325" t="str">
        <f t="shared" si="49"/>
        <v>7CUST</v>
      </c>
      <c r="E366" s="3">
        <f>Classification!F366</f>
        <v>0</v>
      </c>
      <c r="F366" s="3">
        <f ca="1">ROUND((VLOOKUP($D366,'Alloc Table Cust'!$B$7:$S$58,13,FALSE)*$E366),0)</f>
        <v>0</v>
      </c>
      <c r="G366" s="3">
        <f ca="1">ROUND((VLOOKUP($D366,'Alloc Table Cust'!$B$7:$T$58,14,FALSE)*$E366),0)</f>
        <v>0</v>
      </c>
      <c r="H366" s="3">
        <f ca="1">ROUND((VLOOKUP($D366,'Alloc Table Cust'!$B$7:$T$58,15,FALSE)*$E366),0)</f>
        <v>0</v>
      </c>
      <c r="I366" s="3">
        <f ca="1">ROUND((VLOOKUP($D366,'Alloc Table Cust'!$B$7:$T$58,16,FALSE)*$E366),0)</f>
        <v>0</v>
      </c>
      <c r="J366" s="3">
        <f ca="1">ROUND((VLOOKUP($D366,'Alloc Table Cust'!$B$7:$T$58,17,FALSE)*$E366),0)</f>
        <v>0</v>
      </c>
      <c r="K366" s="3">
        <f ca="1">ROUND((VLOOKUP($D366,'Alloc Table Cust'!$B$7:$T$58,18,FALSE)*$E366),0)</f>
        <v>0</v>
      </c>
      <c r="L366" s="3">
        <f ca="1">ROUND((VLOOKUP($D366,'Alloc Table Cust'!$B$7:$T$58,19,FALSE)*$E366),0)</f>
        <v>0</v>
      </c>
    </row>
    <row r="367" spans="1:19" ht="11.25" x14ac:dyDescent="0.2">
      <c r="A367" s="3">
        <f t="shared" si="48"/>
        <v>22</v>
      </c>
      <c r="B367" s="24">
        <f>Input!A256</f>
        <v>393</v>
      </c>
      <c r="C367" s="3" t="str">
        <f>Input!B256</f>
        <v>STORES EQUIPMENT</v>
      </c>
      <c r="D367" s="325" t="str">
        <f t="shared" si="49"/>
        <v>7CUST</v>
      </c>
      <c r="E367" s="3">
        <f>Classification!F367</f>
        <v>0</v>
      </c>
      <c r="F367" s="3">
        <f ca="1">ROUND((VLOOKUP($D367,'Alloc Table Cust'!$B$7:$S$58,13,FALSE)*$E367),0)</f>
        <v>0</v>
      </c>
      <c r="G367" s="3">
        <f ca="1">ROUND((VLOOKUP($D367,'Alloc Table Cust'!$B$7:$T$58,14,FALSE)*$E367),0)</f>
        <v>0</v>
      </c>
      <c r="H367" s="3">
        <f ca="1">ROUND((VLOOKUP($D367,'Alloc Table Cust'!$B$7:$T$58,15,FALSE)*$E367),0)</f>
        <v>0</v>
      </c>
      <c r="I367" s="3">
        <f ca="1">ROUND((VLOOKUP($D367,'Alloc Table Cust'!$B$7:$T$58,16,FALSE)*$E367),0)</f>
        <v>0</v>
      </c>
      <c r="J367" s="3">
        <f ca="1">ROUND((VLOOKUP($D367,'Alloc Table Cust'!$B$7:$T$58,17,FALSE)*$E367),0)</f>
        <v>0</v>
      </c>
      <c r="K367" s="3">
        <f ca="1">ROUND((VLOOKUP($D367,'Alloc Table Cust'!$B$7:$T$58,18,FALSE)*$E367),0)</f>
        <v>0</v>
      </c>
      <c r="L367" s="3">
        <f ca="1">ROUND((VLOOKUP($D367,'Alloc Table Cust'!$B$7:$T$58,19,FALSE)*$E367),0)</f>
        <v>0</v>
      </c>
    </row>
    <row r="368" spans="1:19" ht="11.25" x14ac:dyDescent="0.2">
      <c r="A368" s="3">
        <f t="shared" si="48"/>
        <v>23</v>
      </c>
      <c r="B368" s="24">
        <f>Input!A257</f>
        <v>394.2</v>
      </c>
      <c r="C368" s="3" t="str">
        <f>Input!B257</f>
        <v>SHOP EQUIPMENT</v>
      </c>
      <c r="D368" s="325" t="str">
        <f t="shared" si="49"/>
        <v>7CUST</v>
      </c>
      <c r="E368" s="3">
        <f>Classification!F368</f>
        <v>0</v>
      </c>
      <c r="F368" s="3">
        <f ca="1">ROUND((VLOOKUP($D368,'Alloc Table Cust'!$B$7:$S$58,13,FALSE)*$E368),0)</f>
        <v>0</v>
      </c>
      <c r="G368" s="3">
        <f ca="1">ROUND((VLOOKUP($D368,'Alloc Table Cust'!$B$7:$T$58,14,FALSE)*$E368),0)</f>
        <v>0</v>
      </c>
      <c r="H368" s="3">
        <f ca="1">ROUND((VLOOKUP($D368,'Alloc Table Cust'!$B$7:$T$58,15,FALSE)*$E368),0)</f>
        <v>0</v>
      </c>
      <c r="I368" s="3">
        <f ca="1">ROUND((VLOOKUP($D368,'Alloc Table Cust'!$B$7:$T$58,16,FALSE)*$E368),0)</f>
        <v>0</v>
      </c>
      <c r="J368" s="3">
        <f ca="1">ROUND((VLOOKUP($D368,'Alloc Table Cust'!$B$7:$T$58,17,FALSE)*$E368),0)</f>
        <v>0</v>
      </c>
      <c r="K368" s="3">
        <f ca="1">ROUND((VLOOKUP($D368,'Alloc Table Cust'!$B$7:$T$58,18,FALSE)*$E368),0)</f>
        <v>0</v>
      </c>
      <c r="L368" s="3">
        <f ca="1">ROUND((VLOOKUP($D368,'Alloc Table Cust'!$B$7:$T$58,19,FALSE)*$E368),0)</f>
        <v>0</v>
      </c>
    </row>
    <row r="369" spans="1:13" ht="11.25" x14ac:dyDescent="0.2">
      <c r="A369" s="3">
        <f t="shared" si="48"/>
        <v>24</v>
      </c>
      <c r="B369" s="24">
        <f>Input!A258</f>
        <v>394.3</v>
      </c>
      <c r="C369" s="3" t="str">
        <f>Input!B258</f>
        <v>TOOLS &amp; OTHER EQUIPMENT</v>
      </c>
      <c r="D369" s="325" t="str">
        <f t="shared" si="49"/>
        <v>7CUST</v>
      </c>
      <c r="E369" s="3">
        <f>Classification!F369</f>
        <v>54258</v>
      </c>
      <c r="F369" s="3">
        <f ca="1">ROUND((VLOOKUP($D369,'Alloc Table Cust'!$B$7:$S$58,13,FALSE)*$E369),0)</f>
        <v>44847</v>
      </c>
      <c r="G369" s="3">
        <f ca="1">ROUND((VLOOKUP($D369,'Alloc Table Cust'!$B$7:$T$58,14,FALSE)*$E369),0)</f>
        <v>8363</v>
      </c>
      <c r="H369" s="3">
        <f ca="1">ROUND((VLOOKUP($D369,'Alloc Table Cust'!$B$7:$T$58,15,FALSE)*$E369),0)</f>
        <v>2</v>
      </c>
      <c r="I369" s="3">
        <f ca="1">ROUND((VLOOKUP($D369,'Alloc Table Cust'!$B$7:$T$58,16,FALSE)*$E369),0)</f>
        <v>215</v>
      </c>
      <c r="J369" s="3">
        <f ca="1">ROUND((VLOOKUP($D369,'Alloc Table Cust'!$B$7:$T$58,17,FALSE)*$E369),0)</f>
        <v>831</v>
      </c>
      <c r="K369" s="3">
        <f ca="1">ROUND((VLOOKUP($D369,'Alloc Table Cust'!$B$7:$T$58,18,FALSE)*$E369),0)</f>
        <v>0</v>
      </c>
      <c r="L369" s="3">
        <f ca="1">ROUND((VLOOKUP($D369,'Alloc Table Cust'!$B$7:$T$58,19,FALSE)*$E369),0)</f>
        <v>0</v>
      </c>
    </row>
    <row r="370" spans="1:13" ht="11.25" x14ac:dyDescent="0.2">
      <c r="A370" s="3">
        <f t="shared" si="48"/>
        <v>25</v>
      </c>
      <c r="B370" s="24">
        <f>Input!A259</f>
        <v>395</v>
      </c>
      <c r="C370" s="3" t="str">
        <f>Input!B259</f>
        <v>LABORATORY EQUIPMENT</v>
      </c>
      <c r="D370" s="325" t="str">
        <f t="shared" si="49"/>
        <v>7CUST</v>
      </c>
      <c r="E370" s="3">
        <f>Classification!F370</f>
        <v>196</v>
      </c>
      <c r="F370" s="3">
        <f ca="1">ROUND((VLOOKUP($D370,'Alloc Table Cust'!$B$7:$S$58,13,FALSE)*$E370),0)</f>
        <v>162</v>
      </c>
      <c r="G370" s="3">
        <f ca="1">ROUND((VLOOKUP($D370,'Alloc Table Cust'!$B$7:$T$58,14,FALSE)*$E370),0)</f>
        <v>30</v>
      </c>
      <c r="H370" s="3">
        <f ca="1">ROUND((VLOOKUP($D370,'Alloc Table Cust'!$B$7:$T$58,15,FALSE)*$E370),0)</f>
        <v>0</v>
      </c>
      <c r="I370" s="3">
        <f ca="1">ROUND((VLOOKUP($D370,'Alloc Table Cust'!$B$7:$T$58,16,FALSE)*$E370),0)</f>
        <v>1</v>
      </c>
      <c r="J370" s="3">
        <f ca="1">ROUND((VLOOKUP($D370,'Alloc Table Cust'!$B$7:$T$58,17,FALSE)*$E370),0)</f>
        <v>3</v>
      </c>
      <c r="K370" s="3">
        <f ca="1">ROUND((VLOOKUP($D370,'Alloc Table Cust'!$B$7:$T$58,18,FALSE)*$E370),0)</f>
        <v>0</v>
      </c>
      <c r="L370" s="3">
        <f ca="1">ROUND((VLOOKUP($D370,'Alloc Table Cust'!$B$7:$T$58,19,FALSE)*$E370),0)</f>
        <v>0</v>
      </c>
    </row>
    <row r="371" spans="1:13" ht="11.25" x14ac:dyDescent="0.2">
      <c r="A371" s="3">
        <f t="shared" si="48"/>
        <v>26</v>
      </c>
      <c r="B371" s="24">
        <f>Input!A260</f>
        <v>396</v>
      </c>
      <c r="C371" s="3" t="str">
        <f>Input!B260</f>
        <v>POWER OP EQUIP-GEN TOOLS</v>
      </c>
      <c r="D371" s="325" t="str">
        <f t="shared" si="49"/>
        <v>7CUST</v>
      </c>
      <c r="E371" s="3">
        <f>Classification!F371</f>
        <v>2742</v>
      </c>
      <c r="F371" s="3">
        <f ca="1">ROUND((VLOOKUP($D371,'Alloc Table Cust'!$B$7:$S$58,13,FALSE)*$E371),0)</f>
        <v>2266</v>
      </c>
      <c r="G371" s="3">
        <f ca="1">ROUND((VLOOKUP($D371,'Alloc Table Cust'!$B$7:$T$58,14,FALSE)*$E371),0)</f>
        <v>423</v>
      </c>
      <c r="H371" s="3">
        <f ca="1">ROUND((VLOOKUP($D371,'Alloc Table Cust'!$B$7:$T$58,15,FALSE)*$E371),0)</f>
        <v>0</v>
      </c>
      <c r="I371" s="3">
        <f ca="1">ROUND((VLOOKUP($D371,'Alloc Table Cust'!$B$7:$T$58,16,FALSE)*$E371),0)</f>
        <v>11</v>
      </c>
      <c r="J371" s="3">
        <f ca="1">ROUND((VLOOKUP($D371,'Alloc Table Cust'!$B$7:$T$58,17,FALSE)*$E371),0)</f>
        <v>42</v>
      </c>
      <c r="K371" s="3">
        <f ca="1">ROUND((VLOOKUP($D371,'Alloc Table Cust'!$B$7:$T$58,18,FALSE)*$E371),0)</f>
        <v>0</v>
      </c>
      <c r="L371" s="3">
        <f ca="1">ROUND((VLOOKUP($D371,'Alloc Table Cust'!$B$7:$T$58,19,FALSE)*$E371),0)</f>
        <v>0</v>
      </c>
    </row>
    <row r="372" spans="1:13" ht="11.25" x14ac:dyDescent="0.2">
      <c r="A372" s="3">
        <f t="shared" si="48"/>
        <v>27</v>
      </c>
      <c r="B372" s="24">
        <f>Input!A262</f>
        <v>398</v>
      </c>
      <c r="C372" s="3" t="str">
        <f>Input!B262</f>
        <v>MISCELLANEOUS EQUIPMENT</v>
      </c>
      <c r="D372" s="325" t="str">
        <f t="shared" si="49"/>
        <v>7CUST</v>
      </c>
      <c r="E372" s="26">
        <f>Classification!F372</f>
        <v>8204</v>
      </c>
      <c r="F372" s="26">
        <f ca="1">ROUND((VLOOKUP($D372,'Alloc Table Cust'!$B$7:$S$58,13,FALSE)*$E372),0)</f>
        <v>6781</v>
      </c>
      <c r="G372" s="26">
        <f ca="1">ROUND((VLOOKUP($D372,'Alloc Table Cust'!$B$7:$T$58,14,FALSE)*$E372),0)</f>
        <v>1265</v>
      </c>
      <c r="H372" s="26">
        <f ca="1">ROUND((VLOOKUP($D372,'Alloc Table Cust'!$B$7:$T$58,15,FALSE)*$E372),0)</f>
        <v>0</v>
      </c>
      <c r="I372" s="26">
        <f ca="1">ROUND((VLOOKUP($D372,'Alloc Table Cust'!$B$7:$T$58,16,FALSE)*$E372),0)</f>
        <v>32</v>
      </c>
      <c r="J372" s="26">
        <f ca="1">ROUND((VLOOKUP($D372,'Alloc Table Cust'!$B$7:$T$58,17,FALSE)*$E372),0)</f>
        <v>126</v>
      </c>
      <c r="K372" s="26">
        <f ca="1">ROUND((VLOOKUP($D372,'Alloc Table Cust'!$B$7:$T$58,18,FALSE)*$E372),0)</f>
        <v>0</v>
      </c>
      <c r="L372" s="26">
        <f ca="1">ROUND((VLOOKUP($D372,'Alloc Table Cust'!$B$7:$T$58,19,FALSE)*$E372),0)</f>
        <v>0</v>
      </c>
    </row>
    <row r="373" spans="1:13" ht="11.25" x14ac:dyDescent="0.2">
      <c r="A373" s="3">
        <f t="shared" si="48"/>
        <v>28</v>
      </c>
      <c r="B373" s="3"/>
      <c r="C373" s="3" t="s">
        <v>90</v>
      </c>
      <c r="D373" s="325"/>
      <c r="E373" s="3">
        <f t="shared" ref="E373:L373" si="50">SUM(E360:E372)</f>
        <v>192278</v>
      </c>
      <c r="F373" s="3">
        <f t="shared" ca="1" si="50"/>
        <v>158927</v>
      </c>
      <c r="G373" s="3">
        <f t="shared" ca="1" si="50"/>
        <v>29638</v>
      </c>
      <c r="H373" s="3">
        <f t="shared" ca="1" si="50"/>
        <v>7</v>
      </c>
      <c r="I373" s="3">
        <f t="shared" ca="1" si="50"/>
        <v>763</v>
      </c>
      <c r="J373" s="3">
        <f t="shared" ca="1" si="50"/>
        <v>2943</v>
      </c>
      <c r="K373" s="3">
        <f t="shared" ca="1" si="50"/>
        <v>0</v>
      </c>
      <c r="L373" s="3">
        <f t="shared" ca="1" si="50"/>
        <v>0</v>
      </c>
    </row>
    <row r="374" spans="1:13" ht="11.25" x14ac:dyDescent="0.2">
      <c r="A374" s="3"/>
      <c r="B374" s="3"/>
      <c r="C374" s="3"/>
      <c r="D374" s="325"/>
      <c r="E374" s="3"/>
      <c r="F374" s="3"/>
      <c r="G374" s="3"/>
      <c r="H374" s="3"/>
      <c r="I374" s="3"/>
      <c r="J374" s="3"/>
      <c r="K374" s="3"/>
      <c r="L374" s="3"/>
    </row>
    <row r="375" spans="1:13" ht="11.25" x14ac:dyDescent="0.2">
      <c r="A375" s="3">
        <f>A373+1</f>
        <v>29</v>
      </c>
      <c r="B375" s="3"/>
      <c r="C375" s="25" t="s">
        <v>166</v>
      </c>
      <c r="D375" s="325"/>
      <c r="E375" s="3">
        <f>Customer!E306+Customer!E313+E356+E373</f>
        <v>9155554</v>
      </c>
      <c r="F375" s="3">
        <f ca="1">Customer!F306+Customer!F313+F356+F373</f>
        <v>7618315</v>
      </c>
      <c r="G375" s="3">
        <f ca="1">Customer!G306+Customer!G313+G356+G373</f>
        <v>1359472</v>
      </c>
      <c r="H375" s="3">
        <f ca="1">Customer!H306+Customer!H313+H356+H373</f>
        <v>350</v>
      </c>
      <c r="I375" s="3">
        <f ca="1">Customer!I306+Customer!I313+I356+I373</f>
        <v>16645</v>
      </c>
      <c r="J375" s="3">
        <f ca="1">Customer!J306+Customer!J313+J356+J373</f>
        <v>160772</v>
      </c>
      <c r="K375" s="3">
        <f ca="1">Customer!K306+Customer!K313+K356+K373</f>
        <v>0</v>
      </c>
      <c r="L375" s="3">
        <f ca="1">Customer!L306+Customer!L313+L356+L373</f>
        <v>0</v>
      </c>
    </row>
    <row r="376" spans="1:13" ht="11.25" x14ac:dyDescent="0.2">
      <c r="A376" s="3" t="s">
        <v>817</v>
      </c>
      <c r="B376" s="3"/>
      <c r="C376" s="3"/>
      <c r="D376" s="325"/>
      <c r="E376" s="3"/>
      <c r="F376" s="325" t="str">
        <f>""&amp;+Input!$B$1</f>
        <v>COLUMBIA GAS OF KENTUCKY, INC.</v>
      </c>
      <c r="H376" s="3"/>
      <c r="I376" s="3"/>
      <c r="J376" s="3"/>
      <c r="K376" s="3"/>
      <c r="L376" s="32" t="str">
        <f>Input!$B$2</f>
        <v>ATTACHMENT CEN-2</v>
      </c>
    </row>
    <row r="377" spans="1:13" ht="11.25" x14ac:dyDescent="0.2">
      <c r="A377" s="3" t="str">
        <f>Input!$B$7</f>
        <v>DEMAND-COMMODITY</v>
      </c>
      <c r="B377" s="3"/>
      <c r="C377" s="3"/>
      <c r="D377" s="325"/>
      <c r="E377" s="3"/>
      <c r="F377" s="325" t="s">
        <v>57</v>
      </c>
      <c r="H377" s="3"/>
      <c r="I377" s="3"/>
      <c r="J377" s="3"/>
      <c r="K377" s="3"/>
      <c r="L377" s="32" t="str">
        <f>"PAGE 62 OF "&amp;FIXED(Input!$B$8,0,TRUE)</f>
        <v>PAGE 62 OF 129</v>
      </c>
    </row>
    <row r="378" spans="1:13" ht="11.25" x14ac:dyDescent="0.2">
      <c r="A378" s="17" t="str">
        <f>Input!$B$6</f>
        <v>FORECASTED TEST YEAR - ORIGINAL FILING</v>
      </c>
      <c r="B378" s="17"/>
      <c r="C378" s="17"/>
      <c r="D378" s="34"/>
      <c r="E378" s="18"/>
      <c r="F378" s="19" t="str">
        <f>"FOR THE TWELVE MONTHS ENDED "&amp;Input!$B$4</f>
        <v>FOR THE TWELVE MONTHS ENDED 12/31/2017</v>
      </c>
      <c r="G378" s="329"/>
      <c r="H378" s="17"/>
      <c r="I378" s="17"/>
      <c r="J378" s="17"/>
      <c r="K378" s="17"/>
      <c r="L378" s="183" t="str">
        <f>"WITNESS: "&amp;Input!$B$5</f>
        <v>WITNESS: C. NOTESTONE</v>
      </c>
    </row>
    <row r="379" spans="1:13" ht="11.25" x14ac:dyDescent="0.2">
      <c r="A379" s="325" t="s">
        <v>5</v>
      </c>
      <c r="B379" s="3" t="s">
        <v>6</v>
      </c>
      <c r="C379" s="3"/>
      <c r="D379" s="325" t="s">
        <v>7</v>
      </c>
      <c r="E379" s="325" t="s">
        <v>8</v>
      </c>
      <c r="F379" s="3"/>
      <c r="G379" s="3"/>
      <c r="H379" s="3"/>
      <c r="I379" s="3"/>
      <c r="J379" s="3"/>
      <c r="K379" s="3"/>
      <c r="L379" s="3"/>
    </row>
    <row r="380" spans="1:13" ht="11.25" x14ac:dyDescent="0.2">
      <c r="A380" s="341" t="s">
        <v>9</v>
      </c>
      <c r="B380" s="341" t="s">
        <v>9</v>
      </c>
      <c r="C380" s="34" t="str">
        <f>Customer!C128</f>
        <v xml:space="preserve"> ACCOUNT TITLE</v>
      </c>
      <c r="D380" s="341" t="s">
        <v>10</v>
      </c>
      <c r="E380" s="341" t="s">
        <v>804</v>
      </c>
      <c r="F380" s="341" t="str">
        <f>"  "&amp;+Input!$C$12</f>
        <v xml:space="preserve">  GS-RESIDENTIAL</v>
      </c>
      <c r="G380" s="341" t="str">
        <f>Input!$C$13</f>
        <v>GS-OTHER</v>
      </c>
      <c r="H380" s="341" t="str">
        <f>Input!$C$14</f>
        <v>IUS</v>
      </c>
      <c r="I380" s="341" t="str">
        <f>Input!$C$15</f>
        <v>DS-ML</v>
      </c>
      <c r="J380" s="341" t="str">
        <f>Input!$C$16</f>
        <v>DS/IS</v>
      </c>
      <c r="K380" s="341" t="str">
        <f>Input!$C$17</f>
        <v>NOT USED</v>
      </c>
      <c r="L380" s="341" t="str">
        <f>Input!$C$18</f>
        <v>NOT USED</v>
      </c>
    </row>
    <row r="381" spans="1:13" ht="11.25" x14ac:dyDescent="0.2">
      <c r="A381" s="3"/>
      <c r="B381" s="342" t="s">
        <v>13</v>
      </c>
      <c r="C381" s="342" t="s">
        <v>14</v>
      </c>
      <c r="D381" s="325" t="s">
        <v>15</v>
      </c>
      <c r="E381" s="325" t="s">
        <v>16</v>
      </c>
      <c r="F381" s="325" t="s">
        <v>17</v>
      </c>
      <c r="G381" s="325" t="s">
        <v>18</v>
      </c>
      <c r="H381" s="325" t="s">
        <v>19</v>
      </c>
      <c r="I381" s="325" t="s">
        <v>20</v>
      </c>
      <c r="J381" s="325" t="s">
        <v>21</v>
      </c>
      <c r="K381" s="325" t="s">
        <v>22</v>
      </c>
      <c r="L381" s="325" t="s">
        <v>23</v>
      </c>
    </row>
    <row r="382" spans="1:13" ht="11.25" x14ac:dyDescent="0.2">
      <c r="A382" s="3"/>
      <c r="B382" s="3"/>
      <c r="C382" s="3"/>
      <c r="D382" s="325"/>
      <c r="E382" s="325" t="s">
        <v>26</v>
      </c>
      <c r="F382" s="325" t="s">
        <v>26</v>
      </c>
      <c r="G382" s="325" t="s">
        <v>26</v>
      </c>
      <c r="H382" s="325" t="s">
        <v>26</v>
      </c>
      <c r="I382" s="325" t="s">
        <v>26</v>
      </c>
      <c r="J382" s="325" t="s">
        <v>26</v>
      </c>
      <c r="K382" s="325" t="s">
        <v>26</v>
      </c>
      <c r="L382" s="325" t="s">
        <v>26</v>
      </c>
    </row>
    <row r="383" spans="1:13" ht="11.25" x14ac:dyDescent="0.2">
      <c r="A383" s="3">
        <v>1</v>
      </c>
      <c r="B383" s="3" t="s">
        <v>27</v>
      </c>
      <c r="C383" s="3"/>
      <c r="D383" s="325"/>
      <c r="E383" s="3"/>
      <c r="F383" s="3"/>
      <c r="G383" s="3"/>
      <c r="H383" s="3"/>
      <c r="I383" s="3"/>
      <c r="J383" s="3"/>
      <c r="K383" s="3"/>
      <c r="L383" s="3"/>
    </row>
    <row r="384" spans="1:13" ht="11.25" x14ac:dyDescent="0.2">
      <c r="A384" s="3"/>
      <c r="B384" s="3"/>
      <c r="C384" s="1"/>
      <c r="D384" s="118"/>
      <c r="E384" s="1"/>
      <c r="F384" s="1"/>
      <c r="G384" s="1"/>
      <c r="H384" s="1"/>
      <c r="I384" s="1"/>
      <c r="J384" s="1"/>
      <c r="K384" s="1"/>
      <c r="L384" s="1"/>
      <c r="M384" s="348"/>
    </row>
    <row r="385" spans="1:13" ht="11.25" x14ac:dyDescent="0.2">
      <c r="A385" s="3">
        <f>A383+1</f>
        <v>2</v>
      </c>
      <c r="B385" s="24" t="str">
        <f>Input!A273</f>
        <v>480.00</v>
      </c>
      <c r="C385" s="24" t="s">
        <v>169</v>
      </c>
      <c r="D385" s="118"/>
      <c r="E385" s="1">
        <f ca="1">SUM(F385:L385)</f>
        <v>17486899</v>
      </c>
      <c r="F385" s="1">
        <f ca="1">ROUND((Input!E273-Input!E325)*'Revenue Req'!D27,0)</f>
        <v>17486899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  <c r="M385" s="348"/>
    </row>
    <row r="386" spans="1:13" ht="11.25" x14ac:dyDescent="0.2">
      <c r="A386" s="3">
        <f>A385+1</f>
        <v>3</v>
      </c>
      <c r="B386" s="24" t="str">
        <f>Input!A274</f>
        <v>481.10</v>
      </c>
      <c r="C386" s="24" t="s">
        <v>171</v>
      </c>
      <c r="D386" s="118"/>
      <c r="E386" s="1">
        <f ca="1">SUM(F386:L386)</f>
        <v>5563210</v>
      </c>
      <c r="F386" s="1">
        <v>0</v>
      </c>
      <c r="G386" s="1">
        <f ca="1">ROUND((Input!$F274-Input!$F$325*(Input!$F274/(Input!$F$274+Input!$F$275)))*'Revenue Req'!$D$27,0)</f>
        <v>5563210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348"/>
    </row>
    <row r="387" spans="1:13" ht="11.25" x14ac:dyDescent="0.2">
      <c r="A387" s="3">
        <f>A386+1</f>
        <v>4</v>
      </c>
      <c r="B387" s="24" t="str">
        <f>Input!A275</f>
        <v>481.20</v>
      </c>
      <c r="C387" s="24" t="s">
        <v>173</v>
      </c>
      <c r="D387" s="118"/>
      <c r="E387" s="116">
        <f ca="1">SUM(F387:L387)</f>
        <v>434929</v>
      </c>
      <c r="F387" s="116">
        <v>0</v>
      </c>
      <c r="G387" s="116">
        <f ca="1">ROUND((Input!$F275-Input!$F$325*(Input!F275/(Input!$F$274+Input!$F$275)))*'Revenue Req'!$D$27,0)</f>
        <v>423812</v>
      </c>
      <c r="H387" s="116">
        <f ca="1">ROUND((Input!G276-Input!G325)*'Revenue Req'!D27,0)</f>
        <v>11117</v>
      </c>
      <c r="I387" s="116">
        <v>0</v>
      </c>
      <c r="J387" s="116">
        <v>0</v>
      </c>
      <c r="K387" s="116">
        <v>0</v>
      </c>
      <c r="L387" s="116">
        <v>0</v>
      </c>
      <c r="M387" s="348"/>
    </row>
    <row r="388" spans="1:13" ht="11.25" x14ac:dyDescent="0.2">
      <c r="A388" s="3">
        <f>A387+1</f>
        <v>5</v>
      </c>
      <c r="B388" s="3"/>
      <c r="C388" s="189" t="s">
        <v>239</v>
      </c>
      <c r="D388" s="118"/>
      <c r="E388" s="1">
        <f t="shared" ref="E388:L388" ca="1" si="51">SUM(E385:E387)</f>
        <v>23485038</v>
      </c>
      <c r="F388" s="1">
        <f t="shared" ca="1" si="51"/>
        <v>17486899</v>
      </c>
      <c r="G388" s="1">
        <f t="shared" ca="1" si="51"/>
        <v>5987022</v>
      </c>
      <c r="H388" s="1">
        <f t="shared" ca="1" si="51"/>
        <v>11117</v>
      </c>
      <c r="I388" s="1">
        <f t="shared" si="51"/>
        <v>0</v>
      </c>
      <c r="J388" s="1">
        <f t="shared" si="51"/>
        <v>0</v>
      </c>
      <c r="K388" s="1">
        <f t="shared" si="51"/>
        <v>0</v>
      </c>
      <c r="L388" s="1">
        <f t="shared" si="51"/>
        <v>0</v>
      </c>
      <c r="M388" s="348"/>
    </row>
    <row r="389" spans="1:13" ht="11.25" x14ac:dyDescent="0.2">
      <c r="A389" s="3"/>
      <c r="B389" s="3"/>
      <c r="C389" s="1"/>
      <c r="D389" s="118"/>
      <c r="E389" s="1"/>
      <c r="F389" s="1"/>
      <c r="G389" s="1"/>
      <c r="H389" s="1"/>
      <c r="I389" s="1"/>
      <c r="J389" s="1"/>
      <c r="K389" s="1"/>
      <c r="L389" s="1"/>
      <c r="M389" s="348"/>
    </row>
    <row r="390" spans="1:13" ht="11.25" x14ac:dyDescent="0.2">
      <c r="A390" s="3">
        <f>A388+1</f>
        <v>6</v>
      </c>
      <c r="B390" s="24" t="str">
        <f>Input!A277</f>
        <v>487.00</v>
      </c>
      <c r="C390" s="189" t="str">
        <f>Input!B277</f>
        <v>FORFEITED DISCOUNTS</v>
      </c>
      <c r="D390" s="118"/>
      <c r="E390" s="1">
        <f ca="1">SUM(F390:L390)</f>
        <v>231930</v>
      </c>
      <c r="F390" s="1">
        <f ca="1">ROUND(Input!E277*'Revenue Req'!D27,0)</f>
        <v>148870</v>
      </c>
      <c r="G390" s="1">
        <f ca="1">ROUND(Input!F277*'Revenue Req'!D27,0)</f>
        <v>67126</v>
      </c>
      <c r="H390" s="1">
        <f ca="1">ROUND(Input!G277*'Revenue Req'!D27,0)</f>
        <v>121</v>
      </c>
      <c r="I390" s="1">
        <f ca="1">ROUND(Input!H277*'Revenue Req'!D27,0)</f>
        <v>1215</v>
      </c>
      <c r="J390" s="1">
        <f ca="1">ROUND(Input!I277*'Revenue Req'!D27,0)</f>
        <v>14598</v>
      </c>
      <c r="K390" s="1">
        <v>0</v>
      </c>
      <c r="L390" s="1">
        <v>0</v>
      </c>
      <c r="M390" s="348"/>
    </row>
    <row r="391" spans="1:13" ht="11.25" x14ac:dyDescent="0.2">
      <c r="A391" s="3">
        <f>A390+1</f>
        <v>7</v>
      </c>
      <c r="B391" s="24" t="str">
        <f>Input!A278</f>
        <v>488.00</v>
      </c>
      <c r="C391" s="189" t="str">
        <f>Input!B278</f>
        <v>MISC. SERVICE REVENUE</v>
      </c>
      <c r="D391" s="118">
        <f>Input!C278</f>
        <v>6</v>
      </c>
      <c r="E391" s="1">
        <f>Classification!F391</f>
        <v>137000</v>
      </c>
      <c r="F391" s="1">
        <f>ROUND((VLOOKUP($D391,'Alloc Table Cust'!$B$7:$S$58,13,FALSE)*$E391),0)</f>
        <v>122831</v>
      </c>
      <c r="G391" s="1">
        <f>ROUND((VLOOKUP($D391,'Alloc Table Cust'!$B$7:$T$58,14,FALSE)*$E391),0)</f>
        <v>14082</v>
      </c>
      <c r="H391" s="1">
        <f>ROUND((VLOOKUP($D391,'Alloc Table Cust'!$B$7:$T$58,15,FALSE)*$E391),0)</f>
        <v>1</v>
      </c>
      <c r="I391" s="1">
        <f>ROUND((VLOOKUP($D391,'Alloc Table Cust'!$B$7:$T$58,16,FALSE)*$E391),0)</f>
        <v>5</v>
      </c>
      <c r="J391" s="1">
        <f>ROUND((VLOOKUP($D391,'Alloc Table Cust'!$B$7:$T$58,17,FALSE)*$E391),0)</f>
        <v>79</v>
      </c>
      <c r="K391" s="1">
        <f>ROUND((VLOOKUP($D391,'Alloc Table Cust'!$B$7:$T$58,18,FALSE)*$E391),0)</f>
        <v>0</v>
      </c>
      <c r="L391" s="1">
        <f>ROUND((VLOOKUP($D391,'Alloc Table Cust'!$B$7:$T$58,19,FALSE)*$E391),0)</f>
        <v>0</v>
      </c>
      <c r="M391" s="348"/>
    </row>
    <row r="392" spans="1:13" ht="11.25" x14ac:dyDescent="0.2">
      <c r="A392" s="3">
        <f>A391+1</f>
        <v>8</v>
      </c>
      <c r="B392" s="24" t="str">
        <f>Input!A279</f>
        <v>489.00</v>
      </c>
      <c r="C392" s="189" t="s">
        <v>177</v>
      </c>
      <c r="D392" s="118"/>
      <c r="E392" s="1">
        <f ca="1">SUM(F392:L392)</f>
        <v>10625492</v>
      </c>
      <c r="F392" s="1">
        <f ca="1">ROUND(Input!E279*'Revenue Req'!D27,0)</f>
        <v>4399432</v>
      </c>
      <c r="G392" s="1">
        <f ca="1">ROUND(Input!F280*'Revenue Req'!D27,0)</f>
        <v>3187531</v>
      </c>
      <c r="H392" s="1">
        <v>0</v>
      </c>
      <c r="I392" s="1">
        <f ca="1">ROUND(Input!H281*'Revenue Req'!D27,0)</f>
        <v>233497</v>
      </c>
      <c r="J392" s="1">
        <f ca="1">ROUND(Input!I282*'Revenue Req'!D27,0)</f>
        <v>2805032</v>
      </c>
      <c r="K392" s="1">
        <v>0</v>
      </c>
      <c r="L392" s="1">
        <v>0</v>
      </c>
      <c r="M392" s="348"/>
    </row>
    <row r="393" spans="1:13" ht="11.25" x14ac:dyDescent="0.2">
      <c r="A393" s="3">
        <f>A392+1</f>
        <v>9</v>
      </c>
      <c r="B393" s="24">
        <f>Input!A283</f>
        <v>495</v>
      </c>
      <c r="C393" s="189" t="str">
        <f>Input!B283</f>
        <v>OTHER</v>
      </c>
      <c r="D393" s="118">
        <f>Input!C283</f>
        <v>6</v>
      </c>
      <c r="E393" s="116">
        <f>Classification!F393</f>
        <v>587000</v>
      </c>
      <c r="F393" s="116">
        <f>ROUND((VLOOKUP($D393,'Alloc Table Cust'!$B$7:$S$58,13,FALSE)*$E393),0)</f>
        <v>526292</v>
      </c>
      <c r="G393" s="116">
        <f>ROUND((VLOOKUP($D393,'Alloc Table Cust'!$B$7:$T$58,14,FALSE)*$E393),0)</f>
        <v>60338</v>
      </c>
      <c r="H393" s="116">
        <f>ROUND((VLOOKUP($D393,'Alloc Table Cust'!$B$7:$T$58,15,FALSE)*$E393),0)</f>
        <v>6</v>
      </c>
      <c r="I393" s="116">
        <f>ROUND((VLOOKUP($D393,'Alloc Table Cust'!$B$7:$T$58,16,FALSE)*$E393),0)</f>
        <v>23</v>
      </c>
      <c r="J393" s="116">
        <f>ROUND((VLOOKUP($D393,'Alloc Table Cust'!$B$7:$T$58,17,FALSE)*$E393),0)</f>
        <v>340</v>
      </c>
      <c r="K393" s="116">
        <f>ROUND((VLOOKUP($D393,'Alloc Table Cust'!$B$7:$T$58,18,FALSE)*$E393),0)</f>
        <v>0</v>
      </c>
      <c r="L393" s="116">
        <f>ROUND((VLOOKUP($D393,'Alloc Table Cust'!$B$7:$T$58,19,FALSE)*$E393),0)</f>
        <v>0</v>
      </c>
      <c r="M393" s="348"/>
    </row>
    <row r="394" spans="1:13" ht="11.25" x14ac:dyDescent="0.2">
      <c r="A394" s="3">
        <f>A393+1</f>
        <v>10</v>
      </c>
      <c r="B394" s="3"/>
      <c r="C394" s="1" t="s">
        <v>253</v>
      </c>
      <c r="D394" s="118"/>
      <c r="E394" s="116">
        <f t="shared" ref="E394:L394" ca="1" si="52">SUM(E390:E393)</f>
        <v>11581422</v>
      </c>
      <c r="F394" s="116">
        <f t="shared" ca="1" si="52"/>
        <v>5197425</v>
      </c>
      <c r="G394" s="116">
        <f t="shared" ca="1" si="52"/>
        <v>3329077</v>
      </c>
      <c r="H394" s="116">
        <f t="shared" ca="1" si="52"/>
        <v>128</v>
      </c>
      <c r="I394" s="116">
        <f t="shared" ca="1" si="52"/>
        <v>234740</v>
      </c>
      <c r="J394" s="116">
        <f t="shared" ca="1" si="52"/>
        <v>2820049</v>
      </c>
      <c r="K394" s="116">
        <f t="shared" si="52"/>
        <v>0</v>
      </c>
      <c r="L394" s="116">
        <f t="shared" si="52"/>
        <v>0</v>
      </c>
      <c r="M394" s="348"/>
    </row>
    <row r="395" spans="1:13" ht="11.25" x14ac:dyDescent="0.2">
      <c r="A395" s="3"/>
      <c r="B395" s="3"/>
      <c r="C395" s="1"/>
      <c r="D395" s="118"/>
      <c r="E395" s="1"/>
      <c r="F395" s="1"/>
      <c r="G395" s="1"/>
      <c r="H395" s="1"/>
      <c r="I395" s="1"/>
      <c r="J395" s="1"/>
      <c r="K395" s="1"/>
      <c r="L395" s="1"/>
      <c r="M395" s="348"/>
    </row>
    <row r="396" spans="1:13" ht="11.25" x14ac:dyDescent="0.2">
      <c r="A396" s="3">
        <f>A394+1</f>
        <v>11</v>
      </c>
      <c r="B396" s="3"/>
      <c r="C396" s="3" t="s">
        <v>256</v>
      </c>
      <c r="D396" s="325"/>
      <c r="E396" s="3">
        <f t="shared" ref="E396:L396" ca="1" si="53">E388+E394</f>
        <v>35066460</v>
      </c>
      <c r="F396" s="3">
        <f t="shared" ca="1" si="53"/>
        <v>22684324</v>
      </c>
      <c r="G396" s="3">
        <f t="shared" ca="1" si="53"/>
        <v>9316099</v>
      </c>
      <c r="H396" s="3">
        <f t="shared" ca="1" si="53"/>
        <v>11245</v>
      </c>
      <c r="I396" s="3">
        <f t="shared" ca="1" si="53"/>
        <v>234740</v>
      </c>
      <c r="J396" s="3">
        <f t="shared" ca="1" si="53"/>
        <v>2820049</v>
      </c>
      <c r="K396" s="3">
        <f t="shared" si="53"/>
        <v>0</v>
      </c>
      <c r="L396" s="3">
        <f t="shared" si="53"/>
        <v>0</v>
      </c>
    </row>
    <row r="397" spans="1:13" ht="11.25" x14ac:dyDescent="0.2">
      <c r="A397" s="3" t="s">
        <v>817</v>
      </c>
      <c r="B397" s="3"/>
      <c r="C397" s="3"/>
      <c r="D397" s="325"/>
      <c r="E397" s="3"/>
      <c r="F397" s="325" t="str">
        <f>" "&amp;+Input!$B$1</f>
        <v xml:space="preserve"> COLUMBIA GAS OF KENTUCKY, INC.</v>
      </c>
      <c r="H397" s="3"/>
      <c r="I397" s="3"/>
      <c r="J397" s="3"/>
      <c r="K397" s="3"/>
      <c r="L397" s="32" t="str">
        <f>Input!$B$2</f>
        <v>ATTACHMENT CEN-2</v>
      </c>
    </row>
    <row r="398" spans="1:13" ht="11.25" x14ac:dyDescent="0.2">
      <c r="A398" s="3" t="str">
        <f>Input!$B$7</f>
        <v>DEMAND-COMMODITY</v>
      </c>
      <c r="B398" s="3"/>
      <c r="C398" s="3"/>
      <c r="D398" s="325"/>
      <c r="E398" s="3"/>
      <c r="F398" s="325" t="s">
        <v>60</v>
      </c>
      <c r="H398" s="3"/>
      <c r="I398" s="3"/>
      <c r="J398" s="3"/>
      <c r="K398" s="3"/>
      <c r="L398" s="32" t="str">
        <f>"PAGE 63 OF "&amp;FIXED(Input!$B$8,0,TRUE)</f>
        <v>PAGE 63 OF 129</v>
      </c>
    </row>
    <row r="399" spans="1:13" ht="11.25" x14ac:dyDescent="0.2">
      <c r="A399" s="17" t="str">
        <f>Input!$B$6</f>
        <v>FORECASTED TEST YEAR - ORIGINAL FILING</v>
      </c>
      <c r="B399" s="17"/>
      <c r="C399" s="17"/>
      <c r="D399" s="34"/>
      <c r="E399" s="18"/>
      <c r="F399" s="19" t="str">
        <f>"FOR THE TWELVE MONTHS ENDED "&amp;Input!$B$4</f>
        <v>FOR THE TWELVE MONTHS ENDED 12/31/2017</v>
      </c>
      <c r="G399" s="329"/>
      <c r="H399" s="17"/>
      <c r="I399" s="17"/>
      <c r="J399" s="17"/>
      <c r="K399" s="17"/>
      <c r="L399" s="183" t="str">
        <f>"WITNESS: "&amp;Input!$B$5</f>
        <v>WITNESS: C. NOTESTONE</v>
      </c>
    </row>
    <row r="400" spans="1:13" ht="11.25" x14ac:dyDescent="0.2">
      <c r="A400" s="325" t="s">
        <v>5</v>
      </c>
      <c r="B400" s="3" t="s">
        <v>6</v>
      </c>
      <c r="C400" s="3"/>
      <c r="D400" s="325" t="s">
        <v>7</v>
      </c>
      <c r="E400" s="325" t="s">
        <v>8</v>
      </c>
      <c r="F400" s="3"/>
      <c r="G400" s="3"/>
      <c r="H400" s="3"/>
      <c r="I400" s="3"/>
      <c r="J400" s="3"/>
      <c r="K400" s="3"/>
      <c r="L400" s="3"/>
    </row>
    <row r="401" spans="1:12" ht="11.25" x14ac:dyDescent="0.2">
      <c r="A401" s="341" t="s">
        <v>9</v>
      </c>
      <c r="B401" s="341" t="s">
        <v>9</v>
      </c>
      <c r="C401" s="34" t="str">
        <f>Customer!C128</f>
        <v xml:space="preserve"> ACCOUNT TITLE</v>
      </c>
      <c r="D401" s="341" t="s">
        <v>10</v>
      </c>
      <c r="E401" s="341" t="s">
        <v>804</v>
      </c>
      <c r="F401" s="341" t="str">
        <f>"  "&amp;+Input!$C$12</f>
        <v xml:space="preserve">  GS-RESIDENTIAL</v>
      </c>
      <c r="G401" s="341" t="str">
        <f>Input!$C$13</f>
        <v>GS-OTHER</v>
      </c>
      <c r="H401" s="341" t="str">
        <f>Input!$C$14</f>
        <v>IUS</v>
      </c>
      <c r="I401" s="341" t="str">
        <f>Input!$C$15</f>
        <v>DS-ML</v>
      </c>
      <c r="J401" s="341" t="str">
        <f>Input!$C$16</f>
        <v>DS/IS</v>
      </c>
      <c r="K401" s="341" t="str">
        <f>Input!$C$17</f>
        <v>NOT USED</v>
      </c>
      <c r="L401" s="341" t="str">
        <f>Input!$C$18</f>
        <v>NOT USED</v>
      </c>
    </row>
    <row r="402" spans="1:12" ht="11.25" x14ac:dyDescent="0.2">
      <c r="A402" s="3"/>
      <c r="B402" s="342" t="s">
        <v>13</v>
      </c>
      <c r="C402" s="342" t="s">
        <v>14</v>
      </c>
      <c r="D402" s="325" t="s">
        <v>15</v>
      </c>
      <c r="E402" s="325" t="s">
        <v>16</v>
      </c>
      <c r="F402" s="325" t="s">
        <v>17</v>
      </c>
      <c r="G402" s="325" t="s">
        <v>18</v>
      </c>
      <c r="H402" s="325" t="s">
        <v>19</v>
      </c>
      <c r="I402" s="325" t="s">
        <v>20</v>
      </c>
      <c r="J402" s="325" t="s">
        <v>21</v>
      </c>
      <c r="K402" s="325" t="s">
        <v>22</v>
      </c>
      <c r="L402" s="325" t="s">
        <v>23</v>
      </c>
    </row>
    <row r="403" spans="1:12" ht="11.25" x14ac:dyDescent="0.2">
      <c r="A403" s="3"/>
      <c r="B403" s="3"/>
      <c r="C403" s="3"/>
      <c r="D403" s="325"/>
      <c r="E403" s="325" t="s">
        <v>26</v>
      </c>
      <c r="F403" s="325" t="s">
        <v>26</v>
      </c>
      <c r="G403" s="325" t="s">
        <v>26</v>
      </c>
      <c r="H403" s="325" t="s">
        <v>26</v>
      </c>
      <c r="I403" s="325" t="s">
        <v>26</v>
      </c>
      <c r="J403" s="325" t="s">
        <v>26</v>
      </c>
      <c r="K403" s="325" t="s">
        <v>26</v>
      </c>
      <c r="L403" s="325" t="s">
        <v>26</v>
      </c>
    </row>
    <row r="404" spans="1:12" ht="11.25" x14ac:dyDescent="0.2">
      <c r="A404" s="3">
        <v>1</v>
      </c>
      <c r="B404" s="3" t="s">
        <v>263</v>
      </c>
      <c r="C404" s="3"/>
      <c r="D404" s="325"/>
      <c r="E404" s="3"/>
      <c r="F404" s="3"/>
      <c r="G404" s="3"/>
      <c r="H404" s="3"/>
      <c r="I404" s="3"/>
      <c r="J404" s="3"/>
      <c r="K404" s="3"/>
      <c r="L404" s="3"/>
    </row>
    <row r="405" spans="1:12" ht="11.25" x14ac:dyDescent="0.2">
      <c r="A405" s="3"/>
      <c r="B405" s="3"/>
      <c r="C405" s="3"/>
      <c r="D405" s="325"/>
      <c r="E405" s="3"/>
      <c r="F405" s="3"/>
      <c r="G405" s="3"/>
      <c r="H405" s="3"/>
      <c r="I405" s="3"/>
      <c r="J405" s="3"/>
      <c r="K405" s="3"/>
      <c r="L405" s="3"/>
    </row>
    <row r="406" spans="1:12" ht="11.25" x14ac:dyDescent="0.2">
      <c r="A406" s="3">
        <f>A404+1</f>
        <v>2</v>
      </c>
      <c r="B406" s="3"/>
      <c r="C406" s="3" t="s">
        <v>266</v>
      </c>
      <c r="D406" s="325"/>
      <c r="E406" s="3"/>
      <c r="F406" s="3"/>
      <c r="G406" s="3"/>
      <c r="H406" s="3"/>
      <c r="I406" s="3"/>
      <c r="J406" s="3"/>
      <c r="K406" s="3"/>
      <c r="L406" s="3"/>
    </row>
    <row r="407" spans="1:12" ht="11.25" x14ac:dyDescent="0.2">
      <c r="A407" s="3"/>
      <c r="B407" s="3"/>
      <c r="C407" s="3"/>
      <c r="D407" s="325"/>
      <c r="E407" s="3"/>
      <c r="F407" s="3"/>
      <c r="G407" s="3"/>
      <c r="H407" s="3"/>
      <c r="I407" s="3"/>
      <c r="J407" s="3"/>
      <c r="K407" s="3"/>
      <c r="L407" s="3"/>
    </row>
    <row r="408" spans="1:12" ht="11.25" x14ac:dyDescent="0.2">
      <c r="A408" s="3">
        <f>A406+1</f>
        <v>3</v>
      </c>
      <c r="B408" s="24" t="str">
        <f>Input!A317</f>
        <v>717</v>
      </c>
      <c r="C408" s="24" t="str">
        <f>Input!B317</f>
        <v>LIQUE PETRO GAS EXP - LABOR</v>
      </c>
      <c r="D408" s="325">
        <f>Input!C317</f>
        <v>2</v>
      </c>
      <c r="E408" s="3">
        <f>Classification!F408</f>
        <v>0</v>
      </c>
      <c r="F408" s="3">
        <f>ROUND((VLOOKUP($D408,'Alloc Table Cust'!$B$7:$S$58,13,FALSE)*$E408),0)</f>
        <v>0</v>
      </c>
      <c r="G408" s="3">
        <f>ROUND((VLOOKUP($D408,'Alloc Table Cust'!$B$7:$T$58,14,FALSE)*$E408),0)</f>
        <v>0</v>
      </c>
      <c r="H408" s="3">
        <f>ROUND((VLOOKUP($D408,'Alloc Table Cust'!$B$7:$T$58,15,FALSE)*$E408),0)</f>
        <v>0</v>
      </c>
      <c r="I408" s="3">
        <f>ROUND((VLOOKUP($D408,'Alloc Table Cust'!$B$7:$T$58,16,FALSE)*$E408),0)</f>
        <v>0</v>
      </c>
      <c r="J408" s="3">
        <f>ROUND((VLOOKUP($D408,'Alloc Table Cust'!$B$7:$T$58,17,FALSE)*$E408),0)</f>
        <v>0</v>
      </c>
      <c r="K408" s="3">
        <f>ROUND((VLOOKUP($D408,'Alloc Table Cust'!$B$7:$T$58,18,FALSE)*$E408),0)</f>
        <v>0</v>
      </c>
      <c r="L408" s="3">
        <f>ROUND((VLOOKUP($D408,'Alloc Table Cust'!$B$7:$T$58,19,FALSE)*$E408),0)</f>
        <v>0</v>
      </c>
    </row>
    <row r="409" spans="1:12" ht="11.25" x14ac:dyDescent="0.2">
      <c r="A409" s="3">
        <f>A408+1</f>
        <v>4</v>
      </c>
      <c r="B409" s="24" t="str">
        <f>Input!A318</f>
        <v>717</v>
      </c>
      <c r="C409" s="24" t="str">
        <f>Input!B318</f>
        <v>LIQUE PETRO GAS EXP - M&amp;E</v>
      </c>
      <c r="D409" s="325">
        <f>Input!C318</f>
        <v>2</v>
      </c>
      <c r="E409" s="3">
        <f>Classification!F409</f>
        <v>0</v>
      </c>
      <c r="F409" s="3">
        <f>ROUND((VLOOKUP($D409,'Alloc Table Cust'!$B$7:$S$58,13,FALSE)*$E409),0)</f>
        <v>0</v>
      </c>
      <c r="G409" s="3">
        <f>ROUND((VLOOKUP($D409,'Alloc Table Cust'!$B$7:$T$58,14,FALSE)*$E409),0)</f>
        <v>0</v>
      </c>
      <c r="H409" s="3">
        <f>ROUND((VLOOKUP($D409,'Alloc Table Cust'!$B$7:$T$58,15,FALSE)*$E409),0)</f>
        <v>0</v>
      </c>
      <c r="I409" s="3">
        <f>ROUND((VLOOKUP($D409,'Alloc Table Cust'!$B$7:$T$58,16,FALSE)*$E409),0)</f>
        <v>0</v>
      </c>
      <c r="J409" s="3">
        <f>ROUND((VLOOKUP($D409,'Alloc Table Cust'!$B$7:$T$58,17,FALSE)*$E409),0)</f>
        <v>0</v>
      </c>
      <c r="K409" s="3">
        <f>ROUND((VLOOKUP($D409,'Alloc Table Cust'!$B$7:$T$58,18,FALSE)*$E409),0)</f>
        <v>0</v>
      </c>
      <c r="L409" s="3">
        <f>ROUND((VLOOKUP($D409,'Alloc Table Cust'!$B$7:$T$58,19,FALSE)*$E409),0)</f>
        <v>0</v>
      </c>
    </row>
    <row r="410" spans="1:12" ht="11.25" x14ac:dyDescent="0.2">
      <c r="A410" s="3">
        <f>A409+1</f>
        <v>5</v>
      </c>
      <c r="B410" s="24" t="str">
        <f>Input!A319</f>
        <v>723</v>
      </c>
      <c r="C410" s="24" t="str">
        <f>Input!B319</f>
        <v>LIQUIFIED PETROLEUM GAS PROCESS</v>
      </c>
      <c r="D410" s="325">
        <f>Input!C319</f>
        <v>2</v>
      </c>
      <c r="E410" s="3">
        <f>Classification!F410</f>
        <v>0</v>
      </c>
      <c r="F410" s="3">
        <f>ROUND((VLOOKUP($D410,'Alloc Table Cust'!$B$7:$S$58,13,FALSE)*$E410),0)</f>
        <v>0</v>
      </c>
      <c r="G410" s="3">
        <f>ROUND((VLOOKUP($D410,'Alloc Table Cust'!$B$7:$T$58,14,FALSE)*$E410),0)</f>
        <v>0</v>
      </c>
      <c r="H410" s="3">
        <f>ROUND((VLOOKUP($D410,'Alloc Table Cust'!$B$7:$T$58,15,FALSE)*$E410),0)</f>
        <v>0</v>
      </c>
      <c r="I410" s="3">
        <f>ROUND((VLOOKUP($D410,'Alloc Table Cust'!$B$7:$T$58,16,FALSE)*$E410),0)</f>
        <v>0</v>
      </c>
      <c r="J410" s="3">
        <f>ROUND((VLOOKUP($D410,'Alloc Table Cust'!$B$7:$T$58,17,FALSE)*$E410),0)</f>
        <v>0</v>
      </c>
      <c r="K410" s="3">
        <f>ROUND((VLOOKUP($D410,'Alloc Table Cust'!$B$7:$T$58,18,FALSE)*$E410),0)</f>
        <v>0</v>
      </c>
      <c r="L410" s="3">
        <f>ROUND((VLOOKUP($D410,'Alloc Table Cust'!$B$7:$T$58,19,FALSE)*$E410),0)</f>
        <v>0</v>
      </c>
    </row>
    <row r="411" spans="1:12" ht="11.25" x14ac:dyDescent="0.2">
      <c r="A411" s="3">
        <f>A410+1</f>
        <v>6</v>
      </c>
      <c r="B411" s="24" t="str">
        <f>Input!A320</f>
        <v>728</v>
      </c>
      <c r="C411" s="24" t="str">
        <f>Input!B320</f>
        <v xml:space="preserve">LIQUIFIED PETROLEUM GAS </v>
      </c>
      <c r="D411" s="325">
        <f>Input!C320</f>
        <v>2</v>
      </c>
      <c r="E411" s="26">
        <f>Classification!F411</f>
        <v>0</v>
      </c>
      <c r="F411" s="26">
        <f>ROUND((VLOOKUP($D411,'Alloc Table Cust'!$B$7:$S$58,13,FALSE)*$E411),0)</f>
        <v>0</v>
      </c>
      <c r="G411" s="26">
        <f>ROUND((VLOOKUP($D411,'Alloc Table Cust'!$B$7:$T$58,14,FALSE)*$E411),0)</f>
        <v>0</v>
      </c>
      <c r="H411" s="26">
        <f>ROUND((VLOOKUP($D411,'Alloc Table Cust'!$B$7:$T$58,15,FALSE)*$E411),0)</f>
        <v>0</v>
      </c>
      <c r="I411" s="26">
        <f>ROUND((VLOOKUP($D411,'Alloc Table Cust'!$B$7:$T$58,16,FALSE)*$E411),0)</f>
        <v>0</v>
      </c>
      <c r="J411" s="26">
        <f>ROUND((VLOOKUP($D411,'Alloc Table Cust'!$B$7:$T$58,17,FALSE)*$E411),0)</f>
        <v>0</v>
      </c>
      <c r="K411" s="26">
        <f>ROUND((VLOOKUP($D411,'Alloc Table Cust'!$B$7:$T$58,18,FALSE)*$E411),0)</f>
        <v>0</v>
      </c>
      <c r="L411" s="26">
        <f>ROUND((VLOOKUP($D411,'Alloc Table Cust'!$B$7:$T$58,19,FALSE)*$E411),0)</f>
        <v>0</v>
      </c>
    </row>
    <row r="412" spans="1:12" ht="11.25" x14ac:dyDescent="0.2">
      <c r="A412" s="3">
        <f>A411+1</f>
        <v>7</v>
      </c>
      <c r="B412" s="3"/>
      <c r="C412" s="3" t="s">
        <v>271</v>
      </c>
      <c r="D412" s="325"/>
      <c r="E412" s="3">
        <f t="shared" ref="E412:L412" si="54">SUM(E408:E411)</f>
        <v>0</v>
      </c>
      <c r="F412" s="3">
        <f t="shared" si="54"/>
        <v>0</v>
      </c>
      <c r="G412" s="3">
        <f t="shared" si="54"/>
        <v>0</v>
      </c>
      <c r="H412" s="3">
        <f t="shared" si="54"/>
        <v>0</v>
      </c>
      <c r="I412" s="3">
        <f t="shared" si="54"/>
        <v>0</v>
      </c>
      <c r="J412" s="3">
        <f t="shared" si="54"/>
        <v>0</v>
      </c>
      <c r="K412" s="3">
        <f t="shared" si="54"/>
        <v>0</v>
      </c>
      <c r="L412" s="3">
        <f t="shared" si="54"/>
        <v>0</v>
      </c>
    </row>
    <row r="413" spans="1:12" ht="11.25" x14ac:dyDescent="0.2">
      <c r="A413" s="3"/>
      <c r="B413" s="3"/>
      <c r="C413" s="3"/>
      <c r="D413" s="325"/>
      <c r="E413" s="3"/>
      <c r="F413" s="3"/>
      <c r="G413" s="3"/>
      <c r="H413" s="3"/>
      <c r="I413" s="3"/>
      <c r="J413" s="3"/>
      <c r="K413" s="3"/>
      <c r="L413" s="3"/>
    </row>
    <row r="414" spans="1:12" ht="11.25" x14ac:dyDescent="0.2">
      <c r="A414" s="3">
        <f>A412+1</f>
        <v>8</v>
      </c>
      <c r="B414" s="3"/>
      <c r="C414" s="3" t="s">
        <v>272</v>
      </c>
      <c r="D414" s="325"/>
      <c r="E414" s="3"/>
      <c r="F414" s="3"/>
      <c r="G414" s="3"/>
      <c r="H414" s="3"/>
      <c r="I414" s="3"/>
      <c r="J414" s="3"/>
      <c r="K414" s="3"/>
      <c r="L414" s="3"/>
    </row>
    <row r="415" spans="1:12" ht="11.25" x14ac:dyDescent="0.2">
      <c r="A415" s="3"/>
      <c r="B415" s="3"/>
      <c r="C415" s="3"/>
      <c r="D415" s="325"/>
      <c r="E415" s="3"/>
      <c r="F415" s="3"/>
      <c r="G415" s="3"/>
      <c r="H415" s="3"/>
      <c r="I415" s="3"/>
      <c r="J415" s="3"/>
      <c r="K415" s="3"/>
      <c r="L415" s="3"/>
    </row>
    <row r="416" spans="1:12" ht="11.25" x14ac:dyDescent="0.2">
      <c r="A416" s="3">
        <f>A414+1</f>
        <v>9</v>
      </c>
      <c r="B416" s="24" t="str">
        <f>Input!A321</f>
        <v>741</v>
      </c>
      <c r="C416" s="24" t="str">
        <f>Input!B321</f>
        <v>STRUCTURES &amp; IMPROV - LABOR</v>
      </c>
      <c r="D416" s="325">
        <f>Input!C321</f>
        <v>2</v>
      </c>
      <c r="E416" s="3">
        <f>Classification!F416</f>
        <v>0</v>
      </c>
      <c r="F416" s="3">
        <f>ROUND((VLOOKUP($D416,'Alloc Table Cust'!$B$7:$S$58,13,FALSE)*$E416),0)</f>
        <v>0</v>
      </c>
      <c r="G416" s="3">
        <f>ROUND((VLOOKUP($D416,'Alloc Table Cust'!$B$7:$T$58,14,FALSE)*$E416),0)</f>
        <v>0</v>
      </c>
      <c r="H416" s="3">
        <f>ROUND((VLOOKUP($D416,'Alloc Table Cust'!$B$7:$T$58,15,FALSE)*$E416),0)</f>
        <v>0</v>
      </c>
      <c r="I416" s="3">
        <f>ROUND((VLOOKUP($D416,'Alloc Table Cust'!$B$7:$T$58,16,FALSE)*$E416),0)</f>
        <v>0</v>
      </c>
      <c r="J416" s="3">
        <f>ROUND((VLOOKUP($D416,'Alloc Table Cust'!$B$7:$T$58,17,FALSE)*$E416),0)</f>
        <v>0</v>
      </c>
      <c r="K416" s="3">
        <f>ROUND((VLOOKUP($D416,'Alloc Table Cust'!$B$7:$T$58,18,FALSE)*$E416),0)</f>
        <v>0</v>
      </c>
      <c r="L416" s="3">
        <f>ROUND((VLOOKUP($D416,'Alloc Table Cust'!$B$7:$T$58,19,FALSE)*$E416),0)</f>
        <v>0</v>
      </c>
    </row>
    <row r="417" spans="1:12" ht="11.25" x14ac:dyDescent="0.2">
      <c r="A417" s="3">
        <f>A416+1</f>
        <v>10</v>
      </c>
      <c r="B417" s="24" t="str">
        <f>Input!A322</f>
        <v>741</v>
      </c>
      <c r="C417" s="24" t="str">
        <f>Input!B322</f>
        <v>STRUCTURES &amp; IMPROV - M&amp;E</v>
      </c>
      <c r="D417" s="325">
        <f>Input!C322</f>
        <v>2</v>
      </c>
      <c r="E417" s="3">
        <f>Classification!F417</f>
        <v>0</v>
      </c>
      <c r="F417" s="3">
        <f>ROUND((VLOOKUP($D417,'Alloc Table Cust'!$B$7:$S$58,13,FALSE)*$E417),0)</f>
        <v>0</v>
      </c>
      <c r="G417" s="3">
        <f>ROUND((VLOOKUP($D417,'Alloc Table Cust'!$B$7:$T$58,14,FALSE)*$E417),0)</f>
        <v>0</v>
      </c>
      <c r="H417" s="3">
        <f>ROUND((VLOOKUP($D417,'Alloc Table Cust'!$B$7:$T$58,15,FALSE)*$E417),0)</f>
        <v>0</v>
      </c>
      <c r="I417" s="3">
        <f>ROUND((VLOOKUP($D417,'Alloc Table Cust'!$B$7:$T$58,16,FALSE)*$E417),0)</f>
        <v>0</v>
      </c>
      <c r="J417" s="3">
        <f>ROUND((VLOOKUP($D417,'Alloc Table Cust'!$B$7:$T$58,17,FALSE)*$E417),0)</f>
        <v>0</v>
      </c>
      <c r="K417" s="3">
        <f>ROUND((VLOOKUP($D417,'Alloc Table Cust'!$B$7:$T$58,18,FALSE)*$E417),0)</f>
        <v>0</v>
      </c>
      <c r="L417" s="3">
        <f>ROUND((VLOOKUP($D417,'Alloc Table Cust'!$B$7:$T$58,19,FALSE)*$E417),0)</f>
        <v>0</v>
      </c>
    </row>
    <row r="418" spans="1:12" ht="11.25" x14ac:dyDescent="0.2">
      <c r="A418" s="3">
        <f>A417+1</f>
        <v>11</v>
      </c>
      <c r="B418" s="24" t="str">
        <f>Input!A323</f>
        <v>742</v>
      </c>
      <c r="C418" s="24" t="str">
        <f>Input!B323</f>
        <v>PRODUCTION EQUIPMENT - LABOR</v>
      </c>
      <c r="D418" s="325">
        <f>Input!C323</f>
        <v>2</v>
      </c>
      <c r="E418" s="3">
        <f>Classification!F418</f>
        <v>0</v>
      </c>
      <c r="F418" s="3">
        <f>ROUND((VLOOKUP($D418,'Alloc Table Cust'!$B$7:$S$58,13,FALSE)*$E418),0)</f>
        <v>0</v>
      </c>
      <c r="G418" s="3">
        <f>ROUND((VLOOKUP($D418,'Alloc Table Cust'!$B$7:$T$58,14,FALSE)*$E418),0)</f>
        <v>0</v>
      </c>
      <c r="H418" s="3">
        <f>ROUND((VLOOKUP($D418,'Alloc Table Cust'!$B$7:$T$58,15,FALSE)*$E418),0)</f>
        <v>0</v>
      </c>
      <c r="I418" s="3">
        <f>ROUND((VLOOKUP($D418,'Alloc Table Cust'!$B$7:$T$58,16,FALSE)*$E418),0)</f>
        <v>0</v>
      </c>
      <c r="J418" s="3">
        <f>ROUND((VLOOKUP($D418,'Alloc Table Cust'!$B$7:$T$58,17,FALSE)*$E418),0)</f>
        <v>0</v>
      </c>
      <c r="K418" s="3">
        <f>ROUND((VLOOKUP($D418,'Alloc Table Cust'!$B$7:$T$58,18,FALSE)*$E418),0)</f>
        <v>0</v>
      </c>
      <c r="L418" s="3">
        <f>ROUND((VLOOKUP($D418,'Alloc Table Cust'!$B$7:$T$58,19,FALSE)*$E418),0)</f>
        <v>0</v>
      </c>
    </row>
    <row r="419" spans="1:12" ht="11.25" x14ac:dyDescent="0.2">
      <c r="A419" s="3">
        <f>A418+1</f>
        <v>12</v>
      </c>
      <c r="B419" s="24" t="str">
        <f>Input!A324</f>
        <v>742</v>
      </c>
      <c r="C419" s="24" t="str">
        <f>Input!B324</f>
        <v>PRODUCTION EQUIPMENT - M&amp;E</v>
      </c>
      <c r="D419" s="325">
        <f>Input!C324</f>
        <v>2</v>
      </c>
      <c r="E419" s="26">
        <f>Classification!F419</f>
        <v>0</v>
      </c>
      <c r="F419" s="26">
        <f>ROUND((VLOOKUP($D419,'Alloc Table Cust'!$B$7:$S$58,13,FALSE)*$E419),0)</f>
        <v>0</v>
      </c>
      <c r="G419" s="26">
        <f>ROUND((VLOOKUP($D419,'Alloc Table Cust'!$B$7:$T$58,14,FALSE)*$E419),0)</f>
        <v>0</v>
      </c>
      <c r="H419" s="26">
        <f>ROUND((VLOOKUP($D419,'Alloc Table Cust'!$B$7:$T$58,15,FALSE)*$E419),0)</f>
        <v>0</v>
      </c>
      <c r="I419" s="26">
        <f>ROUND((VLOOKUP($D419,'Alloc Table Cust'!$B$7:$T$58,16,FALSE)*$E419),0)</f>
        <v>0</v>
      </c>
      <c r="J419" s="26">
        <f>ROUND((VLOOKUP($D419,'Alloc Table Cust'!$B$7:$T$58,17,FALSE)*$E419),0)</f>
        <v>0</v>
      </c>
      <c r="K419" s="26">
        <f>ROUND((VLOOKUP($D419,'Alloc Table Cust'!$B$7:$T$58,18,FALSE)*$E419),0)</f>
        <v>0</v>
      </c>
      <c r="L419" s="26">
        <f>ROUND((VLOOKUP($D419,'Alloc Table Cust'!$B$7:$T$58,19,FALSE)*$E419),0)</f>
        <v>0</v>
      </c>
    </row>
    <row r="420" spans="1:12" ht="11.25" x14ac:dyDescent="0.2">
      <c r="A420" s="3">
        <f>A419+1</f>
        <v>13</v>
      </c>
      <c r="B420" s="3"/>
      <c r="C420" s="3" t="s">
        <v>273</v>
      </c>
      <c r="D420" s="325"/>
      <c r="E420" s="26">
        <f t="shared" ref="E420:L420" si="55">SUM(E416:E419)</f>
        <v>0</v>
      </c>
      <c r="F420" s="26">
        <f t="shared" si="55"/>
        <v>0</v>
      </c>
      <c r="G420" s="26">
        <f t="shared" si="55"/>
        <v>0</v>
      </c>
      <c r="H420" s="26">
        <f t="shared" si="55"/>
        <v>0</v>
      </c>
      <c r="I420" s="26">
        <f t="shared" si="55"/>
        <v>0</v>
      </c>
      <c r="J420" s="26">
        <f t="shared" si="55"/>
        <v>0</v>
      </c>
      <c r="K420" s="26">
        <f t="shared" si="55"/>
        <v>0</v>
      </c>
      <c r="L420" s="26">
        <f t="shared" si="55"/>
        <v>0</v>
      </c>
    </row>
    <row r="421" spans="1:12" ht="11.25" x14ac:dyDescent="0.2">
      <c r="A421" s="3"/>
      <c r="B421" s="3"/>
      <c r="C421" s="3"/>
      <c r="D421" s="325"/>
      <c r="E421" s="3"/>
      <c r="F421" s="3"/>
      <c r="G421" s="3"/>
      <c r="H421" s="3"/>
      <c r="I421" s="3"/>
      <c r="J421" s="3"/>
      <c r="K421" s="3"/>
      <c r="L421" s="3"/>
    </row>
    <row r="422" spans="1:12" ht="11.25" x14ac:dyDescent="0.2">
      <c r="A422" s="3">
        <f>A420+1</f>
        <v>14</v>
      </c>
      <c r="B422" s="3"/>
      <c r="C422" s="3" t="s">
        <v>274</v>
      </c>
      <c r="D422" s="325"/>
      <c r="E422" s="3">
        <f t="shared" ref="E422:L422" si="56">E412+E420</f>
        <v>0</v>
      </c>
      <c r="F422" s="3">
        <f t="shared" si="56"/>
        <v>0</v>
      </c>
      <c r="G422" s="3">
        <f t="shared" si="56"/>
        <v>0</v>
      </c>
      <c r="H422" s="3">
        <f t="shared" si="56"/>
        <v>0</v>
      </c>
      <c r="I422" s="3">
        <f t="shared" si="56"/>
        <v>0</v>
      </c>
      <c r="J422" s="3">
        <f t="shared" si="56"/>
        <v>0</v>
      </c>
      <c r="K422" s="3">
        <f t="shared" si="56"/>
        <v>0</v>
      </c>
      <c r="L422" s="3">
        <f t="shared" si="56"/>
        <v>0</v>
      </c>
    </row>
    <row r="423" spans="1:12" ht="11.25" x14ac:dyDescent="0.2">
      <c r="A423" s="3"/>
      <c r="B423" s="3"/>
      <c r="C423" s="3"/>
      <c r="D423" s="325"/>
      <c r="E423" s="3"/>
      <c r="F423" s="3"/>
      <c r="G423" s="3"/>
      <c r="H423" s="3"/>
      <c r="I423" s="3"/>
      <c r="J423" s="3"/>
      <c r="K423" s="3"/>
      <c r="L423" s="3"/>
    </row>
    <row r="424" spans="1:12" ht="11.25" x14ac:dyDescent="0.2">
      <c r="A424" s="3">
        <f>A422+1</f>
        <v>15</v>
      </c>
      <c r="B424" s="3"/>
      <c r="C424" s="3" t="s">
        <v>275</v>
      </c>
      <c r="D424" s="325"/>
      <c r="E424" s="3"/>
      <c r="F424" s="3"/>
      <c r="G424" s="3"/>
      <c r="H424" s="3"/>
      <c r="I424" s="3"/>
      <c r="J424" s="3"/>
      <c r="K424" s="3"/>
      <c r="L424" s="3"/>
    </row>
    <row r="425" spans="1:12" ht="11.25" x14ac:dyDescent="0.2">
      <c r="A425" s="3"/>
      <c r="B425" s="3"/>
      <c r="C425" s="3"/>
      <c r="D425" s="325"/>
      <c r="E425" s="3"/>
      <c r="F425" s="3"/>
      <c r="G425" s="3"/>
      <c r="H425" s="3"/>
      <c r="I425" s="3"/>
      <c r="J425" s="3"/>
      <c r="K425" s="3"/>
      <c r="L425" s="3"/>
    </row>
    <row r="426" spans="1:12" ht="11.25" x14ac:dyDescent="0.2">
      <c r="A426" s="3">
        <f>A424+1</f>
        <v>16</v>
      </c>
      <c r="B426" s="24" t="s">
        <v>276</v>
      </c>
      <c r="C426" s="3"/>
      <c r="D426" s="325"/>
      <c r="E426" s="3"/>
      <c r="F426" s="3"/>
      <c r="G426" s="3"/>
      <c r="H426" s="3"/>
      <c r="I426" s="3"/>
      <c r="J426" s="3"/>
      <c r="K426" s="3"/>
      <c r="L426" s="3"/>
    </row>
    <row r="427" spans="1:12" ht="11.25" x14ac:dyDescent="0.2">
      <c r="A427" s="3">
        <f>A426+1</f>
        <v>17</v>
      </c>
      <c r="B427" s="3" t="s">
        <v>277</v>
      </c>
      <c r="C427" s="3" t="str">
        <f>Input!B325</f>
        <v>COST OF GAS @ CITY GATE</v>
      </c>
      <c r="D427" s="325"/>
      <c r="E427" s="3">
        <f>Classification!F427</f>
        <v>0</v>
      </c>
      <c r="F427" s="3">
        <v>0</v>
      </c>
      <c r="G427" s="3">
        <v>0</v>
      </c>
      <c r="H427" s="3">
        <v>0</v>
      </c>
      <c r="I427" s="3">
        <v>0</v>
      </c>
      <c r="J427" s="3">
        <v>0</v>
      </c>
      <c r="K427" s="3">
        <v>0</v>
      </c>
      <c r="L427" s="3">
        <v>0</v>
      </c>
    </row>
    <row r="428" spans="1:12" ht="11.25" x14ac:dyDescent="0.2">
      <c r="A428" s="3">
        <f>A427+1</f>
        <v>18</v>
      </c>
      <c r="B428" s="24" t="str">
        <f>Input!A326</f>
        <v>807</v>
      </c>
      <c r="C428" s="3" t="str">
        <f>Input!B326</f>
        <v>OTHER PURCHASED GAS - LABOR</v>
      </c>
      <c r="D428" s="325">
        <f>Input!C326</f>
        <v>9</v>
      </c>
      <c r="E428" s="3">
        <f>Classification!F428</f>
        <v>0</v>
      </c>
      <c r="F428" s="3">
        <f>ROUND((VLOOKUP($D428,'Alloc Table Cust'!$B$7:$S$58,13,FALSE)*$E428),0)</f>
        <v>0</v>
      </c>
      <c r="G428" s="3">
        <f>ROUND((VLOOKUP($D428,'Alloc Table Cust'!$B$7:$T$58,14,FALSE)*$E428),0)</f>
        <v>0</v>
      </c>
      <c r="H428" s="3">
        <f>ROUND((VLOOKUP($D428,'Alloc Table Cust'!$B$7:$T$58,15,FALSE)*$E428),0)</f>
        <v>0</v>
      </c>
      <c r="I428" s="3">
        <f>ROUND((VLOOKUP($D428,'Alloc Table Cust'!$B$7:$T$58,16,FALSE)*$E428),0)</f>
        <v>0</v>
      </c>
      <c r="J428" s="3">
        <f>ROUND((VLOOKUP($D428,'Alloc Table Cust'!$B$7:$T$58,17,FALSE)*$E428),0)</f>
        <v>0</v>
      </c>
      <c r="K428" s="3">
        <f>ROUND((VLOOKUP($D428,'Alloc Table Cust'!$B$7:$T$58,18,FALSE)*$E428),0)</f>
        <v>0</v>
      </c>
      <c r="L428" s="3">
        <f>ROUND((VLOOKUP($D428,'Alloc Table Cust'!$B$7:$T$58,19,FALSE)*$E428),0)</f>
        <v>0</v>
      </c>
    </row>
    <row r="429" spans="1:12" ht="11.25" x14ac:dyDescent="0.2">
      <c r="A429" s="3">
        <f>A428+1</f>
        <v>19</v>
      </c>
      <c r="B429" s="24" t="str">
        <f>Input!A327</f>
        <v>807</v>
      </c>
      <c r="C429" s="3" t="str">
        <f>Input!B327</f>
        <v xml:space="preserve">OTHER PURCHASED GAS - M &amp; E </v>
      </c>
      <c r="D429" s="325">
        <f>Input!C327</f>
        <v>9</v>
      </c>
      <c r="E429" s="3">
        <f>Classification!F429</f>
        <v>0</v>
      </c>
      <c r="F429" s="3">
        <f>ROUND((VLOOKUP($D429,'Alloc Table Cust'!$B$7:$S$58,13,FALSE)*$E429),0)</f>
        <v>0</v>
      </c>
      <c r="G429" s="3">
        <f>ROUND((VLOOKUP($D429,'Alloc Table Cust'!$B$7:$T$58,14,FALSE)*$E429),0)</f>
        <v>0</v>
      </c>
      <c r="H429" s="3">
        <f>ROUND((VLOOKUP($D429,'Alloc Table Cust'!$B$7:$T$58,15,FALSE)*$E429),0)</f>
        <v>0</v>
      </c>
      <c r="I429" s="3">
        <f>ROUND((VLOOKUP($D429,'Alloc Table Cust'!$B$7:$T$58,16,FALSE)*$E429),0)</f>
        <v>0</v>
      </c>
      <c r="J429" s="3">
        <f>ROUND((VLOOKUP($D429,'Alloc Table Cust'!$B$7:$T$58,17,FALSE)*$E429),0)</f>
        <v>0</v>
      </c>
      <c r="K429" s="3">
        <f>ROUND((VLOOKUP($D429,'Alloc Table Cust'!$B$7:$T$58,18,FALSE)*$E429),0)</f>
        <v>0</v>
      </c>
      <c r="L429" s="3">
        <f>ROUND((VLOOKUP($D429,'Alloc Table Cust'!$B$7:$T$58,19,FALSE)*$E429),0)</f>
        <v>0</v>
      </c>
    </row>
    <row r="430" spans="1:12" ht="11.25" x14ac:dyDescent="0.2">
      <c r="A430" s="3">
        <f>A429+1</f>
        <v>20</v>
      </c>
      <c r="B430" s="3" t="str">
        <f>Input!A328</f>
        <v>812</v>
      </c>
      <c r="C430" s="3" t="str">
        <f>Input!B328</f>
        <v>GAS USED IN OPERATIONS</v>
      </c>
      <c r="D430" s="325">
        <f>Input!C328</f>
        <v>9</v>
      </c>
      <c r="E430" s="26">
        <f>Classification!F430</f>
        <v>0</v>
      </c>
      <c r="F430" s="26">
        <f>ROUND((VLOOKUP($D430,'Alloc Table Cust'!$B$7:$S$58,13,FALSE)*$E430),0)</f>
        <v>0</v>
      </c>
      <c r="G430" s="26">
        <f>ROUND((VLOOKUP($D430,'Alloc Table Cust'!$B$7:$T$58,14,FALSE)*$E430),0)</f>
        <v>0</v>
      </c>
      <c r="H430" s="26">
        <f>ROUND((VLOOKUP($D430,'Alloc Table Cust'!$B$7:$T$58,15,FALSE)*$E430),0)</f>
        <v>0</v>
      </c>
      <c r="I430" s="26">
        <f>ROUND((VLOOKUP($D430,'Alloc Table Cust'!$B$7:$T$58,16,FALSE)*$E430),0)</f>
        <v>0</v>
      </c>
      <c r="J430" s="26">
        <f>ROUND((VLOOKUP($D430,'Alloc Table Cust'!$B$7:$T$58,17,FALSE)*$E430),0)</f>
        <v>0</v>
      </c>
      <c r="K430" s="26">
        <f>ROUND((VLOOKUP($D430,'Alloc Table Cust'!$B$7:$T$58,18,FALSE)*$E430),0)</f>
        <v>0</v>
      </c>
      <c r="L430" s="26">
        <f>ROUND((VLOOKUP($D430,'Alloc Table Cust'!$B$7:$T$58,19,FALSE)*$E430),0)</f>
        <v>0</v>
      </c>
    </row>
    <row r="431" spans="1:12" ht="11.25" x14ac:dyDescent="0.2">
      <c r="A431" s="3">
        <f>A430+1</f>
        <v>21</v>
      </c>
      <c r="B431" s="3"/>
      <c r="C431" s="3" t="s">
        <v>278</v>
      </c>
      <c r="D431" s="325"/>
      <c r="E431" s="26">
        <f t="shared" ref="E431:L431" si="57">SUM(E427:E430)</f>
        <v>0</v>
      </c>
      <c r="F431" s="26">
        <f t="shared" si="57"/>
        <v>0</v>
      </c>
      <c r="G431" s="26">
        <f t="shared" si="57"/>
        <v>0</v>
      </c>
      <c r="H431" s="26">
        <f t="shared" si="57"/>
        <v>0</v>
      </c>
      <c r="I431" s="26">
        <f t="shared" si="57"/>
        <v>0</v>
      </c>
      <c r="J431" s="26">
        <f t="shared" si="57"/>
        <v>0</v>
      </c>
      <c r="K431" s="26">
        <f t="shared" si="57"/>
        <v>0</v>
      </c>
      <c r="L431" s="26">
        <f t="shared" si="57"/>
        <v>0</v>
      </c>
    </row>
    <row r="432" spans="1:12" ht="11.25" x14ac:dyDescent="0.2">
      <c r="A432" s="3"/>
      <c r="B432" s="3"/>
      <c r="C432" s="3"/>
      <c r="D432" s="325"/>
      <c r="E432" s="3"/>
      <c r="F432" s="3"/>
      <c r="G432" s="3"/>
      <c r="H432" s="3"/>
      <c r="I432" s="3"/>
      <c r="J432" s="3"/>
      <c r="K432" s="3"/>
      <c r="L432" s="3"/>
    </row>
    <row r="433" spans="1:12" ht="11.25" x14ac:dyDescent="0.2">
      <c r="A433" s="3">
        <f>A431+1</f>
        <v>22</v>
      </c>
      <c r="B433" s="3"/>
      <c r="C433" s="3" t="s">
        <v>279</v>
      </c>
      <c r="D433" s="325"/>
      <c r="E433" s="3">
        <f t="shared" ref="E433:L433" si="58">E422+E431</f>
        <v>0</v>
      </c>
      <c r="F433" s="3">
        <f t="shared" si="58"/>
        <v>0</v>
      </c>
      <c r="G433" s="3">
        <f t="shared" si="58"/>
        <v>0</v>
      </c>
      <c r="H433" s="3">
        <f t="shared" si="58"/>
        <v>0</v>
      </c>
      <c r="I433" s="3">
        <f t="shared" si="58"/>
        <v>0</v>
      </c>
      <c r="J433" s="3">
        <f t="shared" si="58"/>
        <v>0</v>
      </c>
      <c r="K433" s="3">
        <f t="shared" si="58"/>
        <v>0</v>
      </c>
      <c r="L433" s="3">
        <f t="shared" si="58"/>
        <v>0</v>
      </c>
    </row>
    <row r="434" spans="1:12" ht="11.25" x14ac:dyDescent="0.2">
      <c r="A434" s="3" t="s">
        <v>817</v>
      </c>
      <c r="B434" s="3"/>
      <c r="C434" s="3"/>
      <c r="D434" s="325"/>
      <c r="E434" s="3"/>
      <c r="F434" s="325" t="str">
        <f>""&amp;+Input!$B$1</f>
        <v>COLUMBIA GAS OF KENTUCKY, INC.</v>
      </c>
      <c r="H434" s="3"/>
      <c r="I434" s="3"/>
      <c r="J434" s="3"/>
      <c r="K434" s="3"/>
      <c r="L434" s="32" t="str">
        <f>Input!$B$2</f>
        <v>ATTACHMENT CEN-2</v>
      </c>
    </row>
    <row r="435" spans="1:12" ht="11.25" x14ac:dyDescent="0.2">
      <c r="A435" s="3" t="str">
        <f>Input!$B$7</f>
        <v>DEMAND-COMMODITY</v>
      </c>
      <c r="B435" s="3"/>
      <c r="C435" s="3"/>
      <c r="D435" s="325"/>
      <c r="E435" s="3"/>
      <c r="F435" s="325" t="s">
        <v>568</v>
      </c>
      <c r="H435" s="3"/>
      <c r="I435" s="3"/>
      <c r="J435" s="3"/>
      <c r="K435" s="3"/>
      <c r="L435" s="32" t="str">
        <f>"PAGE 64 OF "&amp;FIXED(Input!$B$8,0,TRUE)</f>
        <v>PAGE 64 OF 129</v>
      </c>
    </row>
    <row r="436" spans="1:12" ht="11.25" x14ac:dyDescent="0.2">
      <c r="A436" s="17" t="str">
        <f>Input!$B$6</f>
        <v>FORECASTED TEST YEAR - ORIGINAL FILING</v>
      </c>
      <c r="B436" s="17"/>
      <c r="C436" s="17"/>
      <c r="D436" s="34"/>
      <c r="E436" s="18"/>
      <c r="F436" s="19" t="str">
        <f>"FOR THE TWELVE MONTHS ENDED "&amp;Input!$B$4</f>
        <v>FOR THE TWELVE MONTHS ENDED 12/31/2017</v>
      </c>
      <c r="G436" s="329"/>
      <c r="H436" s="17"/>
      <c r="I436" s="17"/>
      <c r="J436" s="17"/>
      <c r="K436" s="17"/>
      <c r="L436" s="183" t="str">
        <f>"WITNESS: "&amp;Input!$B$5</f>
        <v>WITNESS: C. NOTESTONE</v>
      </c>
    </row>
    <row r="437" spans="1:12" ht="11.25" x14ac:dyDescent="0.2">
      <c r="A437" s="325" t="s">
        <v>5</v>
      </c>
      <c r="B437" s="3" t="s">
        <v>6</v>
      </c>
      <c r="C437" s="3"/>
      <c r="D437" s="325" t="s">
        <v>7</v>
      </c>
      <c r="E437" s="325" t="s">
        <v>8</v>
      </c>
      <c r="F437" s="3"/>
      <c r="G437" s="3"/>
      <c r="H437" s="3"/>
      <c r="I437" s="3"/>
      <c r="J437" s="3"/>
      <c r="K437" s="3"/>
      <c r="L437" s="3"/>
    </row>
    <row r="438" spans="1:12" ht="11.25" x14ac:dyDescent="0.2">
      <c r="A438" s="341" t="s">
        <v>9</v>
      </c>
      <c r="B438" s="341" t="s">
        <v>9</v>
      </c>
      <c r="C438" s="34" t="str">
        <f>Customer!C128</f>
        <v xml:space="preserve"> ACCOUNT TITLE</v>
      </c>
      <c r="D438" s="341" t="s">
        <v>10</v>
      </c>
      <c r="E438" s="341" t="s">
        <v>804</v>
      </c>
      <c r="F438" s="341" t="str">
        <f>"  "&amp;+Input!$C$12</f>
        <v xml:space="preserve">  GS-RESIDENTIAL</v>
      </c>
      <c r="G438" s="341" t="str">
        <f>Input!$C$13</f>
        <v>GS-OTHER</v>
      </c>
      <c r="H438" s="341" t="str">
        <f>Input!$C$14</f>
        <v>IUS</v>
      </c>
      <c r="I438" s="341" t="str">
        <f>Input!$C$15</f>
        <v>DS-ML</v>
      </c>
      <c r="J438" s="341" t="str">
        <f>Input!$C$16</f>
        <v>DS/IS</v>
      </c>
      <c r="K438" s="341" t="str">
        <f>Input!$C$17</f>
        <v>NOT USED</v>
      </c>
      <c r="L438" s="341" t="str">
        <f>Input!$C$18</f>
        <v>NOT USED</v>
      </c>
    </row>
    <row r="439" spans="1:12" ht="11.25" x14ac:dyDescent="0.2">
      <c r="A439" s="3"/>
      <c r="B439" s="342" t="s">
        <v>13</v>
      </c>
      <c r="C439" s="342" t="s">
        <v>14</v>
      </c>
      <c r="D439" s="325" t="s">
        <v>15</v>
      </c>
      <c r="E439" s="325" t="s">
        <v>16</v>
      </c>
      <c r="F439" s="325" t="s">
        <v>17</v>
      </c>
      <c r="G439" s="325" t="s">
        <v>18</v>
      </c>
      <c r="H439" s="325" t="s">
        <v>19</v>
      </c>
      <c r="I439" s="3"/>
      <c r="J439" s="325" t="s">
        <v>21</v>
      </c>
      <c r="K439" s="325" t="s">
        <v>22</v>
      </c>
      <c r="L439" s="325" t="s">
        <v>23</v>
      </c>
    </row>
    <row r="440" spans="1:12" ht="11.25" x14ac:dyDescent="0.2">
      <c r="A440" s="3"/>
      <c r="B440" s="3"/>
      <c r="C440" s="3"/>
      <c r="D440" s="325"/>
      <c r="E440" s="325" t="s">
        <v>26</v>
      </c>
      <c r="F440" s="325" t="s">
        <v>26</v>
      </c>
      <c r="G440" s="325" t="s">
        <v>26</v>
      </c>
      <c r="H440" s="325" t="s">
        <v>26</v>
      </c>
      <c r="I440" s="325" t="s">
        <v>26</v>
      </c>
      <c r="J440" s="325" t="s">
        <v>26</v>
      </c>
      <c r="K440" s="325" t="s">
        <v>26</v>
      </c>
      <c r="L440" s="325" t="s">
        <v>26</v>
      </c>
    </row>
    <row r="441" spans="1:12" ht="11.25" x14ac:dyDescent="0.2">
      <c r="A441" s="3">
        <v>1</v>
      </c>
      <c r="B441" s="3"/>
      <c r="C441" s="3" t="str">
        <f>Input!A338</f>
        <v>DISTRIBUTION EXPENSES</v>
      </c>
      <c r="D441" s="325"/>
      <c r="E441" s="3"/>
      <c r="F441" s="3"/>
      <c r="G441" s="3"/>
      <c r="H441" s="3"/>
      <c r="I441" s="3"/>
      <c r="J441" s="3"/>
      <c r="K441" s="3"/>
      <c r="L441" s="3"/>
    </row>
    <row r="442" spans="1:12" ht="11.25" x14ac:dyDescent="0.2">
      <c r="A442" s="3"/>
      <c r="B442" s="3"/>
      <c r="C442" s="3"/>
      <c r="D442" s="325"/>
      <c r="E442" s="3"/>
      <c r="F442" s="3"/>
      <c r="G442" s="3"/>
      <c r="H442" s="3"/>
      <c r="I442" s="3"/>
      <c r="J442" s="3"/>
      <c r="K442" s="3"/>
      <c r="L442" s="3"/>
    </row>
    <row r="443" spans="1:12" ht="11.25" x14ac:dyDescent="0.2">
      <c r="A443" s="3">
        <f>A441+1</f>
        <v>2</v>
      </c>
      <c r="B443" s="3" t="str">
        <f>Input!A341</f>
        <v>870</v>
      </c>
      <c r="C443" s="3" t="str">
        <f>Input!B341</f>
        <v>SUPERVISION &amp; ENGINEERING</v>
      </c>
      <c r="D443" s="325" t="str">
        <f>VLOOKUP(Input!C341,'Alloc Table Cust'!$A$7:$B$27,2,FALSE)</f>
        <v>10CUST</v>
      </c>
      <c r="E443" s="3">
        <f>Classification!F443</f>
        <v>60564</v>
      </c>
      <c r="F443" s="3">
        <f ca="1">ROUND((VLOOKUP($D443,'Alloc Table Cust'!$B$7:$S$58,13,FALSE)*$E443),0)</f>
        <v>45319</v>
      </c>
      <c r="G443" s="3">
        <f ca="1">ROUND((VLOOKUP($D443,'Alloc Table Cust'!$B$7:$T$58,14,FALSE)*$E443),0)</f>
        <v>14257</v>
      </c>
      <c r="H443" s="3">
        <f ca="1">ROUND((VLOOKUP($D443,'Alloc Table Cust'!$B$7:$T$58,15,FALSE)*$E443),0)</f>
        <v>6</v>
      </c>
      <c r="I443" s="3">
        <f ca="1">ROUND((VLOOKUP($D443,'Alloc Table Cust'!$B$7:$T$58,16,FALSE)*$E443),0)</f>
        <v>187</v>
      </c>
      <c r="J443" s="3">
        <f ca="1">ROUND((VLOOKUP($D443,'Alloc Table Cust'!$B$7:$T$58,17,FALSE)*$E443),0)</f>
        <v>795</v>
      </c>
      <c r="K443" s="3">
        <f ca="1">ROUND((VLOOKUP($D443,'Alloc Table Cust'!$B$7:$T$58,18,FALSE)*$E443),0)</f>
        <v>0</v>
      </c>
      <c r="L443" s="3">
        <f ca="1">ROUND((VLOOKUP($D443,'Alloc Table Cust'!$B$7:$T$58,19,FALSE)*$E443),0)</f>
        <v>0</v>
      </c>
    </row>
    <row r="444" spans="1:12" ht="11.25" x14ac:dyDescent="0.2">
      <c r="A444" s="1">
        <f t="shared" ref="A444:A452" si="59">A443+1</f>
        <v>3</v>
      </c>
      <c r="B444" s="1" t="str">
        <f>Input!A342</f>
        <v>871</v>
      </c>
      <c r="C444" s="1" t="str">
        <f>Input!B342</f>
        <v>DISTRIBUTION LOAD DISPATCH</v>
      </c>
      <c r="D444" s="118">
        <f>Input!C342</f>
        <v>4</v>
      </c>
      <c r="E444" s="3">
        <f>Classification!F444</f>
        <v>0</v>
      </c>
      <c r="F444" s="3">
        <f>ROUND((VLOOKUP($D444,'Alloc Table Cust'!$B$7:$S$58,13,FALSE)*$E444),0)</f>
        <v>0</v>
      </c>
      <c r="G444" s="3">
        <f>ROUND((VLOOKUP($D444,'Alloc Table Cust'!$B$7:$T$58,14,FALSE)*$E444),0)</f>
        <v>0</v>
      </c>
      <c r="H444" s="3">
        <f>ROUND((VLOOKUP($D444,'Alloc Table Cust'!$B$7:$T$58,15,FALSE)*$E444),0)</f>
        <v>0</v>
      </c>
      <c r="I444" s="3">
        <f>ROUND((VLOOKUP($D444,'Alloc Table Cust'!$B$7:$T$58,16,FALSE)*$E444),0)</f>
        <v>0</v>
      </c>
      <c r="J444" s="3">
        <f>ROUND((VLOOKUP($D444,'Alloc Table Cust'!$B$7:$T$58,17,FALSE)*$E444),0)</f>
        <v>0</v>
      </c>
      <c r="K444" s="3">
        <f>ROUND((VLOOKUP($D444,'Alloc Table Cust'!$B$7:$T$58,18,FALSE)*$E444),0)</f>
        <v>0</v>
      </c>
      <c r="L444" s="3">
        <f>ROUND((VLOOKUP($D444,'Alloc Table Cust'!$B$7:$T$58,19,FALSE)*$E444),0)</f>
        <v>0</v>
      </c>
    </row>
    <row r="445" spans="1:12" ht="11.25" x14ac:dyDescent="0.2">
      <c r="A445" s="1">
        <f t="shared" si="59"/>
        <v>4</v>
      </c>
      <c r="B445" s="1" t="str">
        <f>Input!A343</f>
        <v>874</v>
      </c>
      <c r="C445" s="1" t="str">
        <f>Input!B343</f>
        <v>MAINS &amp; SERVICES</v>
      </c>
      <c r="D445" s="325" t="str">
        <f>VLOOKUP(Input!C343,'Alloc Table Cust'!$A$7:$B$27,2,FALSE)</f>
        <v>14CUST</v>
      </c>
      <c r="E445" s="3">
        <f>Classification!F445</f>
        <v>630991</v>
      </c>
      <c r="F445" s="3">
        <f ca="1">ROUND((VLOOKUP($D445,'Alloc Table Cust'!$B$7:$S$58,13,FALSE)*$E445),0)</f>
        <v>556711</v>
      </c>
      <c r="G445" s="3">
        <f ca="1">ROUND((VLOOKUP($D445,'Alloc Table Cust'!$B$7:$T$58,14,FALSE)*$E445),0)</f>
        <v>72047</v>
      </c>
      <c r="H445" s="3">
        <f ca="1">ROUND((VLOOKUP($D445,'Alloc Table Cust'!$B$7:$T$58,15,FALSE)*$E445),0)</f>
        <v>6</v>
      </c>
      <c r="I445" s="3">
        <f ca="1">ROUND((VLOOKUP($D445,'Alloc Table Cust'!$B$7:$T$58,16,FALSE)*$E445),0)</f>
        <v>0</v>
      </c>
      <c r="J445" s="3">
        <f ca="1">ROUND((VLOOKUP($D445,'Alloc Table Cust'!$B$7:$T$58,17,FALSE)*$E445),0)</f>
        <v>2227</v>
      </c>
      <c r="K445" s="3">
        <f ca="1">ROUND((VLOOKUP($D445,'Alloc Table Cust'!$B$7:$T$58,18,FALSE)*$E445),0)</f>
        <v>0</v>
      </c>
      <c r="L445" s="3">
        <f ca="1">ROUND((VLOOKUP($D445,'Alloc Table Cust'!$B$7:$T$58,19,FALSE)*$E445),0)</f>
        <v>0</v>
      </c>
    </row>
    <row r="446" spans="1:12" ht="11.25" x14ac:dyDescent="0.2">
      <c r="A446" s="1">
        <f t="shared" si="59"/>
        <v>5</v>
      </c>
      <c r="B446" s="1" t="str">
        <f>Input!A344</f>
        <v>875</v>
      </c>
      <c r="C446" s="1" t="str">
        <f>Input!B344</f>
        <v>M &amp; R - GENERAL</v>
      </c>
      <c r="D446" s="325" t="str">
        <f>VLOOKUP(Input!C344,'Alloc Table Cust'!$A$7:$B$27,2,FALSE)</f>
        <v>18CUST</v>
      </c>
      <c r="E446" s="3">
        <f>Classification!F446</f>
        <v>0</v>
      </c>
      <c r="F446" s="3">
        <f>ROUND((VLOOKUP($D446,'Alloc Table Cust'!$B$7:$S$58,13,FALSE)*$E446),0)</f>
        <v>0</v>
      </c>
      <c r="G446" s="3">
        <f>ROUND((VLOOKUP($D446,'Alloc Table Cust'!$B$7:$T$58,14,FALSE)*$E446),0)</f>
        <v>0</v>
      </c>
      <c r="H446" s="3">
        <f>ROUND((VLOOKUP($D446,'Alloc Table Cust'!$B$7:$T$58,15,FALSE)*$E446),0)</f>
        <v>0</v>
      </c>
      <c r="I446" s="3">
        <f>ROUND((VLOOKUP($D446,'Alloc Table Cust'!$B$7:$T$58,16,FALSE)*$E446),0)</f>
        <v>0</v>
      </c>
      <c r="J446" s="3">
        <f>ROUND((VLOOKUP($D446,'Alloc Table Cust'!$B$7:$T$58,17,FALSE)*$E446),0)</f>
        <v>0</v>
      </c>
      <c r="K446" s="3">
        <f>ROUND((VLOOKUP($D446,'Alloc Table Cust'!$B$7:$T$58,18,FALSE)*$E446),0)</f>
        <v>0</v>
      </c>
      <c r="L446" s="3">
        <f>ROUND((VLOOKUP($D446,'Alloc Table Cust'!$B$7:$T$58,19,FALSE)*$E446),0)</f>
        <v>0</v>
      </c>
    </row>
    <row r="447" spans="1:12" ht="11.25" x14ac:dyDescent="0.2">
      <c r="A447" s="1">
        <f t="shared" si="59"/>
        <v>6</v>
      </c>
      <c r="B447" s="1" t="str">
        <f>Input!A345</f>
        <v>876</v>
      </c>
      <c r="C447" s="1" t="str">
        <f>Input!B345</f>
        <v>M &amp; R - INDUSTRIAL</v>
      </c>
      <c r="D447" s="118">
        <f>Input!C345</f>
        <v>8</v>
      </c>
      <c r="E447" s="3">
        <f>Classification!F447</f>
        <v>38736</v>
      </c>
      <c r="F447" s="3">
        <f>ROUND((VLOOKUP($D447,'Alloc Table Cust'!$B$7:$S$58,13,FALSE)*$E447),0)</f>
        <v>0</v>
      </c>
      <c r="G447" s="3">
        <f>ROUND((VLOOKUP($D447,'Alloc Table Cust'!$B$7:$T$58,14,FALSE)*$E447),0)</f>
        <v>8042</v>
      </c>
      <c r="H447" s="3">
        <f>ROUND((VLOOKUP($D447,'Alloc Table Cust'!$B$7:$T$58,15,FALSE)*$E447),0)</f>
        <v>9</v>
      </c>
      <c r="I447" s="3">
        <f>ROUND((VLOOKUP($D447,'Alloc Table Cust'!$B$7:$T$58,16,FALSE)*$E447),0)</f>
        <v>7779</v>
      </c>
      <c r="J447" s="3">
        <f>ROUND((VLOOKUP($D447,'Alloc Table Cust'!$B$7:$T$58,17,FALSE)*$E447),0)</f>
        <v>22907</v>
      </c>
      <c r="K447" s="3">
        <f>ROUND((VLOOKUP($D447,'Alloc Table Cust'!$B$7:$T$58,18,FALSE)*$E447),0)</f>
        <v>0</v>
      </c>
      <c r="L447" s="3">
        <f>ROUND((VLOOKUP($D447,'Alloc Table Cust'!$B$7:$T$58,19,FALSE)*$E447),0)</f>
        <v>0</v>
      </c>
    </row>
    <row r="448" spans="1:12" ht="11.25" x14ac:dyDescent="0.2">
      <c r="A448" s="1">
        <f t="shared" si="59"/>
        <v>7</v>
      </c>
      <c r="B448" s="1" t="str">
        <f>Input!A346</f>
        <v>878</v>
      </c>
      <c r="C448" s="1" t="str">
        <f>Input!B346</f>
        <v>METERS &amp; HOUSE REGULATORS</v>
      </c>
      <c r="D448" s="118">
        <f>Input!C346</f>
        <v>16</v>
      </c>
      <c r="E448" s="3">
        <f>Classification!F448</f>
        <v>1279637</v>
      </c>
      <c r="F448" s="3">
        <f>ROUND((VLOOKUP($D448,'Alloc Table Cust'!$B$7:$S$58,13,FALSE)*$E448),0)</f>
        <v>920596</v>
      </c>
      <c r="G448" s="3">
        <f>ROUND((VLOOKUP($D448,'Alloc Table Cust'!$B$7:$T$58,14,FALSE)*$E448),0)</f>
        <v>353333</v>
      </c>
      <c r="H448" s="3">
        <f>ROUND((VLOOKUP($D448,'Alloc Table Cust'!$B$7:$T$58,15,FALSE)*$E448),0)</f>
        <v>166</v>
      </c>
      <c r="I448" s="3">
        <f>ROUND((VLOOKUP($D448,'Alloc Table Cust'!$B$7:$T$58,16,FALSE)*$E448),0)</f>
        <v>0</v>
      </c>
      <c r="J448" s="3">
        <f>ROUND((VLOOKUP($D448,'Alloc Table Cust'!$B$7:$T$58,17,FALSE)*$E448),0)</f>
        <v>5541</v>
      </c>
      <c r="K448" s="3">
        <f>ROUND((VLOOKUP($D448,'Alloc Table Cust'!$B$7:$T$58,18,FALSE)*$E448),0)</f>
        <v>0</v>
      </c>
      <c r="L448" s="3">
        <f>ROUND((VLOOKUP($D448,'Alloc Table Cust'!$B$7:$T$58,19,FALSE)*$E448),0)</f>
        <v>0</v>
      </c>
    </row>
    <row r="449" spans="1:12" ht="11.25" x14ac:dyDescent="0.2">
      <c r="A449" s="1">
        <f t="shared" si="59"/>
        <v>8</v>
      </c>
      <c r="B449" s="1" t="str">
        <f>Input!A347</f>
        <v>879</v>
      </c>
      <c r="C449" s="1" t="str">
        <f>Input!B347</f>
        <v xml:space="preserve">CUSTOMER INSTALLATION </v>
      </c>
      <c r="D449" s="118">
        <f>Input!C347</f>
        <v>16</v>
      </c>
      <c r="E449" s="3">
        <f>Classification!F449</f>
        <v>1500691</v>
      </c>
      <c r="F449" s="3">
        <f>ROUND((VLOOKUP($D449,'Alloc Table Cust'!$B$7:$S$58,13,FALSE)*$E449),0)</f>
        <v>1079627</v>
      </c>
      <c r="G449" s="3">
        <f>ROUND((VLOOKUP($D449,'Alloc Table Cust'!$B$7:$T$58,14,FALSE)*$E449),0)</f>
        <v>414371</v>
      </c>
      <c r="H449" s="3">
        <f>ROUND((VLOOKUP($D449,'Alloc Table Cust'!$B$7:$T$58,15,FALSE)*$E449),0)</f>
        <v>195</v>
      </c>
      <c r="I449" s="3">
        <f>ROUND((VLOOKUP($D449,'Alloc Table Cust'!$B$7:$T$58,16,FALSE)*$E449),0)</f>
        <v>0</v>
      </c>
      <c r="J449" s="3">
        <f>ROUND((VLOOKUP($D449,'Alloc Table Cust'!$B$7:$T$58,17,FALSE)*$E449),0)</f>
        <v>6498</v>
      </c>
      <c r="K449" s="3">
        <f>ROUND((VLOOKUP($D449,'Alloc Table Cust'!$B$7:$T$58,18,FALSE)*$E449),0)</f>
        <v>0</v>
      </c>
      <c r="L449" s="3">
        <f>ROUND((VLOOKUP($D449,'Alloc Table Cust'!$B$7:$T$58,19,FALSE)*$E449),0)</f>
        <v>0</v>
      </c>
    </row>
    <row r="450" spans="1:12" ht="11.25" x14ac:dyDescent="0.2">
      <c r="A450" s="1">
        <f t="shared" si="59"/>
        <v>9</v>
      </c>
      <c r="B450" s="1" t="str">
        <f>Input!A348</f>
        <v>880</v>
      </c>
      <c r="C450" s="1" t="str">
        <f>Input!B348</f>
        <v>OTHER</v>
      </c>
      <c r="D450" s="325" t="str">
        <f>VLOOKUP(Input!C348,'Alloc Table Cust'!$A$7:$B$27,2,FALSE)</f>
        <v>10CUST</v>
      </c>
      <c r="E450" s="3">
        <f>Classification!F450</f>
        <v>340519</v>
      </c>
      <c r="F450" s="3">
        <f ca="1">ROUND((VLOOKUP($D450,'Alloc Table Cust'!$B$7:$S$58,13,FALSE)*$E450),0)</f>
        <v>254807</v>
      </c>
      <c r="G450" s="3">
        <f ca="1">ROUND((VLOOKUP($D450,'Alloc Table Cust'!$B$7:$T$58,14,FALSE)*$E450),0)</f>
        <v>80158</v>
      </c>
      <c r="H450" s="3">
        <f ca="1">ROUND((VLOOKUP($D450,'Alloc Table Cust'!$B$7:$T$58,15,FALSE)*$E450),0)</f>
        <v>34</v>
      </c>
      <c r="I450" s="3">
        <f ca="1">ROUND((VLOOKUP($D450,'Alloc Table Cust'!$B$7:$T$58,16,FALSE)*$E450),0)</f>
        <v>1049</v>
      </c>
      <c r="J450" s="3">
        <f ca="1">ROUND((VLOOKUP($D450,'Alloc Table Cust'!$B$7:$T$58,17,FALSE)*$E450),0)</f>
        <v>4471</v>
      </c>
      <c r="K450" s="3">
        <f ca="1">ROUND((VLOOKUP($D450,'Alloc Table Cust'!$B$7:$T$58,18,FALSE)*$E450),0)</f>
        <v>0</v>
      </c>
      <c r="L450" s="3">
        <f ca="1">ROUND((VLOOKUP($D450,'Alloc Table Cust'!$B$7:$T$58,19,FALSE)*$E450),0)</f>
        <v>0</v>
      </c>
    </row>
    <row r="451" spans="1:12" ht="11.25" x14ac:dyDescent="0.2">
      <c r="A451" s="1">
        <f t="shared" si="59"/>
        <v>10</v>
      </c>
      <c r="B451" s="1" t="str">
        <f>Input!A349</f>
        <v>881</v>
      </c>
      <c r="C451" s="1" t="str">
        <f>Input!B349</f>
        <v>RENTS</v>
      </c>
      <c r="D451" s="325" t="str">
        <f>VLOOKUP(Input!C349,'Alloc Table Cust'!$A$7:$B$27,2,FALSE)</f>
        <v>10CUST</v>
      </c>
      <c r="E451" s="26">
        <f>Classification!F451</f>
        <v>0</v>
      </c>
      <c r="F451" s="26">
        <f ca="1">ROUND((VLOOKUP($D451,'Alloc Table Cust'!$B$7:$S$58,13,FALSE)*$E451),0)</f>
        <v>0</v>
      </c>
      <c r="G451" s="26">
        <f ca="1">ROUND((VLOOKUP($D451,'Alloc Table Cust'!$B$7:$T$58,14,FALSE)*$E451),0)</f>
        <v>0</v>
      </c>
      <c r="H451" s="26">
        <f ca="1">ROUND((VLOOKUP($D451,'Alloc Table Cust'!$B$7:$T$58,15,FALSE)*$E451),0)</f>
        <v>0</v>
      </c>
      <c r="I451" s="26">
        <f ca="1">ROUND((VLOOKUP($D451,'Alloc Table Cust'!$B$7:$T$58,16,FALSE)*$E451),0)</f>
        <v>0</v>
      </c>
      <c r="J451" s="26">
        <f ca="1">ROUND((VLOOKUP($D451,'Alloc Table Cust'!$B$7:$T$58,17,FALSE)*$E451),0)</f>
        <v>0</v>
      </c>
      <c r="K451" s="26">
        <f ca="1">ROUND((VLOOKUP($D451,'Alloc Table Cust'!$B$7:$T$58,18,FALSE)*$E451),0)</f>
        <v>0</v>
      </c>
      <c r="L451" s="26">
        <f ca="1">ROUND((VLOOKUP($D451,'Alloc Table Cust'!$B$7:$T$58,19,FALSE)*$E451),0)</f>
        <v>0</v>
      </c>
    </row>
    <row r="452" spans="1:12" ht="11.25" x14ac:dyDescent="0.2">
      <c r="A452" s="1">
        <f t="shared" si="59"/>
        <v>11</v>
      </c>
      <c r="B452" s="1"/>
      <c r="C452" s="1" t="s">
        <v>271</v>
      </c>
      <c r="D452" s="118"/>
      <c r="E452" s="1">
        <f t="shared" ref="E452:L452" si="60">SUM(E443:E451)</f>
        <v>3851138</v>
      </c>
      <c r="F452" s="3">
        <f t="shared" ca="1" si="60"/>
        <v>2857060</v>
      </c>
      <c r="G452" s="3">
        <f t="shared" ca="1" si="60"/>
        <v>942208</v>
      </c>
      <c r="H452" s="3">
        <f t="shared" ca="1" si="60"/>
        <v>416</v>
      </c>
      <c r="I452" s="3">
        <f t="shared" ca="1" si="60"/>
        <v>9015</v>
      </c>
      <c r="J452" s="3">
        <f t="shared" ca="1" si="60"/>
        <v>42439</v>
      </c>
      <c r="K452" s="3">
        <f t="shared" ca="1" si="60"/>
        <v>0</v>
      </c>
      <c r="L452" s="3">
        <f t="shared" ca="1" si="60"/>
        <v>0</v>
      </c>
    </row>
    <row r="453" spans="1:12" ht="11.25" x14ac:dyDescent="0.2">
      <c r="A453" s="1"/>
      <c r="B453" s="1"/>
      <c r="C453" s="1"/>
      <c r="D453" s="118"/>
      <c r="E453" s="1"/>
      <c r="F453" s="3"/>
      <c r="G453" s="3"/>
      <c r="H453" s="3"/>
      <c r="I453" s="3"/>
      <c r="J453" s="3"/>
      <c r="K453" s="3"/>
      <c r="L453" s="3"/>
    </row>
    <row r="454" spans="1:12" ht="11.25" x14ac:dyDescent="0.2">
      <c r="A454" s="1">
        <f>A452+1</f>
        <v>12</v>
      </c>
      <c r="B454" s="1"/>
      <c r="C454" s="1" t="str">
        <f>Input!A350</f>
        <v>MAINTENANCE</v>
      </c>
      <c r="D454" s="118"/>
      <c r="E454" s="1"/>
      <c r="F454" s="3"/>
      <c r="G454" s="3"/>
      <c r="H454" s="3"/>
      <c r="I454" s="3"/>
      <c r="J454" s="3"/>
      <c r="K454" s="3"/>
      <c r="L454" s="3"/>
    </row>
    <row r="455" spans="1:12" ht="11.25" x14ac:dyDescent="0.2">
      <c r="A455" s="1"/>
      <c r="B455" s="1"/>
      <c r="C455" s="1"/>
      <c r="D455" s="118"/>
      <c r="E455" s="1"/>
      <c r="F455" s="3"/>
      <c r="G455" s="3"/>
      <c r="H455" s="3"/>
      <c r="I455" s="3"/>
      <c r="J455" s="3"/>
      <c r="K455" s="3"/>
      <c r="L455" s="3"/>
    </row>
    <row r="456" spans="1:12" ht="11.25" x14ac:dyDescent="0.2">
      <c r="A456" s="1">
        <f>A454+1</f>
        <v>13</v>
      </c>
      <c r="B456" s="1" t="str">
        <f>Input!A351</f>
        <v>885</v>
      </c>
      <c r="C456" s="1" t="str">
        <f>Input!B351</f>
        <v>SUPERVISION &amp; ENGINEERING</v>
      </c>
      <c r="D456" s="325" t="str">
        <f>VLOOKUP(Input!C351,'Alloc Table Cust'!$A$7:$B$27,2,FALSE)</f>
        <v>10CUST</v>
      </c>
      <c r="E456" s="3">
        <f>Classification!F456</f>
        <v>5375</v>
      </c>
      <c r="F456" s="3">
        <f ca="1">ROUND((VLOOKUP($D456,'Alloc Table Cust'!$B$7:$S$58,13,FALSE)*$E456),0)</f>
        <v>4022</v>
      </c>
      <c r="G456" s="3">
        <f ca="1">ROUND((VLOOKUP($D456,'Alloc Table Cust'!$B$7:$T$58,14,FALSE)*$E456),0)</f>
        <v>1265</v>
      </c>
      <c r="H456" s="3">
        <f ca="1">ROUND((VLOOKUP($D456,'Alloc Table Cust'!$B$7:$T$58,15,FALSE)*$E456),0)</f>
        <v>1</v>
      </c>
      <c r="I456" s="3">
        <f ca="1">ROUND((VLOOKUP($D456,'Alloc Table Cust'!$B$7:$T$58,16,FALSE)*$E456),0)</f>
        <v>17</v>
      </c>
      <c r="J456" s="3">
        <f ca="1">ROUND((VLOOKUP($D456,'Alloc Table Cust'!$B$7:$T$58,17,FALSE)*$E456),0)</f>
        <v>71</v>
      </c>
      <c r="K456" s="3">
        <f ca="1">ROUND((VLOOKUP($D456,'Alloc Table Cust'!$B$7:$T$58,18,FALSE)*$E456),0)</f>
        <v>0</v>
      </c>
      <c r="L456" s="3">
        <f ca="1">ROUND((VLOOKUP($D456,'Alloc Table Cust'!$B$7:$T$58,19,FALSE)*$E456),0)</f>
        <v>0</v>
      </c>
    </row>
    <row r="457" spans="1:12" ht="11.25" x14ac:dyDescent="0.2">
      <c r="A457" s="1">
        <f t="shared" ref="A457:A464" si="61">A456+1</f>
        <v>14</v>
      </c>
      <c r="B457" s="1" t="str">
        <f>Input!A352</f>
        <v>886</v>
      </c>
      <c r="C457" s="1" t="str">
        <f>Input!B352</f>
        <v>STRUCTURES &amp; IMPROVEMENTS</v>
      </c>
      <c r="D457" s="325" t="str">
        <f>VLOOKUP(Input!C352,'Alloc Table Cust'!$A$7:$B$27,2,FALSE)</f>
        <v>18CUST</v>
      </c>
      <c r="E457" s="3">
        <f>Classification!F457</f>
        <v>0</v>
      </c>
      <c r="F457" s="3">
        <f>ROUND((VLOOKUP($D457,'Alloc Table Cust'!$B$7:$S$58,13,FALSE)*$E457),0)</f>
        <v>0</v>
      </c>
      <c r="G457" s="3">
        <f>ROUND((VLOOKUP($D457,'Alloc Table Cust'!$B$7:$T$58,14,FALSE)*$E457),0)</f>
        <v>0</v>
      </c>
      <c r="H457" s="3">
        <f>ROUND((VLOOKUP($D457,'Alloc Table Cust'!$B$7:$T$58,15,FALSE)*$E457),0)</f>
        <v>0</v>
      </c>
      <c r="I457" s="3">
        <f>ROUND((VLOOKUP($D457,'Alloc Table Cust'!$B$7:$T$58,16,FALSE)*$E457),0)</f>
        <v>0</v>
      </c>
      <c r="J457" s="3">
        <f>ROUND((VLOOKUP($D457,'Alloc Table Cust'!$B$7:$T$58,17,FALSE)*$E457),0)</f>
        <v>0</v>
      </c>
      <c r="K457" s="3">
        <f>ROUND((VLOOKUP($D457,'Alloc Table Cust'!$B$7:$T$58,18,FALSE)*$E457),0)</f>
        <v>0</v>
      </c>
      <c r="L457" s="3">
        <f>ROUND((VLOOKUP($D457,'Alloc Table Cust'!$B$7:$T$58,19,FALSE)*$E457),0)</f>
        <v>0</v>
      </c>
    </row>
    <row r="458" spans="1:12" ht="11.25" x14ac:dyDescent="0.2">
      <c r="A458" s="1">
        <f t="shared" si="61"/>
        <v>15</v>
      </c>
      <c r="B458" s="1" t="str">
        <f>Input!A353</f>
        <v>887</v>
      </c>
      <c r="C458" s="1" t="str">
        <f>Input!B353</f>
        <v>MAINS</v>
      </c>
      <c r="D458" s="325" t="str">
        <f>VLOOKUP(Input!C353,'Alloc Table Cust'!$A$7:$B$27,2,FALSE)</f>
        <v>18CUST</v>
      </c>
      <c r="E458" s="3">
        <f>Classification!F458</f>
        <v>0</v>
      </c>
      <c r="F458" s="3">
        <f>ROUND((VLOOKUP($D458,'Alloc Table Cust'!$B$7:$S$58,13,FALSE)*$E458),0)</f>
        <v>0</v>
      </c>
      <c r="G458" s="3">
        <f>ROUND((VLOOKUP($D458,'Alloc Table Cust'!$B$7:$T$58,14,FALSE)*$E458),0)</f>
        <v>0</v>
      </c>
      <c r="H458" s="3">
        <f>ROUND((VLOOKUP($D458,'Alloc Table Cust'!$B$7:$T$58,15,FALSE)*$E458),0)</f>
        <v>0</v>
      </c>
      <c r="I458" s="3">
        <f>ROUND((VLOOKUP($D458,'Alloc Table Cust'!$B$7:$T$58,16,FALSE)*$E458),0)</f>
        <v>0</v>
      </c>
      <c r="J458" s="3">
        <f>ROUND((VLOOKUP($D458,'Alloc Table Cust'!$B$7:$T$58,17,FALSE)*$E458),0)</f>
        <v>0</v>
      </c>
      <c r="K458" s="3">
        <f>ROUND((VLOOKUP($D458,'Alloc Table Cust'!$B$7:$T$58,18,FALSE)*$E458),0)</f>
        <v>0</v>
      </c>
      <c r="L458" s="3">
        <f>ROUND((VLOOKUP($D458,'Alloc Table Cust'!$B$7:$T$58,19,FALSE)*$E458),0)</f>
        <v>0</v>
      </c>
    </row>
    <row r="459" spans="1:12" ht="11.25" x14ac:dyDescent="0.2">
      <c r="A459" s="1">
        <f t="shared" si="61"/>
        <v>16</v>
      </c>
      <c r="B459" s="1" t="str">
        <f>Input!A354</f>
        <v>889</v>
      </c>
      <c r="C459" s="1" t="str">
        <f>Input!B354</f>
        <v>M &amp; R - GENERAL</v>
      </c>
      <c r="D459" s="325" t="str">
        <f>VLOOKUP(Input!C354,'Alloc Table Cust'!$A$7:$B$27,2,FALSE)</f>
        <v>18CUST</v>
      </c>
      <c r="E459" s="3">
        <f>Classification!F459</f>
        <v>0</v>
      </c>
      <c r="F459" s="3">
        <f>ROUND((VLOOKUP($D459,'Alloc Table Cust'!$B$7:$S$58,13,FALSE)*$E459),0)</f>
        <v>0</v>
      </c>
      <c r="G459" s="3">
        <f>ROUND((VLOOKUP($D459,'Alloc Table Cust'!$B$7:$T$58,14,FALSE)*$E459),0)</f>
        <v>0</v>
      </c>
      <c r="H459" s="3">
        <f>ROUND((VLOOKUP($D459,'Alloc Table Cust'!$B$7:$T$58,15,FALSE)*$E459),0)</f>
        <v>0</v>
      </c>
      <c r="I459" s="3">
        <f>ROUND((VLOOKUP($D459,'Alloc Table Cust'!$B$7:$T$58,16,FALSE)*$E459),0)</f>
        <v>0</v>
      </c>
      <c r="J459" s="3">
        <f>ROUND((VLOOKUP($D459,'Alloc Table Cust'!$B$7:$T$58,17,FALSE)*$E459),0)</f>
        <v>0</v>
      </c>
      <c r="K459" s="3">
        <f>ROUND((VLOOKUP($D459,'Alloc Table Cust'!$B$7:$T$58,18,FALSE)*$E459),0)</f>
        <v>0</v>
      </c>
      <c r="L459" s="3">
        <f>ROUND((VLOOKUP($D459,'Alloc Table Cust'!$B$7:$T$58,19,FALSE)*$E459),0)</f>
        <v>0</v>
      </c>
    </row>
    <row r="460" spans="1:12" ht="11.25" x14ac:dyDescent="0.2">
      <c r="A460" s="1">
        <f t="shared" si="61"/>
        <v>17</v>
      </c>
      <c r="B460" s="1" t="str">
        <f>Input!A355</f>
        <v>890</v>
      </c>
      <c r="C460" s="1" t="str">
        <f>Input!B355</f>
        <v>M &amp; R - INDUSTRIAL</v>
      </c>
      <c r="D460" s="118">
        <f>Input!C355</f>
        <v>8</v>
      </c>
      <c r="E460" s="3">
        <f>Classification!F460</f>
        <v>19419</v>
      </c>
      <c r="F460" s="3">
        <f>ROUND((VLOOKUP($D460,'Alloc Table Cust'!$B$7:$S$58,13,FALSE)*$E460),0)</f>
        <v>0</v>
      </c>
      <c r="G460" s="3">
        <f>ROUND((VLOOKUP($D460,'Alloc Table Cust'!$B$7:$T$58,14,FALSE)*$E460),0)</f>
        <v>4032</v>
      </c>
      <c r="H460" s="3">
        <f>ROUND((VLOOKUP($D460,'Alloc Table Cust'!$B$7:$T$58,15,FALSE)*$E460),0)</f>
        <v>4</v>
      </c>
      <c r="I460" s="3">
        <f>ROUND((VLOOKUP($D460,'Alloc Table Cust'!$B$7:$T$58,16,FALSE)*$E460),0)</f>
        <v>3900</v>
      </c>
      <c r="J460" s="3">
        <f>ROUND((VLOOKUP($D460,'Alloc Table Cust'!$B$7:$T$58,17,FALSE)*$E460),0)</f>
        <v>11483</v>
      </c>
      <c r="K460" s="3">
        <f>ROUND((VLOOKUP($D460,'Alloc Table Cust'!$B$7:$T$58,18,FALSE)*$E460),0)</f>
        <v>0</v>
      </c>
      <c r="L460" s="3">
        <f>ROUND((VLOOKUP($D460,'Alloc Table Cust'!$B$7:$T$58,19,FALSE)*$E460),0)</f>
        <v>0</v>
      </c>
    </row>
    <row r="461" spans="1:12" ht="11.25" x14ac:dyDescent="0.2">
      <c r="A461" s="1">
        <f t="shared" si="61"/>
        <v>18</v>
      </c>
      <c r="B461" s="1" t="str">
        <f>Input!A356</f>
        <v>892</v>
      </c>
      <c r="C461" s="1" t="str">
        <f>Input!B356</f>
        <v>SERVICES</v>
      </c>
      <c r="D461" s="118">
        <f>Input!C356</f>
        <v>15</v>
      </c>
      <c r="E461" s="3">
        <f>Classification!F461</f>
        <v>298657</v>
      </c>
      <c r="F461" s="3">
        <f ca="1">ROUND((VLOOKUP($D461,'Alloc Table Cust'!$B$7:$S$58,13,FALSE)*$E461),0)</f>
        <v>263499</v>
      </c>
      <c r="G461" s="3">
        <f ca="1">ROUND((VLOOKUP($D461,'Alloc Table Cust'!$B$7:$T$58,14,FALSE)*$E461),0)</f>
        <v>34101</v>
      </c>
      <c r="H461" s="3">
        <f ca="1">ROUND((VLOOKUP($D461,'Alloc Table Cust'!$B$7:$T$58,15,FALSE)*$E461),0)</f>
        <v>3</v>
      </c>
      <c r="I461" s="3">
        <f ca="1">ROUND((VLOOKUP($D461,'Alloc Table Cust'!$B$7:$T$58,16,FALSE)*$E461),0)</f>
        <v>0</v>
      </c>
      <c r="J461" s="3">
        <f ca="1">ROUND((VLOOKUP($D461,'Alloc Table Cust'!$B$7:$T$58,17,FALSE)*$E461),0)</f>
        <v>1054</v>
      </c>
      <c r="K461" s="3">
        <f ca="1">ROUND((VLOOKUP($D461,'Alloc Table Cust'!$B$7:$T$58,18,FALSE)*$E461),0)</f>
        <v>0</v>
      </c>
      <c r="L461" s="3">
        <f ca="1">ROUND((VLOOKUP($D461,'Alloc Table Cust'!$B$7:$T$58,19,FALSE)*$E461),0)</f>
        <v>0</v>
      </c>
    </row>
    <row r="462" spans="1:12" ht="11.25" x14ac:dyDescent="0.2">
      <c r="A462" s="1">
        <f t="shared" si="61"/>
        <v>19</v>
      </c>
      <c r="B462" s="1" t="str">
        <f>Input!A357</f>
        <v>893</v>
      </c>
      <c r="C462" s="1" t="str">
        <f>Input!B357</f>
        <v>METERS &amp; HOUSE REGULATORS</v>
      </c>
      <c r="D462" s="118">
        <f>Input!C357</f>
        <v>16</v>
      </c>
      <c r="E462" s="3">
        <f>Classification!F462</f>
        <v>26851</v>
      </c>
      <c r="F462" s="3">
        <f>ROUND((VLOOKUP($D462,'Alloc Table Cust'!$B$7:$S$58,13,FALSE)*$E462),0)</f>
        <v>19317</v>
      </c>
      <c r="G462" s="3">
        <f>ROUND((VLOOKUP($D462,'Alloc Table Cust'!$B$7:$T$58,14,FALSE)*$E462),0)</f>
        <v>7414</v>
      </c>
      <c r="H462" s="3">
        <f>ROUND((VLOOKUP($D462,'Alloc Table Cust'!$B$7:$T$58,15,FALSE)*$E462),0)</f>
        <v>3</v>
      </c>
      <c r="I462" s="3">
        <f>ROUND((VLOOKUP($D462,'Alloc Table Cust'!$B$7:$T$58,16,FALSE)*$E462),0)</f>
        <v>0</v>
      </c>
      <c r="J462" s="3">
        <f>ROUND((VLOOKUP($D462,'Alloc Table Cust'!$B$7:$T$58,17,FALSE)*$E462),0)</f>
        <v>116</v>
      </c>
      <c r="K462" s="3">
        <f>ROUND((VLOOKUP($D462,'Alloc Table Cust'!$B$7:$T$58,18,FALSE)*$E462),0)</f>
        <v>0</v>
      </c>
      <c r="L462" s="3">
        <f>ROUND((VLOOKUP($D462,'Alloc Table Cust'!$B$7:$T$58,19,FALSE)*$E462),0)</f>
        <v>0</v>
      </c>
    </row>
    <row r="463" spans="1:12" ht="11.25" x14ac:dyDescent="0.2">
      <c r="A463" s="1">
        <f t="shared" si="61"/>
        <v>20</v>
      </c>
      <c r="B463" s="1" t="str">
        <f>Input!A358</f>
        <v>894</v>
      </c>
      <c r="C463" s="1" t="str">
        <f>Input!B358</f>
        <v>OTHER EQUIPMENT</v>
      </c>
      <c r="D463" s="325" t="str">
        <f>VLOOKUP(Input!C358,'Alloc Table Cust'!$A$7:$B$27,2,FALSE)</f>
        <v>10CUST</v>
      </c>
      <c r="E463" s="26">
        <f>Classification!F463</f>
        <v>77168</v>
      </c>
      <c r="F463" s="26">
        <f ca="1">ROUND((VLOOKUP($D463,'Alloc Table Cust'!$B$7:$S$58,13,FALSE)*$E463),0)</f>
        <v>57744</v>
      </c>
      <c r="G463" s="26">
        <f ca="1">ROUND((VLOOKUP($D463,'Alloc Table Cust'!$B$7:$T$58,14,FALSE)*$E463),0)</f>
        <v>18165</v>
      </c>
      <c r="H463" s="26">
        <f ca="1">ROUND((VLOOKUP($D463,'Alloc Table Cust'!$B$7:$T$58,15,FALSE)*$E463),0)</f>
        <v>8</v>
      </c>
      <c r="I463" s="26">
        <f ca="1">ROUND((VLOOKUP($D463,'Alloc Table Cust'!$B$7:$T$58,16,FALSE)*$E463),0)</f>
        <v>238</v>
      </c>
      <c r="J463" s="26">
        <f ca="1">ROUND((VLOOKUP($D463,'Alloc Table Cust'!$B$7:$T$58,17,FALSE)*$E463),0)</f>
        <v>1013</v>
      </c>
      <c r="K463" s="26">
        <f ca="1">ROUND((VLOOKUP($D463,'Alloc Table Cust'!$B$7:$T$58,18,FALSE)*$E463),0)</f>
        <v>0</v>
      </c>
      <c r="L463" s="26">
        <f ca="1">ROUND((VLOOKUP($D463,'Alloc Table Cust'!$B$7:$T$58,19,FALSE)*$E463),0)</f>
        <v>0</v>
      </c>
    </row>
    <row r="464" spans="1:12" ht="11.25" x14ac:dyDescent="0.2">
      <c r="A464" s="1">
        <f t="shared" si="61"/>
        <v>21</v>
      </c>
      <c r="B464" s="1"/>
      <c r="C464" s="1" t="s">
        <v>280</v>
      </c>
      <c r="D464" s="118"/>
      <c r="E464" s="1">
        <f t="shared" ref="E464:L464" si="62">SUM(E456:E463)</f>
        <v>427470</v>
      </c>
      <c r="F464" s="3">
        <f t="shared" ca="1" si="62"/>
        <v>344582</v>
      </c>
      <c r="G464" s="3">
        <f t="shared" ca="1" si="62"/>
        <v>64977</v>
      </c>
      <c r="H464" s="3">
        <f t="shared" ca="1" si="62"/>
        <v>19</v>
      </c>
      <c r="I464" s="3">
        <f t="shared" ca="1" si="62"/>
        <v>4155</v>
      </c>
      <c r="J464" s="3">
        <f t="shared" ca="1" si="62"/>
        <v>13737</v>
      </c>
      <c r="K464" s="3">
        <f t="shared" ca="1" si="62"/>
        <v>0</v>
      </c>
      <c r="L464" s="3">
        <f t="shared" ca="1" si="62"/>
        <v>0</v>
      </c>
    </row>
    <row r="465" spans="1:12" ht="11.25" x14ac:dyDescent="0.2">
      <c r="A465" s="3" t="s">
        <v>817</v>
      </c>
      <c r="B465" s="3"/>
      <c r="C465" s="3"/>
      <c r="D465" s="325"/>
      <c r="E465" s="1"/>
      <c r="F465" s="325" t="str">
        <f>""&amp;+Input!$B$1</f>
        <v>COLUMBIA GAS OF KENTUCKY, INC.</v>
      </c>
      <c r="H465" s="3"/>
      <c r="I465" s="3"/>
      <c r="J465" s="3"/>
      <c r="K465" s="3"/>
      <c r="L465" s="32" t="str">
        <f>Input!$B$2</f>
        <v>ATTACHMENT CEN-2</v>
      </c>
    </row>
    <row r="466" spans="1:12" ht="11.25" x14ac:dyDescent="0.2">
      <c r="A466" s="3" t="str">
        <f>Input!$B$7</f>
        <v>DEMAND-COMMODITY</v>
      </c>
      <c r="B466" s="3"/>
      <c r="C466" s="3"/>
      <c r="D466" s="325"/>
      <c r="E466" s="1"/>
      <c r="F466" s="325" t="s">
        <v>568</v>
      </c>
      <c r="H466" s="3"/>
      <c r="I466" s="3"/>
      <c r="J466" s="3"/>
      <c r="K466" s="3"/>
      <c r="L466" s="32" t="str">
        <f>"PAGE 65 OF "&amp;FIXED(Input!$B$8,0,TRUE)</f>
        <v>PAGE 65 OF 129</v>
      </c>
    </row>
    <row r="467" spans="1:12" ht="11.25" x14ac:dyDescent="0.2">
      <c r="A467" s="17" t="str">
        <f>Input!$B$6</f>
        <v>FORECASTED TEST YEAR - ORIGINAL FILING</v>
      </c>
      <c r="B467" s="17"/>
      <c r="C467" s="17"/>
      <c r="D467" s="34"/>
      <c r="E467" s="117"/>
      <c r="F467" s="19" t="str">
        <f>"FOR THE TWELVE MONTHS ENDED "&amp;Input!$B$4</f>
        <v>FOR THE TWELVE MONTHS ENDED 12/31/2017</v>
      </c>
      <c r="G467" s="329"/>
      <c r="H467" s="17"/>
      <c r="I467" s="17"/>
      <c r="J467" s="17"/>
      <c r="K467" s="17"/>
      <c r="L467" s="183" t="str">
        <f>"WITNESS: "&amp;Input!$B$5</f>
        <v>WITNESS: C. NOTESTONE</v>
      </c>
    </row>
    <row r="468" spans="1:12" ht="11.25" x14ac:dyDescent="0.2">
      <c r="A468" s="325" t="s">
        <v>5</v>
      </c>
      <c r="B468" s="3" t="s">
        <v>6</v>
      </c>
      <c r="C468" s="3"/>
      <c r="D468" s="325" t="s">
        <v>7</v>
      </c>
      <c r="E468" s="118" t="s">
        <v>8</v>
      </c>
      <c r="F468" s="3"/>
      <c r="G468" s="3"/>
      <c r="H468" s="3"/>
      <c r="I468" s="3"/>
      <c r="J468" s="3"/>
      <c r="K468" s="3"/>
      <c r="L468" s="3"/>
    </row>
    <row r="469" spans="1:12" ht="11.25" x14ac:dyDescent="0.2">
      <c r="A469" s="341" t="s">
        <v>9</v>
      </c>
      <c r="B469" s="341" t="s">
        <v>9</v>
      </c>
      <c r="C469" s="34" t="str">
        <f>Customer!C128</f>
        <v xml:space="preserve"> ACCOUNT TITLE</v>
      </c>
      <c r="D469" s="341" t="s">
        <v>10</v>
      </c>
      <c r="E469" s="341" t="s">
        <v>804</v>
      </c>
      <c r="F469" s="341" t="str">
        <f>"  "&amp;+Input!$C$12</f>
        <v xml:space="preserve">  GS-RESIDENTIAL</v>
      </c>
      <c r="G469" s="341" t="str">
        <f>Input!$C$13</f>
        <v>GS-OTHER</v>
      </c>
      <c r="H469" s="341" t="str">
        <f>Input!$C$14</f>
        <v>IUS</v>
      </c>
      <c r="I469" s="341" t="str">
        <f>Input!$C$15</f>
        <v>DS-ML</v>
      </c>
      <c r="J469" s="341" t="str">
        <f>Input!$C$16</f>
        <v>DS/IS</v>
      </c>
      <c r="K469" s="341" t="str">
        <f>Input!$C$17</f>
        <v>NOT USED</v>
      </c>
      <c r="L469" s="341" t="str">
        <f>Input!$C$18</f>
        <v>NOT USED</v>
      </c>
    </row>
    <row r="470" spans="1:12" ht="11.25" x14ac:dyDescent="0.2">
      <c r="A470" s="3"/>
      <c r="B470" s="342" t="s">
        <v>13</v>
      </c>
      <c r="C470" s="342" t="s">
        <v>14</v>
      </c>
      <c r="D470" s="325" t="s">
        <v>15</v>
      </c>
      <c r="E470" s="118" t="s">
        <v>16</v>
      </c>
      <c r="F470" s="325" t="s">
        <v>17</v>
      </c>
      <c r="G470" s="325" t="s">
        <v>18</v>
      </c>
      <c r="H470" s="325" t="s">
        <v>19</v>
      </c>
      <c r="I470" s="325" t="s">
        <v>20</v>
      </c>
      <c r="J470" s="325" t="s">
        <v>21</v>
      </c>
      <c r="K470" s="325" t="s">
        <v>22</v>
      </c>
      <c r="L470" s="325" t="s">
        <v>23</v>
      </c>
    </row>
    <row r="471" spans="1:12" ht="11.25" x14ac:dyDescent="0.2">
      <c r="A471" s="3"/>
      <c r="B471" s="3"/>
      <c r="C471" s="3"/>
      <c r="D471" s="325"/>
      <c r="E471" s="118" t="s">
        <v>26</v>
      </c>
      <c r="F471" s="325" t="s">
        <v>26</v>
      </c>
      <c r="G471" s="325" t="s">
        <v>26</v>
      </c>
      <c r="H471" s="325" t="s">
        <v>26</v>
      </c>
      <c r="I471" s="325" t="s">
        <v>26</v>
      </c>
      <c r="J471" s="325" t="s">
        <v>26</v>
      </c>
      <c r="K471" s="325" t="s">
        <v>26</v>
      </c>
      <c r="L471" s="325" t="s">
        <v>26</v>
      </c>
    </row>
    <row r="472" spans="1:12" ht="11.25" x14ac:dyDescent="0.2">
      <c r="A472" s="3">
        <v>1</v>
      </c>
      <c r="B472" s="3"/>
      <c r="C472" s="3" t="str">
        <f>Input!A359</f>
        <v>CUSTOMER ACCOUNTS</v>
      </c>
      <c r="D472" s="325"/>
      <c r="E472" s="1"/>
      <c r="F472" s="3"/>
      <c r="G472" s="3"/>
      <c r="H472" s="3"/>
      <c r="I472" s="3"/>
      <c r="J472" s="3"/>
      <c r="K472" s="3"/>
      <c r="L472" s="3"/>
    </row>
    <row r="473" spans="1:12" ht="11.25" x14ac:dyDescent="0.2">
      <c r="A473" s="3"/>
      <c r="B473" s="3"/>
      <c r="C473" s="3"/>
      <c r="D473" s="325"/>
      <c r="E473" s="1"/>
      <c r="F473" s="3"/>
      <c r="G473" s="3"/>
      <c r="H473" s="3"/>
      <c r="I473" s="3"/>
      <c r="J473" s="3"/>
      <c r="K473" s="3"/>
      <c r="L473" s="3"/>
    </row>
    <row r="474" spans="1:12" ht="11.25" x14ac:dyDescent="0.2">
      <c r="A474" s="3">
        <f>A472+1</f>
        <v>2</v>
      </c>
      <c r="B474" s="3" t="str">
        <f>Input!A360</f>
        <v>901</v>
      </c>
      <c r="C474" s="3" t="str">
        <f>Input!B360</f>
        <v>SUPERVISION</v>
      </c>
      <c r="D474" s="325">
        <f>Input!C360</f>
        <v>6</v>
      </c>
      <c r="E474" s="3">
        <f>Classification!F474</f>
        <v>0</v>
      </c>
      <c r="F474" s="3">
        <f>ROUND((VLOOKUP($D474,'Alloc Table Cust'!$B$7:$S$58,13,FALSE)*$E474),0)</f>
        <v>0</v>
      </c>
      <c r="G474" s="3">
        <f>ROUND((VLOOKUP($D474,'Alloc Table Cust'!$B$7:$T$58,14,FALSE)*$E474),0)</f>
        <v>0</v>
      </c>
      <c r="H474" s="3">
        <f>ROUND((VLOOKUP($D474,'Alloc Table Cust'!$B$7:$T$58,15,FALSE)*$E474),0)</f>
        <v>0</v>
      </c>
      <c r="I474" s="3">
        <f>ROUND((VLOOKUP($D474,'Alloc Table Cust'!$B$7:$T$58,16,FALSE)*$E474),0)</f>
        <v>0</v>
      </c>
      <c r="J474" s="3">
        <f>ROUND((VLOOKUP($D474,'Alloc Table Cust'!$B$7:$T$58,17,FALSE)*$E474),0)</f>
        <v>0</v>
      </c>
      <c r="K474" s="3">
        <f>ROUND((VLOOKUP($D474,'Alloc Table Cust'!$B$7:$T$58,18,FALSE)*$E474),0)</f>
        <v>0</v>
      </c>
      <c r="L474" s="3">
        <f>ROUND((VLOOKUP($D474,'Alloc Table Cust'!$B$7:$T$58,19,FALSE)*$E474),0)</f>
        <v>0</v>
      </c>
    </row>
    <row r="475" spans="1:12" ht="11.25" x14ac:dyDescent="0.2">
      <c r="A475" s="3">
        <f t="shared" ref="A475:A483" si="63">A474+1</f>
        <v>3</v>
      </c>
      <c r="B475" s="3" t="str">
        <f>Input!A361</f>
        <v>902</v>
      </c>
      <c r="C475" s="3" t="str">
        <f>Input!B361</f>
        <v>METER READING</v>
      </c>
      <c r="D475" s="325">
        <f>Input!C361</f>
        <v>6</v>
      </c>
      <c r="E475" s="3">
        <f>Classification!F475</f>
        <v>165331</v>
      </c>
      <c r="F475" s="3">
        <f>ROUND((VLOOKUP($D475,'Alloc Table Cust'!$B$7:$S$58,13,FALSE)*$E475),0)</f>
        <v>148232</v>
      </c>
      <c r="G475" s="3">
        <f>ROUND((VLOOKUP($D475,'Alloc Table Cust'!$B$7:$T$58,14,FALSE)*$E475),0)</f>
        <v>16994</v>
      </c>
      <c r="H475" s="3">
        <f>ROUND((VLOOKUP($D475,'Alloc Table Cust'!$B$7:$T$58,15,FALSE)*$E475),0)</f>
        <v>2</v>
      </c>
      <c r="I475" s="3">
        <f>ROUND((VLOOKUP($D475,'Alloc Table Cust'!$B$7:$T$58,16,FALSE)*$E475),0)</f>
        <v>7</v>
      </c>
      <c r="J475" s="3">
        <f>ROUND((VLOOKUP($D475,'Alloc Table Cust'!$B$7:$T$58,17,FALSE)*$E475),0)</f>
        <v>96</v>
      </c>
      <c r="K475" s="3">
        <f>ROUND((VLOOKUP($D475,'Alloc Table Cust'!$B$7:$T$58,18,FALSE)*$E475),0)</f>
        <v>0</v>
      </c>
      <c r="L475" s="3">
        <f>ROUND((VLOOKUP($D475,'Alloc Table Cust'!$B$7:$T$58,19,FALSE)*$E475),0)</f>
        <v>0</v>
      </c>
    </row>
    <row r="476" spans="1:12" ht="11.25" x14ac:dyDescent="0.2">
      <c r="A476" s="3">
        <f t="shared" si="63"/>
        <v>4</v>
      </c>
      <c r="B476" s="3" t="str">
        <f>Input!A362</f>
        <v>903</v>
      </c>
      <c r="C476" s="3" t="str">
        <f>Input!B362</f>
        <v>CUSTOMER RECORDS &amp; COLLECTIONS</v>
      </c>
      <c r="D476" s="325">
        <f>Input!C362</f>
        <v>6</v>
      </c>
      <c r="E476" s="3">
        <f>Classification!F476</f>
        <v>692556</v>
      </c>
      <c r="F476" s="3">
        <f>ROUND((VLOOKUP($D476,'Alloc Table Cust'!$B$7:$S$58,13,FALSE)*$E476),0)</f>
        <v>620932</v>
      </c>
      <c r="G476" s="3">
        <f>ROUND((VLOOKUP($D476,'Alloc Table Cust'!$B$7:$T$58,14,FALSE)*$E476),0)</f>
        <v>71188</v>
      </c>
      <c r="H476" s="3">
        <f>ROUND((VLOOKUP($D476,'Alloc Table Cust'!$B$7:$T$58,15,FALSE)*$E476),0)</f>
        <v>7</v>
      </c>
      <c r="I476" s="3">
        <f>ROUND((VLOOKUP($D476,'Alloc Table Cust'!$B$7:$T$58,16,FALSE)*$E476),0)</f>
        <v>28</v>
      </c>
      <c r="J476" s="3">
        <f>ROUND((VLOOKUP($D476,'Alloc Table Cust'!$B$7:$T$58,17,FALSE)*$E476),0)</f>
        <v>402</v>
      </c>
      <c r="K476" s="3">
        <f>ROUND((VLOOKUP($D476,'Alloc Table Cust'!$B$7:$T$58,18,FALSE)*$E476),0)</f>
        <v>0</v>
      </c>
      <c r="L476" s="3">
        <f>ROUND((VLOOKUP($D476,'Alloc Table Cust'!$B$7:$T$58,19,FALSE)*$E476),0)</f>
        <v>0</v>
      </c>
    </row>
    <row r="477" spans="1:12" ht="11.25" x14ac:dyDescent="0.2">
      <c r="A477" s="3">
        <f t="shared" si="63"/>
        <v>5</v>
      </c>
      <c r="B477" s="3" t="str">
        <f>Input!A364</f>
        <v>904</v>
      </c>
      <c r="C477" s="3" t="str">
        <f>Input!B364</f>
        <v>UNCOLLECTIBLE ACCOUNTS</v>
      </c>
      <c r="D477" s="325">
        <f>Input!C364</f>
        <v>21</v>
      </c>
      <c r="E477" s="3">
        <f>Classification!F477</f>
        <v>0</v>
      </c>
      <c r="F477" s="3">
        <f>ROUND((VLOOKUP($D477,'Alloc Table Cust'!$B$7:$S$58,13,FALSE)*$E477),0)</f>
        <v>0</v>
      </c>
      <c r="G477" s="3">
        <f>ROUND((VLOOKUP($D477,'Alloc Table Cust'!$B$7:$T$58,14,FALSE)*$E477),0)</f>
        <v>0</v>
      </c>
      <c r="H477" s="3">
        <f>ROUND((VLOOKUP($D477,'Alloc Table Cust'!$B$7:$T$58,15,FALSE)*$E477),0)</f>
        <v>0</v>
      </c>
      <c r="I477" s="3">
        <f>ROUND((VLOOKUP($D477,'Alloc Table Cust'!$B$7:$T$58,16,FALSE)*$E477),0)</f>
        <v>0</v>
      </c>
      <c r="J477" s="3">
        <f>ROUND((VLOOKUP($D477,'Alloc Table Cust'!$B$7:$T$58,17,FALSE)*$E477),0)</f>
        <v>0</v>
      </c>
      <c r="K477" s="3">
        <f>ROUND((VLOOKUP($D477,'Alloc Table Cust'!$B$7:$T$58,18,FALSE)*$E477),0)</f>
        <v>0</v>
      </c>
      <c r="L477" s="3">
        <f>ROUND((VLOOKUP($D477,'Alloc Table Cust'!$B$7:$T$58,19,FALSE)*$E477),0)</f>
        <v>0</v>
      </c>
    </row>
    <row r="478" spans="1:12" ht="11.25" x14ac:dyDescent="0.2">
      <c r="A478" s="3">
        <f t="shared" si="63"/>
        <v>6</v>
      </c>
      <c r="B478" s="3" t="str">
        <f>Input!A365</f>
        <v>905</v>
      </c>
      <c r="C478" s="3" t="str">
        <f>Input!B365</f>
        <v>MISC.</v>
      </c>
      <c r="D478" s="325">
        <f>Input!C365</f>
        <v>6</v>
      </c>
      <c r="E478" s="3">
        <f>Classification!F478</f>
        <v>0</v>
      </c>
      <c r="F478" s="3">
        <f>ROUND((VLOOKUP($D478,'Alloc Table Cust'!$B$7:$S$58,13,FALSE)*$E478),0)</f>
        <v>0</v>
      </c>
      <c r="G478" s="3">
        <f>ROUND((VLOOKUP($D478,'Alloc Table Cust'!$B$7:$T$58,14,FALSE)*$E478),0)</f>
        <v>0</v>
      </c>
      <c r="H478" s="3">
        <f>ROUND((VLOOKUP($D478,'Alloc Table Cust'!$B$7:$T$58,15,FALSE)*$E478),0)</f>
        <v>0</v>
      </c>
      <c r="I478" s="3">
        <f>ROUND((VLOOKUP($D478,'Alloc Table Cust'!$B$7:$T$58,16,FALSE)*$E478),0)</f>
        <v>0</v>
      </c>
      <c r="J478" s="3">
        <f>ROUND((VLOOKUP($D478,'Alloc Table Cust'!$B$7:$T$58,17,FALSE)*$E478),0)</f>
        <v>0</v>
      </c>
      <c r="K478" s="3">
        <f>ROUND((VLOOKUP($D478,'Alloc Table Cust'!$B$7:$T$58,18,FALSE)*$E478),0)</f>
        <v>0</v>
      </c>
      <c r="L478" s="3">
        <f>ROUND((VLOOKUP($D478,'Alloc Table Cust'!$B$7:$T$58,19,FALSE)*$E478),0)</f>
        <v>0</v>
      </c>
    </row>
    <row r="479" spans="1:12" ht="11.25" x14ac:dyDescent="0.2">
      <c r="A479" s="3">
        <f t="shared" si="63"/>
        <v>7</v>
      </c>
      <c r="B479" s="3" t="str">
        <f>Input!A366</f>
        <v>920</v>
      </c>
      <c r="C479" s="3" t="str">
        <f>Input!B366</f>
        <v>SALARIES</v>
      </c>
      <c r="D479" s="325">
        <f>Input!C366</f>
        <v>6</v>
      </c>
      <c r="E479" s="3">
        <f>Classification!F479</f>
        <v>0</v>
      </c>
      <c r="F479" s="3">
        <f>ROUND((VLOOKUP($D479,'Alloc Table Cust'!$B$7:$S$58,13,FALSE)*$E479),0)</f>
        <v>0</v>
      </c>
      <c r="G479" s="3">
        <f>ROUND((VLOOKUP($D479,'Alloc Table Cust'!$B$7:$T$58,14,FALSE)*$E479),0)</f>
        <v>0</v>
      </c>
      <c r="H479" s="3">
        <f>ROUND((VLOOKUP($D479,'Alloc Table Cust'!$B$7:$T$58,15,FALSE)*$E479),0)</f>
        <v>0</v>
      </c>
      <c r="I479" s="3">
        <f>ROUND((VLOOKUP($D479,'Alloc Table Cust'!$B$7:$T$58,16,FALSE)*$E479),0)</f>
        <v>0</v>
      </c>
      <c r="J479" s="3">
        <f>ROUND((VLOOKUP($D479,'Alloc Table Cust'!$B$7:$T$58,17,FALSE)*$E479),0)</f>
        <v>0</v>
      </c>
      <c r="K479" s="3">
        <f>ROUND((VLOOKUP($D479,'Alloc Table Cust'!$B$7:$T$58,18,FALSE)*$E479),0)</f>
        <v>0</v>
      </c>
      <c r="L479" s="3">
        <f>ROUND((VLOOKUP($D479,'Alloc Table Cust'!$B$7:$T$58,19,FALSE)*$E479),0)</f>
        <v>0</v>
      </c>
    </row>
    <row r="480" spans="1:12" ht="11.25" x14ac:dyDescent="0.2">
      <c r="A480" s="3">
        <f t="shared" si="63"/>
        <v>8</v>
      </c>
      <c r="B480" s="3" t="str">
        <f>Input!A367</f>
        <v>921</v>
      </c>
      <c r="C480" s="3" t="str">
        <f>Input!B367</f>
        <v>OFFICE SUPPLIES AND EXPENSE</v>
      </c>
      <c r="D480" s="325">
        <f>Input!C367</f>
        <v>6</v>
      </c>
      <c r="E480" s="3">
        <f>Classification!F480</f>
        <v>0</v>
      </c>
      <c r="F480" s="3">
        <f>ROUND((VLOOKUP($D480,'Alloc Table Cust'!$B$7:$S$58,13,FALSE)*$E480),0)</f>
        <v>0</v>
      </c>
      <c r="G480" s="3">
        <f>ROUND((VLOOKUP($D480,'Alloc Table Cust'!$B$7:$T$58,14,FALSE)*$E480),0)</f>
        <v>0</v>
      </c>
      <c r="H480" s="3">
        <f>ROUND((VLOOKUP($D480,'Alloc Table Cust'!$B$7:$T$58,15,FALSE)*$E480),0)</f>
        <v>0</v>
      </c>
      <c r="I480" s="3">
        <f>ROUND((VLOOKUP($D480,'Alloc Table Cust'!$B$7:$T$58,16,FALSE)*$E480),0)</f>
        <v>0</v>
      </c>
      <c r="J480" s="3">
        <f>ROUND((VLOOKUP($D480,'Alloc Table Cust'!$B$7:$T$58,17,FALSE)*$E480),0)</f>
        <v>0</v>
      </c>
      <c r="K480" s="3">
        <f>ROUND((VLOOKUP($D480,'Alloc Table Cust'!$B$7:$T$58,18,FALSE)*$E480),0)</f>
        <v>0</v>
      </c>
      <c r="L480" s="3">
        <f>ROUND((VLOOKUP($D480,'Alloc Table Cust'!$B$7:$T$58,19,FALSE)*$E480),0)</f>
        <v>0</v>
      </c>
    </row>
    <row r="481" spans="1:12" ht="11.25" x14ac:dyDescent="0.2">
      <c r="A481" s="3">
        <f t="shared" si="63"/>
        <v>9</v>
      </c>
      <c r="B481" s="3" t="str">
        <f>Input!A368</f>
        <v>931</v>
      </c>
      <c r="C481" s="3" t="str">
        <f>Input!B368</f>
        <v>RENTS</v>
      </c>
      <c r="D481" s="325">
        <f>Input!C368</f>
        <v>6</v>
      </c>
      <c r="E481" s="3">
        <f>Classification!F481</f>
        <v>0</v>
      </c>
      <c r="F481" s="3">
        <f>ROUND((VLOOKUP($D481,'Alloc Table Cust'!$B$7:$S$58,13,FALSE)*$E481),0)</f>
        <v>0</v>
      </c>
      <c r="G481" s="3">
        <f>ROUND((VLOOKUP($D481,'Alloc Table Cust'!$B$7:$T$58,14,FALSE)*$E481),0)</f>
        <v>0</v>
      </c>
      <c r="H481" s="3">
        <f>ROUND((VLOOKUP($D481,'Alloc Table Cust'!$B$7:$T$58,15,FALSE)*$E481),0)</f>
        <v>0</v>
      </c>
      <c r="I481" s="3">
        <f>ROUND((VLOOKUP($D481,'Alloc Table Cust'!$B$7:$T$58,16,FALSE)*$E481),0)</f>
        <v>0</v>
      </c>
      <c r="J481" s="3">
        <f>ROUND((VLOOKUP($D481,'Alloc Table Cust'!$B$7:$T$58,17,FALSE)*$E481),0)</f>
        <v>0</v>
      </c>
      <c r="K481" s="3">
        <f>ROUND((VLOOKUP($D481,'Alloc Table Cust'!$B$7:$T$58,18,FALSE)*$E481),0)</f>
        <v>0</v>
      </c>
      <c r="L481" s="3">
        <f>ROUND((VLOOKUP($D481,'Alloc Table Cust'!$B$7:$T$58,19,FALSE)*$E481),0)</f>
        <v>0</v>
      </c>
    </row>
    <row r="482" spans="1:12" ht="11.25" x14ac:dyDescent="0.2">
      <c r="A482" s="3">
        <f t="shared" si="63"/>
        <v>10</v>
      </c>
      <c r="B482" s="3" t="str">
        <f>Input!A369</f>
        <v>935</v>
      </c>
      <c r="C482" s="3" t="str">
        <f>Input!B369</f>
        <v>GENERAL PLANT MAINTENANCE</v>
      </c>
      <c r="D482" s="325">
        <f>Input!C369</f>
        <v>6</v>
      </c>
      <c r="E482" s="26">
        <f>Classification!F482</f>
        <v>0</v>
      </c>
      <c r="F482" s="26">
        <f>ROUND((VLOOKUP($D482,'Alloc Table Cust'!$B$7:$S$58,13,FALSE)*$E482),0)</f>
        <v>0</v>
      </c>
      <c r="G482" s="26">
        <f>ROUND((VLOOKUP($D482,'Alloc Table Cust'!$B$7:$T$58,14,FALSE)*$E482),0)</f>
        <v>0</v>
      </c>
      <c r="H482" s="26">
        <f>ROUND((VLOOKUP($D482,'Alloc Table Cust'!$B$7:$T$58,15,FALSE)*$E482),0)</f>
        <v>0</v>
      </c>
      <c r="I482" s="26">
        <f>ROUND((VLOOKUP($D482,'Alloc Table Cust'!$B$7:$T$58,16,FALSE)*$E482),0)</f>
        <v>0</v>
      </c>
      <c r="J482" s="26">
        <f>ROUND((VLOOKUP($D482,'Alloc Table Cust'!$B$7:$T$58,17,FALSE)*$E482),0)</f>
        <v>0</v>
      </c>
      <c r="K482" s="26">
        <f>ROUND((VLOOKUP($D482,'Alloc Table Cust'!$B$7:$T$58,18,FALSE)*$E482),0)</f>
        <v>0</v>
      </c>
      <c r="L482" s="26">
        <f>ROUND((VLOOKUP($D482,'Alloc Table Cust'!$B$7:$T$58,19,FALSE)*$E482),0)</f>
        <v>0</v>
      </c>
    </row>
    <row r="483" spans="1:12" ht="11.25" x14ac:dyDescent="0.2">
      <c r="A483" s="3">
        <f t="shared" si="63"/>
        <v>11</v>
      </c>
      <c r="B483" s="3"/>
      <c r="C483" s="3" t="s">
        <v>301</v>
      </c>
      <c r="D483" s="325"/>
      <c r="E483" s="1">
        <f t="shared" ref="E483:L483" si="64">SUM(E474:E482)</f>
        <v>857887</v>
      </c>
      <c r="F483" s="3">
        <f t="shared" si="64"/>
        <v>769164</v>
      </c>
      <c r="G483" s="3">
        <f t="shared" si="64"/>
        <v>88182</v>
      </c>
      <c r="H483" s="3">
        <f t="shared" si="64"/>
        <v>9</v>
      </c>
      <c r="I483" s="3">
        <f t="shared" si="64"/>
        <v>35</v>
      </c>
      <c r="J483" s="3">
        <f t="shared" si="64"/>
        <v>498</v>
      </c>
      <c r="K483" s="3">
        <f t="shared" si="64"/>
        <v>0</v>
      </c>
      <c r="L483" s="3">
        <f t="shared" si="64"/>
        <v>0</v>
      </c>
    </row>
    <row r="484" spans="1:12" ht="11.25" x14ac:dyDescent="0.2">
      <c r="A484" s="3"/>
      <c r="B484" s="3"/>
      <c r="C484" s="3"/>
      <c r="D484" s="325"/>
      <c r="E484" s="1"/>
      <c r="F484" s="3"/>
      <c r="G484" s="3"/>
      <c r="H484" s="3"/>
      <c r="I484" s="3"/>
      <c r="J484" s="3"/>
      <c r="K484" s="3"/>
      <c r="L484" s="3"/>
    </row>
    <row r="485" spans="1:12" ht="11.25" x14ac:dyDescent="0.2">
      <c r="A485" s="3">
        <f>A483+1</f>
        <v>12</v>
      </c>
      <c r="B485" s="3"/>
      <c r="C485" s="3" t="str">
        <f>Input!A370</f>
        <v>CUSTOMER SERVICE &amp; INFORMATIONAL</v>
      </c>
      <c r="D485" s="325"/>
      <c r="E485" s="1"/>
      <c r="F485" s="3"/>
      <c r="G485" s="3"/>
      <c r="H485" s="3"/>
      <c r="I485" s="3"/>
      <c r="J485" s="3"/>
      <c r="K485" s="3"/>
      <c r="L485" s="3"/>
    </row>
    <row r="486" spans="1:12" ht="11.25" x14ac:dyDescent="0.2">
      <c r="A486" s="3"/>
      <c r="B486" s="3"/>
      <c r="C486" s="3"/>
      <c r="D486" s="325"/>
      <c r="E486" s="1"/>
      <c r="F486" s="3"/>
      <c r="G486" s="3"/>
      <c r="H486" s="3"/>
      <c r="I486" s="3"/>
      <c r="J486" s="3"/>
      <c r="K486" s="3"/>
      <c r="L486" s="3"/>
    </row>
    <row r="487" spans="1:12" ht="11.25" x14ac:dyDescent="0.2">
      <c r="A487" s="3">
        <f>A485+1</f>
        <v>13</v>
      </c>
      <c r="B487" s="3" t="str">
        <f>Input!A371</f>
        <v>907</v>
      </c>
      <c r="C487" s="3" t="str">
        <f>Input!B371</f>
        <v>SUPERVISION</v>
      </c>
      <c r="D487" s="325">
        <f>Input!C371</f>
        <v>6</v>
      </c>
      <c r="E487" s="3">
        <f>Classification!F487</f>
        <v>0</v>
      </c>
      <c r="F487" s="3">
        <f>ROUND((VLOOKUP($D487,'Alloc Table Cust'!$B$7:$S$58,13,FALSE)*$E487),0)</f>
        <v>0</v>
      </c>
      <c r="G487" s="3">
        <f>ROUND((VLOOKUP($D487,'Alloc Table Cust'!$B$7:$T$58,14,FALSE)*$E487),0)</f>
        <v>0</v>
      </c>
      <c r="H487" s="3">
        <f>ROUND((VLOOKUP($D487,'Alloc Table Cust'!$B$7:$T$58,15,FALSE)*$E487),0)</f>
        <v>0</v>
      </c>
      <c r="I487" s="3">
        <f>ROUND((VLOOKUP($D487,'Alloc Table Cust'!$B$7:$T$58,16,FALSE)*$E487),0)</f>
        <v>0</v>
      </c>
      <c r="J487" s="3">
        <f>ROUND((VLOOKUP($D487,'Alloc Table Cust'!$B$7:$T$58,17,FALSE)*$E487),0)</f>
        <v>0</v>
      </c>
      <c r="K487" s="3">
        <f>ROUND((VLOOKUP($D487,'Alloc Table Cust'!$B$7:$T$58,18,FALSE)*$E487),0)</f>
        <v>0</v>
      </c>
      <c r="L487" s="3">
        <f>ROUND((VLOOKUP($D487,'Alloc Table Cust'!$B$7:$T$58,19,FALSE)*$E487),0)</f>
        <v>0</v>
      </c>
    </row>
    <row r="488" spans="1:12" ht="11.25" x14ac:dyDescent="0.2">
      <c r="A488" s="3">
        <f t="shared" ref="A488:A495" si="65">A487+1</f>
        <v>14</v>
      </c>
      <c r="B488" s="3" t="str">
        <f>Input!A373</f>
        <v>908</v>
      </c>
      <c r="C488" s="3" t="str">
        <f>Input!B373</f>
        <v>CUSTOMER ASSISTANCE</v>
      </c>
      <c r="D488" s="325">
        <f>Input!C373</f>
        <v>6</v>
      </c>
      <c r="E488" s="3">
        <f>Classification!F488</f>
        <v>12982</v>
      </c>
      <c r="F488" s="3">
        <f>ROUND((VLOOKUP($D488,'Alloc Table Cust'!$B$7:$S$58,13,FALSE)*$E488),0)</f>
        <v>11639</v>
      </c>
      <c r="G488" s="3">
        <f>ROUND((VLOOKUP($D488,'Alloc Table Cust'!$B$7:$T$58,14,FALSE)*$E488),0)</f>
        <v>1334</v>
      </c>
      <c r="H488" s="3">
        <f>ROUND((VLOOKUP($D488,'Alloc Table Cust'!$B$7:$T$58,15,FALSE)*$E488),0)</f>
        <v>0</v>
      </c>
      <c r="I488" s="3">
        <f>ROUND((VLOOKUP($D488,'Alloc Table Cust'!$B$7:$T$58,16,FALSE)*$E488),0)</f>
        <v>1</v>
      </c>
      <c r="J488" s="3">
        <f>ROUND((VLOOKUP($D488,'Alloc Table Cust'!$B$7:$T$58,17,FALSE)*$E488),0)</f>
        <v>8</v>
      </c>
      <c r="K488" s="3">
        <f>ROUND((VLOOKUP($D488,'Alloc Table Cust'!$B$7:$T$58,18,FALSE)*$E488),0)</f>
        <v>0</v>
      </c>
      <c r="L488" s="3">
        <f>ROUND((VLOOKUP($D488,'Alloc Table Cust'!$B$7:$T$58,19,FALSE)*$E488),0)</f>
        <v>0</v>
      </c>
    </row>
    <row r="489" spans="1:12" ht="11.25" x14ac:dyDescent="0.2">
      <c r="A489" s="3">
        <f t="shared" si="65"/>
        <v>15</v>
      </c>
      <c r="B489" s="3" t="str">
        <f>Input!A375</f>
        <v>909</v>
      </c>
      <c r="C489" s="3" t="str">
        <f>Input!B375</f>
        <v>INFO. &amp; INSTRUCTIONAL</v>
      </c>
      <c r="D489" s="325">
        <f>Input!C375</f>
        <v>6</v>
      </c>
      <c r="E489" s="3">
        <f>Classification!F489</f>
        <v>0</v>
      </c>
      <c r="F489" s="3">
        <f>ROUND((VLOOKUP($D489,'Alloc Table Cust'!$B$7:$S$58,13,FALSE)*$E489),0)</f>
        <v>0</v>
      </c>
      <c r="G489" s="3">
        <f>ROUND((VLOOKUP($D489,'Alloc Table Cust'!$B$7:$T$58,14,FALSE)*$E489),0)</f>
        <v>0</v>
      </c>
      <c r="H489" s="3">
        <f>ROUND((VLOOKUP($D489,'Alloc Table Cust'!$B$7:$T$58,15,FALSE)*$E489),0)</f>
        <v>0</v>
      </c>
      <c r="I489" s="3">
        <f>ROUND((VLOOKUP($D489,'Alloc Table Cust'!$B$7:$T$58,16,FALSE)*$E489),0)</f>
        <v>0</v>
      </c>
      <c r="J489" s="3">
        <f>ROUND((VLOOKUP($D489,'Alloc Table Cust'!$B$7:$T$58,17,FALSE)*$E489),0)</f>
        <v>0</v>
      </c>
      <c r="K489" s="3">
        <f>ROUND((VLOOKUP($D489,'Alloc Table Cust'!$B$7:$T$58,18,FALSE)*$E489),0)</f>
        <v>0</v>
      </c>
      <c r="L489" s="3">
        <f>ROUND((VLOOKUP($D489,'Alloc Table Cust'!$B$7:$T$58,19,FALSE)*$E489),0)</f>
        <v>0</v>
      </c>
    </row>
    <row r="490" spans="1:12" ht="11.25" x14ac:dyDescent="0.2">
      <c r="A490" s="3">
        <f t="shared" si="65"/>
        <v>16</v>
      </c>
      <c r="B490" s="3" t="str">
        <f>Input!A376</f>
        <v>910</v>
      </c>
      <c r="C490" s="3" t="str">
        <f>Input!B376</f>
        <v>MISCELLANEOUS</v>
      </c>
      <c r="D490" s="325">
        <f>Input!C376</f>
        <v>6</v>
      </c>
      <c r="E490" s="3">
        <f>Classification!F490</f>
        <v>0</v>
      </c>
      <c r="F490" s="3">
        <f>ROUND((VLOOKUP($D490,'Alloc Table Cust'!$B$7:$S$58,13,FALSE)*$E490),0)</f>
        <v>0</v>
      </c>
      <c r="G490" s="3">
        <f>ROUND((VLOOKUP($D490,'Alloc Table Cust'!$B$7:$T$58,14,FALSE)*$E490),0)</f>
        <v>0</v>
      </c>
      <c r="H490" s="3">
        <f>ROUND((VLOOKUP($D490,'Alloc Table Cust'!$B$7:$T$58,15,FALSE)*$E490),0)</f>
        <v>0</v>
      </c>
      <c r="I490" s="3">
        <f>ROUND((VLOOKUP($D490,'Alloc Table Cust'!$B$7:$T$58,16,FALSE)*$E490),0)</f>
        <v>0</v>
      </c>
      <c r="J490" s="3">
        <f>ROUND((VLOOKUP($D490,'Alloc Table Cust'!$B$7:$T$58,17,FALSE)*$E490),0)</f>
        <v>0</v>
      </c>
      <c r="K490" s="3">
        <f>ROUND((VLOOKUP($D490,'Alloc Table Cust'!$B$7:$T$58,18,FALSE)*$E490),0)</f>
        <v>0</v>
      </c>
      <c r="L490" s="3">
        <f>ROUND((VLOOKUP($D490,'Alloc Table Cust'!$B$7:$T$58,19,FALSE)*$E490),0)</f>
        <v>0</v>
      </c>
    </row>
    <row r="491" spans="1:12" ht="11.25" x14ac:dyDescent="0.2">
      <c r="A491" s="3">
        <f t="shared" si="65"/>
        <v>17</v>
      </c>
      <c r="B491" s="3" t="str">
        <f>Input!A377</f>
        <v>920</v>
      </c>
      <c r="C491" s="3" t="str">
        <f>Input!B377</f>
        <v>SALARIES</v>
      </c>
      <c r="D491" s="325">
        <f>Input!C377</f>
        <v>6</v>
      </c>
      <c r="E491" s="3">
        <f>Classification!F491</f>
        <v>0</v>
      </c>
      <c r="F491" s="3">
        <f>ROUND((VLOOKUP($D491,'Alloc Table Cust'!$B$7:$S$58,13,FALSE)*$E491),0)</f>
        <v>0</v>
      </c>
      <c r="G491" s="3">
        <f>ROUND((VLOOKUP($D491,'Alloc Table Cust'!$B$7:$T$58,14,FALSE)*$E491),0)</f>
        <v>0</v>
      </c>
      <c r="H491" s="3">
        <f>ROUND((VLOOKUP($D491,'Alloc Table Cust'!$B$7:$T$58,15,FALSE)*$E491),0)</f>
        <v>0</v>
      </c>
      <c r="I491" s="3">
        <f>ROUND((VLOOKUP($D491,'Alloc Table Cust'!$B$7:$T$58,16,FALSE)*$E491),0)</f>
        <v>0</v>
      </c>
      <c r="J491" s="3">
        <f>ROUND((VLOOKUP($D491,'Alloc Table Cust'!$B$7:$T$58,17,FALSE)*$E491),0)</f>
        <v>0</v>
      </c>
      <c r="K491" s="3">
        <f>ROUND((VLOOKUP($D491,'Alloc Table Cust'!$B$7:$T$58,18,FALSE)*$E491),0)</f>
        <v>0</v>
      </c>
      <c r="L491" s="3">
        <f>ROUND((VLOOKUP($D491,'Alloc Table Cust'!$B$7:$T$58,19,FALSE)*$E491),0)</f>
        <v>0</v>
      </c>
    </row>
    <row r="492" spans="1:12" ht="11.25" x14ac:dyDescent="0.2">
      <c r="A492" s="3">
        <f t="shared" si="65"/>
        <v>18</v>
      </c>
      <c r="B492" s="3" t="str">
        <f>Input!A378</f>
        <v>921</v>
      </c>
      <c r="C492" s="3" t="str">
        <f>Input!B378</f>
        <v>OFFICE SUPPLIES AND EXPENSE</v>
      </c>
      <c r="D492" s="325">
        <f>Input!C378</f>
        <v>6</v>
      </c>
      <c r="E492" s="3">
        <f>Classification!F492</f>
        <v>0</v>
      </c>
      <c r="F492" s="3">
        <f>ROUND((VLOOKUP($D492,'Alloc Table Cust'!$B$7:$S$58,13,FALSE)*$E492),0)</f>
        <v>0</v>
      </c>
      <c r="G492" s="3">
        <f>ROUND((VLOOKUP($D492,'Alloc Table Cust'!$B$7:$T$58,14,FALSE)*$E492),0)</f>
        <v>0</v>
      </c>
      <c r="H492" s="3">
        <f>ROUND((VLOOKUP($D492,'Alloc Table Cust'!$B$7:$T$58,15,FALSE)*$E492),0)</f>
        <v>0</v>
      </c>
      <c r="I492" s="3">
        <f>ROUND((VLOOKUP($D492,'Alloc Table Cust'!$B$7:$T$58,16,FALSE)*$E492),0)</f>
        <v>0</v>
      </c>
      <c r="J492" s="3">
        <f>ROUND((VLOOKUP($D492,'Alloc Table Cust'!$B$7:$T$58,17,FALSE)*$E492),0)</f>
        <v>0</v>
      </c>
      <c r="K492" s="3">
        <f>ROUND((VLOOKUP($D492,'Alloc Table Cust'!$B$7:$T$58,18,FALSE)*$E492),0)</f>
        <v>0</v>
      </c>
      <c r="L492" s="3">
        <f>ROUND((VLOOKUP($D492,'Alloc Table Cust'!$B$7:$T$58,19,FALSE)*$E492),0)</f>
        <v>0</v>
      </c>
    </row>
    <row r="493" spans="1:12" ht="11.25" x14ac:dyDescent="0.2">
      <c r="A493" s="3">
        <f t="shared" si="65"/>
        <v>19</v>
      </c>
      <c r="B493" s="3" t="str">
        <f>Input!A379</f>
        <v>931</v>
      </c>
      <c r="C493" s="3" t="str">
        <f>Input!B379</f>
        <v>RENTS</v>
      </c>
      <c r="D493" s="325">
        <f>Input!C379</f>
        <v>6</v>
      </c>
      <c r="E493" s="3">
        <f>Classification!F493</f>
        <v>0</v>
      </c>
      <c r="F493" s="3">
        <f>ROUND((VLOOKUP($D493,'Alloc Table Cust'!$B$7:$S$58,13,FALSE)*$E493),0)</f>
        <v>0</v>
      </c>
      <c r="G493" s="3">
        <f>ROUND((VLOOKUP($D493,'Alloc Table Cust'!$B$7:$T$58,14,FALSE)*$E493),0)</f>
        <v>0</v>
      </c>
      <c r="H493" s="3">
        <f>ROUND((VLOOKUP($D493,'Alloc Table Cust'!$B$7:$T$58,15,FALSE)*$E493),0)</f>
        <v>0</v>
      </c>
      <c r="I493" s="3">
        <f>ROUND((VLOOKUP($D493,'Alloc Table Cust'!$B$7:$T$58,16,FALSE)*$E493),0)</f>
        <v>0</v>
      </c>
      <c r="J493" s="3">
        <f>ROUND((VLOOKUP($D493,'Alloc Table Cust'!$B$7:$T$58,17,FALSE)*$E493),0)</f>
        <v>0</v>
      </c>
      <c r="K493" s="3">
        <f>ROUND((VLOOKUP($D493,'Alloc Table Cust'!$B$7:$T$58,18,FALSE)*$E493),0)</f>
        <v>0</v>
      </c>
      <c r="L493" s="3">
        <f>ROUND((VLOOKUP($D493,'Alloc Table Cust'!$B$7:$T$58,19,FALSE)*$E493),0)</f>
        <v>0</v>
      </c>
    </row>
    <row r="494" spans="1:12" ht="11.25" x14ac:dyDescent="0.2">
      <c r="A494" s="3">
        <f t="shared" si="65"/>
        <v>20</v>
      </c>
      <c r="B494" s="3" t="str">
        <f>Input!A380</f>
        <v>935</v>
      </c>
      <c r="C494" s="3" t="str">
        <f>Input!B380</f>
        <v>GENERAL PLANT MAINTENANCE</v>
      </c>
      <c r="D494" s="325">
        <f>Input!C380</f>
        <v>6</v>
      </c>
      <c r="E494" s="26">
        <f>Classification!F494</f>
        <v>0</v>
      </c>
      <c r="F494" s="26">
        <f>ROUND((VLOOKUP($D494,'Alloc Table Cust'!$B$7:$S$58,13,FALSE)*$E494),0)</f>
        <v>0</v>
      </c>
      <c r="G494" s="26">
        <f>ROUND((VLOOKUP($D494,'Alloc Table Cust'!$B$7:$T$58,14,FALSE)*$E494),0)</f>
        <v>0</v>
      </c>
      <c r="H494" s="26">
        <f>ROUND((VLOOKUP($D494,'Alloc Table Cust'!$B$7:$T$58,15,FALSE)*$E494),0)</f>
        <v>0</v>
      </c>
      <c r="I494" s="26">
        <f>ROUND((VLOOKUP($D494,'Alloc Table Cust'!$B$7:$T$58,16,FALSE)*$E494),0)</f>
        <v>0</v>
      </c>
      <c r="J494" s="26">
        <f>ROUND((VLOOKUP($D494,'Alloc Table Cust'!$B$7:$T$58,17,FALSE)*$E494),0)</f>
        <v>0</v>
      </c>
      <c r="K494" s="26">
        <f>ROUND((VLOOKUP($D494,'Alloc Table Cust'!$B$7:$T$58,18,FALSE)*$E494),0)</f>
        <v>0</v>
      </c>
      <c r="L494" s="26">
        <f>ROUND((VLOOKUP($D494,'Alloc Table Cust'!$B$7:$T$58,19,FALSE)*$E494),0)</f>
        <v>0</v>
      </c>
    </row>
    <row r="495" spans="1:12" ht="11.25" x14ac:dyDescent="0.2">
      <c r="A495" s="3">
        <f t="shared" si="65"/>
        <v>21</v>
      </c>
      <c r="B495" s="3"/>
      <c r="C495" s="3" t="s">
        <v>309</v>
      </c>
      <c r="D495" s="325"/>
      <c r="E495" s="1">
        <f t="shared" ref="E495:L495" si="66">SUM(E487:E494)</f>
        <v>12982</v>
      </c>
      <c r="F495" s="3">
        <f t="shared" si="66"/>
        <v>11639</v>
      </c>
      <c r="G495" s="3">
        <f t="shared" si="66"/>
        <v>1334</v>
      </c>
      <c r="H495" s="3">
        <f t="shared" si="66"/>
        <v>0</v>
      </c>
      <c r="I495" s="3">
        <f t="shared" si="66"/>
        <v>1</v>
      </c>
      <c r="J495" s="3">
        <f t="shared" si="66"/>
        <v>8</v>
      </c>
      <c r="K495" s="3">
        <f t="shared" si="66"/>
        <v>0</v>
      </c>
      <c r="L495" s="3">
        <f t="shared" si="66"/>
        <v>0</v>
      </c>
    </row>
    <row r="496" spans="1:12" ht="11.25" x14ac:dyDescent="0.2">
      <c r="A496" s="3" t="s">
        <v>817</v>
      </c>
      <c r="B496" s="3"/>
      <c r="C496" s="3"/>
      <c r="D496" s="325"/>
      <c r="E496" s="1"/>
      <c r="F496" s="325" t="str">
        <f>""&amp;+Input!$B$1</f>
        <v>COLUMBIA GAS OF KENTUCKY, INC.</v>
      </c>
      <c r="H496" s="3"/>
      <c r="I496" s="3"/>
      <c r="J496" s="3"/>
      <c r="K496" s="3"/>
      <c r="L496" s="32" t="str">
        <f>Input!$B$2</f>
        <v>ATTACHMENT CEN-2</v>
      </c>
    </row>
    <row r="497" spans="1:12" ht="11.25" x14ac:dyDescent="0.2">
      <c r="A497" s="3" t="str">
        <f>Input!$B$7</f>
        <v>DEMAND-COMMODITY</v>
      </c>
      <c r="B497" s="3"/>
      <c r="C497" s="3"/>
      <c r="D497" s="325"/>
      <c r="E497" s="1"/>
      <c r="F497" s="325" t="s">
        <v>310</v>
      </c>
      <c r="H497" s="3"/>
      <c r="I497" s="3"/>
      <c r="J497" s="3"/>
      <c r="K497" s="3"/>
      <c r="L497" s="32" t="str">
        <f>"PAGE 66 OF "&amp;FIXED(Input!$B$8,0,TRUE)</f>
        <v>PAGE 66 OF 129</v>
      </c>
    </row>
    <row r="498" spans="1:12" ht="11.25" x14ac:dyDescent="0.2">
      <c r="A498" s="17" t="str">
        <f>Input!$B$6</f>
        <v>FORECASTED TEST YEAR - ORIGINAL FILING</v>
      </c>
      <c r="B498" s="17"/>
      <c r="C498" s="17"/>
      <c r="D498" s="34"/>
      <c r="E498" s="117"/>
      <c r="F498" s="19" t="str">
        <f>"FORTHETWELVEMONTHSENDED"&amp;Input!$B$4</f>
        <v>FORTHETWELVEMONTHSENDED12/31/2017</v>
      </c>
      <c r="G498" s="329"/>
      <c r="H498" s="17"/>
      <c r="I498" s="17"/>
      <c r="J498" s="17"/>
      <c r="K498" s="17"/>
      <c r="L498" s="183" t="str">
        <f>"WITNESS: "&amp;Input!$B$5</f>
        <v>WITNESS: C. NOTESTONE</v>
      </c>
    </row>
    <row r="499" spans="1:12" ht="11.25" x14ac:dyDescent="0.2">
      <c r="A499" s="325" t="s">
        <v>5</v>
      </c>
      <c r="B499" s="3" t="s">
        <v>6</v>
      </c>
      <c r="C499" s="3"/>
      <c r="D499" s="325" t="s">
        <v>7</v>
      </c>
      <c r="E499" s="118" t="s">
        <v>8</v>
      </c>
      <c r="F499" s="3"/>
      <c r="G499" s="3"/>
      <c r="H499" s="3"/>
      <c r="I499" s="3"/>
      <c r="J499" s="3"/>
      <c r="K499" s="3"/>
      <c r="L499" s="3"/>
    </row>
    <row r="500" spans="1:12" ht="11.25" x14ac:dyDescent="0.2">
      <c r="A500" s="341" t="s">
        <v>9</v>
      </c>
      <c r="B500" s="341" t="s">
        <v>9</v>
      </c>
      <c r="C500" s="34" t="str">
        <f>Customer!C128</f>
        <v xml:space="preserve"> ACCOUNT TITLE</v>
      </c>
      <c r="D500" s="341" t="s">
        <v>10</v>
      </c>
      <c r="E500" s="341" t="s">
        <v>804</v>
      </c>
      <c r="F500" s="341" t="str">
        <f>"  "&amp;+Input!$C$12</f>
        <v xml:space="preserve">  GS-RESIDENTIAL</v>
      </c>
      <c r="G500" s="341" t="str">
        <f>Input!$C$13</f>
        <v>GS-OTHER</v>
      </c>
      <c r="H500" s="341" t="str">
        <f>Input!$C$14</f>
        <v>IUS</v>
      </c>
      <c r="I500" s="341" t="str">
        <f>Input!$C$15</f>
        <v>DS-ML</v>
      </c>
      <c r="J500" s="341" t="str">
        <f>Input!$C$16</f>
        <v>DS/IS</v>
      </c>
      <c r="K500" s="341" t="str">
        <f>Input!$C$17</f>
        <v>NOT USED</v>
      </c>
      <c r="L500" s="341" t="str">
        <f>Input!$C$18</f>
        <v>NOT USED</v>
      </c>
    </row>
    <row r="501" spans="1:12" ht="11.25" x14ac:dyDescent="0.2">
      <c r="A501" s="3"/>
      <c r="B501" s="342" t="s">
        <v>13</v>
      </c>
      <c r="C501" s="342" t="s">
        <v>14</v>
      </c>
      <c r="D501" s="325" t="s">
        <v>15</v>
      </c>
      <c r="E501" s="118" t="s">
        <v>16</v>
      </c>
      <c r="F501" s="325" t="s">
        <v>17</v>
      </c>
      <c r="G501" s="325" t="s">
        <v>18</v>
      </c>
      <c r="H501" s="325" t="s">
        <v>19</v>
      </c>
      <c r="I501" s="325" t="s">
        <v>20</v>
      </c>
      <c r="J501" s="325" t="s">
        <v>21</v>
      </c>
      <c r="K501" s="325" t="s">
        <v>22</v>
      </c>
      <c r="L501" s="325" t="s">
        <v>23</v>
      </c>
    </row>
    <row r="502" spans="1:12" ht="11.25" x14ac:dyDescent="0.2">
      <c r="A502" s="3"/>
      <c r="B502" s="3"/>
      <c r="C502" s="3"/>
      <c r="D502" s="325"/>
      <c r="E502" s="118" t="s">
        <v>26</v>
      </c>
      <c r="F502" s="325" t="s">
        <v>26</v>
      </c>
      <c r="G502" s="325" t="s">
        <v>26</v>
      </c>
      <c r="H502" s="325" t="s">
        <v>26</v>
      </c>
      <c r="I502" s="325" t="s">
        <v>26</v>
      </c>
      <c r="J502" s="325" t="s">
        <v>26</v>
      </c>
      <c r="K502" s="325" t="s">
        <v>26</v>
      </c>
      <c r="L502" s="325" t="s">
        <v>26</v>
      </c>
    </row>
    <row r="503" spans="1:12" ht="11.25" x14ac:dyDescent="0.2">
      <c r="A503" s="3">
        <v>1</v>
      </c>
      <c r="B503" s="25"/>
      <c r="C503" s="3" t="str">
        <f>Input!A381</f>
        <v>SALES</v>
      </c>
      <c r="D503" s="325"/>
      <c r="E503" s="1"/>
      <c r="F503" s="3"/>
      <c r="G503" s="3"/>
      <c r="H503" s="3"/>
      <c r="I503" s="3"/>
      <c r="J503" s="3"/>
      <c r="K503" s="3"/>
      <c r="L503" s="3"/>
    </row>
    <row r="504" spans="1:12" ht="11.25" x14ac:dyDescent="0.2">
      <c r="A504" s="3"/>
      <c r="B504" s="3"/>
      <c r="C504" s="3"/>
      <c r="D504" s="325"/>
      <c r="E504" s="1"/>
      <c r="F504" s="3"/>
      <c r="G504" s="3"/>
      <c r="H504" s="3"/>
      <c r="I504" s="3"/>
      <c r="J504" s="3"/>
      <c r="K504" s="3"/>
      <c r="L504" s="3"/>
    </row>
    <row r="505" spans="1:12" ht="11.25" x14ac:dyDescent="0.2">
      <c r="A505" s="3">
        <f>A503+1</f>
        <v>2</v>
      </c>
      <c r="B505" s="3" t="str">
        <f>Input!A382</f>
        <v>911</v>
      </c>
      <c r="C505" s="3" t="str">
        <f>Input!B382</f>
        <v>SUPERVISION</v>
      </c>
      <c r="D505" s="325">
        <f>Input!C382</f>
        <v>6</v>
      </c>
      <c r="E505" s="3">
        <f>Classification!F505</f>
        <v>0</v>
      </c>
      <c r="F505" s="3">
        <f>ROUND((VLOOKUP($D505,'Alloc Table Cust'!$B$7:$S$58,13,FALSE)*$E505),0)</f>
        <v>0</v>
      </c>
      <c r="G505" s="3">
        <f>ROUND((VLOOKUP($D505,'Alloc Table Cust'!$B$7:$T$58,14,FALSE)*$E505),0)</f>
        <v>0</v>
      </c>
      <c r="H505" s="3">
        <f>ROUND((VLOOKUP($D505,'Alloc Table Cust'!$B$7:$T$58,15,FALSE)*$E505),0)</f>
        <v>0</v>
      </c>
      <c r="I505" s="3">
        <f>ROUND((VLOOKUP($D505,'Alloc Table Cust'!$B$7:$T$58,16,FALSE)*$E505),0)</f>
        <v>0</v>
      </c>
      <c r="J505" s="3">
        <f>ROUND((VLOOKUP($D505,'Alloc Table Cust'!$B$7:$T$58,17,FALSE)*$E505),0)</f>
        <v>0</v>
      </c>
      <c r="K505" s="3">
        <f>ROUND((VLOOKUP($D505,'Alloc Table Cust'!$B$7:$T$58,18,FALSE)*$E505),0)</f>
        <v>0</v>
      </c>
      <c r="L505" s="3">
        <f>ROUND((VLOOKUP($D505,'Alloc Table Cust'!$B$7:$T$58,19,FALSE)*$E505),0)</f>
        <v>0</v>
      </c>
    </row>
    <row r="506" spans="1:12" ht="11.25" x14ac:dyDescent="0.2">
      <c r="A506" s="3">
        <f>A505+1</f>
        <v>3</v>
      </c>
      <c r="B506" s="3" t="str">
        <f>Input!A383</f>
        <v>912</v>
      </c>
      <c r="C506" s="3" t="str">
        <f>Input!B383</f>
        <v>DEMONSTRATION &amp; SELLING</v>
      </c>
      <c r="D506" s="325">
        <f>Input!C383</f>
        <v>6</v>
      </c>
      <c r="E506" s="3">
        <f>Classification!F506</f>
        <v>0</v>
      </c>
      <c r="F506" s="3">
        <f>ROUND((VLOOKUP($D506,'Alloc Table Cust'!$B$7:$S$58,13,FALSE)*$E506),0)</f>
        <v>0</v>
      </c>
      <c r="G506" s="3">
        <f>ROUND((VLOOKUP($D506,'Alloc Table Cust'!$B$7:$T$58,14,FALSE)*$E506),0)</f>
        <v>0</v>
      </c>
      <c r="H506" s="3">
        <f>ROUND((VLOOKUP($D506,'Alloc Table Cust'!$B$7:$T$58,15,FALSE)*$E506),0)</f>
        <v>0</v>
      </c>
      <c r="I506" s="3">
        <f>ROUND((VLOOKUP($D506,'Alloc Table Cust'!$B$7:$T$58,16,FALSE)*$E506),0)</f>
        <v>0</v>
      </c>
      <c r="J506" s="3">
        <f>ROUND((VLOOKUP($D506,'Alloc Table Cust'!$B$7:$T$58,17,FALSE)*$E506),0)</f>
        <v>0</v>
      </c>
      <c r="K506" s="3">
        <f>ROUND((VLOOKUP($D506,'Alloc Table Cust'!$B$7:$T$58,18,FALSE)*$E506),0)</f>
        <v>0</v>
      </c>
      <c r="L506" s="3">
        <f>ROUND((VLOOKUP($D506,'Alloc Table Cust'!$B$7:$T$58,19,FALSE)*$E506),0)</f>
        <v>0</v>
      </c>
    </row>
    <row r="507" spans="1:12" ht="11.25" x14ac:dyDescent="0.2">
      <c r="A507" s="3">
        <f>A506+1</f>
        <v>4</v>
      </c>
      <c r="B507" s="3" t="str">
        <f>Input!A384</f>
        <v>913</v>
      </c>
      <c r="C507" s="3" t="str">
        <f>Input!B384</f>
        <v>ADVERTISING</v>
      </c>
      <c r="D507" s="325">
        <f>Input!C384</f>
        <v>6</v>
      </c>
      <c r="E507" s="3">
        <f>Classification!F507</f>
        <v>0</v>
      </c>
      <c r="F507" s="3">
        <f>ROUND((VLOOKUP($D507,'Alloc Table Cust'!$B$7:$S$58,13,FALSE)*$E507),0)</f>
        <v>0</v>
      </c>
      <c r="G507" s="3">
        <f>ROUND((VLOOKUP($D507,'Alloc Table Cust'!$B$7:$T$58,14,FALSE)*$E507),0)</f>
        <v>0</v>
      </c>
      <c r="H507" s="3">
        <f>ROUND((VLOOKUP($D507,'Alloc Table Cust'!$B$7:$T$58,15,FALSE)*$E507),0)</f>
        <v>0</v>
      </c>
      <c r="I507" s="3">
        <f>ROUND((VLOOKUP($D507,'Alloc Table Cust'!$B$7:$T$58,16,FALSE)*$E507),0)</f>
        <v>0</v>
      </c>
      <c r="J507" s="3">
        <f>ROUND((VLOOKUP($D507,'Alloc Table Cust'!$B$7:$T$58,17,FALSE)*$E507),0)</f>
        <v>0</v>
      </c>
      <c r="K507" s="3">
        <f>ROUND((VLOOKUP($D507,'Alloc Table Cust'!$B$7:$T$58,18,FALSE)*$E507),0)</f>
        <v>0</v>
      </c>
      <c r="L507" s="3">
        <f>ROUND((VLOOKUP($D507,'Alloc Table Cust'!$B$7:$T$58,19,FALSE)*$E507),0)</f>
        <v>0</v>
      </c>
    </row>
    <row r="508" spans="1:12" ht="11.25" x14ac:dyDescent="0.2">
      <c r="A508" s="3">
        <f>A507+1</f>
        <v>5</v>
      </c>
      <c r="B508" s="3" t="str">
        <f>Input!A385</f>
        <v>916</v>
      </c>
      <c r="C508" s="3" t="str">
        <f>Input!B385</f>
        <v>MISC.</v>
      </c>
      <c r="D508" s="325">
        <f>Input!C385</f>
        <v>6</v>
      </c>
      <c r="E508" s="26">
        <f>Classification!F508</f>
        <v>0</v>
      </c>
      <c r="F508" s="26">
        <f>ROUND((VLOOKUP($D508,'Alloc Table Cust'!$B$7:$S$58,13,FALSE)*$E508),0)</f>
        <v>0</v>
      </c>
      <c r="G508" s="26">
        <f>ROUND((VLOOKUP($D508,'Alloc Table Cust'!$B$7:$T$58,14,FALSE)*$E508),0)</f>
        <v>0</v>
      </c>
      <c r="H508" s="26">
        <f>ROUND((VLOOKUP($D508,'Alloc Table Cust'!$B$7:$T$58,15,FALSE)*$E508),0)</f>
        <v>0</v>
      </c>
      <c r="I508" s="26">
        <f>ROUND((VLOOKUP($D508,'Alloc Table Cust'!$B$7:$T$58,16,FALSE)*$E508),0)</f>
        <v>0</v>
      </c>
      <c r="J508" s="26">
        <f>ROUND((VLOOKUP($D508,'Alloc Table Cust'!$B$7:$T$58,17,FALSE)*$E508),0)</f>
        <v>0</v>
      </c>
      <c r="K508" s="26">
        <f>ROUND((VLOOKUP($D508,'Alloc Table Cust'!$B$7:$T$58,18,FALSE)*$E508),0)</f>
        <v>0</v>
      </c>
      <c r="L508" s="26">
        <f>ROUND((VLOOKUP($D508,'Alloc Table Cust'!$B$7:$T$58,19,FALSE)*$E508),0)</f>
        <v>0</v>
      </c>
    </row>
    <row r="509" spans="1:12" ht="11.25" x14ac:dyDescent="0.2">
      <c r="A509" s="3">
        <f>A508+1</f>
        <v>6</v>
      </c>
      <c r="B509" s="3"/>
      <c r="C509" s="3" t="s">
        <v>312</v>
      </c>
      <c r="D509" s="325"/>
      <c r="E509" s="116">
        <f t="shared" ref="E509:L509" si="67">SUM(E505:E508)</f>
        <v>0</v>
      </c>
      <c r="F509" s="26">
        <f t="shared" si="67"/>
        <v>0</v>
      </c>
      <c r="G509" s="26">
        <f t="shared" si="67"/>
        <v>0</v>
      </c>
      <c r="H509" s="26">
        <f t="shared" si="67"/>
        <v>0</v>
      </c>
      <c r="I509" s="26">
        <f t="shared" si="67"/>
        <v>0</v>
      </c>
      <c r="J509" s="26">
        <f t="shared" si="67"/>
        <v>0</v>
      </c>
      <c r="K509" s="26">
        <f t="shared" si="67"/>
        <v>0</v>
      </c>
      <c r="L509" s="26">
        <f t="shared" si="67"/>
        <v>0</v>
      </c>
    </row>
    <row r="510" spans="1:12" ht="11.25" x14ac:dyDescent="0.2">
      <c r="A510" s="3"/>
      <c r="B510" s="3"/>
      <c r="C510" s="3"/>
      <c r="D510" s="325"/>
      <c r="E510" s="3"/>
      <c r="F510" s="3"/>
      <c r="G510" s="3"/>
      <c r="H510" s="3"/>
      <c r="I510" s="3"/>
      <c r="J510" s="3"/>
      <c r="K510" s="3"/>
      <c r="L510" s="3"/>
    </row>
    <row r="511" spans="1:12" ht="11.25" x14ac:dyDescent="0.2">
      <c r="A511" s="3">
        <f>A509+1</f>
        <v>7</v>
      </c>
      <c r="B511" s="3"/>
      <c r="C511" s="3" t="s">
        <v>314</v>
      </c>
      <c r="D511" s="325"/>
      <c r="E511" s="3">
        <f>Customer!E452+Customer!E464+Customer!E483+Customer!E495+E509</f>
        <v>5149477</v>
      </c>
      <c r="F511" s="3">
        <f ca="1">Customer!F452+Customer!F464+Customer!F483+Customer!F495+F509</f>
        <v>3982445</v>
      </c>
      <c r="G511" s="3">
        <f ca="1">Customer!G452+Customer!G464+Customer!G483+Customer!G495+G509</f>
        <v>1096701</v>
      </c>
      <c r="H511" s="3">
        <f ca="1">Customer!H452+Customer!H464+Customer!H483+Customer!H495+H509</f>
        <v>444</v>
      </c>
      <c r="I511" s="3">
        <f ca="1">Customer!I452+Customer!I464+Customer!I483+Customer!I495+I509</f>
        <v>13206</v>
      </c>
      <c r="J511" s="3">
        <f ca="1">Customer!J452+Customer!J464+Customer!J483+Customer!J495+J509</f>
        <v>56682</v>
      </c>
      <c r="K511" s="3">
        <f ca="1">Customer!K452+Customer!K464+Customer!K483+Customer!K495+K509</f>
        <v>0</v>
      </c>
      <c r="L511" s="3">
        <f ca="1">Customer!L452+Customer!L464+Customer!L483+Customer!L495+L509</f>
        <v>0</v>
      </c>
    </row>
    <row r="512" spans="1:12" ht="11.25" x14ac:dyDescent="0.2">
      <c r="A512" s="3"/>
      <c r="B512" s="3"/>
      <c r="C512" s="3"/>
      <c r="D512" s="325"/>
      <c r="E512" s="3"/>
      <c r="F512" s="3"/>
      <c r="G512" s="3"/>
      <c r="H512" s="3"/>
      <c r="I512" s="3"/>
      <c r="J512" s="3"/>
      <c r="K512" s="3"/>
      <c r="L512" s="3"/>
    </row>
    <row r="513" spans="1:12" ht="11.25" x14ac:dyDescent="0.2">
      <c r="A513" s="3">
        <f>A511+1</f>
        <v>8</v>
      </c>
      <c r="B513" s="3"/>
      <c r="C513" s="3" t="str">
        <f>Input!A452</f>
        <v>ADMINISTRATIVE &amp; GENERAL</v>
      </c>
      <c r="D513" s="325"/>
      <c r="E513" s="3"/>
      <c r="F513" s="3"/>
      <c r="G513" s="3"/>
      <c r="H513" s="3"/>
      <c r="I513" s="3"/>
      <c r="J513" s="3"/>
      <c r="K513" s="3"/>
      <c r="L513" s="3"/>
    </row>
    <row r="514" spans="1:12" ht="11.25" x14ac:dyDescent="0.2">
      <c r="A514" s="3"/>
      <c r="B514" s="3"/>
      <c r="C514" s="3"/>
      <c r="D514" s="325"/>
      <c r="E514" s="3"/>
      <c r="F514" s="3"/>
      <c r="G514" s="3"/>
      <c r="H514" s="3"/>
      <c r="I514" s="3"/>
      <c r="J514" s="3"/>
      <c r="K514" s="3"/>
      <c r="L514" s="3"/>
    </row>
    <row r="515" spans="1:12" ht="11.25" x14ac:dyDescent="0.2">
      <c r="A515" s="3">
        <f>A513+1</f>
        <v>9</v>
      </c>
      <c r="B515" s="3" t="str">
        <f>Input!A453</f>
        <v>920</v>
      </c>
      <c r="C515" s="3" t="str">
        <f>Input!B453</f>
        <v>SALARIES</v>
      </c>
      <c r="D515" s="325" t="str">
        <f>VLOOKUP(Input!C453,'Alloc Table Cust'!$A$7:$B$27,2,FALSE)</f>
        <v>12CUST</v>
      </c>
      <c r="E515" s="3">
        <f>Classification!F515</f>
        <v>1060942</v>
      </c>
      <c r="F515" s="3">
        <f ca="1">ROUND((VLOOKUP($D515,'Alloc Table Cust'!$B$7:$S$58,13,FALSE)*$E515),0)</f>
        <v>820501</v>
      </c>
      <c r="G515" s="3">
        <f ca="1">ROUND((VLOOKUP($D515,'Alloc Table Cust'!$B$7:$T$58,14,FALSE)*$E515),0)</f>
        <v>225949</v>
      </c>
      <c r="H515" s="3">
        <f ca="1">ROUND((VLOOKUP($D515,'Alloc Table Cust'!$B$7:$T$58,15,FALSE)*$E515),0)</f>
        <v>95</v>
      </c>
      <c r="I515" s="3">
        <f ca="1">ROUND((VLOOKUP($D515,'Alloc Table Cust'!$B$7:$T$58,16,FALSE)*$E515),0)</f>
        <v>2716</v>
      </c>
      <c r="J515" s="3">
        <f ca="1">ROUND((VLOOKUP($D515,'Alloc Table Cust'!$B$7:$T$58,17,FALSE)*$E515),0)</f>
        <v>11681</v>
      </c>
      <c r="K515" s="3">
        <f ca="1">ROUND((VLOOKUP($D515,'Alloc Table Cust'!$B$7:$T$58,18,FALSE)*$E515),0)</f>
        <v>0</v>
      </c>
      <c r="L515" s="3">
        <f ca="1">ROUND((VLOOKUP($D515,'Alloc Table Cust'!$B$7:$T$58,19,FALSE)*$E515),0)</f>
        <v>0</v>
      </c>
    </row>
    <row r="516" spans="1:12" ht="11.25" x14ac:dyDescent="0.2">
      <c r="A516" s="3">
        <f t="shared" ref="A516:A529" si="68">A515+1</f>
        <v>10</v>
      </c>
      <c r="B516" s="3" t="str">
        <f>Input!A454</f>
        <v>921</v>
      </c>
      <c r="C516" s="3" t="str">
        <f>Input!B454</f>
        <v>OFFICE SUPPLIES &amp; EXPENSES</v>
      </c>
      <c r="D516" s="325" t="str">
        <f>VLOOKUP(Input!C454,'Alloc Table Cust'!$A$7:$B$27,2,FALSE)</f>
        <v>12CUST</v>
      </c>
      <c r="E516" s="3">
        <f>Classification!F516</f>
        <v>0</v>
      </c>
      <c r="F516" s="3">
        <f ca="1">ROUND((VLOOKUP($D516,'Alloc Table Cust'!$B$7:$S$58,13,FALSE)*$E516),0)</f>
        <v>0</v>
      </c>
      <c r="G516" s="3">
        <f ca="1">ROUND((VLOOKUP($D516,'Alloc Table Cust'!$B$7:$T$58,14,FALSE)*$E516),0)</f>
        <v>0</v>
      </c>
      <c r="H516" s="3">
        <f ca="1">ROUND((VLOOKUP($D516,'Alloc Table Cust'!$B$7:$T$58,15,FALSE)*$E516),0)</f>
        <v>0</v>
      </c>
      <c r="I516" s="3">
        <f ca="1">ROUND((VLOOKUP($D516,'Alloc Table Cust'!$B$7:$T$58,16,FALSE)*$E516),0)</f>
        <v>0</v>
      </c>
      <c r="J516" s="3">
        <f ca="1">ROUND((VLOOKUP($D516,'Alloc Table Cust'!$B$7:$T$58,17,FALSE)*$E516),0)</f>
        <v>0</v>
      </c>
      <c r="K516" s="3">
        <f ca="1">ROUND((VLOOKUP($D516,'Alloc Table Cust'!$B$7:$T$58,18,FALSE)*$E516),0)</f>
        <v>0</v>
      </c>
      <c r="L516" s="3">
        <f ca="1">ROUND((VLOOKUP($D516,'Alloc Table Cust'!$B$7:$T$58,19,FALSE)*$E516),0)</f>
        <v>0</v>
      </c>
    </row>
    <row r="517" spans="1:12" ht="11.25" x14ac:dyDescent="0.2">
      <c r="A517" s="3">
        <f t="shared" si="68"/>
        <v>11</v>
      </c>
      <c r="B517" s="3" t="str">
        <f>Input!A455</f>
        <v>922</v>
      </c>
      <c r="C517" s="3" t="str">
        <f>Input!B455</f>
        <v>ADMIN. EXPENSES TRANSFERED</v>
      </c>
      <c r="D517" s="325" t="str">
        <f>VLOOKUP(Input!C455,'Alloc Table Cust'!$A$7:$B$27,2,FALSE)</f>
        <v>12CUST</v>
      </c>
      <c r="E517" s="3">
        <f>Classification!F517</f>
        <v>0</v>
      </c>
      <c r="F517" s="3">
        <f ca="1">ROUND((VLOOKUP($D517,'Alloc Table Cust'!$B$7:$S$58,13,FALSE)*$E517),0)</f>
        <v>0</v>
      </c>
      <c r="G517" s="3">
        <f ca="1">ROUND((VLOOKUP($D517,'Alloc Table Cust'!$B$7:$T$58,14,FALSE)*$E517),0)</f>
        <v>0</v>
      </c>
      <c r="H517" s="3">
        <f ca="1">ROUND((VLOOKUP($D517,'Alloc Table Cust'!$B$7:$T$58,15,FALSE)*$E517),0)</f>
        <v>0</v>
      </c>
      <c r="I517" s="3">
        <f ca="1">ROUND((VLOOKUP($D517,'Alloc Table Cust'!$B$7:$T$58,16,FALSE)*$E517),0)</f>
        <v>0</v>
      </c>
      <c r="J517" s="3">
        <f ca="1">ROUND((VLOOKUP($D517,'Alloc Table Cust'!$B$7:$T$58,17,FALSE)*$E517),0)</f>
        <v>0</v>
      </c>
      <c r="K517" s="3">
        <f ca="1">ROUND((VLOOKUP($D517,'Alloc Table Cust'!$B$7:$T$58,18,FALSE)*$E517),0)</f>
        <v>0</v>
      </c>
      <c r="L517" s="3">
        <f ca="1">ROUND((VLOOKUP($D517,'Alloc Table Cust'!$B$7:$T$58,19,FALSE)*$E517),0)</f>
        <v>0</v>
      </c>
    </row>
    <row r="518" spans="1:12" ht="11.25" x14ac:dyDescent="0.2">
      <c r="A518" s="3">
        <f t="shared" si="68"/>
        <v>12</v>
      </c>
      <c r="B518" s="3" t="str">
        <f>Input!A456</f>
        <v>923</v>
      </c>
      <c r="C518" s="3" t="str">
        <f>Input!B456</f>
        <v xml:space="preserve">OUTSIDE SERVICES </v>
      </c>
      <c r="D518" s="325" t="str">
        <f>VLOOKUP(Input!C456,'Alloc Table Cust'!$A$7:$B$27,2,FALSE)</f>
        <v>12CUST</v>
      </c>
      <c r="E518" s="3">
        <f>Classification!F518</f>
        <v>3078</v>
      </c>
      <c r="F518" s="3">
        <f ca="1">ROUND((VLOOKUP($D518,'Alloc Table Cust'!$B$7:$S$58,13,FALSE)*$E518),0)</f>
        <v>2380</v>
      </c>
      <c r="G518" s="3">
        <f ca="1">ROUND((VLOOKUP($D518,'Alloc Table Cust'!$B$7:$T$58,14,FALSE)*$E518),0)</f>
        <v>656</v>
      </c>
      <c r="H518" s="3">
        <f ca="1">ROUND((VLOOKUP($D518,'Alloc Table Cust'!$B$7:$T$58,15,FALSE)*$E518),0)</f>
        <v>0</v>
      </c>
      <c r="I518" s="3">
        <f ca="1">ROUND((VLOOKUP($D518,'Alloc Table Cust'!$B$7:$T$58,16,FALSE)*$E518),0)</f>
        <v>8</v>
      </c>
      <c r="J518" s="3">
        <f ca="1">ROUND((VLOOKUP($D518,'Alloc Table Cust'!$B$7:$T$58,17,FALSE)*$E518),0)</f>
        <v>34</v>
      </c>
      <c r="K518" s="3">
        <f ca="1">ROUND((VLOOKUP($D518,'Alloc Table Cust'!$B$7:$T$58,18,FALSE)*$E518),0)</f>
        <v>0</v>
      </c>
      <c r="L518" s="3">
        <f ca="1">ROUND((VLOOKUP($D518,'Alloc Table Cust'!$B$7:$T$58,19,FALSE)*$E518),0)</f>
        <v>0</v>
      </c>
    </row>
    <row r="519" spans="1:12" ht="11.25" x14ac:dyDescent="0.2">
      <c r="A519" s="3">
        <f t="shared" si="68"/>
        <v>13</v>
      </c>
      <c r="B519" s="3" t="str">
        <f>Input!A457</f>
        <v>924</v>
      </c>
      <c r="C519" s="3" t="str">
        <f>Input!B457</f>
        <v>PROPERTY INSURANCE</v>
      </c>
      <c r="D519" s="325" t="str">
        <f>VLOOKUP(Input!C457,'Alloc Table Cust'!$A$7:$B$27,2,FALSE)</f>
        <v>12CUST</v>
      </c>
      <c r="E519" s="3">
        <f>Classification!F519</f>
        <v>0</v>
      </c>
      <c r="F519" s="3">
        <f ca="1">ROUND((VLOOKUP($D519,'Alloc Table Cust'!$B$7:$S$58,13,FALSE)*$E519),0)</f>
        <v>0</v>
      </c>
      <c r="G519" s="3">
        <f ca="1">ROUND((VLOOKUP($D519,'Alloc Table Cust'!$B$7:$T$58,14,FALSE)*$E519),0)</f>
        <v>0</v>
      </c>
      <c r="H519" s="3">
        <f ca="1">ROUND((VLOOKUP($D519,'Alloc Table Cust'!$B$7:$T$58,15,FALSE)*$E519),0)</f>
        <v>0</v>
      </c>
      <c r="I519" s="3">
        <f ca="1">ROUND((VLOOKUP($D519,'Alloc Table Cust'!$B$7:$T$58,16,FALSE)*$E519),0)</f>
        <v>0</v>
      </c>
      <c r="J519" s="3">
        <f ca="1">ROUND((VLOOKUP($D519,'Alloc Table Cust'!$B$7:$T$58,17,FALSE)*$E519),0)</f>
        <v>0</v>
      </c>
      <c r="K519" s="3">
        <f ca="1">ROUND((VLOOKUP($D519,'Alloc Table Cust'!$B$7:$T$58,18,FALSE)*$E519),0)</f>
        <v>0</v>
      </c>
      <c r="L519" s="3">
        <f ca="1">ROUND((VLOOKUP($D519,'Alloc Table Cust'!$B$7:$T$58,19,FALSE)*$E519),0)</f>
        <v>0</v>
      </c>
    </row>
    <row r="520" spans="1:12" ht="11.25" x14ac:dyDescent="0.2">
      <c r="A520" s="3">
        <f t="shared" si="68"/>
        <v>14</v>
      </c>
      <c r="B520" s="3" t="str">
        <f>Input!A458</f>
        <v>925</v>
      </c>
      <c r="C520" s="3" t="str">
        <f>Input!B458</f>
        <v>INJURIES AND DAMAGES</v>
      </c>
      <c r="D520" s="325" t="str">
        <f>VLOOKUP(Input!C458,'Alloc Table Cust'!$A$7:$B$27,2,FALSE)</f>
        <v>12CUST</v>
      </c>
      <c r="E520" s="3">
        <f>Classification!F520</f>
        <v>0</v>
      </c>
      <c r="F520" s="3">
        <f ca="1">ROUND((VLOOKUP($D520,'Alloc Table Cust'!$B$7:$S$58,13,FALSE)*$E520),0)</f>
        <v>0</v>
      </c>
      <c r="G520" s="3">
        <f ca="1">ROUND((VLOOKUP($D520,'Alloc Table Cust'!$B$7:$T$58,14,FALSE)*$E520),0)</f>
        <v>0</v>
      </c>
      <c r="H520" s="3">
        <f ca="1">ROUND((VLOOKUP($D520,'Alloc Table Cust'!$B$7:$T$58,15,FALSE)*$E520),0)</f>
        <v>0</v>
      </c>
      <c r="I520" s="3">
        <f ca="1">ROUND((VLOOKUP($D520,'Alloc Table Cust'!$B$7:$T$58,16,FALSE)*$E520),0)</f>
        <v>0</v>
      </c>
      <c r="J520" s="3">
        <f ca="1">ROUND((VLOOKUP($D520,'Alloc Table Cust'!$B$7:$T$58,17,FALSE)*$E520),0)</f>
        <v>0</v>
      </c>
      <c r="K520" s="3">
        <f ca="1">ROUND((VLOOKUP($D520,'Alloc Table Cust'!$B$7:$T$58,18,FALSE)*$E520),0)</f>
        <v>0</v>
      </c>
      <c r="L520" s="3">
        <f ca="1">ROUND((VLOOKUP($D520,'Alloc Table Cust'!$B$7:$T$58,19,FALSE)*$E520),0)</f>
        <v>0</v>
      </c>
    </row>
    <row r="521" spans="1:12" ht="11.25" x14ac:dyDescent="0.2">
      <c r="A521" s="3">
        <f t="shared" si="68"/>
        <v>15</v>
      </c>
      <c r="B521" s="3" t="str">
        <f>Input!A459</f>
        <v>926</v>
      </c>
      <c r="C521" s="3" t="str">
        <f>Input!B459</f>
        <v>EMPLOYEE PENSIONS &amp; BENEFITS</v>
      </c>
      <c r="D521" s="325" t="str">
        <f>VLOOKUP(Input!C459,'Alloc Table Cust'!$A$7:$B$27,2,FALSE)</f>
        <v>12CUST</v>
      </c>
      <c r="E521" s="3">
        <f>Classification!F521</f>
        <v>0</v>
      </c>
      <c r="F521" s="3">
        <f ca="1">ROUND((VLOOKUP($D521,'Alloc Table Cust'!$B$7:$S$58,13,FALSE)*$E521),0)</f>
        <v>0</v>
      </c>
      <c r="G521" s="3">
        <f ca="1">ROUND((VLOOKUP($D521,'Alloc Table Cust'!$B$7:$T$58,14,FALSE)*$E521),0)</f>
        <v>0</v>
      </c>
      <c r="H521" s="3">
        <f ca="1">ROUND((VLOOKUP($D521,'Alloc Table Cust'!$B$7:$T$58,15,FALSE)*$E521),0)</f>
        <v>0</v>
      </c>
      <c r="I521" s="3">
        <f ca="1">ROUND((VLOOKUP($D521,'Alloc Table Cust'!$B$7:$T$58,16,FALSE)*$E521),0)</f>
        <v>0</v>
      </c>
      <c r="J521" s="3">
        <f ca="1">ROUND((VLOOKUP($D521,'Alloc Table Cust'!$B$7:$T$58,17,FALSE)*$E521),0)</f>
        <v>0</v>
      </c>
      <c r="K521" s="3">
        <f ca="1">ROUND((VLOOKUP($D521,'Alloc Table Cust'!$B$7:$T$58,18,FALSE)*$E521),0)</f>
        <v>0</v>
      </c>
      <c r="L521" s="3">
        <f ca="1">ROUND((VLOOKUP($D521,'Alloc Table Cust'!$B$7:$T$58,19,FALSE)*$E521),0)</f>
        <v>0</v>
      </c>
    </row>
    <row r="522" spans="1:12" ht="11.25" x14ac:dyDescent="0.2">
      <c r="A522" s="3">
        <f t="shared" si="68"/>
        <v>16</v>
      </c>
      <c r="B522" s="3" t="str">
        <f>Input!A460</f>
        <v>928</v>
      </c>
      <c r="C522" s="3" t="str">
        <f>Input!B460</f>
        <v>REG COMMISSION EXP - GENERAL</v>
      </c>
      <c r="D522" s="325" t="str">
        <f>VLOOKUP(Input!C460,'Alloc Table Cust'!$A$7:$B$27,2,FALSE)</f>
        <v>12CUST</v>
      </c>
      <c r="E522" s="3">
        <f>Classification!F522</f>
        <v>0</v>
      </c>
      <c r="F522" s="3">
        <f ca="1">ROUND((VLOOKUP($D522,'Alloc Table Cust'!$B$7:$S$58,13,FALSE)*$E522),0)</f>
        <v>0</v>
      </c>
      <c r="G522" s="3">
        <f ca="1">ROUND((VLOOKUP($D522,'Alloc Table Cust'!$B$7:$T$58,14,FALSE)*$E522),0)</f>
        <v>0</v>
      </c>
      <c r="H522" s="3">
        <f ca="1">ROUND((VLOOKUP($D522,'Alloc Table Cust'!$B$7:$T$58,15,FALSE)*$E522),0)</f>
        <v>0</v>
      </c>
      <c r="I522" s="3">
        <f ca="1">ROUND((VLOOKUP($D522,'Alloc Table Cust'!$B$7:$T$58,16,FALSE)*$E522),0)</f>
        <v>0</v>
      </c>
      <c r="J522" s="3">
        <f ca="1">ROUND((VLOOKUP($D522,'Alloc Table Cust'!$B$7:$T$58,17,FALSE)*$E522),0)</f>
        <v>0</v>
      </c>
      <c r="K522" s="3">
        <f ca="1">ROUND((VLOOKUP($D522,'Alloc Table Cust'!$B$7:$T$58,18,FALSE)*$E522),0)</f>
        <v>0</v>
      </c>
      <c r="L522" s="3">
        <f ca="1">ROUND((VLOOKUP($D522,'Alloc Table Cust'!$B$7:$T$58,19,FALSE)*$E522),0)</f>
        <v>0</v>
      </c>
    </row>
    <row r="523" spans="1:12" ht="11.25" x14ac:dyDescent="0.2">
      <c r="A523" s="3">
        <f t="shared" si="68"/>
        <v>17</v>
      </c>
      <c r="B523" s="3" t="str">
        <f>Input!A461</f>
        <v>930.10</v>
      </c>
      <c r="C523" s="3" t="str">
        <f>Input!B461</f>
        <v>MISC. - INSTITUT &amp; GOODWILL ADV</v>
      </c>
      <c r="D523" s="325" t="str">
        <f>VLOOKUP(Input!C461,'Alloc Table Cust'!$A$7:$B$27,2,FALSE)</f>
        <v>12CUST</v>
      </c>
      <c r="E523" s="3">
        <f>Classification!F523</f>
        <v>0</v>
      </c>
      <c r="F523" s="3">
        <f ca="1">ROUND((VLOOKUP($D523,'Alloc Table Cust'!$B$7:$S$58,13,FALSE)*$E523),0)</f>
        <v>0</v>
      </c>
      <c r="G523" s="3">
        <f ca="1">ROUND((VLOOKUP($D523,'Alloc Table Cust'!$B$7:$T$58,14,FALSE)*$E523),0)</f>
        <v>0</v>
      </c>
      <c r="H523" s="3">
        <f ca="1">ROUND((VLOOKUP($D523,'Alloc Table Cust'!$B$7:$T$58,15,FALSE)*$E523),0)</f>
        <v>0</v>
      </c>
      <c r="I523" s="3">
        <f ca="1">ROUND((VLOOKUP($D523,'Alloc Table Cust'!$B$7:$T$58,16,FALSE)*$E523),0)</f>
        <v>0</v>
      </c>
      <c r="J523" s="3">
        <f ca="1">ROUND((VLOOKUP($D523,'Alloc Table Cust'!$B$7:$T$58,17,FALSE)*$E523),0)</f>
        <v>0</v>
      </c>
      <c r="K523" s="3">
        <f ca="1">ROUND((VLOOKUP($D523,'Alloc Table Cust'!$B$7:$T$58,18,FALSE)*$E523),0)</f>
        <v>0</v>
      </c>
      <c r="L523" s="3">
        <f ca="1">ROUND((VLOOKUP($D523,'Alloc Table Cust'!$B$7:$T$58,19,FALSE)*$E523),0)</f>
        <v>0</v>
      </c>
    </row>
    <row r="524" spans="1:12" ht="11.25" x14ac:dyDescent="0.2">
      <c r="A524" s="3">
        <f t="shared" si="68"/>
        <v>18</v>
      </c>
      <c r="B524" s="3" t="str">
        <f>Input!A462</f>
        <v>930.20</v>
      </c>
      <c r="C524" s="3" t="str">
        <f>Input!B462</f>
        <v>MISC. - GENERAL</v>
      </c>
      <c r="D524" s="325" t="str">
        <f>VLOOKUP(Input!C462,'Alloc Table Cust'!$A$7:$B$27,2,FALSE)</f>
        <v>12CUST</v>
      </c>
      <c r="E524" s="3">
        <f>Classification!F524</f>
        <v>0</v>
      </c>
      <c r="F524" s="3">
        <f ca="1">ROUND((VLOOKUP($D524,'Alloc Table Cust'!$B$7:$S$58,13,FALSE)*$E524),0)</f>
        <v>0</v>
      </c>
      <c r="G524" s="3">
        <f ca="1">ROUND((VLOOKUP($D524,'Alloc Table Cust'!$B$7:$T$58,14,FALSE)*$E524),0)</f>
        <v>0</v>
      </c>
      <c r="H524" s="3">
        <f ca="1">ROUND((VLOOKUP($D524,'Alloc Table Cust'!$B$7:$T$58,15,FALSE)*$E524),0)</f>
        <v>0</v>
      </c>
      <c r="I524" s="3">
        <f ca="1">ROUND((VLOOKUP($D524,'Alloc Table Cust'!$B$7:$T$58,16,FALSE)*$E524),0)</f>
        <v>0</v>
      </c>
      <c r="J524" s="3">
        <f ca="1">ROUND((VLOOKUP($D524,'Alloc Table Cust'!$B$7:$T$58,17,FALSE)*$E524),0)</f>
        <v>0</v>
      </c>
      <c r="K524" s="3">
        <f ca="1">ROUND((VLOOKUP($D524,'Alloc Table Cust'!$B$7:$T$58,18,FALSE)*$E524),0)</f>
        <v>0</v>
      </c>
      <c r="L524" s="3">
        <f ca="1">ROUND((VLOOKUP($D524,'Alloc Table Cust'!$B$7:$T$58,19,FALSE)*$E524),0)</f>
        <v>0</v>
      </c>
    </row>
    <row r="525" spans="1:12" ht="11.25" x14ac:dyDescent="0.2">
      <c r="A525" s="3">
        <f t="shared" si="68"/>
        <v>19</v>
      </c>
      <c r="B525" s="3" t="str">
        <f>Input!A463</f>
        <v>931</v>
      </c>
      <c r="C525" s="3" t="str">
        <f>Input!B463</f>
        <v>RENTS</v>
      </c>
      <c r="D525" s="325" t="str">
        <f>VLOOKUP(Input!C463,'Alloc Table Cust'!$A$7:$B$27,2,FALSE)</f>
        <v>12CUST</v>
      </c>
      <c r="E525" s="3">
        <f>Classification!F525</f>
        <v>0</v>
      </c>
      <c r="F525" s="3">
        <f ca="1">ROUND((VLOOKUP($D525,'Alloc Table Cust'!$B$7:$S$58,13,FALSE)*$E525),0)</f>
        <v>0</v>
      </c>
      <c r="G525" s="3">
        <f ca="1">ROUND((VLOOKUP($D525,'Alloc Table Cust'!$B$7:$T$58,14,FALSE)*$E525),0)</f>
        <v>0</v>
      </c>
      <c r="H525" s="3">
        <f ca="1">ROUND((VLOOKUP($D525,'Alloc Table Cust'!$B$7:$T$58,15,FALSE)*$E525),0)</f>
        <v>0</v>
      </c>
      <c r="I525" s="3">
        <f ca="1">ROUND((VLOOKUP($D525,'Alloc Table Cust'!$B$7:$T$58,16,FALSE)*$E525),0)</f>
        <v>0</v>
      </c>
      <c r="J525" s="3">
        <f ca="1">ROUND((VLOOKUP($D525,'Alloc Table Cust'!$B$7:$T$58,17,FALSE)*$E525),0)</f>
        <v>0</v>
      </c>
      <c r="K525" s="3">
        <f ca="1">ROUND((VLOOKUP($D525,'Alloc Table Cust'!$B$7:$T$58,18,FALSE)*$E525),0)</f>
        <v>0</v>
      </c>
      <c r="L525" s="3">
        <f ca="1">ROUND((VLOOKUP($D525,'Alloc Table Cust'!$B$7:$T$58,19,FALSE)*$E525),0)</f>
        <v>0</v>
      </c>
    </row>
    <row r="526" spans="1:12" ht="11.25" x14ac:dyDescent="0.2">
      <c r="A526" s="3">
        <f t="shared" si="68"/>
        <v>20</v>
      </c>
      <c r="B526" s="3" t="str">
        <f>Input!A464</f>
        <v>935.13</v>
      </c>
      <c r="C526" s="3" t="str">
        <f>Input!B464</f>
        <v>MAINT. STRUCTURES &amp; IMPROV.</v>
      </c>
      <c r="D526" s="325" t="str">
        <f>VLOOKUP(Input!C464,'Alloc Table Cust'!$A$7:$B$27,2,FALSE)</f>
        <v>12CUST</v>
      </c>
      <c r="E526" s="3">
        <f>Classification!F526</f>
        <v>0</v>
      </c>
      <c r="F526" s="3">
        <f ca="1">ROUND((VLOOKUP($D526,'Alloc Table Cust'!$B$7:$S$58,13,FALSE)*$E526),0)</f>
        <v>0</v>
      </c>
      <c r="G526" s="3">
        <f ca="1">ROUND((VLOOKUP($D526,'Alloc Table Cust'!$B$7:$T$58,14,FALSE)*$E526),0)</f>
        <v>0</v>
      </c>
      <c r="H526" s="3">
        <f ca="1">ROUND((VLOOKUP($D526,'Alloc Table Cust'!$B$7:$T$58,15,FALSE)*$E526),0)</f>
        <v>0</v>
      </c>
      <c r="I526" s="3">
        <f ca="1">ROUND((VLOOKUP($D526,'Alloc Table Cust'!$B$7:$T$58,16,FALSE)*$E526),0)</f>
        <v>0</v>
      </c>
      <c r="J526" s="3">
        <f ca="1">ROUND((VLOOKUP($D526,'Alloc Table Cust'!$B$7:$T$58,17,FALSE)*$E526),0)</f>
        <v>0</v>
      </c>
      <c r="K526" s="3">
        <f ca="1">ROUND((VLOOKUP($D526,'Alloc Table Cust'!$B$7:$T$58,18,FALSE)*$E526),0)</f>
        <v>0</v>
      </c>
      <c r="L526" s="3">
        <f ca="1">ROUND((VLOOKUP($D526,'Alloc Table Cust'!$B$7:$T$58,19,FALSE)*$E526),0)</f>
        <v>0</v>
      </c>
    </row>
    <row r="527" spans="1:12" ht="11.25" x14ac:dyDescent="0.2">
      <c r="A527" s="3">
        <f t="shared" si="68"/>
        <v>21</v>
      </c>
      <c r="B527" s="3" t="str">
        <f>Input!A465</f>
        <v>935.23</v>
      </c>
      <c r="C527" s="3" t="str">
        <f>Input!B465</f>
        <v xml:space="preserve">MAINT. - GEN'L OFFICE </v>
      </c>
      <c r="D527" s="325"/>
      <c r="E527" s="3"/>
      <c r="F527" s="3"/>
      <c r="G527" s="3"/>
      <c r="H527" s="3"/>
      <c r="I527" s="3"/>
      <c r="J527" s="3"/>
      <c r="K527" s="3"/>
      <c r="L527" s="3"/>
    </row>
    <row r="528" spans="1:12" ht="11.25" x14ac:dyDescent="0.2">
      <c r="A528" s="3">
        <f t="shared" si="68"/>
        <v>22</v>
      </c>
      <c r="B528" s="3"/>
      <c r="C528" s="3" t="str">
        <f>Input!B466</f>
        <v>FURNITURE &amp; EQUIPMENT</v>
      </c>
      <c r="D528" s="325" t="str">
        <f>VLOOKUP(Input!C466,'Alloc Table Cust'!$A$7:$B$27,2,FALSE)</f>
        <v>12CUST</v>
      </c>
      <c r="E528" s="3">
        <f>Classification!F528</f>
        <v>0</v>
      </c>
      <c r="F528" s="3">
        <f ca="1">ROUND((VLOOKUP($D528,'Alloc Table Cust'!$B$7:$S$58,13,FALSE)*$E528),0)</f>
        <v>0</v>
      </c>
      <c r="G528" s="3">
        <f ca="1">ROUND((VLOOKUP($D528,'Alloc Table Cust'!$B$7:$T$58,14,FALSE)*$E528),0)</f>
        <v>0</v>
      </c>
      <c r="H528" s="3">
        <f ca="1">ROUND((VLOOKUP($D528,'Alloc Table Cust'!$B$7:$T$58,15,FALSE)*$E528),0)</f>
        <v>0</v>
      </c>
      <c r="I528" s="3">
        <f ca="1">ROUND((VLOOKUP($D528,'Alloc Table Cust'!$B$7:$T$58,16,FALSE)*$E528),0)</f>
        <v>0</v>
      </c>
      <c r="J528" s="3">
        <f ca="1">ROUND((VLOOKUP($D528,'Alloc Table Cust'!$B$7:$T$58,17,FALSE)*$E528),0)</f>
        <v>0</v>
      </c>
      <c r="K528" s="3">
        <f ca="1">ROUND((VLOOKUP($D528,'Alloc Table Cust'!$B$7:$T$58,18,FALSE)*$E528),0)</f>
        <v>0</v>
      </c>
      <c r="L528" s="3">
        <f ca="1">ROUND((VLOOKUP($D528,'Alloc Table Cust'!$B$7:$T$58,19,FALSE)*$E528),0)</f>
        <v>0</v>
      </c>
    </row>
    <row r="529" spans="1:12" ht="11.25" x14ac:dyDescent="0.2">
      <c r="A529" s="3">
        <f t="shared" si="68"/>
        <v>23</v>
      </c>
      <c r="B529" s="3">
        <f>Input!A467</f>
        <v>932</v>
      </c>
      <c r="C529" s="3" t="str">
        <f>Input!B467</f>
        <v>MAINT.-MISCELLANEOUS</v>
      </c>
      <c r="D529" s="325" t="str">
        <f>VLOOKUP(Input!C467,'Alloc Table Cust'!$A$7:$B$27,2,FALSE)</f>
        <v>12CUST</v>
      </c>
      <c r="E529" s="26">
        <f>Classification!F529</f>
        <v>0</v>
      </c>
      <c r="F529" s="26">
        <f ca="1">ROUND((VLOOKUP($D529,'Alloc Table Cust'!$B$7:$S$58,13,FALSE)*$E529),0)</f>
        <v>0</v>
      </c>
      <c r="G529" s="26">
        <f ca="1">ROUND((VLOOKUP($D529,'Alloc Table Cust'!$B$7:$T$58,14,FALSE)*$E529),0)</f>
        <v>0</v>
      </c>
      <c r="H529" s="26">
        <f ca="1">ROUND((VLOOKUP($D529,'Alloc Table Cust'!$B$7:$T$58,15,FALSE)*$E529),0)</f>
        <v>0</v>
      </c>
      <c r="I529" s="26">
        <f ca="1">ROUND((VLOOKUP($D529,'Alloc Table Cust'!$B$7:$T$58,16,FALSE)*$E529),0)</f>
        <v>0</v>
      </c>
      <c r="J529" s="26">
        <f ca="1">ROUND((VLOOKUP($D529,'Alloc Table Cust'!$B$7:$T$58,17,FALSE)*$E529),0)</f>
        <v>0</v>
      </c>
      <c r="K529" s="26">
        <f ca="1">ROUND((VLOOKUP($D529,'Alloc Table Cust'!$B$7:$T$58,18,FALSE)*$E529),0)</f>
        <v>0</v>
      </c>
      <c r="L529" s="26">
        <f ca="1">ROUND((VLOOKUP($D529,'Alloc Table Cust'!$B$7:$T$58,19,FALSE)*$E529),0)</f>
        <v>0</v>
      </c>
    </row>
    <row r="530" spans="1:12" ht="11.25" x14ac:dyDescent="0.2">
      <c r="A530" s="3">
        <f>A529+1</f>
        <v>24</v>
      </c>
      <c r="B530" s="3"/>
      <c r="C530" s="3" t="s">
        <v>317</v>
      </c>
      <c r="D530" s="325"/>
      <c r="E530" s="26">
        <f t="shared" ref="E530:L530" si="69">SUM(E515:E529)</f>
        <v>1064020</v>
      </c>
      <c r="F530" s="26">
        <f t="shared" ca="1" si="69"/>
        <v>822881</v>
      </c>
      <c r="G530" s="26">
        <f t="shared" ca="1" si="69"/>
        <v>226605</v>
      </c>
      <c r="H530" s="26">
        <f t="shared" ca="1" si="69"/>
        <v>95</v>
      </c>
      <c r="I530" s="26">
        <f t="shared" ca="1" si="69"/>
        <v>2724</v>
      </c>
      <c r="J530" s="26">
        <f t="shared" ca="1" si="69"/>
        <v>11715</v>
      </c>
      <c r="K530" s="26">
        <f t="shared" ca="1" si="69"/>
        <v>0</v>
      </c>
      <c r="L530" s="26">
        <f t="shared" ca="1" si="69"/>
        <v>0</v>
      </c>
    </row>
    <row r="531" spans="1:12" ht="11.25" x14ac:dyDescent="0.2">
      <c r="A531" s="3"/>
      <c r="B531" s="3"/>
      <c r="C531" s="3"/>
      <c r="D531" s="325"/>
      <c r="E531" s="3"/>
      <c r="F531" s="3"/>
      <c r="G531" s="3"/>
      <c r="H531" s="3"/>
      <c r="I531" s="3"/>
      <c r="J531" s="3"/>
      <c r="K531" s="3"/>
      <c r="L531" s="3"/>
    </row>
    <row r="532" spans="1:12" ht="11.25" x14ac:dyDescent="0.2">
      <c r="A532" s="3">
        <f>A530+1</f>
        <v>25</v>
      </c>
      <c r="B532" s="3"/>
      <c r="C532" s="3" t="s">
        <v>318</v>
      </c>
      <c r="D532" s="325"/>
      <c r="E532" s="3">
        <f>Customer!E408+Customer!E416+Customer!E418+Customer!E428+E511+E530</f>
        <v>6213497</v>
      </c>
      <c r="F532" s="3">
        <f ca="1">Customer!F408+Customer!F416+Customer!F418+Customer!F428+F511+F530</f>
        <v>4805326</v>
      </c>
      <c r="G532" s="3">
        <f ca="1">Customer!G408+Customer!G416+Customer!G418+Customer!G428+G511+G530</f>
        <v>1323306</v>
      </c>
      <c r="H532" s="3">
        <f ca="1">Customer!H408+Customer!H416+Customer!H418+Customer!H428+H511+H530</f>
        <v>539</v>
      </c>
      <c r="I532" s="3">
        <f ca="1">Customer!I408+Customer!I416+Customer!I418+Customer!I428+I511+I530</f>
        <v>15930</v>
      </c>
      <c r="J532" s="3">
        <f ca="1">Customer!J408+Customer!J416+Customer!J418+Customer!J428+J511+J530</f>
        <v>68397</v>
      </c>
      <c r="K532" s="3">
        <f ca="1">Customer!K408+Customer!K416+Customer!K418+Customer!K428+K511+K530</f>
        <v>0</v>
      </c>
      <c r="L532" s="3">
        <f ca="1">Customer!L408+Customer!L416+Customer!L418+Customer!L428+L511+L530</f>
        <v>0</v>
      </c>
    </row>
    <row r="533" spans="1:12" ht="11.25" x14ac:dyDescent="0.2">
      <c r="A533" s="3" t="s">
        <v>817</v>
      </c>
      <c r="B533" s="3"/>
      <c r="C533" s="3"/>
      <c r="D533" s="325"/>
      <c r="E533" s="3"/>
      <c r="F533" s="325" t="str">
        <f>""&amp;+Input!$B$1</f>
        <v>COLUMBIA GAS OF KENTUCKY, INC.</v>
      </c>
      <c r="H533" s="3"/>
      <c r="I533" s="3"/>
      <c r="J533" s="3"/>
      <c r="K533" s="3"/>
      <c r="L533" s="32" t="str">
        <f>Input!$B$2</f>
        <v>ATTACHMENT CEN-2</v>
      </c>
    </row>
    <row r="534" spans="1:12" ht="11.25" x14ac:dyDescent="0.2">
      <c r="A534" s="3" t="str">
        <f>Input!$B$7</f>
        <v>DEMAND-COMMODITY</v>
      </c>
      <c r="B534" s="3"/>
      <c r="C534" s="3"/>
      <c r="D534" s="325"/>
      <c r="E534" s="3"/>
      <c r="F534" s="325" t="s">
        <v>569</v>
      </c>
      <c r="H534" s="3"/>
      <c r="I534" s="3"/>
      <c r="J534" s="3"/>
      <c r="K534" s="3"/>
      <c r="L534" s="32" t="str">
        <f>"PAGE 67 OF "&amp;FIXED(Input!$B$8,0,TRUE)</f>
        <v>PAGE 67 OF 129</v>
      </c>
    </row>
    <row r="535" spans="1:12" ht="11.25" x14ac:dyDescent="0.2">
      <c r="A535" s="17" t="str">
        <f>Input!$B$6</f>
        <v>FORECASTED TEST YEAR - ORIGINAL FILING</v>
      </c>
      <c r="B535" s="17"/>
      <c r="C535" s="17"/>
      <c r="D535" s="34"/>
      <c r="E535" s="17"/>
      <c r="F535" s="19" t="str">
        <f>"FOR THE TWELVE MONTHS ENDED "&amp;Input!$B$4</f>
        <v>FOR THE TWELVE MONTHS ENDED 12/31/2017</v>
      </c>
      <c r="G535" s="329"/>
      <c r="H535" s="17"/>
      <c r="I535" s="17"/>
      <c r="J535" s="17"/>
      <c r="K535" s="17"/>
      <c r="L535" s="183" t="str">
        <f>"WITNESS: "&amp;Input!$B$5</f>
        <v>WITNESS: C. NOTESTONE</v>
      </c>
    </row>
    <row r="536" spans="1:12" ht="11.25" x14ac:dyDescent="0.2">
      <c r="A536" s="325" t="s">
        <v>5</v>
      </c>
      <c r="B536" s="3" t="s">
        <v>6</v>
      </c>
      <c r="C536" s="3"/>
      <c r="D536" s="325" t="s">
        <v>7</v>
      </c>
      <c r="E536" s="325" t="s">
        <v>8</v>
      </c>
      <c r="F536" s="3"/>
      <c r="G536" s="3"/>
      <c r="H536" s="3"/>
      <c r="I536" s="3"/>
      <c r="J536" s="3"/>
      <c r="K536" s="3"/>
      <c r="L536" s="3"/>
    </row>
    <row r="537" spans="1:12" ht="11.25" x14ac:dyDescent="0.2">
      <c r="A537" s="341" t="s">
        <v>9</v>
      </c>
      <c r="B537" s="341" t="s">
        <v>9</v>
      </c>
      <c r="C537" s="34" t="str">
        <f>Customer!C128</f>
        <v xml:space="preserve"> ACCOUNT TITLE</v>
      </c>
      <c r="D537" s="341" t="s">
        <v>10</v>
      </c>
      <c r="E537" s="341" t="s">
        <v>804</v>
      </c>
      <c r="F537" s="341" t="str">
        <f>"  "&amp;+Input!$C$12</f>
        <v xml:space="preserve">  GS-RESIDENTIAL</v>
      </c>
      <c r="G537" s="341" t="str">
        <f>Input!$C$13</f>
        <v>GS-OTHER</v>
      </c>
      <c r="H537" s="341" t="str">
        <f>Input!$C$14</f>
        <v>IUS</v>
      </c>
      <c r="I537" s="341" t="str">
        <f>Input!$C$15</f>
        <v>DS-ML</v>
      </c>
      <c r="J537" s="341" t="str">
        <f>Input!$C$16</f>
        <v>DS/IS</v>
      </c>
      <c r="K537" s="341" t="str">
        <f>Input!$C$17</f>
        <v>NOT USED</v>
      </c>
      <c r="L537" s="341" t="str">
        <f>Input!$C$18</f>
        <v>NOT USED</v>
      </c>
    </row>
    <row r="538" spans="1:12" ht="11.25" x14ac:dyDescent="0.2">
      <c r="A538" s="3"/>
      <c r="B538" s="342" t="s">
        <v>13</v>
      </c>
      <c r="C538" s="342" t="s">
        <v>14</v>
      </c>
      <c r="D538" s="325" t="s">
        <v>15</v>
      </c>
      <c r="E538" s="325" t="s">
        <v>16</v>
      </c>
      <c r="F538" s="325" t="s">
        <v>17</v>
      </c>
      <c r="G538" s="325" t="s">
        <v>18</v>
      </c>
      <c r="H538" s="325" t="s">
        <v>19</v>
      </c>
      <c r="I538" s="325" t="s">
        <v>20</v>
      </c>
      <c r="J538" s="325" t="s">
        <v>21</v>
      </c>
      <c r="K538" s="325" t="s">
        <v>22</v>
      </c>
      <c r="L538" s="325" t="s">
        <v>23</v>
      </c>
    </row>
    <row r="539" spans="1:12" ht="11.25" x14ac:dyDescent="0.2">
      <c r="A539" s="3"/>
      <c r="B539" s="3"/>
      <c r="C539" s="3"/>
      <c r="D539" s="325"/>
      <c r="E539" s="325" t="s">
        <v>26</v>
      </c>
      <c r="F539" s="325" t="s">
        <v>26</v>
      </c>
      <c r="G539" s="325" t="s">
        <v>26</v>
      </c>
      <c r="H539" s="325" t="s">
        <v>26</v>
      </c>
      <c r="I539" s="325" t="s">
        <v>26</v>
      </c>
      <c r="J539" s="325" t="s">
        <v>26</v>
      </c>
      <c r="K539" s="325" t="s">
        <v>26</v>
      </c>
      <c r="L539" s="325" t="s">
        <v>26</v>
      </c>
    </row>
    <row r="540" spans="1:12" ht="11.25" x14ac:dyDescent="0.2">
      <c r="A540" s="3">
        <v>1</v>
      </c>
      <c r="B540" s="3"/>
      <c r="C540" s="3" t="str">
        <f>Input!A393</f>
        <v>DISTRIBUTION EXPENSES</v>
      </c>
      <c r="D540" s="325"/>
      <c r="E540" s="3"/>
      <c r="F540" s="3"/>
      <c r="G540" s="3"/>
      <c r="H540" s="3"/>
      <c r="I540" s="3"/>
      <c r="J540" s="3"/>
      <c r="K540" s="3"/>
      <c r="L540" s="3"/>
    </row>
    <row r="541" spans="1:12" ht="11.25" x14ac:dyDescent="0.2">
      <c r="A541" s="3"/>
      <c r="B541" s="3"/>
      <c r="C541" s="3"/>
      <c r="D541" s="325"/>
      <c r="E541" s="3"/>
      <c r="F541" s="3"/>
      <c r="G541" s="3"/>
      <c r="H541" s="3"/>
      <c r="I541" s="3"/>
      <c r="J541" s="3"/>
      <c r="K541" s="3"/>
      <c r="L541" s="3"/>
    </row>
    <row r="542" spans="1:12" ht="11.25" x14ac:dyDescent="0.2">
      <c r="A542" s="3">
        <f>A540+1</f>
        <v>2</v>
      </c>
      <c r="B542" s="3" t="str">
        <f>Input!A396</f>
        <v>870</v>
      </c>
      <c r="C542" s="3" t="str">
        <f>Input!B396</f>
        <v>SUPERVISION &amp; ENGINEERING</v>
      </c>
      <c r="D542" s="325" t="str">
        <f>VLOOKUP(Input!C396,'Alloc Table Cust'!$A$7:$B$27,2,FALSE)</f>
        <v>11CUST</v>
      </c>
      <c r="E542" s="3">
        <f>Classification!F542</f>
        <v>296842</v>
      </c>
      <c r="F542" s="3">
        <f ca="1">ROUND((VLOOKUP($D542,'Alloc Table Cust'!$B$7:$S$58,13,FALSE)*$E542),0)</f>
        <v>238578</v>
      </c>
      <c r="G542" s="3">
        <f ca="1">ROUND((VLOOKUP($D542,'Alloc Table Cust'!$B$7:$T$58,14,FALSE)*$E542),0)</f>
        <v>51704</v>
      </c>
      <c r="H542" s="3">
        <f ca="1">ROUND((VLOOKUP($D542,'Alloc Table Cust'!$B$7:$T$58,15,FALSE)*$E542),0)</f>
        <v>18</v>
      </c>
      <c r="I542" s="3">
        <f ca="1">ROUND((VLOOKUP($D542,'Alloc Table Cust'!$B$7:$T$58,16,FALSE)*$E542),0)</f>
        <v>1377</v>
      </c>
      <c r="J542" s="3">
        <f ca="1">ROUND((VLOOKUP($D542,'Alloc Table Cust'!$B$7:$T$58,17,FALSE)*$E542),0)</f>
        <v>5165</v>
      </c>
      <c r="K542" s="3">
        <f ca="1">ROUND((VLOOKUP($D542,'Alloc Table Cust'!$B$7:$T$58,18,FALSE)*$E542),0)</f>
        <v>0</v>
      </c>
      <c r="L542" s="3">
        <f ca="1">ROUND((VLOOKUP($D542,'Alloc Table Cust'!$B$7:$T$58,19,FALSE)*$E542),0)</f>
        <v>0</v>
      </c>
    </row>
    <row r="543" spans="1:12" ht="11.25" x14ac:dyDescent="0.2">
      <c r="A543" s="3">
        <f t="shared" ref="A543:A551" si="70">A542+1</f>
        <v>3</v>
      </c>
      <c r="B543" s="3" t="str">
        <f>Input!A397</f>
        <v>871</v>
      </c>
      <c r="C543" s="3" t="str">
        <f>Input!B397</f>
        <v>DISTRIBUTION LOAD DISPATCH</v>
      </c>
      <c r="D543" s="325">
        <f>Input!C397</f>
        <v>4</v>
      </c>
      <c r="E543" s="3">
        <f>Classification!F543</f>
        <v>0</v>
      </c>
      <c r="F543" s="3">
        <f>ROUND((VLOOKUP($D543,'Alloc Table Cust'!$B$7:$S$58,13,FALSE)*$E543),0)</f>
        <v>0</v>
      </c>
      <c r="G543" s="3">
        <f>ROUND((VLOOKUP($D543,'Alloc Table Cust'!$B$7:$T$58,14,FALSE)*$E543),0)</f>
        <v>0</v>
      </c>
      <c r="H543" s="3">
        <f>ROUND((VLOOKUP($D543,'Alloc Table Cust'!$B$7:$T$58,15,FALSE)*$E543),0)</f>
        <v>0</v>
      </c>
      <c r="I543" s="3">
        <f>ROUND((VLOOKUP($D543,'Alloc Table Cust'!$B$7:$T$58,16,FALSE)*$E543),0)</f>
        <v>0</v>
      </c>
      <c r="J543" s="3">
        <f>ROUND((VLOOKUP($D543,'Alloc Table Cust'!$B$7:$T$58,17,FALSE)*$E543),0)</f>
        <v>0</v>
      </c>
      <c r="K543" s="3">
        <f>ROUND((VLOOKUP($D543,'Alloc Table Cust'!$B$7:$T$58,18,FALSE)*$E543),0)</f>
        <v>0</v>
      </c>
      <c r="L543" s="3">
        <f>ROUND((VLOOKUP($D543,'Alloc Table Cust'!$B$7:$T$58,19,FALSE)*$E543),0)</f>
        <v>0</v>
      </c>
    </row>
    <row r="544" spans="1:12" ht="11.25" x14ac:dyDescent="0.2">
      <c r="A544" s="3">
        <f t="shared" si="70"/>
        <v>4</v>
      </c>
      <c r="B544" s="3" t="str">
        <f>Input!A398</f>
        <v>874</v>
      </c>
      <c r="C544" s="3" t="str">
        <f>Input!B398</f>
        <v>MAINS &amp; SERVICES</v>
      </c>
      <c r="D544" s="325" t="str">
        <f>VLOOKUP(Input!C398,'Alloc Table Cust'!$A$7:$B$27,2,FALSE)</f>
        <v>14CUST</v>
      </c>
      <c r="E544" s="3">
        <f>Classification!F544</f>
        <v>1753384</v>
      </c>
      <c r="F544" s="3">
        <f ca="1">ROUND((VLOOKUP($D544,'Alloc Table Cust'!$B$7:$S$58,13,FALSE)*$E544),0)</f>
        <v>1546976</v>
      </c>
      <c r="G544" s="3">
        <f ca="1">ROUND((VLOOKUP($D544,'Alloc Table Cust'!$B$7:$T$58,14,FALSE)*$E544),0)</f>
        <v>200201</v>
      </c>
      <c r="H544" s="3">
        <f ca="1">ROUND((VLOOKUP($D544,'Alloc Table Cust'!$B$7:$T$58,15,FALSE)*$E544),0)</f>
        <v>18</v>
      </c>
      <c r="I544" s="3">
        <f ca="1">ROUND((VLOOKUP($D544,'Alloc Table Cust'!$B$7:$T$58,16,FALSE)*$E544),0)</f>
        <v>0</v>
      </c>
      <c r="J544" s="3">
        <f ca="1">ROUND((VLOOKUP($D544,'Alloc Table Cust'!$B$7:$T$58,17,FALSE)*$E544),0)</f>
        <v>6189</v>
      </c>
      <c r="K544" s="3">
        <f ca="1">ROUND((VLOOKUP($D544,'Alloc Table Cust'!$B$7:$T$58,18,FALSE)*$E544),0)</f>
        <v>0</v>
      </c>
      <c r="L544" s="3">
        <f ca="1">ROUND((VLOOKUP($D544,'Alloc Table Cust'!$B$7:$T$58,19,FALSE)*$E544),0)</f>
        <v>0</v>
      </c>
    </row>
    <row r="545" spans="1:12" ht="11.25" x14ac:dyDescent="0.2">
      <c r="A545" s="3">
        <f t="shared" si="70"/>
        <v>5</v>
      </c>
      <c r="B545" s="3" t="str">
        <f>Input!A399</f>
        <v>875</v>
      </c>
      <c r="C545" s="3" t="str">
        <f>Input!B399</f>
        <v>M &amp; R - GENERAL</v>
      </c>
      <c r="D545" s="325" t="str">
        <f>VLOOKUP(Input!C399,'Alloc Table Cust'!$A$7:$B$27,2,FALSE)</f>
        <v>18CUST</v>
      </c>
      <c r="E545" s="3">
        <f>Classification!F545</f>
        <v>0</v>
      </c>
      <c r="F545" s="3">
        <f>ROUND((VLOOKUP($D545,'Alloc Table Cust'!$B$7:$S$58,13,FALSE)*$E545),0)</f>
        <v>0</v>
      </c>
      <c r="G545" s="3">
        <f>ROUND((VLOOKUP($D545,'Alloc Table Cust'!$B$7:$T$58,14,FALSE)*$E545),0)</f>
        <v>0</v>
      </c>
      <c r="H545" s="3">
        <f>ROUND((VLOOKUP($D545,'Alloc Table Cust'!$B$7:$T$58,15,FALSE)*$E545),0)</f>
        <v>0</v>
      </c>
      <c r="I545" s="3">
        <f>ROUND((VLOOKUP($D545,'Alloc Table Cust'!$B$7:$T$58,16,FALSE)*$E545),0)</f>
        <v>0</v>
      </c>
      <c r="J545" s="3">
        <f>ROUND((VLOOKUP($D545,'Alloc Table Cust'!$B$7:$T$58,17,FALSE)*$E545),0)</f>
        <v>0</v>
      </c>
      <c r="K545" s="3">
        <f>ROUND((VLOOKUP($D545,'Alloc Table Cust'!$B$7:$T$58,18,FALSE)*$E545),0)</f>
        <v>0</v>
      </c>
      <c r="L545" s="3">
        <f>ROUND((VLOOKUP($D545,'Alloc Table Cust'!$B$7:$T$58,19,FALSE)*$E545),0)</f>
        <v>0</v>
      </c>
    </row>
    <row r="546" spans="1:12" ht="11.25" x14ac:dyDescent="0.2">
      <c r="A546" s="3">
        <f t="shared" si="70"/>
        <v>6</v>
      </c>
      <c r="B546" s="3" t="str">
        <f>Input!A400</f>
        <v>876</v>
      </c>
      <c r="C546" s="3" t="str">
        <f>Input!B400</f>
        <v>M &amp; R - INDUSTRIAL</v>
      </c>
      <c r="D546" s="325">
        <f>Input!C400</f>
        <v>8</v>
      </c>
      <c r="E546" s="3">
        <f>Classification!F546</f>
        <v>29602</v>
      </c>
      <c r="F546" s="3">
        <f>ROUND((VLOOKUP($D546,'Alloc Table Cust'!$B$7:$S$58,13,FALSE)*$E546),0)</f>
        <v>0</v>
      </c>
      <c r="G546" s="3">
        <f>ROUND((VLOOKUP($D546,'Alloc Table Cust'!$B$7:$T$58,14,FALSE)*$E546),0)</f>
        <v>6146</v>
      </c>
      <c r="H546" s="3">
        <f>ROUND((VLOOKUP($D546,'Alloc Table Cust'!$B$7:$T$58,15,FALSE)*$E546),0)</f>
        <v>7</v>
      </c>
      <c r="I546" s="3">
        <f>ROUND((VLOOKUP($D546,'Alloc Table Cust'!$B$7:$T$58,16,FALSE)*$E546),0)</f>
        <v>5944</v>
      </c>
      <c r="J546" s="3">
        <f>ROUND((VLOOKUP($D546,'Alloc Table Cust'!$B$7:$T$58,17,FALSE)*$E546),0)</f>
        <v>17505</v>
      </c>
      <c r="K546" s="3">
        <f>ROUND((VLOOKUP($D546,'Alloc Table Cust'!$B$7:$T$58,18,FALSE)*$E546),0)</f>
        <v>0</v>
      </c>
      <c r="L546" s="3">
        <f>ROUND((VLOOKUP($D546,'Alloc Table Cust'!$B$7:$T$58,19,FALSE)*$E546),0)</f>
        <v>0</v>
      </c>
    </row>
    <row r="547" spans="1:12" ht="11.25" x14ac:dyDescent="0.2">
      <c r="A547" s="3">
        <f t="shared" si="70"/>
        <v>7</v>
      </c>
      <c r="B547" s="3" t="str">
        <f>Input!A401</f>
        <v>878</v>
      </c>
      <c r="C547" s="3" t="str">
        <f>Input!B401</f>
        <v>METERS &amp; HOUSE REGULATORS</v>
      </c>
      <c r="D547" s="325">
        <f>Input!C401</f>
        <v>16</v>
      </c>
      <c r="E547" s="3">
        <f>Classification!F547</f>
        <v>485057</v>
      </c>
      <c r="F547" s="3">
        <f>ROUND((VLOOKUP($D547,'Alloc Table Cust'!$B$7:$S$58,13,FALSE)*$E547),0)</f>
        <v>348960</v>
      </c>
      <c r="G547" s="3">
        <f>ROUND((VLOOKUP($D547,'Alloc Table Cust'!$B$7:$T$58,14,FALSE)*$E547),0)</f>
        <v>133934</v>
      </c>
      <c r="H547" s="3">
        <f>ROUND((VLOOKUP($D547,'Alloc Table Cust'!$B$7:$T$58,15,FALSE)*$E547),0)</f>
        <v>63</v>
      </c>
      <c r="I547" s="3">
        <f>ROUND((VLOOKUP($D547,'Alloc Table Cust'!$B$7:$T$58,16,FALSE)*$E547),0)</f>
        <v>0</v>
      </c>
      <c r="J547" s="3">
        <f>ROUND((VLOOKUP($D547,'Alloc Table Cust'!$B$7:$T$58,17,FALSE)*$E547),0)</f>
        <v>2100</v>
      </c>
      <c r="K547" s="3">
        <f>ROUND((VLOOKUP($D547,'Alloc Table Cust'!$B$7:$T$58,18,FALSE)*$E547),0)</f>
        <v>0</v>
      </c>
      <c r="L547" s="3">
        <f>ROUND((VLOOKUP($D547,'Alloc Table Cust'!$B$7:$T$58,19,FALSE)*$E547),0)</f>
        <v>0</v>
      </c>
    </row>
    <row r="548" spans="1:12" ht="11.25" x14ac:dyDescent="0.2">
      <c r="A548" s="3">
        <f t="shared" si="70"/>
        <v>8</v>
      </c>
      <c r="B548" s="3" t="str">
        <f>Input!A402</f>
        <v>879</v>
      </c>
      <c r="C548" s="3" t="str">
        <f>Input!B402</f>
        <v xml:space="preserve">CUSTOMER INSTALLATION </v>
      </c>
      <c r="D548" s="325">
        <f>Input!C402</f>
        <v>16</v>
      </c>
      <c r="E548" s="3">
        <f>Classification!F548</f>
        <v>655941</v>
      </c>
      <c r="F548" s="3">
        <f>ROUND((VLOOKUP($D548,'Alloc Table Cust'!$B$7:$S$58,13,FALSE)*$E548),0)</f>
        <v>471897</v>
      </c>
      <c r="G548" s="3">
        <f>ROUND((VLOOKUP($D548,'Alloc Table Cust'!$B$7:$T$58,14,FALSE)*$E548),0)</f>
        <v>181118</v>
      </c>
      <c r="H548" s="3">
        <f>ROUND((VLOOKUP($D548,'Alloc Table Cust'!$B$7:$T$58,15,FALSE)*$E548),0)</f>
        <v>85</v>
      </c>
      <c r="I548" s="3">
        <f>ROUND((VLOOKUP($D548,'Alloc Table Cust'!$B$7:$T$58,16,FALSE)*$E548),0)</f>
        <v>0</v>
      </c>
      <c r="J548" s="3">
        <f>ROUND((VLOOKUP($D548,'Alloc Table Cust'!$B$7:$T$58,17,FALSE)*$E548),0)</f>
        <v>2840</v>
      </c>
      <c r="K548" s="3">
        <f>ROUND((VLOOKUP($D548,'Alloc Table Cust'!$B$7:$T$58,18,FALSE)*$E548),0)</f>
        <v>0</v>
      </c>
      <c r="L548" s="3">
        <f>ROUND((VLOOKUP($D548,'Alloc Table Cust'!$B$7:$T$58,19,FALSE)*$E548),0)</f>
        <v>0</v>
      </c>
    </row>
    <row r="549" spans="1:12" ht="11.25" x14ac:dyDescent="0.2">
      <c r="A549" s="3">
        <f t="shared" si="70"/>
        <v>9</v>
      </c>
      <c r="B549" s="3" t="str">
        <f>Input!A403</f>
        <v>880</v>
      </c>
      <c r="C549" s="3" t="str">
        <f>Input!B403</f>
        <v>OTHER</v>
      </c>
      <c r="D549" s="325" t="str">
        <f>VLOOKUP(Input!C403,'Alloc Table Cust'!$A$7:$B$27,2,FALSE)</f>
        <v>11CUST</v>
      </c>
      <c r="E549" s="3">
        <f>Classification!F549</f>
        <v>459009</v>
      </c>
      <c r="F549" s="3">
        <f ca="1">ROUND((VLOOKUP($D549,'Alloc Table Cust'!$B$7:$S$58,13,FALSE)*$E549),0)</f>
        <v>368915</v>
      </c>
      <c r="G549" s="3">
        <f ca="1">ROUND((VLOOKUP($D549,'Alloc Table Cust'!$B$7:$T$58,14,FALSE)*$E549),0)</f>
        <v>79950</v>
      </c>
      <c r="H549" s="3">
        <f ca="1">ROUND((VLOOKUP($D549,'Alloc Table Cust'!$B$7:$T$58,15,FALSE)*$E549),0)</f>
        <v>28</v>
      </c>
      <c r="I549" s="3">
        <f ca="1">ROUND((VLOOKUP($D549,'Alloc Table Cust'!$B$7:$T$58,16,FALSE)*$E549),0)</f>
        <v>2130</v>
      </c>
      <c r="J549" s="3">
        <f ca="1">ROUND((VLOOKUP($D549,'Alloc Table Cust'!$B$7:$T$58,17,FALSE)*$E549),0)</f>
        <v>7987</v>
      </c>
      <c r="K549" s="3">
        <f ca="1">ROUND((VLOOKUP($D549,'Alloc Table Cust'!$B$7:$T$58,18,FALSE)*$E549),0)</f>
        <v>0</v>
      </c>
      <c r="L549" s="3">
        <f ca="1">ROUND((VLOOKUP($D549,'Alloc Table Cust'!$B$7:$T$58,19,FALSE)*$E549),0)</f>
        <v>0</v>
      </c>
    </row>
    <row r="550" spans="1:12" ht="11.25" x14ac:dyDescent="0.2">
      <c r="A550" s="3">
        <f t="shared" si="70"/>
        <v>10</v>
      </c>
      <c r="B550" s="3" t="str">
        <f>Input!A404</f>
        <v>881</v>
      </c>
      <c r="C550" s="3" t="str">
        <f>Input!B404</f>
        <v>RENTS</v>
      </c>
      <c r="D550" s="325" t="str">
        <f>VLOOKUP(Input!C404,'Alloc Table Cust'!$A$7:$B$27,2,FALSE)</f>
        <v>11CUST</v>
      </c>
      <c r="E550" s="26">
        <f>Classification!F550</f>
        <v>31128</v>
      </c>
      <c r="F550" s="26">
        <f ca="1">ROUND((VLOOKUP($D550,'Alloc Table Cust'!$B$7:$S$58,13,FALSE)*$E550),0)</f>
        <v>25018</v>
      </c>
      <c r="G550" s="26">
        <f ca="1">ROUND((VLOOKUP($D550,'Alloc Table Cust'!$B$7:$T$58,14,FALSE)*$E550),0)</f>
        <v>5422</v>
      </c>
      <c r="H550" s="26">
        <f ca="1">ROUND((VLOOKUP($D550,'Alloc Table Cust'!$B$7:$T$58,15,FALSE)*$E550),0)</f>
        <v>2</v>
      </c>
      <c r="I550" s="26">
        <f ca="1">ROUND((VLOOKUP($D550,'Alloc Table Cust'!$B$7:$T$58,16,FALSE)*$E550),0)</f>
        <v>144</v>
      </c>
      <c r="J550" s="26">
        <f ca="1">ROUND((VLOOKUP($D550,'Alloc Table Cust'!$B$7:$T$58,17,FALSE)*$E550),0)</f>
        <v>542</v>
      </c>
      <c r="K550" s="26">
        <f ca="1">ROUND((VLOOKUP($D550,'Alloc Table Cust'!$B$7:$T$58,18,FALSE)*$E550),0)</f>
        <v>0</v>
      </c>
      <c r="L550" s="26">
        <f ca="1">ROUND((VLOOKUP($D550,'Alloc Table Cust'!$B$7:$T$58,19,FALSE)*$E550),0)</f>
        <v>0</v>
      </c>
    </row>
    <row r="551" spans="1:12" ht="11.25" x14ac:dyDescent="0.2">
      <c r="A551" s="3">
        <f t="shared" si="70"/>
        <v>11</v>
      </c>
      <c r="B551" s="3"/>
      <c r="C551" s="3" t="s">
        <v>271</v>
      </c>
      <c r="D551" s="325"/>
      <c r="E551" s="1">
        <f t="shared" ref="E551:L551" si="71">SUM(E542:E550)</f>
        <v>3710963</v>
      </c>
      <c r="F551" s="3">
        <f t="shared" ca="1" si="71"/>
        <v>3000344</v>
      </c>
      <c r="G551" s="3">
        <f t="shared" ca="1" si="71"/>
        <v>658475</v>
      </c>
      <c r="H551" s="3">
        <f t="shared" ca="1" si="71"/>
        <v>221</v>
      </c>
      <c r="I551" s="3">
        <f t="shared" ca="1" si="71"/>
        <v>9595</v>
      </c>
      <c r="J551" s="3">
        <f t="shared" ca="1" si="71"/>
        <v>42328</v>
      </c>
      <c r="K551" s="3">
        <f t="shared" ca="1" si="71"/>
        <v>0</v>
      </c>
      <c r="L551" s="3">
        <f t="shared" ca="1" si="71"/>
        <v>0</v>
      </c>
    </row>
    <row r="552" spans="1:12" ht="11.25" x14ac:dyDescent="0.2">
      <c r="A552" s="3"/>
      <c r="B552" s="3"/>
      <c r="C552" s="3"/>
      <c r="D552" s="325"/>
      <c r="E552" s="1"/>
      <c r="F552" s="3"/>
      <c r="G552" s="3"/>
      <c r="H552" s="3"/>
      <c r="I552" s="3"/>
      <c r="J552" s="3"/>
      <c r="K552" s="3"/>
      <c r="L552" s="3"/>
    </row>
    <row r="553" spans="1:12" ht="11.25" x14ac:dyDescent="0.2">
      <c r="A553" s="3">
        <f>A551+1</f>
        <v>12</v>
      </c>
      <c r="B553" s="3"/>
      <c r="C553" s="3" t="str">
        <f>Input!A405</f>
        <v>MAINTENANCE</v>
      </c>
      <c r="D553" s="325"/>
      <c r="E553" s="1"/>
      <c r="F553" s="3"/>
      <c r="G553" s="3"/>
      <c r="H553" s="3"/>
      <c r="I553" s="3"/>
      <c r="J553" s="3"/>
      <c r="K553" s="3"/>
      <c r="L553" s="3"/>
    </row>
    <row r="554" spans="1:12" ht="11.25" x14ac:dyDescent="0.2">
      <c r="A554" s="3"/>
      <c r="B554" s="3"/>
      <c r="C554" s="3"/>
      <c r="D554" s="325"/>
      <c r="E554" s="1"/>
      <c r="F554" s="3"/>
      <c r="G554" s="3"/>
      <c r="H554" s="3"/>
      <c r="I554" s="3"/>
      <c r="J554" s="3"/>
      <c r="K554" s="3"/>
      <c r="L554" s="3"/>
    </row>
    <row r="555" spans="1:12" ht="11.25" x14ac:dyDescent="0.2">
      <c r="A555" s="3">
        <f>A553+1</f>
        <v>13</v>
      </c>
      <c r="B555" s="3" t="str">
        <f>Input!A406</f>
        <v>885</v>
      </c>
      <c r="C555" s="3" t="str">
        <f>Input!B406</f>
        <v>SUPERVISION &amp; ENGINEERING</v>
      </c>
      <c r="D555" s="325" t="str">
        <f>VLOOKUP(Input!C406,'Alloc Table Cust'!$A$7:$B$27,2,FALSE)</f>
        <v>11CUST</v>
      </c>
      <c r="E555" s="3">
        <f>Classification!F555</f>
        <v>974</v>
      </c>
      <c r="F555" s="3">
        <f ca="1">ROUND((VLOOKUP($D555,'Alloc Table Cust'!$B$7:$S$58,13,FALSE)*$E555),0)</f>
        <v>783</v>
      </c>
      <c r="G555" s="3">
        <f ca="1">ROUND((VLOOKUP($D555,'Alloc Table Cust'!$B$7:$T$58,14,FALSE)*$E555),0)</f>
        <v>170</v>
      </c>
      <c r="H555" s="3">
        <f ca="1">ROUND((VLOOKUP($D555,'Alloc Table Cust'!$B$7:$T$58,15,FALSE)*$E555),0)</f>
        <v>0</v>
      </c>
      <c r="I555" s="3">
        <f ca="1">ROUND((VLOOKUP($D555,'Alloc Table Cust'!$B$7:$T$58,16,FALSE)*$E555),0)</f>
        <v>5</v>
      </c>
      <c r="J555" s="3">
        <f ca="1">ROUND((VLOOKUP($D555,'Alloc Table Cust'!$B$7:$T$58,17,FALSE)*$E555),0)</f>
        <v>17</v>
      </c>
      <c r="K555" s="3">
        <f ca="1">ROUND((VLOOKUP($D555,'Alloc Table Cust'!$B$7:$T$58,18,FALSE)*$E555),0)</f>
        <v>0</v>
      </c>
      <c r="L555" s="3">
        <f ca="1">ROUND((VLOOKUP($D555,'Alloc Table Cust'!$B$7:$T$58,19,FALSE)*$E555),0)</f>
        <v>0</v>
      </c>
    </row>
    <row r="556" spans="1:12" ht="11.25" x14ac:dyDescent="0.2">
      <c r="A556" s="3">
        <f t="shared" ref="A556:A563" si="72">A555+1</f>
        <v>14</v>
      </c>
      <c r="B556" s="3" t="str">
        <f>Input!A407</f>
        <v>886</v>
      </c>
      <c r="C556" s="3" t="str">
        <f>Input!B407</f>
        <v>STRUCTURES &amp; IMPROVEMENTS</v>
      </c>
      <c r="D556" s="325" t="str">
        <f>VLOOKUP(Input!C407,'Alloc Table Cust'!$A$7:$B$27,2,FALSE)</f>
        <v>18CUST</v>
      </c>
      <c r="E556" s="3">
        <f>Classification!F556</f>
        <v>0</v>
      </c>
      <c r="F556" s="3">
        <f>ROUND((VLOOKUP($D556,'Alloc Table Cust'!$B$7:$S$58,13,FALSE)*$E556),0)</f>
        <v>0</v>
      </c>
      <c r="G556" s="3">
        <f>ROUND((VLOOKUP($D556,'Alloc Table Cust'!$B$7:$T$58,14,FALSE)*$E556),0)</f>
        <v>0</v>
      </c>
      <c r="H556" s="3">
        <f>ROUND((VLOOKUP($D556,'Alloc Table Cust'!$B$7:$T$58,15,FALSE)*$E556),0)</f>
        <v>0</v>
      </c>
      <c r="I556" s="3">
        <f>ROUND((VLOOKUP($D556,'Alloc Table Cust'!$B$7:$T$58,16,FALSE)*$E556),0)</f>
        <v>0</v>
      </c>
      <c r="J556" s="3">
        <f>ROUND((VLOOKUP($D556,'Alloc Table Cust'!$B$7:$T$58,17,FALSE)*$E556),0)</f>
        <v>0</v>
      </c>
      <c r="K556" s="3">
        <f>ROUND((VLOOKUP($D556,'Alloc Table Cust'!$B$7:$T$58,18,FALSE)*$E556),0)</f>
        <v>0</v>
      </c>
      <c r="L556" s="3">
        <f>ROUND((VLOOKUP($D556,'Alloc Table Cust'!$B$7:$T$58,19,FALSE)*$E556),0)</f>
        <v>0</v>
      </c>
    </row>
    <row r="557" spans="1:12" ht="11.25" x14ac:dyDescent="0.2">
      <c r="A557" s="3">
        <f t="shared" si="72"/>
        <v>15</v>
      </c>
      <c r="B557" s="3" t="str">
        <f>Input!A408</f>
        <v>887</v>
      </c>
      <c r="C557" s="3" t="str">
        <f>Input!B408</f>
        <v>MAINS</v>
      </c>
      <c r="D557" s="325" t="str">
        <f>VLOOKUP(Input!C408,'Alloc Table Cust'!$A$7:$B$27,2,FALSE)</f>
        <v>18CUST</v>
      </c>
      <c r="E557" s="3">
        <f>Classification!F557</f>
        <v>0</v>
      </c>
      <c r="F557" s="3">
        <f>ROUND((VLOOKUP($D557,'Alloc Table Cust'!$B$7:$S$58,13,FALSE)*$E557),0)</f>
        <v>0</v>
      </c>
      <c r="G557" s="3">
        <f>ROUND((VLOOKUP($D557,'Alloc Table Cust'!$B$7:$T$58,14,FALSE)*$E557),0)</f>
        <v>0</v>
      </c>
      <c r="H557" s="3">
        <f>ROUND((VLOOKUP($D557,'Alloc Table Cust'!$B$7:$T$58,15,FALSE)*$E557),0)</f>
        <v>0</v>
      </c>
      <c r="I557" s="3">
        <f>ROUND((VLOOKUP($D557,'Alloc Table Cust'!$B$7:$T$58,16,FALSE)*$E557),0)</f>
        <v>0</v>
      </c>
      <c r="J557" s="3">
        <f>ROUND((VLOOKUP($D557,'Alloc Table Cust'!$B$7:$T$58,17,FALSE)*$E557),0)</f>
        <v>0</v>
      </c>
      <c r="K557" s="3">
        <f>ROUND((VLOOKUP($D557,'Alloc Table Cust'!$B$7:$T$58,18,FALSE)*$E557),0)</f>
        <v>0</v>
      </c>
      <c r="L557" s="3">
        <f>ROUND((VLOOKUP($D557,'Alloc Table Cust'!$B$7:$T$58,19,FALSE)*$E557),0)</f>
        <v>0</v>
      </c>
    </row>
    <row r="558" spans="1:12" ht="11.25" x14ac:dyDescent="0.2">
      <c r="A558" s="3">
        <f t="shared" si="72"/>
        <v>16</v>
      </c>
      <c r="B558" s="3" t="str">
        <f>Input!A409</f>
        <v>889</v>
      </c>
      <c r="C558" s="3" t="str">
        <f>Input!B409</f>
        <v>M &amp; R - GENERAL</v>
      </c>
      <c r="D558" s="325" t="str">
        <f>VLOOKUP(Input!C409,'Alloc Table Cust'!$A$7:$B$27,2,FALSE)</f>
        <v>18CUST</v>
      </c>
      <c r="E558" s="3">
        <f>Classification!F558</f>
        <v>0</v>
      </c>
      <c r="F558" s="3">
        <f>ROUND((VLOOKUP($D558,'Alloc Table Cust'!$B$7:$S$58,13,FALSE)*$E558),0)</f>
        <v>0</v>
      </c>
      <c r="G558" s="3">
        <f>ROUND((VLOOKUP($D558,'Alloc Table Cust'!$B$7:$T$58,14,FALSE)*$E558),0)</f>
        <v>0</v>
      </c>
      <c r="H558" s="3">
        <f>ROUND((VLOOKUP($D558,'Alloc Table Cust'!$B$7:$T$58,15,FALSE)*$E558),0)</f>
        <v>0</v>
      </c>
      <c r="I558" s="3">
        <f>ROUND((VLOOKUP($D558,'Alloc Table Cust'!$B$7:$T$58,16,FALSE)*$E558),0)</f>
        <v>0</v>
      </c>
      <c r="J558" s="3">
        <f>ROUND((VLOOKUP($D558,'Alloc Table Cust'!$B$7:$T$58,17,FALSE)*$E558),0)</f>
        <v>0</v>
      </c>
      <c r="K558" s="3">
        <f>ROUND((VLOOKUP($D558,'Alloc Table Cust'!$B$7:$T$58,18,FALSE)*$E558),0)</f>
        <v>0</v>
      </c>
      <c r="L558" s="3">
        <f>ROUND((VLOOKUP($D558,'Alloc Table Cust'!$B$7:$T$58,19,FALSE)*$E558),0)</f>
        <v>0</v>
      </c>
    </row>
    <row r="559" spans="1:12" ht="11.25" x14ac:dyDescent="0.2">
      <c r="A559" s="3">
        <f t="shared" si="72"/>
        <v>17</v>
      </c>
      <c r="B559" s="3" t="str">
        <f>Input!A410</f>
        <v>890</v>
      </c>
      <c r="C559" s="3" t="str">
        <f>Input!B410</f>
        <v>M &amp; R - INDUSTRIAL</v>
      </c>
      <c r="D559" s="325">
        <f>Input!C410</f>
        <v>8</v>
      </c>
      <c r="E559" s="3">
        <f>Classification!F559</f>
        <v>51880</v>
      </c>
      <c r="F559" s="3">
        <f>ROUND((VLOOKUP($D559,'Alloc Table Cust'!$B$7:$S$58,13,FALSE)*$E559),0)</f>
        <v>0</v>
      </c>
      <c r="G559" s="3">
        <f>ROUND((VLOOKUP($D559,'Alloc Table Cust'!$B$7:$T$58,14,FALSE)*$E559),0)</f>
        <v>10771</v>
      </c>
      <c r="H559" s="3">
        <f>ROUND((VLOOKUP($D559,'Alloc Table Cust'!$B$7:$T$58,15,FALSE)*$E559),0)</f>
        <v>12</v>
      </c>
      <c r="I559" s="3">
        <f>ROUND((VLOOKUP($D559,'Alloc Table Cust'!$B$7:$T$58,16,FALSE)*$E559),0)</f>
        <v>10418</v>
      </c>
      <c r="J559" s="3">
        <f>ROUND((VLOOKUP($D559,'Alloc Table Cust'!$B$7:$T$58,17,FALSE)*$E559),0)</f>
        <v>30679</v>
      </c>
      <c r="K559" s="3">
        <f>ROUND((VLOOKUP($D559,'Alloc Table Cust'!$B$7:$T$58,18,FALSE)*$E559),0)</f>
        <v>0</v>
      </c>
      <c r="L559" s="3">
        <f>ROUND((VLOOKUP($D559,'Alloc Table Cust'!$B$7:$T$58,19,FALSE)*$E559),0)</f>
        <v>0</v>
      </c>
    </row>
    <row r="560" spans="1:12" ht="11.25" x14ac:dyDescent="0.2">
      <c r="A560" s="3">
        <f t="shared" si="72"/>
        <v>18</v>
      </c>
      <c r="B560" s="3" t="str">
        <f>Input!A411</f>
        <v>892</v>
      </c>
      <c r="C560" s="3" t="str">
        <f>Input!B411</f>
        <v>SERVICES</v>
      </c>
      <c r="D560" s="325">
        <f>Input!C411</f>
        <v>15</v>
      </c>
      <c r="E560" s="3">
        <f>Classification!F560</f>
        <v>431251</v>
      </c>
      <c r="F560" s="3">
        <f ca="1">ROUND((VLOOKUP($D560,'Alloc Table Cust'!$B$7:$S$58,13,FALSE)*$E560),0)</f>
        <v>380484</v>
      </c>
      <c r="G560" s="3">
        <f ca="1">ROUND((VLOOKUP($D560,'Alloc Table Cust'!$B$7:$T$58,14,FALSE)*$E560),0)</f>
        <v>49240</v>
      </c>
      <c r="H560" s="3">
        <f ca="1">ROUND((VLOOKUP($D560,'Alloc Table Cust'!$B$7:$T$58,15,FALSE)*$E560),0)</f>
        <v>4</v>
      </c>
      <c r="I560" s="3">
        <f ca="1">ROUND((VLOOKUP($D560,'Alloc Table Cust'!$B$7:$T$58,16,FALSE)*$E560),0)</f>
        <v>0</v>
      </c>
      <c r="J560" s="3">
        <f ca="1">ROUND((VLOOKUP($D560,'Alloc Table Cust'!$B$7:$T$58,17,FALSE)*$E560),0)</f>
        <v>1522</v>
      </c>
      <c r="K560" s="3">
        <f ca="1">ROUND((VLOOKUP($D560,'Alloc Table Cust'!$B$7:$T$58,18,FALSE)*$E560),0)</f>
        <v>0</v>
      </c>
      <c r="L560" s="3">
        <f ca="1">ROUND((VLOOKUP($D560,'Alloc Table Cust'!$B$7:$T$58,19,FALSE)*$E560),0)</f>
        <v>0</v>
      </c>
    </row>
    <row r="561" spans="1:12" ht="11.25" x14ac:dyDescent="0.2">
      <c r="A561" s="3">
        <f t="shared" si="72"/>
        <v>19</v>
      </c>
      <c r="B561" s="3" t="str">
        <f>Input!A412</f>
        <v>893</v>
      </c>
      <c r="C561" s="3" t="str">
        <f>Input!B412</f>
        <v>METERS &amp; HOUSE REGULATORS</v>
      </c>
      <c r="D561" s="325">
        <f>Input!C412</f>
        <v>16</v>
      </c>
      <c r="E561" s="3">
        <f>Classification!F561</f>
        <v>118176</v>
      </c>
      <c r="F561" s="3">
        <f>ROUND((VLOOKUP($D561,'Alloc Table Cust'!$B$7:$S$58,13,FALSE)*$E561),0)</f>
        <v>85018</v>
      </c>
      <c r="G561" s="3">
        <f>ROUND((VLOOKUP($D561,'Alloc Table Cust'!$B$7:$T$58,14,FALSE)*$E561),0)</f>
        <v>32631</v>
      </c>
      <c r="H561" s="3">
        <f>ROUND((VLOOKUP($D561,'Alloc Table Cust'!$B$7:$T$58,15,FALSE)*$E561),0)</f>
        <v>15</v>
      </c>
      <c r="I561" s="3">
        <f>ROUND((VLOOKUP($D561,'Alloc Table Cust'!$B$7:$T$58,16,FALSE)*$E561),0)</f>
        <v>0</v>
      </c>
      <c r="J561" s="3">
        <f>ROUND((VLOOKUP($D561,'Alloc Table Cust'!$B$7:$T$58,17,FALSE)*$E561),0)</f>
        <v>512</v>
      </c>
      <c r="K561" s="3">
        <f>ROUND((VLOOKUP($D561,'Alloc Table Cust'!$B$7:$T$58,18,FALSE)*$E561),0)</f>
        <v>0</v>
      </c>
      <c r="L561" s="3">
        <f>ROUND((VLOOKUP($D561,'Alloc Table Cust'!$B$7:$T$58,19,FALSE)*$E561),0)</f>
        <v>0</v>
      </c>
    </row>
    <row r="562" spans="1:12" ht="11.25" x14ac:dyDescent="0.2">
      <c r="A562" s="3">
        <f t="shared" si="72"/>
        <v>20</v>
      </c>
      <c r="B562" s="3" t="str">
        <f>Input!A413</f>
        <v>894</v>
      </c>
      <c r="C562" s="3" t="str">
        <f>Input!B413</f>
        <v>OTHER EQUIPMENT</v>
      </c>
      <c r="D562" s="325" t="str">
        <f>VLOOKUP(Input!C413,'Alloc Table Cust'!$A$7:$B$27,2,FALSE)</f>
        <v>11CUST</v>
      </c>
      <c r="E562" s="26">
        <f>Classification!F562</f>
        <v>75614</v>
      </c>
      <c r="F562" s="26">
        <f ca="1">ROUND((VLOOKUP($D562,'Alloc Table Cust'!$B$7:$S$58,13,FALSE)*$E562),0)</f>
        <v>60772</v>
      </c>
      <c r="G562" s="26">
        <f ca="1">ROUND((VLOOKUP($D562,'Alloc Table Cust'!$B$7:$T$58,14,FALSE)*$E562),0)</f>
        <v>13170</v>
      </c>
      <c r="H562" s="26">
        <f ca="1">ROUND((VLOOKUP($D562,'Alloc Table Cust'!$B$7:$T$58,15,FALSE)*$E562),0)</f>
        <v>5</v>
      </c>
      <c r="I562" s="26">
        <f ca="1">ROUND((VLOOKUP($D562,'Alloc Table Cust'!$B$7:$T$58,16,FALSE)*$E562),0)</f>
        <v>351</v>
      </c>
      <c r="J562" s="26">
        <f ca="1">ROUND((VLOOKUP($D562,'Alloc Table Cust'!$B$7:$T$58,17,FALSE)*$E562),0)</f>
        <v>1316</v>
      </c>
      <c r="K562" s="26">
        <f ca="1">ROUND((VLOOKUP($D562,'Alloc Table Cust'!$B$7:$T$58,18,FALSE)*$E562),0)</f>
        <v>0</v>
      </c>
      <c r="L562" s="26">
        <f ca="1">ROUND((VLOOKUP($D562,'Alloc Table Cust'!$B$7:$T$58,19,FALSE)*$E562),0)</f>
        <v>0</v>
      </c>
    </row>
    <row r="563" spans="1:12" ht="11.25" x14ac:dyDescent="0.2">
      <c r="A563" s="3">
        <f t="shared" si="72"/>
        <v>21</v>
      </c>
      <c r="B563" s="3"/>
      <c r="C563" s="3" t="s">
        <v>280</v>
      </c>
      <c r="D563" s="325"/>
      <c r="E563" s="1">
        <f t="shared" ref="E563:L563" si="73">SUM(E555:E562)</f>
        <v>677895</v>
      </c>
      <c r="F563" s="3">
        <f t="shared" ca="1" si="73"/>
        <v>527057</v>
      </c>
      <c r="G563" s="3">
        <f t="shared" ca="1" si="73"/>
        <v>105982</v>
      </c>
      <c r="H563" s="3">
        <f t="shared" ca="1" si="73"/>
        <v>36</v>
      </c>
      <c r="I563" s="3">
        <f t="shared" ca="1" si="73"/>
        <v>10774</v>
      </c>
      <c r="J563" s="3">
        <f t="shared" ca="1" si="73"/>
        <v>34046</v>
      </c>
      <c r="K563" s="3">
        <f t="shared" ca="1" si="73"/>
        <v>0</v>
      </c>
      <c r="L563" s="3">
        <f t="shared" ca="1" si="73"/>
        <v>0</v>
      </c>
    </row>
    <row r="564" spans="1:12" ht="11.25" x14ac:dyDescent="0.2">
      <c r="A564" s="3" t="s">
        <v>817</v>
      </c>
      <c r="B564" s="3"/>
      <c r="C564" s="3"/>
      <c r="D564" s="325"/>
      <c r="E564" s="3"/>
      <c r="F564" s="325" t="str">
        <f>""&amp;+Input!$B$1</f>
        <v>COLUMBIA GAS OF KENTUCKY, INC.</v>
      </c>
      <c r="H564" s="3"/>
      <c r="I564" s="3"/>
      <c r="J564" s="3"/>
      <c r="K564" s="3"/>
      <c r="L564" s="32" t="str">
        <f>Input!$B$2</f>
        <v>ATTACHMENT CEN-2</v>
      </c>
    </row>
    <row r="565" spans="1:12" ht="11.25" x14ac:dyDescent="0.2">
      <c r="A565" s="3" t="str">
        <f>Input!$B$7</f>
        <v>DEMAND-COMMODITY</v>
      </c>
      <c r="B565" s="3"/>
      <c r="C565" s="3"/>
      <c r="D565" s="325"/>
      <c r="E565" s="3"/>
      <c r="F565" s="325" t="s">
        <v>569</v>
      </c>
      <c r="H565" s="3"/>
      <c r="I565" s="3"/>
      <c r="J565" s="3"/>
      <c r="K565" s="3"/>
      <c r="L565" s="32" t="str">
        <f>"PAGE 68 OF "&amp;FIXED(Input!$B$8,0,TRUE)</f>
        <v>PAGE 68 OF 129</v>
      </c>
    </row>
    <row r="566" spans="1:12" ht="11.25" x14ac:dyDescent="0.2">
      <c r="A566" s="17" t="str">
        <f>Input!$B$6</f>
        <v>FORECASTED TEST YEAR - ORIGINAL FILING</v>
      </c>
      <c r="B566" s="17"/>
      <c r="C566" s="17"/>
      <c r="D566" s="34"/>
      <c r="E566" s="17"/>
      <c r="F566" s="19" t="str">
        <f>"FOR THE TWELVE MONTHS ENDED "&amp;Input!$B$4</f>
        <v>FOR THE TWELVE MONTHS ENDED 12/31/2017</v>
      </c>
      <c r="G566" s="329"/>
      <c r="H566" s="17"/>
      <c r="I566" s="17"/>
      <c r="J566" s="17"/>
      <c r="K566" s="17"/>
      <c r="L566" s="183" t="str">
        <f>"WITNESS: "&amp;Input!$B$5</f>
        <v>WITNESS: C. NOTESTONE</v>
      </c>
    </row>
    <row r="567" spans="1:12" ht="11.25" x14ac:dyDescent="0.2">
      <c r="A567" s="325" t="s">
        <v>5</v>
      </c>
      <c r="B567" s="3" t="s">
        <v>6</v>
      </c>
      <c r="C567" s="3"/>
      <c r="D567" s="325" t="s">
        <v>7</v>
      </c>
      <c r="E567" s="325" t="s">
        <v>8</v>
      </c>
      <c r="F567" s="3"/>
      <c r="G567" s="3"/>
      <c r="H567" s="3"/>
      <c r="I567" s="3"/>
      <c r="J567" s="3"/>
      <c r="K567" s="3"/>
      <c r="L567" s="3"/>
    </row>
    <row r="568" spans="1:12" ht="11.25" x14ac:dyDescent="0.2">
      <c r="A568" s="341" t="s">
        <v>9</v>
      </c>
      <c r="B568" s="341" t="s">
        <v>9</v>
      </c>
      <c r="C568" s="341" t="str">
        <f>"                        ACCOUNT TITLE                "</f>
        <v xml:space="preserve">                        ACCOUNT TITLE                </v>
      </c>
      <c r="D568" s="341" t="s">
        <v>10</v>
      </c>
      <c r="E568" s="341" t="s">
        <v>804</v>
      </c>
      <c r="F568" s="341" t="str">
        <f>"  "&amp;+Input!$C$12</f>
        <v xml:space="preserve">  GS-RESIDENTIAL</v>
      </c>
      <c r="G568" s="341" t="str">
        <f>Input!$C$13</f>
        <v>GS-OTHER</v>
      </c>
      <c r="H568" s="341" t="str">
        <f>Input!$C$14</f>
        <v>IUS</v>
      </c>
      <c r="I568" s="341" t="str">
        <f>Input!$C$15</f>
        <v>DS-ML</v>
      </c>
      <c r="J568" s="341" t="str">
        <f>Input!$C$16</f>
        <v>DS/IS</v>
      </c>
      <c r="K568" s="26" t="str">
        <f>Input!$C$17</f>
        <v>NOT USED</v>
      </c>
      <c r="L568" s="26" t="str">
        <f>Input!$C$18</f>
        <v>NOT USED</v>
      </c>
    </row>
    <row r="569" spans="1:12" ht="11.25" x14ac:dyDescent="0.2">
      <c r="A569" s="3"/>
      <c r="B569" s="342" t="s">
        <v>13</v>
      </c>
      <c r="C569" s="342" t="s">
        <v>14</v>
      </c>
      <c r="D569" s="325" t="s">
        <v>15</v>
      </c>
      <c r="E569" s="325" t="s">
        <v>16</v>
      </c>
      <c r="F569" s="325" t="s">
        <v>17</v>
      </c>
      <c r="G569" s="325" t="s">
        <v>18</v>
      </c>
      <c r="H569" s="325" t="s">
        <v>19</v>
      </c>
      <c r="I569" s="325" t="s">
        <v>20</v>
      </c>
      <c r="J569" s="325" t="s">
        <v>21</v>
      </c>
      <c r="K569" s="325" t="s">
        <v>22</v>
      </c>
      <c r="L569" s="325" t="s">
        <v>23</v>
      </c>
    </row>
    <row r="570" spans="1:12" ht="11.25" x14ac:dyDescent="0.2">
      <c r="A570" s="3"/>
      <c r="B570" s="3"/>
      <c r="C570" s="3"/>
      <c r="D570" s="325"/>
      <c r="E570" s="325" t="s">
        <v>26</v>
      </c>
      <c r="F570" s="325" t="s">
        <v>26</v>
      </c>
      <c r="G570" s="325" t="s">
        <v>26</v>
      </c>
      <c r="H570" s="325" t="s">
        <v>26</v>
      </c>
      <c r="I570" s="325" t="s">
        <v>26</v>
      </c>
      <c r="J570" s="325" t="s">
        <v>26</v>
      </c>
      <c r="K570" s="325" t="s">
        <v>26</v>
      </c>
      <c r="L570" s="325" t="s">
        <v>26</v>
      </c>
    </row>
    <row r="571" spans="1:12" ht="11.25" x14ac:dyDescent="0.2">
      <c r="A571" s="3">
        <v>1</v>
      </c>
      <c r="B571" s="3"/>
      <c r="C571" s="3" t="str">
        <f>Input!A414</f>
        <v>CUSTOMER ACCOUNTS</v>
      </c>
      <c r="D571" s="325"/>
      <c r="E571" s="3"/>
      <c r="F571" s="3"/>
      <c r="G571" s="3"/>
      <c r="H571" s="3"/>
      <c r="I571" s="3"/>
      <c r="J571" s="3"/>
      <c r="K571" s="3"/>
      <c r="L571" s="3"/>
    </row>
    <row r="572" spans="1:12" ht="11.25" x14ac:dyDescent="0.2">
      <c r="A572" s="3"/>
      <c r="B572" s="3"/>
      <c r="C572" s="3"/>
      <c r="D572" s="325"/>
      <c r="E572" s="3"/>
      <c r="F572" s="3"/>
      <c r="G572" s="3"/>
      <c r="H572" s="3"/>
      <c r="I572" s="3"/>
      <c r="J572" s="3"/>
      <c r="K572" s="3"/>
      <c r="L572" s="3"/>
    </row>
    <row r="573" spans="1:12" ht="11.25" x14ac:dyDescent="0.2">
      <c r="A573" s="3">
        <f>A571+1</f>
        <v>2</v>
      </c>
      <c r="B573" s="3" t="str">
        <f>Input!A415</f>
        <v>901</v>
      </c>
      <c r="C573" s="3" t="str">
        <f>Input!B415</f>
        <v>SUPERVISION</v>
      </c>
      <c r="D573" s="325">
        <f>Input!C415</f>
        <v>6</v>
      </c>
      <c r="E573" s="3">
        <f>Classification!F573</f>
        <v>0</v>
      </c>
      <c r="F573" s="3">
        <f>ROUND((VLOOKUP($D573,'Alloc Table Cust'!$B$7:$S$58,13,FALSE)*$E573),0)</f>
        <v>0</v>
      </c>
      <c r="G573" s="3">
        <f>ROUND((VLOOKUP($D573,'Alloc Table Cust'!$B$7:$T$58,14,FALSE)*$E573),0)</f>
        <v>0</v>
      </c>
      <c r="H573" s="3">
        <f>ROUND((VLOOKUP($D573,'Alloc Table Cust'!$B$7:$T$58,15,FALSE)*$E573),0)</f>
        <v>0</v>
      </c>
      <c r="I573" s="3">
        <f>ROUND((VLOOKUP($D573,'Alloc Table Cust'!$B$7:$T$58,16,FALSE)*$E573),0)</f>
        <v>0</v>
      </c>
      <c r="J573" s="3">
        <f>ROUND((VLOOKUP($D573,'Alloc Table Cust'!$B$7:$T$58,17,FALSE)*$E573),0)</f>
        <v>0</v>
      </c>
      <c r="K573" s="3">
        <f>ROUND((VLOOKUP($D573,'Alloc Table Cust'!$B$7:$T$58,18,FALSE)*$E573),0)</f>
        <v>0</v>
      </c>
      <c r="L573" s="3">
        <f>ROUND((VLOOKUP($D573,'Alloc Table Cust'!$B$7:$T$58,19,FALSE)*$E573),0)</f>
        <v>0</v>
      </c>
    </row>
    <row r="574" spans="1:12" ht="11.25" x14ac:dyDescent="0.2">
      <c r="A574" s="3">
        <f t="shared" ref="A574:A582" si="74">A573+1</f>
        <v>3</v>
      </c>
      <c r="B574" s="3" t="str">
        <f>Input!A416</f>
        <v>902</v>
      </c>
      <c r="C574" s="3" t="str">
        <f>Input!B416</f>
        <v>METER READING</v>
      </c>
      <c r="D574" s="325">
        <f>Input!C416</f>
        <v>6</v>
      </c>
      <c r="E574" s="3">
        <f>Classification!F574</f>
        <v>399502</v>
      </c>
      <c r="F574" s="3">
        <f>ROUND((VLOOKUP($D574,'Alloc Table Cust'!$B$7:$S$58,13,FALSE)*$E574),0)</f>
        <v>358186</v>
      </c>
      <c r="G574" s="3">
        <f>ROUND((VLOOKUP($D574,'Alloc Table Cust'!$B$7:$T$58,14,FALSE)*$E574),0)</f>
        <v>41065</v>
      </c>
      <c r="H574" s="3">
        <f>ROUND((VLOOKUP($D574,'Alloc Table Cust'!$B$7:$T$58,15,FALSE)*$E574),0)</f>
        <v>4</v>
      </c>
      <c r="I574" s="3">
        <f>ROUND((VLOOKUP($D574,'Alloc Table Cust'!$B$7:$T$58,16,FALSE)*$E574),0)</f>
        <v>16</v>
      </c>
      <c r="J574" s="3">
        <f>ROUND((VLOOKUP($D574,'Alloc Table Cust'!$B$7:$T$58,17,FALSE)*$E574),0)</f>
        <v>232</v>
      </c>
      <c r="K574" s="3">
        <f>ROUND((VLOOKUP($D574,'Alloc Table Cust'!$B$7:$T$58,18,FALSE)*$E574),0)</f>
        <v>0</v>
      </c>
      <c r="L574" s="3">
        <f>ROUND((VLOOKUP($D574,'Alloc Table Cust'!$B$7:$T$58,19,FALSE)*$E574),0)</f>
        <v>0</v>
      </c>
    </row>
    <row r="575" spans="1:12" ht="11.25" x14ac:dyDescent="0.2">
      <c r="A575" s="3">
        <f t="shared" si="74"/>
        <v>4</v>
      </c>
      <c r="B575" s="3" t="str">
        <f>Input!A417</f>
        <v>903</v>
      </c>
      <c r="C575" s="3" t="str">
        <f>Input!B417</f>
        <v>CUSTOMER RECORDS &amp; COLLECTIONS</v>
      </c>
      <c r="D575" s="325">
        <f>Input!C417</f>
        <v>6</v>
      </c>
      <c r="E575" s="3">
        <f>Classification!F575</f>
        <v>3252912</v>
      </c>
      <c r="F575" s="3">
        <f>ROUND((VLOOKUP($D575,'Alloc Table Cust'!$B$7:$S$58,13,FALSE)*$E575),0)</f>
        <v>2916496</v>
      </c>
      <c r="G575" s="3">
        <f>ROUND((VLOOKUP($D575,'Alloc Table Cust'!$B$7:$T$58,14,FALSE)*$E575),0)</f>
        <v>334367</v>
      </c>
      <c r="H575" s="3">
        <f>ROUND((VLOOKUP($D575,'Alloc Table Cust'!$B$7:$T$58,15,FALSE)*$E575),0)</f>
        <v>33</v>
      </c>
      <c r="I575" s="3">
        <f>ROUND((VLOOKUP($D575,'Alloc Table Cust'!$B$7:$T$58,16,FALSE)*$E575),0)</f>
        <v>130</v>
      </c>
      <c r="J575" s="3">
        <f>ROUND((VLOOKUP($D575,'Alloc Table Cust'!$B$7:$T$58,17,FALSE)*$E575),0)</f>
        <v>1887</v>
      </c>
      <c r="K575" s="3">
        <f>ROUND((VLOOKUP($D575,'Alloc Table Cust'!$B$7:$T$58,18,FALSE)*$E575),0)</f>
        <v>0</v>
      </c>
      <c r="L575" s="3">
        <f>ROUND((VLOOKUP($D575,'Alloc Table Cust'!$B$7:$T$58,19,FALSE)*$E575),0)</f>
        <v>0</v>
      </c>
    </row>
    <row r="576" spans="1:12" ht="11.25" x14ac:dyDescent="0.2">
      <c r="A576" s="3">
        <f t="shared" si="74"/>
        <v>5</v>
      </c>
      <c r="B576" s="3" t="str">
        <f>Input!A419</f>
        <v>904</v>
      </c>
      <c r="C576" s="3" t="str">
        <f>Input!B419</f>
        <v>UNCOLLECTIBLE ACCOUNTS</v>
      </c>
      <c r="D576" s="325">
        <f>Input!C419</f>
        <v>21</v>
      </c>
      <c r="E576" s="3">
        <f>Classification!F576</f>
        <v>1027585</v>
      </c>
      <c r="F576" s="3">
        <f>ROUND((VLOOKUP($D576,'Alloc Table Cust'!$B$7:$S$58,13,FALSE)*$E576),0)</f>
        <v>891707</v>
      </c>
      <c r="G576" s="3">
        <f>ROUND((VLOOKUP($D576,'Alloc Table Cust'!$B$7:$T$58,14,FALSE)*$E576),0)</f>
        <v>135035</v>
      </c>
      <c r="H576" s="3">
        <f>ROUND((VLOOKUP($D576,'Alloc Table Cust'!$B$7:$T$58,15,FALSE)*$E576),0)</f>
        <v>21</v>
      </c>
      <c r="I576" s="3">
        <f>ROUND((VLOOKUP($D576,'Alloc Table Cust'!$B$7:$T$58,16,FALSE)*$E576),0)</f>
        <v>62</v>
      </c>
      <c r="J576" s="3">
        <f>ROUND((VLOOKUP($D576,'Alloc Table Cust'!$B$7:$T$58,17,FALSE)*$E576),0)</f>
        <v>760</v>
      </c>
      <c r="K576" s="3">
        <f>ROUND((VLOOKUP($D576,'Alloc Table Cust'!$B$7:$T$58,18,FALSE)*$E576),0)</f>
        <v>0</v>
      </c>
      <c r="L576" s="3">
        <f>ROUND((VLOOKUP($D576,'Alloc Table Cust'!$B$7:$T$58,19,FALSE)*$E576),0)</f>
        <v>0</v>
      </c>
    </row>
    <row r="577" spans="1:12" ht="11.25" x14ac:dyDescent="0.2">
      <c r="A577" s="3">
        <f t="shared" si="74"/>
        <v>6</v>
      </c>
      <c r="B577" s="3" t="str">
        <f>Input!A420</f>
        <v>905</v>
      </c>
      <c r="C577" s="3" t="str">
        <f>Input!B420</f>
        <v>MISC.</v>
      </c>
      <c r="D577" s="325">
        <f>Input!C420</f>
        <v>6</v>
      </c>
      <c r="E577" s="3">
        <f>Classification!F577</f>
        <v>1073</v>
      </c>
      <c r="F577" s="3">
        <f>ROUND((VLOOKUP($D577,'Alloc Table Cust'!$B$7:$S$58,13,FALSE)*$E577),0)</f>
        <v>962</v>
      </c>
      <c r="G577" s="3">
        <f>ROUND((VLOOKUP($D577,'Alloc Table Cust'!$B$7:$T$58,14,FALSE)*$E577),0)</f>
        <v>110</v>
      </c>
      <c r="H577" s="3">
        <f>ROUND((VLOOKUP($D577,'Alloc Table Cust'!$B$7:$T$58,15,FALSE)*$E577),0)</f>
        <v>0</v>
      </c>
      <c r="I577" s="3">
        <f>ROUND((VLOOKUP($D577,'Alloc Table Cust'!$B$7:$T$58,16,FALSE)*$E577),0)</f>
        <v>0</v>
      </c>
      <c r="J577" s="3">
        <f>ROUND((VLOOKUP($D577,'Alloc Table Cust'!$B$7:$T$58,17,FALSE)*$E577),0)</f>
        <v>1</v>
      </c>
      <c r="K577" s="3">
        <f>ROUND((VLOOKUP($D577,'Alloc Table Cust'!$B$7:$T$58,18,FALSE)*$E577),0)</f>
        <v>0</v>
      </c>
      <c r="L577" s="3">
        <f>ROUND((VLOOKUP($D577,'Alloc Table Cust'!$B$7:$T$58,19,FALSE)*$E577),0)</f>
        <v>0</v>
      </c>
    </row>
    <row r="578" spans="1:12" ht="11.25" x14ac:dyDescent="0.2">
      <c r="A578" s="3">
        <f t="shared" si="74"/>
        <v>7</v>
      </c>
      <c r="B578" s="3" t="str">
        <f>Input!A421</f>
        <v>920</v>
      </c>
      <c r="C578" s="3" t="str">
        <f>Input!B421</f>
        <v>SALARIES</v>
      </c>
      <c r="D578" s="325">
        <f>Input!C421</f>
        <v>6</v>
      </c>
      <c r="E578" s="3">
        <f>Classification!F578</f>
        <v>0</v>
      </c>
      <c r="F578" s="3">
        <f>ROUND((VLOOKUP($D578,'Alloc Table Cust'!$B$7:$S$58,13,FALSE)*$E578),0)</f>
        <v>0</v>
      </c>
      <c r="G578" s="3">
        <f>ROUND((VLOOKUP($D578,'Alloc Table Cust'!$B$7:$T$58,14,FALSE)*$E578),0)</f>
        <v>0</v>
      </c>
      <c r="H578" s="3">
        <f>ROUND((VLOOKUP($D578,'Alloc Table Cust'!$B$7:$T$58,15,FALSE)*$E578),0)</f>
        <v>0</v>
      </c>
      <c r="I578" s="3">
        <f>ROUND((VLOOKUP($D578,'Alloc Table Cust'!$B$7:$T$58,16,FALSE)*$E578),0)</f>
        <v>0</v>
      </c>
      <c r="J578" s="3">
        <f>ROUND((VLOOKUP($D578,'Alloc Table Cust'!$B$7:$T$58,17,FALSE)*$E578),0)</f>
        <v>0</v>
      </c>
      <c r="K578" s="3">
        <f>ROUND((VLOOKUP($D578,'Alloc Table Cust'!$B$7:$T$58,18,FALSE)*$E578),0)</f>
        <v>0</v>
      </c>
      <c r="L578" s="3">
        <f>ROUND((VLOOKUP($D578,'Alloc Table Cust'!$B$7:$T$58,19,FALSE)*$E578),0)</f>
        <v>0</v>
      </c>
    </row>
    <row r="579" spans="1:12" ht="11.25" x14ac:dyDescent="0.2">
      <c r="A579" s="3">
        <f t="shared" si="74"/>
        <v>8</v>
      </c>
      <c r="B579" s="3" t="str">
        <f>Input!A422</f>
        <v>921</v>
      </c>
      <c r="C579" s="3" t="str">
        <f>Input!B422</f>
        <v>OFFICE SUPPLIES AND EXPENSE</v>
      </c>
      <c r="D579" s="325">
        <f>Input!C422</f>
        <v>6</v>
      </c>
      <c r="E579" s="3">
        <f>Classification!F579</f>
        <v>253</v>
      </c>
      <c r="F579" s="3">
        <f>ROUND((VLOOKUP($D579,'Alloc Table Cust'!$B$7:$S$58,13,FALSE)*$E579),0)</f>
        <v>227</v>
      </c>
      <c r="G579" s="3">
        <f>ROUND((VLOOKUP($D579,'Alloc Table Cust'!$B$7:$T$58,14,FALSE)*$E579),0)</f>
        <v>26</v>
      </c>
      <c r="H579" s="3">
        <f>ROUND((VLOOKUP($D579,'Alloc Table Cust'!$B$7:$T$58,15,FALSE)*$E579),0)</f>
        <v>0</v>
      </c>
      <c r="I579" s="3">
        <f>ROUND((VLOOKUP($D579,'Alloc Table Cust'!$B$7:$T$58,16,FALSE)*$E579),0)</f>
        <v>0</v>
      </c>
      <c r="J579" s="3">
        <f>ROUND((VLOOKUP($D579,'Alloc Table Cust'!$B$7:$T$58,17,FALSE)*$E579),0)</f>
        <v>0</v>
      </c>
      <c r="K579" s="3">
        <f>ROUND((VLOOKUP($D579,'Alloc Table Cust'!$B$7:$T$58,18,FALSE)*$E579),0)</f>
        <v>0</v>
      </c>
      <c r="L579" s="3">
        <f>ROUND((VLOOKUP($D579,'Alloc Table Cust'!$B$7:$T$58,19,FALSE)*$E579),0)</f>
        <v>0</v>
      </c>
    </row>
    <row r="580" spans="1:12" ht="11.25" x14ac:dyDescent="0.2">
      <c r="A580" s="3">
        <f t="shared" si="74"/>
        <v>9</v>
      </c>
      <c r="B580" s="3" t="str">
        <f>Input!A423</f>
        <v>931</v>
      </c>
      <c r="C580" s="3" t="str">
        <f>Input!B423</f>
        <v>RENTS</v>
      </c>
      <c r="D580" s="325">
        <f>Input!C423</f>
        <v>6</v>
      </c>
      <c r="E580" s="3">
        <f>Classification!F580</f>
        <v>0</v>
      </c>
      <c r="F580" s="3">
        <f>ROUND((VLOOKUP($D580,'Alloc Table Cust'!$B$7:$S$58,13,FALSE)*$E580),0)</f>
        <v>0</v>
      </c>
      <c r="G580" s="3">
        <f>ROUND((VLOOKUP($D580,'Alloc Table Cust'!$B$7:$T$58,14,FALSE)*$E580),0)</f>
        <v>0</v>
      </c>
      <c r="H580" s="3">
        <f>ROUND((VLOOKUP($D580,'Alloc Table Cust'!$B$7:$T$58,15,FALSE)*$E580),0)</f>
        <v>0</v>
      </c>
      <c r="I580" s="3">
        <f>ROUND((VLOOKUP($D580,'Alloc Table Cust'!$B$7:$T$58,16,FALSE)*$E580),0)</f>
        <v>0</v>
      </c>
      <c r="J580" s="3">
        <f>ROUND((VLOOKUP($D580,'Alloc Table Cust'!$B$7:$T$58,17,FALSE)*$E580),0)</f>
        <v>0</v>
      </c>
      <c r="K580" s="3">
        <f>ROUND((VLOOKUP($D580,'Alloc Table Cust'!$B$7:$T$58,18,FALSE)*$E580),0)</f>
        <v>0</v>
      </c>
      <c r="L580" s="3">
        <f>ROUND((VLOOKUP($D580,'Alloc Table Cust'!$B$7:$T$58,19,FALSE)*$E580),0)</f>
        <v>0</v>
      </c>
    </row>
    <row r="581" spans="1:12" ht="11.25" x14ac:dyDescent="0.2">
      <c r="A581" s="3">
        <f t="shared" si="74"/>
        <v>10</v>
      </c>
      <c r="B581" s="3" t="str">
        <f>Input!A424</f>
        <v>935</v>
      </c>
      <c r="C581" s="3" t="str">
        <f>Input!B424</f>
        <v>GENERAL PLANT MAINTENANCE</v>
      </c>
      <c r="D581" s="325">
        <f>Input!C424</f>
        <v>6</v>
      </c>
      <c r="E581" s="26">
        <f>Classification!F581</f>
        <v>0</v>
      </c>
      <c r="F581" s="26">
        <f>ROUND((VLOOKUP($D581,'Alloc Table Cust'!$B$7:$S$58,13,FALSE)*$E581),0)</f>
        <v>0</v>
      </c>
      <c r="G581" s="26">
        <f>ROUND((VLOOKUP($D581,'Alloc Table Cust'!$B$7:$T$58,14,FALSE)*$E581),0)</f>
        <v>0</v>
      </c>
      <c r="H581" s="26">
        <f>ROUND((VLOOKUP($D581,'Alloc Table Cust'!$B$7:$T$58,15,FALSE)*$E581),0)</f>
        <v>0</v>
      </c>
      <c r="I581" s="26">
        <f>ROUND((VLOOKUP($D581,'Alloc Table Cust'!$B$7:$T$58,16,FALSE)*$E581),0)</f>
        <v>0</v>
      </c>
      <c r="J581" s="26">
        <f>ROUND((VLOOKUP($D581,'Alloc Table Cust'!$B$7:$T$58,17,FALSE)*$E581),0)</f>
        <v>0</v>
      </c>
      <c r="K581" s="26">
        <f>ROUND((VLOOKUP($D581,'Alloc Table Cust'!$B$7:$T$58,18,FALSE)*$E581),0)</f>
        <v>0</v>
      </c>
      <c r="L581" s="26">
        <f>ROUND((VLOOKUP($D581,'Alloc Table Cust'!$B$7:$T$58,19,FALSE)*$E581),0)</f>
        <v>0</v>
      </c>
    </row>
    <row r="582" spans="1:12" ht="11.25" x14ac:dyDescent="0.2">
      <c r="A582" s="3">
        <f t="shared" si="74"/>
        <v>11</v>
      </c>
      <c r="B582" s="3"/>
      <c r="C582" s="3" t="s">
        <v>301</v>
      </c>
      <c r="D582" s="325"/>
      <c r="E582" s="1">
        <f t="shared" ref="E582:L582" si="75">SUM(E573:E581)</f>
        <v>4681325</v>
      </c>
      <c r="F582" s="3">
        <f t="shared" si="75"/>
        <v>4167578</v>
      </c>
      <c r="G582" s="3">
        <f t="shared" si="75"/>
        <v>510603</v>
      </c>
      <c r="H582" s="3">
        <f t="shared" si="75"/>
        <v>58</v>
      </c>
      <c r="I582" s="3">
        <f t="shared" si="75"/>
        <v>208</v>
      </c>
      <c r="J582" s="3">
        <f t="shared" si="75"/>
        <v>2880</v>
      </c>
      <c r="K582" s="3">
        <f t="shared" si="75"/>
        <v>0</v>
      </c>
      <c r="L582" s="3">
        <f t="shared" si="75"/>
        <v>0</v>
      </c>
    </row>
    <row r="583" spans="1:12" ht="11.25" x14ac:dyDescent="0.2">
      <c r="A583" s="3"/>
      <c r="B583" s="3"/>
      <c r="C583" s="3"/>
      <c r="D583" s="325"/>
      <c r="E583" s="1"/>
      <c r="F583" s="3"/>
      <c r="G583" s="3"/>
      <c r="H583" s="3"/>
      <c r="I583" s="3"/>
      <c r="J583" s="3"/>
      <c r="K583" s="3"/>
      <c r="L583" s="3"/>
    </row>
    <row r="584" spans="1:12" ht="11.25" x14ac:dyDescent="0.2">
      <c r="A584" s="3">
        <f>A582+1</f>
        <v>12</v>
      </c>
      <c r="B584" s="3"/>
      <c r="C584" s="3" t="str">
        <f>Input!A425</f>
        <v>CUSTOMER SERVICE &amp; INFORMATIONAL</v>
      </c>
      <c r="D584" s="325"/>
      <c r="E584" s="1"/>
      <c r="F584" s="3"/>
      <c r="G584" s="3"/>
      <c r="H584" s="3"/>
      <c r="I584" s="3"/>
      <c r="J584" s="3"/>
      <c r="K584" s="3"/>
      <c r="L584" s="3"/>
    </row>
    <row r="585" spans="1:12" ht="11.25" x14ac:dyDescent="0.2">
      <c r="A585" s="3"/>
      <c r="B585" s="3"/>
      <c r="C585" s="3"/>
      <c r="D585" s="325"/>
      <c r="E585" s="1"/>
      <c r="F585" s="3"/>
      <c r="G585" s="3"/>
      <c r="H585" s="3"/>
      <c r="I585" s="3"/>
      <c r="J585" s="3"/>
      <c r="K585" s="3"/>
      <c r="L585" s="3"/>
    </row>
    <row r="586" spans="1:12" ht="11.25" x14ac:dyDescent="0.2">
      <c r="A586" s="3">
        <f>A584+1</f>
        <v>13</v>
      </c>
      <c r="B586" s="3" t="str">
        <f>Input!A426</f>
        <v>907</v>
      </c>
      <c r="C586" s="3" t="str">
        <f>Input!B426</f>
        <v>SUPERVISION</v>
      </c>
      <c r="D586" s="325">
        <f>Input!C426</f>
        <v>6</v>
      </c>
      <c r="E586" s="3">
        <f>Classification!F586</f>
        <v>-2789</v>
      </c>
      <c r="F586" s="3">
        <f>ROUND((VLOOKUP($D586,'Alloc Table Cust'!$B$7:$S$58,13,FALSE)*$E586),0)</f>
        <v>-2501</v>
      </c>
      <c r="G586" s="3">
        <f>ROUND((VLOOKUP($D586,'Alloc Table Cust'!$B$7:$T$58,14,FALSE)*$E586),0)</f>
        <v>-287</v>
      </c>
      <c r="H586" s="3">
        <f>ROUND((VLOOKUP($D586,'Alloc Table Cust'!$B$7:$T$58,15,FALSE)*$E586),0)</f>
        <v>0</v>
      </c>
      <c r="I586" s="3">
        <f>ROUND((VLOOKUP($D586,'Alloc Table Cust'!$B$7:$T$58,16,FALSE)*$E586),0)</f>
        <v>0</v>
      </c>
      <c r="J586" s="3">
        <f>ROUND((VLOOKUP($D586,'Alloc Table Cust'!$B$7:$T$58,17,FALSE)*$E586),0)</f>
        <v>-2</v>
      </c>
      <c r="K586" s="3">
        <f>ROUND((VLOOKUP($D586,'Alloc Table Cust'!$B$7:$T$58,18,FALSE)*$E586),0)</f>
        <v>0</v>
      </c>
      <c r="L586" s="3">
        <f>ROUND((VLOOKUP($D586,'Alloc Table Cust'!$B$7:$T$58,19,FALSE)*$E586),0)</f>
        <v>0</v>
      </c>
    </row>
    <row r="587" spans="1:12" ht="11.25" x14ac:dyDescent="0.2">
      <c r="A587" s="3">
        <f t="shared" ref="A587:A593" si="76">A586+1</f>
        <v>14</v>
      </c>
      <c r="B587" s="3" t="str">
        <f>Input!A428</f>
        <v>908</v>
      </c>
      <c r="C587" s="3" t="str">
        <f>Input!B428</f>
        <v>CUSTOMER ASSISTANCE</v>
      </c>
      <c r="D587" s="325">
        <f>Input!C428</f>
        <v>6</v>
      </c>
      <c r="E587" s="3">
        <f>Classification!F587</f>
        <v>1198971</v>
      </c>
      <c r="F587" s="3">
        <f>ROUND((VLOOKUP($D587,'Alloc Table Cust'!$B$7:$S$58,13,FALSE)*$E587),0)</f>
        <v>1074973</v>
      </c>
      <c r="G587" s="3">
        <f>ROUND((VLOOKUP($D587,'Alloc Table Cust'!$B$7:$T$58,14,FALSE)*$E587),0)</f>
        <v>123242</v>
      </c>
      <c r="H587" s="3">
        <f>ROUND((VLOOKUP($D587,'Alloc Table Cust'!$B$7:$T$58,15,FALSE)*$E587),0)</f>
        <v>12</v>
      </c>
      <c r="I587" s="3">
        <f>ROUND((VLOOKUP($D587,'Alloc Table Cust'!$B$7:$T$58,16,FALSE)*$E587),0)</f>
        <v>48</v>
      </c>
      <c r="J587" s="3">
        <f>ROUND((VLOOKUP($D587,'Alloc Table Cust'!$B$7:$T$58,17,FALSE)*$E587),0)</f>
        <v>695</v>
      </c>
      <c r="K587" s="3">
        <f>ROUND((VLOOKUP($D587,'Alloc Table Cust'!$B$7:$T$58,18,FALSE)*$E587),0)</f>
        <v>0</v>
      </c>
      <c r="L587" s="3">
        <f>ROUND((VLOOKUP($D587,'Alloc Table Cust'!$B$7:$T$58,19,FALSE)*$E587),0)</f>
        <v>0</v>
      </c>
    </row>
    <row r="588" spans="1:12" ht="11.25" x14ac:dyDescent="0.2">
      <c r="A588" s="3">
        <f t="shared" si="76"/>
        <v>15</v>
      </c>
      <c r="B588" s="3" t="str">
        <f>Input!A430</f>
        <v>909</v>
      </c>
      <c r="C588" s="3" t="str">
        <f>Input!B430</f>
        <v>INFO. &amp; INSTRUCTIONAL</v>
      </c>
      <c r="D588" s="325">
        <f>Input!C430</f>
        <v>6</v>
      </c>
      <c r="E588" s="3">
        <f>Classification!F588</f>
        <v>65932</v>
      </c>
      <c r="F588" s="3">
        <f>ROUND((VLOOKUP($D588,'Alloc Table Cust'!$B$7:$S$58,13,FALSE)*$E588),0)</f>
        <v>59113</v>
      </c>
      <c r="G588" s="3">
        <f>ROUND((VLOOKUP($D588,'Alloc Table Cust'!$B$7:$T$58,14,FALSE)*$E588),0)</f>
        <v>6777</v>
      </c>
      <c r="H588" s="3">
        <f>ROUND((VLOOKUP($D588,'Alloc Table Cust'!$B$7:$T$58,15,FALSE)*$E588),0)</f>
        <v>1</v>
      </c>
      <c r="I588" s="3">
        <f>ROUND((VLOOKUP($D588,'Alloc Table Cust'!$B$7:$T$58,16,FALSE)*$E588),0)</f>
        <v>3</v>
      </c>
      <c r="J588" s="3">
        <f>ROUND((VLOOKUP($D588,'Alloc Table Cust'!$B$7:$T$58,17,FALSE)*$E588),0)</f>
        <v>38</v>
      </c>
      <c r="K588" s="3">
        <f>ROUND((VLOOKUP($D588,'Alloc Table Cust'!$B$7:$T$58,18,FALSE)*$E588),0)</f>
        <v>0</v>
      </c>
      <c r="L588" s="3">
        <f>ROUND((VLOOKUP($D588,'Alloc Table Cust'!$B$7:$T$58,19,FALSE)*$E588),0)</f>
        <v>0</v>
      </c>
    </row>
    <row r="589" spans="1:12" ht="11.25" x14ac:dyDescent="0.2">
      <c r="A589" s="3">
        <f t="shared" si="76"/>
        <v>16</v>
      </c>
      <c r="B589" s="3" t="str">
        <f>Input!A431</f>
        <v>910</v>
      </c>
      <c r="C589" s="3" t="str">
        <f>Input!B431</f>
        <v>MISCELLANEOUS</v>
      </c>
      <c r="D589" s="325">
        <f>Input!C431</f>
        <v>6</v>
      </c>
      <c r="E589" s="3">
        <f>Classification!F589</f>
        <v>257797</v>
      </c>
      <c r="F589" s="3">
        <f>ROUND((VLOOKUP($D589,'Alloc Table Cust'!$B$7:$S$58,13,FALSE)*$E589),0)</f>
        <v>231136</v>
      </c>
      <c r="G589" s="3">
        <f>ROUND((VLOOKUP($D589,'Alloc Table Cust'!$B$7:$T$58,14,FALSE)*$E589),0)</f>
        <v>26499</v>
      </c>
      <c r="H589" s="3">
        <f>ROUND((VLOOKUP($D589,'Alloc Table Cust'!$B$7:$T$58,15,FALSE)*$E589),0)</f>
        <v>3</v>
      </c>
      <c r="I589" s="3">
        <f>ROUND((VLOOKUP($D589,'Alloc Table Cust'!$B$7:$T$58,16,FALSE)*$E589),0)</f>
        <v>10</v>
      </c>
      <c r="J589" s="3">
        <f>ROUND((VLOOKUP($D589,'Alloc Table Cust'!$B$7:$T$58,17,FALSE)*$E589),0)</f>
        <v>150</v>
      </c>
      <c r="K589" s="3">
        <f>ROUND((VLOOKUP($D589,'Alloc Table Cust'!$B$7:$T$58,18,FALSE)*$E589),0)</f>
        <v>0</v>
      </c>
      <c r="L589" s="3">
        <f>ROUND((VLOOKUP($D589,'Alloc Table Cust'!$B$7:$T$58,19,FALSE)*$E589),0)</f>
        <v>0</v>
      </c>
    </row>
    <row r="590" spans="1:12" ht="11.25" x14ac:dyDescent="0.2">
      <c r="A590" s="3">
        <f t="shared" si="76"/>
        <v>17</v>
      </c>
      <c r="B590" s="3" t="str">
        <f>Input!A432</f>
        <v>920</v>
      </c>
      <c r="C590" s="3" t="str">
        <f>Input!B432</f>
        <v>SALARIES</v>
      </c>
      <c r="D590" s="325">
        <f>Input!C432</f>
        <v>6</v>
      </c>
      <c r="E590" s="3">
        <f>Classification!F590</f>
        <v>0</v>
      </c>
      <c r="F590" s="3">
        <f>ROUND((VLOOKUP($D590,'Alloc Table Cust'!$B$7:$S$58,13,FALSE)*$E590),0)</f>
        <v>0</v>
      </c>
      <c r="G590" s="3">
        <f>ROUND((VLOOKUP($D590,'Alloc Table Cust'!$B$7:$T$58,14,FALSE)*$E590),0)</f>
        <v>0</v>
      </c>
      <c r="H590" s="3">
        <f>ROUND((VLOOKUP($D590,'Alloc Table Cust'!$B$7:$T$58,15,FALSE)*$E590),0)</f>
        <v>0</v>
      </c>
      <c r="I590" s="3">
        <f>ROUND((VLOOKUP($D590,'Alloc Table Cust'!$B$7:$T$58,16,FALSE)*$E590),0)</f>
        <v>0</v>
      </c>
      <c r="J590" s="3">
        <f>ROUND((VLOOKUP($D590,'Alloc Table Cust'!$B$7:$T$58,17,FALSE)*$E590),0)</f>
        <v>0</v>
      </c>
      <c r="K590" s="3">
        <f>ROUND((VLOOKUP($D590,'Alloc Table Cust'!$B$7:$T$58,18,FALSE)*$E590),0)</f>
        <v>0</v>
      </c>
      <c r="L590" s="3">
        <f>ROUND((VLOOKUP($D590,'Alloc Table Cust'!$B$7:$T$58,19,FALSE)*$E590),0)</f>
        <v>0</v>
      </c>
    </row>
    <row r="591" spans="1:12" ht="11.25" x14ac:dyDescent="0.2">
      <c r="A591" s="3">
        <f t="shared" si="76"/>
        <v>18</v>
      </c>
      <c r="B591" s="3" t="str">
        <f>Input!A433</f>
        <v>921</v>
      </c>
      <c r="C591" s="3" t="str">
        <f>Input!B433</f>
        <v>OFFICE SUPPLIES AND EXPENSE</v>
      </c>
      <c r="D591" s="325">
        <f>Input!C433</f>
        <v>6</v>
      </c>
      <c r="E591" s="3">
        <f>Classification!F591</f>
        <v>13868</v>
      </c>
      <c r="F591" s="3">
        <f>ROUND((VLOOKUP($D591,'Alloc Table Cust'!$B$7:$S$58,13,FALSE)*$E591),0)</f>
        <v>12434</v>
      </c>
      <c r="G591" s="3">
        <f>ROUND((VLOOKUP($D591,'Alloc Table Cust'!$B$7:$T$58,14,FALSE)*$E591),0)</f>
        <v>1425</v>
      </c>
      <c r="H591" s="3">
        <f>ROUND((VLOOKUP($D591,'Alloc Table Cust'!$B$7:$T$58,15,FALSE)*$E591),0)</f>
        <v>0</v>
      </c>
      <c r="I591" s="3">
        <f>ROUND((VLOOKUP($D591,'Alloc Table Cust'!$B$7:$T$58,16,FALSE)*$E591),0)</f>
        <v>1</v>
      </c>
      <c r="J591" s="3">
        <f>ROUND((VLOOKUP($D591,'Alloc Table Cust'!$B$7:$T$58,17,FALSE)*$E591),0)</f>
        <v>8</v>
      </c>
      <c r="K591" s="3">
        <f>ROUND((VLOOKUP($D591,'Alloc Table Cust'!$B$7:$T$58,18,FALSE)*$E591),0)</f>
        <v>0</v>
      </c>
      <c r="L591" s="3">
        <f>ROUND((VLOOKUP($D591,'Alloc Table Cust'!$B$7:$T$58,19,FALSE)*$E591),0)</f>
        <v>0</v>
      </c>
    </row>
    <row r="592" spans="1:12" ht="11.25" x14ac:dyDescent="0.2">
      <c r="A592" s="3">
        <f t="shared" si="76"/>
        <v>19</v>
      </c>
      <c r="B592" s="3" t="str">
        <f>Input!A434</f>
        <v>931</v>
      </c>
      <c r="C592" s="3" t="str">
        <f>Input!B434</f>
        <v>RENTS</v>
      </c>
      <c r="D592" s="325">
        <f>Input!C434</f>
        <v>6</v>
      </c>
      <c r="E592" s="3">
        <f>Classification!F592</f>
        <v>0</v>
      </c>
      <c r="F592" s="3">
        <f>ROUND((VLOOKUP($D592,'Alloc Table Cust'!$B$7:$S$58,13,FALSE)*$E592),0)</f>
        <v>0</v>
      </c>
      <c r="G592" s="3">
        <f>ROUND((VLOOKUP($D592,'Alloc Table Cust'!$B$7:$T$58,14,FALSE)*$E592),0)</f>
        <v>0</v>
      </c>
      <c r="H592" s="3">
        <f>ROUND((VLOOKUP($D592,'Alloc Table Cust'!$B$7:$T$58,15,FALSE)*$E592),0)</f>
        <v>0</v>
      </c>
      <c r="I592" s="3">
        <f>ROUND((VLOOKUP($D592,'Alloc Table Cust'!$B$7:$T$58,16,FALSE)*$E592),0)</f>
        <v>0</v>
      </c>
      <c r="J592" s="3">
        <f>ROUND((VLOOKUP($D592,'Alloc Table Cust'!$B$7:$T$58,17,FALSE)*$E592),0)</f>
        <v>0</v>
      </c>
      <c r="K592" s="3">
        <f>ROUND((VLOOKUP($D592,'Alloc Table Cust'!$B$7:$T$58,18,FALSE)*$E592),0)</f>
        <v>0</v>
      </c>
      <c r="L592" s="3">
        <f>ROUND((VLOOKUP($D592,'Alloc Table Cust'!$B$7:$T$58,19,FALSE)*$E592),0)</f>
        <v>0</v>
      </c>
    </row>
    <row r="593" spans="1:12" ht="11.25" x14ac:dyDescent="0.2">
      <c r="A593" s="3">
        <f t="shared" si="76"/>
        <v>20</v>
      </c>
      <c r="B593" s="3" t="str">
        <f>Input!A435</f>
        <v>935</v>
      </c>
      <c r="C593" s="3" t="str">
        <f>Input!B435</f>
        <v>GENERAL PLANT MAINTENANCE</v>
      </c>
      <c r="D593" s="325">
        <f>Input!C435</f>
        <v>6</v>
      </c>
      <c r="E593" s="26">
        <f>Classification!F593</f>
        <v>0</v>
      </c>
      <c r="F593" s="26">
        <f>ROUND((VLOOKUP($D593,'Alloc Table Cust'!$B$7:$S$58,13,FALSE)*$E593),0)</f>
        <v>0</v>
      </c>
      <c r="G593" s="26">
        <f>ROUND((VLOOKUP($D593,'Alloc Table Cust'!$B$7:$T$58,14,FALSE)*$E593),0)</f>
        <v>0</v>
      </c>
      <c r="H593" s="26">
        <f>ROUND((VLOOKUP($D593,'Alloc Table Cust'!$B$7:$T$58,15,FALSE)*$E593),0)</f>
        <v>0</v>
      </c>
      <c r="I593" s="26">
        <f>ROUND((VLOOKUP($D593,'Alloc Table Cust'!$B$7:$T$58,16,FALSE)*$E593),0)</f>
        <v>0</v>
      </c>
      <c r="J593" s="26">
        <f>ROUND((VLOOKUP($D593,'Alloc Table Cust'!$B$7:$T$58,17,FALSE)*$E593),0)</f>
        <v>0</v>
      </c>
      <c r="K593" s="26">
        <f>ROUND((VLOOKUP($D593,'Alloc Table Cust'!$B$7:$T$58,18,FALSE)*$E593),0)</f>
        <v>0</v>
      </c>
      <c r="L593" s="26">
        <f>ROUND((VLOOKUP($D593,'Alloc Table Cust'!$B$7:$T$58,19,FALSE)*$E593),0)</f>
        <v>0</v>
      </c>
    </row>
    <row r="594" spans="1:12" ht="11.25" x14ac:dyDescent="0.2">
      <c r="A594" s="3">
        <f>A593+1</f>
        <v>21</v>
      </c>
      <c r="B594" s="3"/>
      <c r="C594" s="3" t="s">
        <v>309</v>
      </c>
      <c r="D594" s="325"/>
      <c r="E594" s="1">
        <f t="shared" ref="E594:L594" si="77">SUM(E586:E593)</f>
        <v>1533779</v>
      </c>
      <c r="F594" s="3">
        <f t="shared" si="77"/>
        <v>1375155</v>
      </c>
      <c r="G594" s="3">
        <f t="shared" si="77"/>
        <v>157656</v>
      </c>
      <c r="H594" s="3">
        <f t="shared" si="77"/>
        <v>16</v>
      </c>
      <c r="I594" s="3">
        <f t="shared" si="77"/>
        <v>62</v>
      </c>
      <c r="J594" s="3">
        <f t="shared" si="77"/>
        <v>889</v>
      </c>
      <c r="K594" s="3">
        <f t="shared" si="77"/>
        <v>0</v>
      </c>
      <c r="L594" s="3">
        <f t="shared" si="77"/>
        <v>0</v>
      </c>
    </row>
    <row r="595" spans="1:12" ht="11.25" x14ac:dyDescent="0.2">
      <c r="A595" s="3" t="s">
        <v>817</v>
      </c>
      <c r="B595" s="3"/>
      <c r="C595" s="14"/>
      <c r="D595" s="325"/>
      <c r="E595" s="15"/>
      <c r="F595" s="325" t="str">
        <f>""&amp;+Input!$B$1</f>
        <v>COLUMBIA GAS OF KENTUCKY, INC.</v>
      </c>
      <c r="H595" s="3"/>
      <c r="I595" s="3"/>
      <c r="J595" s="3"/>
      <c r="K595" s="3"/>
      <c r="L595" s="32" t="str">
        <f>Input!$B$2</f>
        <v>ATTACHMENT CEN-2</v>
      </c>
    </row>
    <row r="596" spans="1:12" ht="11.25" x14ac:dyDescent="0.2">
      <c r="A596" s="3" t="str">
        <f>Input!$B$7</f>
        <v>DEMAND-COMMODITY</v>
      </c>
      <c r="B596" s="3"/>
      <c r="C596" s="3"/>
      <c r="D596" s="325"/>
      <c r="E596" s="3"/>
      <c r="F596" s="325" t="s">
        <v>569</v>
      </c>
      <c r="H596" s="3"/>
      <c r="I596" s="3"/>
      <c r="J596" s="3"/>
      <c r="K596" s="3"/>
      <c r="L596" s="32" t="str">
        <f>"PAGE 69 OF "&amp;FIXED(Input!$B$8,0,TRUE)</f>
        <v>PAGE 69 OF 129</v>
      </c>
    </row>
    <row r="597" spans="1:12" ht="11.25" x14ac:dyDescent="0.2">
      <c r="A597" s="17" t="str">
        <f>Input!$B$6</f>
        <v>FORECASTED TEST YEAR - ORIGINAL FILING</v>
      </c>
      <c r="B597" s="17"/>
      <c r="C597" s="17"/>
      <c r="D597" s="34"/>
      <c r="E597" s="17"/>
      <c r="F597" s="19" t="str">
        <f>"FOR THE TWELVE MONTHS ENDED "&amp;Input!$B$4</f>
        <v>FOR THE TWELVE MONTHS ENDED 12/31/2017</v>
      </c>
      <c r="G597" s="329"/>
      <c r="H597" s="17"/>
      <c r="I597" s="17"/>
      <c r="J597" s="17"/>
      <c r="K597" s="17"/>
      <c r="L597" s="183" t="str">
        <f>"WITNESS: "&amp;Input!$B$5</f>
        <v>WITNESS: C. NOTESTONE</v>
      </c>
    </row>
    <row r="598" spans="1:12" ht="11.25" x14ac:dyDescent="0.2">
      <c r="A598" s="325" t="s">
        <v>5</v>
      </c>
      <c r="B598" s="3" t="s">
        <v>6</v>
      </c>
      <c r="C598" s="3"/>
      <c r="D598" s="325" t="s">
        <v>7</v>
      </c>
      <c r="E598" s="325" t="s">
        <v>8</v>
      </c>
      <c r="F598" s="3"/>
      <c r="G598" s="3"/>
      <c r="H598" s="3"/>
      <c r="I598" s="3"/>
      <c r="J598" s="3"/>
      <c r="K598" s="3"/>
      <c r="L598" s="3"/>
    </row>
    <row r="599" spans="1:12" ht="11.25" x14ac:dyDescent="0.2">
      <c r="A599" s="341" t="s">
        <v>9</v>
      </c>
      <c r="B599" s="341" t="s">
        <v>9</v>
      </c>
      <c r="C599" s="341" t="str">
        <f>"                        ACCOUNT TITLE                "</f>
        <v xml:space="preserve">                        ACCOUNT TITLE                </v>
      </c>
      <c r="D599" s="341" t="s">
        <v>10</v>
      </c>
      <c r="E599" s="341" t="s">
        <v>804</v>
      </c>
      <c r="F599" s="341" t="str">
        <f>"  "&amp;+Input!$C$12</f>
        <v xml:space="preserve">  GS-RESIDENTIAL</v>
      </c>
      <c r="G599" s="341" t="str">
        <f>Input!$C$13</f>
        <v>GS-OTHER</v>
      </c>
      <c r="H599" s="341" t="str">
        <f>Input!$C$14</f>
        <v>IUS</v>
      </c>
      <c r="I599" s="341" t="str">
        <f>Input!$C$15</f>
        <v>DS-ML</v>
      </c>
      <c r="J599" s="341" t="str">
        <f>Input!$C$16</f>
        <v>DS/IS</v>
      </c>
      <c r="K599" s="341" t="str">
        <f>Input!$C$17</f>
        <v>NOT USED</v>
      </c>
      <c r="L599" s="341" t="str">
        <f>Input!$C$18</f>
        <v>NOT USED</v>
      </c>
    </row>
    <row r="600" spans="1:12" ht="11.25" x14ac:dyDescent="0.2">
      <c r="A600" s="3"/>
      <c r="B600" s="342" t="s">
        <v>13</v>
      </c>
      <c r="C600" s="342" t="s">
        <v>14</v>
      </c>
      <c r="D600" s="325" t="s">
        <v>15</v>
      </c>
      <c r="E600" s="325" t="s">
        <v>16</v>
      </c>
      <c r="F600" s="325" t="s">
        <v>17</v>
      </c>
      <c r="G600" s="325" t="s">
        <v>18</v>
      </c>
      <c r="H600" s="325" t="s">
        <v>19</v>
      </c>
      <c r="I600" s="325" t="s">
        <v>20</v>
      </c>
      <c r="J600" s="325" t="s">
        <v>21</v>
      </c>
      <c r="K600" s="325" t="s">
        <v>22</v>
      </c>
      <c r="L600" s="325" t="s">
        <v>23</v>
      </c>
    </row>
    <row r="601" spans="1:12" ht="11.25" x14ac:dyDescent="0.2">
      <c r="A601" s="3"/>
      <c r="B601" s="3"/>
      <c r="C601" s="3"/>
      <c r="D601" s="325"/>
      <c r="E601" s="325" t="s">
        <v>26</v>
      </c>
      <c r="F601" s="325" t="s">
        <v>26</v>
      </c>
      <c r="G601" s="325" t="s">
        <v>26</v>
      </c>
      <c r="H601" s="325" t="s">
        <v>26</v>
      </c>
      <c r="I601" s="325" t="s">
        <v>26</v>
      </c>
      <c r="J601" s="325" t="s">
        <v>26</v>
      </c>
      <c r="K601" s="325" t="s">
        <v>26</v>
      </c>
      <c r="L601" s="325" t="s">
        <v>26</v>
      </c>
    </row>
    <row r="602" spans="1:12" ht="11.25" x14ac:dyDescent="0.2">
      <c r="A602" s="3">
        <v>1</v>
      </c>
      <c r="B602" s="3"/>
      <c r="C602" s="3" t="str">
        <f>Input!A436</f>
        <v>SALES</v>
      </c>
      <c r="D602" s="325"/>
      <c r="E602" s="3"/>
      <c r="F602" s="3"/>
      <c r="G602" s="3"/>
      <c r="H602" s="3"/>
      <c r="I602" s="3"/>
      <c r="J602" s="3"/>
      <c r="K602" s="3"/>
      <c r="L602" s="3"/>
    </row>
    <row r="603" spans="1:12" ht="11.25" x14ac:dyDescent="0.2">
      <c r="A603" s="3"/>
      <c r="B603" s="3"/>
      <c r="C603" s="3"/>
      <c r="D603" s="325"/>
      <c r="E603" s="3"/>
      <c r="F603" s="3"/>
      <c r="G603" s="3"/>
      <c r="H603" s="3"/>
      <c r="I603" s="3"/>
      <c r="J603" s="3"/>
      <c r="K603" s="3"/>
      <c r="L603" s="3"/>
    </row>
    <row r="604" spans="1:12" ht="11.25" x14ac:dyDescent="0.2">
      <c r="A604" s="3">
        <f>A602+1</f>
        <v>2</v>
      </c>
      <c r="B604" s="3" t="str">
        <f>Input!A437</f>
        <v>911</v>
      </c>
      <c r="C604" s="3" t="str">
        <f>Input!B437</f>
        <v>SUPERVISION</v>
      </c>
      <c r="D604" s="325">
        <f>Input!C437</f>
        <v>6</v>
      </c>
      <c r="E604" s="3">
        <f>Classification!F604</f>
        <v>0</v>
      </c>
      <c r="F604" s="3">
        <f>ROUND((VLOOKUP($D604,'Alloc Table Cust'!$B$7:$S$58,13,FALSE)*$E604),0)</f>
        <v>0</v>
      </c>
      <c r="G604" s="3">
        <f>ROUND((VLOOKUP($D604,'Alloc Table Cust'!$B$7:$T$58,14,FALSE)*$E604),0)</f>
        <v>0</v>
      </c>
      <c r="H604" s="3">
        <f>ROUND((VLOOKUP($D604,'Alloc Table Cust'!$B$7:$T$58,15,FALSE)*$E604),0)</f>
        <v>0</v>
      </c>
      <c r="I604" s="3">
        <f>ROUND((VLOOKUP($D604,'Alloc Table Cust'!$B$7:$T$58,16,FALSE)*$E604),0)</f>
        <v>0</v>
      </c>
      <c r="J604" s="3">
        <f>ROUND((VLOOKUP($D604,'Alloc Table Cust'!$B$7:$T$58,17,FALSE)*$E604),0)</f>
        <v>0</v>
      </c>
      <c r="K604" s="3">
        <f>ROUND((VLOOKUP($D604,'Alloc Table Cust'!$B$7:$T$58,18,FALSE)*$E604),0)</f>
        <v>0</v>
      </c>
      <c r="L604" s="3">
        <f>ROUND((VLOOKUP($D604,'Alloc Table Cust'!$B$7:$T$58,19,FALSE)*$E604),0)</f>
        <v>0</v>
      </c>
    </row>
    <row r="605" spans="1:12" ht="11.25" x14ac:dyDescent="0.2">
      <c r="A605" s="3">
        <f>A604+1</f>
        <v>3</v>
      </c>
      <c r="B605" s="3" t="str">
        <f>Input!A438</f>
        <v>912</v>
      </c>
      <c r="C605" s="3" t="str">
        <f>Input!B438</f>
        <v>DEMONSTRATION &amp; SELLING</v>
      </c>
      <c r="D605" s="325">
        <f>Input!C438</f>
        <v>6</v>
      </c>
      <c r="E605" s="3">
        <f>Classification!F605</f>
        <v>37477</v>
      </c>
      <c r="F605" s="3">
        <f>ROUND((VLOOKUP($D605,'Alloc Table Cust'!$B$7:$S$58,13,FALSE)*$E605),0)</f>
        <v>33601</v>
      </c>
      <c r="G605" s="3">
        <f>ROUND((VLOOKUP($D605,'Alloc Table Cust'!$B$7:$T$58,14,FALSE)*$E605),0)</f>
        <v>3852</v>
      </c>
      <c r="H605" s="3">
        <f>ROUND((VLOOKUP($D605,'Alloc Table Cust'!$B$7:$T$58,15,FALSE)*$E605),0)</f>
        <v>0</v>
      </c>
      <c r="I605" s="3">
        <f>ROUND((VLOOKUP($D605,'Alloc Table Cust'!$B$7:$T$58,16,FALSE)*$E605),0)</f>
        <v>1</v>
      </c>
      <c r="J605" s="3">
        <f>ROUND((VLOOKUP($D605,'Alloc Table Cust'!$B$7:$T$58,17,FALSE)*$E605),0)</f>
        <v>22</v>
      </c>
      <c r="K605" s="3">
        <f>ROUND((VLOOKUP($D605,'Alloc Table Cust'!$B$7:$T$58,18,FALSE)*$E605),0)</f>
        <v>0</v>
      </c>
      <c r="L605" s="3">
        <f>ROUND((VLOOKUP($D605,'Alloc Table Cust'!$B$7:$T$58,19,FALSE)*$E605),0)</f>
        <v>0</v>
      </c>
    </row>
    <row r="606" spans="1:12" ht="11.25" x14ac:dyDescent="0.2">
      <c r="A606" s="3">
        <f>A605+1</f>
        <v>4</v>
      </c>
      <c r="B606" s="3" t="str">
        <f>Input!A439</f>
        <v>913</v>
      </c>
      <c r="C606" s="3" t="str">
        <f>Input!B439</f>
        <v>ADVERTISING</v>
      </c>
      <c r="D606" s="325">
        <f>Input!C439</f>
        <v>6</v>
      </c>
      <c r="E606" s="3">
        <f>Classification!F606</f>
        <v>138706</v>
      </c>
      <c r="F606" s="3">
        <f>ROUND((VLOOKUP($D606,'Alloc Table Cust'!$B$7:$S$58,13,FALSE)*$E606),0)</f>
        <v>124361</v>
      </c>
      <c r="G606" s="3">
        <f>ROUND((VLOOKUP($D606,'Alloc Table Cust'!$B$7:$T$58,14,FALSE)*$E606),0)</f>
        <v>14258</v>
      </c>
      <c r="H606" s="3">
        <f>ROUND((VLOOKUP($D606,'Alloc Table Cust'!$B$7:$T$58,15,FALSE)*$E606),0)</f>
        <v>1</v>
      </c>
      <c r="I606" s="3">
        <f>ROUND((VLOOKUP($D606,'Alloc Table Cust'!$B$7:$T$58,16,FALSE)*$E606),0)</f>
        <v>6</v>
      </c>
      <c r="J606" s="3">
        <f>ROUND((VLOOKUP($D606,'Alloc Table Cust'!$B$7:$T$58,17,FALSE)*$E606),0)</f>
        <v>80</v>
      </c>
      <c r="K606" s="3">
        <f>ROUND((VLOOKUP($D606,'Alloc Table Cust'!$B$7:$T$58,18,FALSE)*$E606),0)</f>
        <v>0</v>
      </c>
      <c r="L606" s="3">
        <f>ROUND((VLOOKUP($D606,'Alloc Table Cust'!$B$7:$T$58,19,FALSE)*$E606),0)</f>
        <v>0</v>
      </c>
    </row>
    <row r="607" spans="1:12" ht="11.25" x14ac:dyDescent="0.2">
      <c r="A607" s="3">
        <f>A606+1</f>
        <v>5</v>
      </c>
      <c r="B607" s="3" t="str">
        <f>Input!A440</f>
        <v>916</v>
      </c>
      <c r="C607" s="3" t="str">
        <f>Input!B440</f>
        <v>MISC.</v>
      </c>
      <c r="D607" s="325">
        <f>Input!C440</f>
        <v>6</v>
      </c>
      <c r="E607" s="26">
        <f>Classification!F607</f>
        <v>0</v>
      </c>
      <c r="F607" s="26">
        <f>ROUND((VLOOKUP($D607,'Alloc Table Cust'!$B$7:$S$58,13,FALSE)*$E607),0)</f>
        <v>0</v>
      </c>
      <c r="G607" s="26">
        <f>ROUND((VLOOKUP($D607,'Alloc Table Cust'!$B$7:$T$58,14,FALSE)*$E607),0)</f>
        <v>0</v>
      </c>
      <c r="H607" s="26">
        <f>ROUND((VLOOKUP($D607,'Alloc Table Cust'!$B$7:$T$58,15,FALSE)*$E607),0)</f>
        <v>0</v>
      </c>
      <c r="I607" s="26">
        <f>ROUND((VLOOKUP($D607,'Alloc Table Cust'!$B$7:$T$58,16,FALSE)*$E607),0)</f>
        <v>0</v>
      </c>
      <c r="J607" s="26">
        <f>ROUND((VLOOKUP($D607,'Alloc Table Cust'!$B$7:$T$58,17,FALSE)*$E607),0)</f>
        <v>0</v>
      </c>
      <c r="K607" s="26">
        <f>ROUND((VLOOKUP($D607,'Alloc Table Cust'!$B$7:$T$58,18,FALSE)*$E607),0)</f>
        <v>0</v>
      </c>
      <c r="L607" s="26">
        <f>ROUND((VLOOKUP($D607,'Alloc Table Cust'!$B$7:$T$58,19,FALSE)*$E607),0)</f>
        <v>0</v>
      </c>
    </row>
    <row r="608" spans="1:12" ht="11.25" x14ac:dyDescent="0.2">
      <c r="A608" s="3">
        <f>A607+1</f>
        <v>6</v>
      </c>
      <c r="B608" s="3"/>
      <c r="C608" s="3" t="s">
        <v>312</v>
      </c>
      <c r="D608" s="325"/>
      <c r="E608" s="116">
        <f t="shared" ref="E608:L608" si="78">SUM(E604:E607)</f>
        <v>176183</v>
      </c>
      <c r="F608" s="26">
        <f t="shared" si="78"/>
        <v>157962</v>
      </c>
      <c r="G608" s="26">
        <f t="shared" si="78"/>
        <v>18110</v>
      </c>
      <c r="H608" s="26">
        <f t="shared" si="78"/>
        <v>1</v>
      </c>
      <c r="I608" s="26">
        <f t="shared" si="78"/>
        <v>7</v>
      </c>
      <c r="J608" s="26">
        <f t="shared" si="78"/>
        <v>102</v>
      </c>
      <c r="K608" s="26">
        <f t="shared" si="78"/>
        <v>0</v>
      </c>
      <c r="L608" s="26">
        <f t="shared" si="78"/>
        <v>0</v>
      </c>
    </row>
    <row r="609" spans="1:12" ht="11.25" x14ac:dyDescent="0.2">
      <c r="A609" s="3"/>
      <c r="B609" s="3"/>
      <c r="C609" s="3"/>
      <c r="D609" s="325"/>
      <c r="E609" s="1"/>
      <c r="F609" s="3"/>
      <c r="G609" s="3"/>
      <c r="H609" s="3"/>
      <c r="I609" s="3"/>
      <c r="J609" s="3"/>
      <c r="K609" s="3"/>
      <c r="L609" s="3"/>
    </row>
    <row r="610" spans="1:12" ht="11.25" x14ac:dyDescent="0.2">
      <c r="A610" s="3">
        <f>A608+1</f>
        <v>7</v>
      </c>
      <c r="B610" s="3"/>
      <c r="C610" s="3" t="s">
        <v>314</v>
      </c>
      <c r="D610" s="325"/>
      <c r="E610" s="1">
        <f>Customer!E551+Customer!E563+Customer!E582+Customer!E594+E608</f>
        <v>10780145</v>
      </c>
      <c r="F610" s="3">
        <f ca="1">Customer!F551+Customer!F563+Customer!F582+Customer!F594+F608</f>
        <v>9228096</v>
      </c>
      <c r="G610" s="3">
        <f ca="1">Customer!G551+Customer!G563+Customer!G582+Customer!G594+G608</f>
        <v>1450826</v>
      </c>
      <c r="H610" s="3">
        <f ca="1">Customer!H551+Customer!H563+Customer!H582+Customer!H594+H608</f>
        <v>332</v>
      </c>
      <c r="I610" s="3">
        <f ca="1">Customer!I551+Customer!I563+Customer!I582+Customer!I594+I608</f>
        <v>20646</v>
      </c>
      <c r="J610" s="3">
        <f ca="1">Customer!J551+Customer!J563+Customer!J582+Customer!J594+J608</f>
        <v>80245</v>
      </c>
      <c r="K610" s="3">
        <f ca="1">Customer!K551+Customer!K563+Customer!K582+Customer!K594+K608</f>
        <v>0</v>
      </c>
      <c r="L610" s="3">
        <f ca="1">Customer!L551+Customer!L563+Customer!L582+Customer!L594+L608</f>
        <v>0</v>
      </c>
    </row>
    <row r="611" spans="1:12" ht="11.25" x14ac:dyDescent="0.2">
      <c r="A611" s="3"/>
      <c r="B611" s="3"/>
      <c r="C611" s="3"/>
      <c r="D611" s="325"/>
      <c r="E611" s="1"/>
      <c r="F611" s="3"/>
      <c r="G611" s="3"/>
      <c r="H611" s="3"/>
      <c r="I611" s="3"/>
      <c r="J611" s="3"/>
      <c r="K611" s="3"/>
      <c r="L611" s="3"/>
    </row>
    <row r="612" spans="1:12" ht="11.25" x14ac:dyDescent="0.2">
      <c r="A612" s="3">
        <f>A610+1</f>
        <v>8</v>
      </c>
      <c r="B612" s="3"/>
      <c r="C612" s="3" t="str">
        <f>Input!A474</f>
        <v>ADMINISTRATIVE &amp; GENERAL</v>
      </c>
      <c r="D612" s="325"/>
      <c r="E612" s="1"/>
      <c r="F612" s="3"/>
      <c r="G612" s="3"/>
      <c r="H612" s="3"/>
      <c r="I612" s="3"/>
      <c r="J612" s="3"/>
      <c r="K612" s="3"/>
      <c r="L612" s="3"/>
    </row>
    <row r="613" spans="1:12" ht="11.25" x14ac:dyDescent="0.2">
      <c r="A613" s="3"/>
      <c r="B613" s="25"/>
      <c r="C613" s="25"/>
      <c r="D613" s="325"/>
      <c r="E613" s="1"/>
      <c r="F613" s="3"/>
      <c r="G613" s="3"/>
      <c r="H613" s="3"/>
      <c r="I613" s="3"/>
      <c r="J613" s="3"/>
      <c r="K613" s="3"/>
      <c r="L613" s="3"/>
    </row>
    <row r="614" spans="1:12" ht="11.25" x14ac:dyDescent="0.2">
      <c r="A614" s="3">
        <f>A612+1</f>
        <v>9</v>
      </c>
      <c r="B614" s="3" t="str">
        <f>Input!A475</f>
        <v>920</v>
      </c>
      <c r="C614" s="3" t="str">
        <f>Input!B475</f>
        <v>SALARIES</v>
      </c>
      <c r="D614" s="325" t="str">
        <f>VLOOKUP(Input!C475,'Alloc Table Cust'!$A$7:$B$27,2,FALSE)</f>
        <v>13CUST</v>
      </c>
      <c r="E614" s="3">
        <f>Classification!F614</f>
        <v>1671364</v>
      </c>
      <c r="F614" s="3">
        <f ca="1">ROUND((VLOOKUP($D614,'Alloc Table Cust'!$B$7:$S$58,13,FALSE)*$E614),0)</f>
        <v>1428665</v>
      </c>
      <c r="G614" s="3">
        <f ca="1">ROUND((VLOOKUP($D614,'Alloc Table Cust'!$B$7:$T$58,14,FALSE)*$E614),0)</f>
        <v>225500</v>
      </c>
      <c r="H614" s="3">
        <f ca="1">ROUND((VLOOKUP($D614,'Alloc Table Cust'!$B$7:$T$58,15,FALSE)*$E614),0)</f>
        <v>50</v>
      </c>
      <c r="I614" s="3">
        <f ca="1">ROUND((VLOOKUP($D614,'Alloc Table Cust'!$B$7:$T$58,16,FALSE)*$E614),0)</f>
        <v>3527</v>
      </c>
      <c r="J614" s="3">
        <f ca="1">ROUND((VLOOKUP($D614,'Alloc Table Cust'!$B$7:$T$58,17,FALSE)*$E614),0)</f>
        <v>13622</v>
      </c>
      <c r="K614" s="3">
        <f ca="1">ROUND((VLOOKUP($D614,'Alloc Table Cust'!$B$7:$T$58,18,FALSE)*$E614),0)</f>
        <v>0</v>
      </c>
      <c r="L614" s="3">
        <f ca="1">ROUND((VLOOKUP($D614,'Alloc Table Cust'!$B$7:$T$58,19,FALSE)*$E614),0)</f>
        <v>0</v>
      </c>
    </row>
    <row r="615" spans="1:12" ht="11.25" x14ac:dyDescent="0.2">
      <c r="A615" s="3">
        <f t="shared" ref="A615:A631" si="79">A614+1</f>
        <v>10</v>
      </c>
      <c r="B615" s="3" t="str">
        <f>Input!A476</f>
        <v>921</v>
      </c>
      <c r="C615" s="3" t="str">
        <f>Input!B476</f>
        <v>OFFICE SUPPLIES &amp; EXPENSES</v>
      </c>
      <c r="D615" s="325" t="str">
        <f>VLOOKUP(Input!C476,'Alloc Table Cust'!$A$7:$B$27,2,FALSE)</f>
        <v>13CUST</v>
      </c>
      <c r="E615" s="3">
        <f>Classification!F615</f>
        <v>504290</v>
      </c>
      <c r="F615" s="3">
        <f ca="1">ROUND((VLOOKUP($D615,'Alloc Table Cust'!$B$7:$S$58,13,FALSE)*$E615),0)</f>
        <v>431062</v>
      </c>
      <c r="G615" s="3">
        <f ca="1">ROUND((VLOOKUP($D615,'Alloc Table Cust'!$B$7:$T$58,14,FALSE)*$E615),0)</f>
        <v>68039</v>
      </c>
      <c r="H615" s="3">
        <f ca="1">ROUND((VLOOKUP($D615,'Alloc Table Cust'!$B$7:$T$58,15,FALSE)*$E615),0)</f>
        <v>15</v>
      </c>
      <c r="I615" s="3">
        <f ca="1">ROUND((VLOOKUP($D615,'Alloc Table Cust'!$B$7:$T$58,16,FALSE)*$E615),0)</f>
        <v>1064</v>
      </c>
      <c r="J615" s="3">
        <f ca="1">ROUND((VLOOKUP($D615,'Alloc Table Cust'!$B$7:$T$58,17,FALSE)*$E615),0)</f>
        <v>4110</v>
      </c>
      <c r="K615" s="3">
        <f ca="1">ROUND((VLOOKUP($D615,'Alloc Table Cust'!$B$7:$T$58,18,FALSE)*$E615),0)</f>
        <v>0</v>
      </c>
      <c r="L615" s="3">
        <f ca="1">ROUND((VLOOKUP($D615,'Alloc Table Cust'!$B$7:$T$58,19,FALSE)*$E615),0)</f>
        <v>0</v>
      </c>
    </row>
    <row r="616" spans="1:12" ht="11.25" x14ac:dyDescent="0.2">
      <c r="A616" s="3">
        <f t="shared" si="79"/>
        <v>11</v>
      </c>
      <c r="B616" s="3" t="str">
        <f>Input!A477</f>
        <v>922</v>
      </c>
      <c r="C616" s="3" t="str">
        <f>Input!B477</f>
        <v>ADMIN. EXPENSES TRANSFERED</v>
      </c>
      <c r="D616" s="325" t="str">
        <f>VLOOKUP(Input!C477,'Alloc Table Cust'!$A$7:$B$27,2,FALSE)</f>
        <v>13CUST</v>
      </c>
      <c r="E616" s="3">
        <f>Classification!F616</f>
        <v>0</v>
      </c>
      <c r="F616" s="3">
        <f ca="1">ROUND((VLOOKUP($D616,'Alloc Table Cust'!$B$7:$S$58,13,FALSE)*$E616),0)</f>
        <v>0</v>
      </c>
      <c r="G616" s="3">
        <f ca="1">ROUND((VLOOKUP($D616,'Alloc Table Cust'!$B$7:$T$58,14,FALSE)*$E616),0)</f>
        <v>0</v>
      </c>
      <c r="H616" s="3">
        <f ca="1">ROUND((VLOOKUP($D616,'Alloc Table Cust'!$B$7:$T$58,15,FALSE)*$E616),0)</f>
        <v>0</v>
      </c>
      <c r="I616" s="3">
        <f ca="1">ROUND((VLOOKUP($D616,'Alloc Table Cust'!$B$7:$T$58,16,FALSE)*$E616),0)</f>
        <v>0</v>
      </c>
      <c r="J616" s="3">
        <f ca="1">ROUND((VLOOKUP($D616,'Alloc Table Cust'!$B$7:$T$58,17,FALSE)*$E616),0)</f>
        <v>0</v>
      </c>
      <c r="K616" s="3">
        <f ca="1">ROUND((VLOOKUP($D616,'Alloc Table Cust'!$B$7:$T$58,18,FALSE)*$E616),0)</f>
        <v>0</v>
      </c>
      <c r="L616" s="3">
        <f ca="1">ROUND((VLOOKUP($D616,'Alloc Table Cust'!$B$7:$T$58,19,FALSE)*$E616),0)</f>
        <v>0</v>
      </c>
    </row>
    <row r="617" spans="1:12" ht="11.25" x14ac:dyDescent="0.2">
      <c r="A617" s="3">
        <f t="shared" si="79"/>
        <v>12</v>
      </c>
      <c r="B617" s="3" t="str">
        <f>Input!A478</f>
        <v>923</v>
      </c>
      <c r="C617" s="3" t="str">
        <f>Input!B478</f>
        <v xml:space="preserve">OUTSIDE SERVICES </v>
      </c>
      <c r="D617" s="325" t="str">
        <f>VLOOKUP(Input!C478,'Alloc Table Cust'!$A$7:$B$27,2,FALSE)</f>
        <v>13CUST</v>
      </c>
      <c r="E617" s="3">
        <f>Classification!F617</f>
        <v>4438725</v>
      </c>
      <c r="F617" s="3">
        <f ca="1">ROUND((VLOOKUP($D617,'Alloc Table Cust'!$B$7:$S$58,13,FALSE)*$E617),0)</f>
        <v>3794178</v>
      </c>
      <c r="G617" s="3">
        <f ca="1">ROUND((VLOOKUP($D617,'Alloc Table Cust'!$B$7:$T$58,14,FALSE)*$E617),0)</f>
        <v>598873</v>
      </c>
      <c r="H617" s="3">
        <f ca="1">ROUND((VLOOKUP($D617,'Alloc Table Cust'!$B$7:$T$58,15,FALSE)*$E617),0)</f>
        <v>133</v>
      </c>
      <c r="I617" s="3">
        <f ca="1">ROUND((VLOOKUP($D617,'Alloc Table Cust'!$B$7:$T$58,16,FALSE)*$E617),0)</f>
        <v>9366</v>
      </c>
      <c r="J617" s="3">
        <f ca="1">ROUND((VLOOKUP($D617,'Alloc Table Cust'!$B$7:$T$58,17,FALSE)*$E617),0)</f>
        <v>36176</v>
      </c>
      <c r="K617" s="3">
        <f ca="1">ROUND((VLOOKUP($D617,'Alloc Table Cust'!$B$7:$T$58,18,FALSE)*$E617),0)</f>
        <v>0</v>
      </c>
      <c r="L617" s="3">
        <f ca="1">ROUND((VLOOKUP($D617,'Alloc Table Cust'!$B$7:$T$58,19,FALSE)*$E617),0)</f>
        <v>0</v>
      </c>
    </row>
    <row r="618" spans="1:12" ht="11.25" x14ac:dyDescent="0.2">
      <c r="A618" s="3">
        <f t="shared" si="79"/>
        <v>13</v>
      </c>
      <c r="B618" s="3" t="str">
        <f>Input!A479</f>
        <v>924</v>
      </c>
      <c r="C618" s="3" t="str">
        <f>Input!B479</f>
        <v>PROPERTY INSURANCE</v>
      </c>
      <c r="D618" s="325" t="str">
        <f>VLOOKUP(Input!C479,'Alloc Table Cust'!$A$7:$B$27,2,FALSE)</f>
        <v>13CUST</v>
      </c>
      <c r="E618" s="3">
        <f>Classification!F618</f>
        <v>46108</v>
      </c>
      <c r="F618" s="3">
        <f ca="1">ROUND((VLOOKUP($D618,'Alloc Table Cust'!$B$7:$S$58,13,FALSE)*$E618),0)</f>
        <v>39413</v>
      </c>
      <c r="G618" s="3">
        <f ca="1">ROUND((VLOOKUP($D618,'Alloc Table Cust'!$B$7:$T$58,14,FALSE)*$E618),0)</f>
        <v>6221</v>
      </c>
      <c r="H618" s="3">
        <f ca="1">ROUND((VLOOKUP($D618,'Alloc Table Cust'!$B$7:$T$58,15,FALSE)*$E618),0)</f>
        <v>1</v>
      </c>
      <c r="I618" s="3">
        <f ca="1">ROUND((VLOOKUP($D618,'Alloc Table Cust'!$B$7:$T$58,16,FALSE)*$E618),0)</f>
        <v>97</v>
      </c>
      <c r="J618" s="3">
        <f ca="1">ROUND((VLOOKUP($D618,'Alloc Table Cust'!$B$7:$T$58,17,FALSE)*$E618),0)</f>
        <v>376</v>
      </c>
      <c r="K618" s="3">
        <f ca="1">ROUND((VLOOKUP($D618,'Alloc Table Cust'!$B$7:$T$58,18,FALSE)*$E618),0)</f>
        <v>0</v>
      </c>
      <c r="L618" s="3">
        <f ca="1">ROUND((VLOOKUP($D618,'Alloc Table Cust'!$B$7:$T$58,19,FALSE)*$E618),0)</f>
        <v>0</v>
      </c>
    </row>
    <row r="619" spans="1:12" ht="11.25" x14ac:dyDescent="0.2">
      <c r="A619" s="3">
        <f t="shared" si="79"/>
        <v>14</v>
      </c>
      <c r="B619" s="3" t="str">
        <f>Input!A480</f>
        <v>925</v>
      </c>
      <c r="C619" s="3" t="str">
        <f>Input!B480</f>
        <v>INJURIES AND DAMAGES</v>
      </c>
      <c r="D619" s="325" t="str">
        <f>VLOOKUP(Input!C480,'Alloc Table Cust'!$A$7:$B$27,2,FALSE)</f>
        <v>12CUST</v>
      </c>
      <c r="E619" s="3">
        <f>Classification!F619</f>
        <v>588794</v>
      </c>
      <c r="F619" s="3">
        <f ca="1">ROUND((VLOOKUP($D619,'Alloc Table Cust'!$B$7:$S$58,13,FALSE)*$E619),0)</f>
        <v>455356</v>
      </c>
      <c r="G619" s="3">
        <f ca="1">ROUND((VLOOKUP($D619,'Alloc Table Cust'!$B$7:$T$58,14,FALSE)*$E619),0)</f>
        <v>125395</v>
      </c>
      <c r="H619" s="3">
        <f ca="1">ROUND((VLOOKUP($D619,'Alloc Table Cust'!$B$7:$T$58,15,FALSE)*$E619),0)</f>
        <v>53</v>
      </c>
      <c r="I619" s="3">
        <f ca="1">ROUND((VLOOKUP($D619,'Alloc Table Cust'!$B$7:$T$58,16,FALSE)*$E619),0)</f>
        <v>1507</v>
      </c>
      <c r="J619" s="3">
        <f ca="1">ROUND((VLOOKUP($D619,'Alloc Table Cust'!$B$7:$T$58,17,FALSE)*$E619),0)</f>
        <v>6483</v>
      </c>
      <c r="K619" s="3">
        <f ca="1">ROUND((VLOOKUP($D619,'Alloc Table Cust'!$B$7:$T$58,18,FALSE)*$E619),0)</f>
        <v>0</v>
      </c>
      <c r="L619" s="3">
        <f ca="1">ROUND((VLOOKUP($D619,'Alloc Table Cust'!$B$7:$T$58,19,FALSE)*$E619),0)</f>
        <v>0</v>
      </c>
    </row>
    <row r="620" spans="1:12" ht="11.25" x14ac:dyDescent="0.2">
      <c r="A620" s="3">
        <f t="shared" si="79"/>
        <v>15</v>
      </c>
      <c r="B620" s="3" t="str">
        <f>Input!A481</f>
        <v>926</v>
      </c>
      <c r="C620" s="3" t="str">
        <f>Input!B481</f>
        <v>EMPLOYEE PENSIONS &amp; BENEFITS</v>
      </c>
      <c r="D620" s="325" t="str">
        <f>VLOOKUP(Input!C481,'Alloc Table Cust'!$A$7:$B$27,2,FALSE)</f>
        <v>12CUST</v>
      </c>
      <c r="E620" s="3">
        <f>Classification!F620</f>
        <v>1890297</v>
      </c>
      <c r="F620" s="3">
        <f ca="1">ROUND((VLOOKUP($D620,'Alloc Table Cust'!$B$7:$S$58,13,FALSE)*$E620),0)</f>
        <v>1461899</v>
      </c>
      <c r="G620" s="3">
        <f ca="1">ROUND((VLOOKUP($D620,'Alloc Table Cust'!$B$7:$T$58,14,FALSE)*$E620),0)</f>
        <v>402577</v>
      </c>
      <c r="H620" s="3">
        <f ca="1">ROUND((VLOOKUP($D620,'Alloc Table Cust'!$B$7:$T$58,15,FALSE)*$E620),0)</f>
        <v>170</v>
      </c>
      <c r="I620" s="3">
        <f ca="1">ROUND((VLOOKUP($D620,'Alloc Table Cust'!$B$7:$T$58,16,FALSE)*$E620),0)</f>
        <v>4839</v>
      </c>
      <c r="J620" s="3">
        <f ca="1">ROUND((VLOOKUP($D620,'Alloc Table Cust'!$B$7:$T$58,17,FALSE)*$E620),0)</f>
        <v>20812</v>
      </c>
      <c r="K620" s="3">
        <f ca="1">ROUND((VLOOKUP($D620,'Alloc Table Cust'!$B$7:$T$58,18,FALSE)*$E620),0)</f>
        <v>0</v>
      </c>
      <c r="L620" s="3">
        <f ca="1">ROUND((VLOOKUP($D620,'Alloc Table Cust'!$B$7:$T$58,19,FALSE)*$E620),0)</f>
        <v>0</v>
      </c>
    </row>
    <row r="621" spans="1:12" ht="11.25" x14ac:dyDescent="0.2">
      <c r="A621" s="3">
        <f t="shared" si="79"/>
        <v>16</v>
      </c>
      <c r="B621" s="3" t="str">
        <f>Input!A482</f>
        <v>926</v>
      </c>
      <c r="C621" s="3" t="str">
        <f>Input!B482</f>
        <v>DIRECT EMPLOYEE PENSIONS &amp; BENEFITS</v>
      </c>
      <c r="D621" s="325"/>
      <c r="E621" s="3">
        <f>Classification!F621</f>
        <v>0</v>
      </c>
      <c r="F621" s="3">
        <v>0</v>
      </c>
      <c r="G621" s="3">
        <v>0</v>
      </c>
      <c r="H621" s="3">
        <v>0</v>
      </c>
      <c r="I621" s="3">
        <f>E621</f>
        <v>0</v>
      </c>
      <c r="J621" s="3">
        <v>0</v>
      </c>
      <c r="K621" s="3">
        <v>0</v>
      </c>
      <c r="L621" s="3">
        <v>0</v>
      </c>
    </row>
    <row r="622" spans="1:12" ht="11.25" x14ac:dyDescent="0.2">
      <c r="A622" s="3">
        <f t="shared" si="79"/>
        <v>17</v>
      </c>
      <c r="B622" s="3" t="str">
        <f>Input!A483</f>
        <v>928</v>
      </c>
      <c r="C622" s="3" t="str">
        <f>Input!B483</f>
        <v>REG COMMISSION EXP - GENERAL</v>
      </c>
      <c r="D622" s="325" t="str">
        <f>VLOOKUP(Input!C483,'Alloc Table Cust'!$A$7:$B$27,2,FALSE)</f>
        <v>13CUST</v>
      </c>
      <c r="E622" s="3">
        <f ca="1">Classification!F622</f>
        <v>111541</v>
      </c>
      <c r="F622" s="3">
        <f ca="1">ROUND((VLOOKUP($D622,'Alloc Table Cust'!$B$7:$S$58,13,FALSE)*$E622),0)</f>
        <v>95344</v>
      </c>
      <c r="G622" s="3">
        <f ca="1">ROUND((VLOOKUP($D622,'Alloc Table Cust'!$B$7:$T$58,14,FALSE)*$E622),0)</f>
        <v>15049</v>
      </c>
      <c r="H622" s="3">
        <f ca="1">ROUND((VLOOKUP($D622,'Alloc Table Cust'!$B$7:$T$58,15,FALSE)*$E622),0)</f>
        <v>3</v>
      </c>
      <c r="I622" s="3">
        <f ca="1">ROUND((VLOOKUP($D622,'Alloc Table Cust'!$B$7:$T$58,16,FALSE)*$E622),0)</f>
        <v>235</v>
      </c>
      <c r="J622" s="3">
        <f ca="1">ROUND((VLOOKUP($D622,'Alloc Table Cust'!$B$7:$T$58,17,FALSE)*$E622),0)</f>
        <v>909</v>
      </c>
      <c r="K622" s="3">
        <f ca="1">ROUND((VLOOKUP($D622,'Alloc Table Cust'!$B$7:$T$58,18,FALSE)*$E622),0)</f>
        <v>0</v>
      </c>
      <c r="L622" s="3">
        <f ca="1">ROUND((VLOOKUP($D622,'Alloc Table Cust'!$B$7:$T$58,19,FALSE)*$E622),0)</f>
        <v>0</v>
      </c>
    </row>
    <row r="623" spans="1:12" ht="11.25" x14ac:dyDescent="0.2">
      <c r="A623" s="3">
        <f t="shared" si="79"/>
        <v>18</v>
      </c>
      <c r="B623" s="3" t="str">
        <f>Input!A484</f>
        <v>928</v>
      </c>
      <c r="C623" s="3" t="str">
        <f>Input!B484</f>
        <v>REGULATORY COMMISSION EXP - PSC @ 0.001901</v>
      </c>
      <c r="D623" s="325" t="str">
        <f>VLOOKUP(Input!C484,'Alloc Table Cust'!$A$7:$B$27,2,FALSE)</f>
        <v>13CUST</v>
      </c>
      <c r="E623" s="3">
        <f>Classification!F623</f>
        <v>99374</v>
      </c>
      <c r="F623" s="3">
        <f ca="1">ROUND((VLOOKUP($D623,'Alloc Table Cust'!$B$7:$S$58,13,FALSE)*$E623),0)</f>
        <v>84944</v>
      </c>
      <c r="G623" s="3">
        <f ca="1">ROUND((VLOOKUP($D623,'Alloc Table Cust'!$B$7:$T$58,14,FALSE)*$E623),0)</f>
        <v>13408</v>
      </c>
      <c r="H623" s="3">
        <f ca="1">ROUND((VLOOKUP($D623,'Alloc Table Cust'!$B$7:$T$58,15,FALSE)*$E623),0)</f>
        <v>3</v>
      </c>
      <c r="I623" s="3">
        <f ca="1">ROUND((VLOOKUP($D623,'Alloc Table Cust'!$B$7:$T$58,16,FALSE)*$E623),0)</f>
        <v>210</v>
      </c>
      <c r="J623" s="3">
        <f ca="1">ROUND((VLOOKUP($D623,'Alloc Table Cust'!$B$7:$T$58,17,FALSE)*$E623),0)</f>
        <v>810</v>
      </c>
      <c r="K623" s="3">
        <f ca="1">ROUND((VLOOKUP($D623,'Alloc Table Cust'!$B$7:$T$58,18,FALSE)*$E623),0)</f>
        <v>0</v>
      </c>
      <c r="L623" s="3">
        <f ca="1">ROUND((VLOOKUP($D623,'Alloc Table Cust'!$B$7:$T$58,19,FALSE)*$E623),0)</f>
        <v>0</v>
      </c>
    </row>
    <row r="624" spans="1:12" ht="11.25" x14ac:dyDescent="0.2">
      <c r="A624" s="3">
        <f t="shared" si="79"/>
        <v>19</v>
      </c>
      <c r="B624" s="3" t="str">
        <f>Input!A485</f>
        <v>930.10</v>
      </c>
      <c r="C624" s="3" t="str">
        <f>Input!B485</f>
        <v>MISC. - INSTITUT &amp; GOODWILL ADV</v>
      </c>
      <c r="D624" s="325" t="str">
        <f>VLOOKUP(Input!C485,'Alloc Table Cust'!$A$7:$B$27,2,FALSE)</f>
        <v>13CUST</v>
      </c>
      <c r="E624" s="3">
        <f>Classification!F624</f>
        <v>0</v>
      </c>
      <c r="F624" s="3">
        <f ca="1">ROUND((VLOOKUP($D624,'Alloc Table Cust'!$B$7:$S$58,13,FALSE)*$E624),0)</f>
        <v>0</v>
      </c>
      <c r="G624" s="3">
        <f ca="1">ROUND((VLOOKUP($D624,'Alloc Table Cust'!$B$7:$T$58,14,FALSE)*$E624),0)</f>
        <v>0</v>
      </c>
      <c r="H624" s="3">
        <f ca="1">ROUND((VLOOKUP($D624,'Alloc Table Cust'!$B$7:$T$58,15,FALSE)*$E624),0)</f>
        <v>0</v>
      </c>
      <c r="I624" s="3">
        <f ca="1">ROUND((VLOOKUP($D624,'Alloc Table Cust'!$B$7:$T$58,16,FALSE)*$E624),0)</f>
        <v>0</v>
      </c>
      <c r="J624" s="3">
        <f ca="1">ROUND((VLOOKUP($D624,'Alloc Table Cust'!$B$7:$T$58,17,FALSE)*$E624),0)</f>
        <v>0</v>
      </c>
      <c r="K624" s="3">
        <f ca="1">ROUND((VLOOKUP($D624,'Alloc Table Cust'!$B$7:$T$58,18,FALSE)*$E624),0)</f>
        <v>0</v>
      </c>
      <c r="L624" s="3">
        <f ca="1">ROUND((VLOOKUP($D624,'Alloc Table Cust'!$B$7:$T$58,19,FALSE)*$E624),0)</f>
        <v>0</v>
      </c>
    </row>
    <row r="625" spans="1:12" ht="11.25" x14ac:dyDescent="0.2">
      <c r="A625" s="3">
        <f t="shared" si="79"/>
        <v>20</v>
      </c>
      <c r="B625" s="3" t="str">
        <f>Input!A486</f>
        <v>930.20</v>
      </c>
      <c r="C625" s="3" t="str">
        <f>Input!B486</f>
        <v>MISC. - GENERAL</v>
      </c>
      <c r="D625" s="325" t="str">
        <f>VLOOKUP(Input!C486,'Alloc Table Cust'!$A$7:$B$27,2,FALSE)</f>
        <v>13CUST</v>
      </c>
      <c r="E625" s="3">
        <f>Classification!F625</f>
        <v>-35039</v>
      </c>
      <c r="F625" s="3">
        <f ca="1">ROUND((VLOOKUP($D625,'Alloc Table Cust'!$B$7:$S$58,13,FALSE)*$E625),0)</f>
        <v>-29951</v>
      </c>
      <c r="G625" s="3">
        <f ca="1">ROUND((VLOOKUP($D625,'Alloc Table Cust'!$B$7:$T$58,14,FALSE)*$E625),0)</f>
        <v>-4727</v>
      </c>
      <c r="H625" s="3">
        <f ca="1">ROUND((VLOOKUP($D625,'Alloc Table Cust'!$B$7:$T$58,15,FALSE)*$E625),0)</f>
        <v>-1</v>
      </c>
      <c r="I625" s="3">
        <f ca="1">ROUND((VLOOKUP($D625,'Alloc Table Cust'!$B$7:$T$58,16,FALSE)*$E625),0)</f>
        <v>-74</v>
      </c>
      <c r="J625" s="3">
        <f ca="1">ROUND((VLOOKUP($D625,'Alloc Table Cust'!$B$7:$T$58,17,FALSE)*$E625),0)</f>
        <v>-286</v>
      </c>
      <c r="K625" s="3">
        <f ca="1">ROUND((VLOOKUP($D625,'Alloc Table Cust'!$B$7:$T$58,18,FALSE)*$E625),0)</f>
        <v>0</v>
      </c>
      <c r="L625" s="3">
        <f ca="1">ROUND((VLOOKUP($D625,'Alloc Table Cust'!$B$7:$T$58,19,FALSE)*$E625),0)</f>
        <v>0</v>
      </c>
    </row>
    <row r="626" spans="1:12" ht="11.25" x14ac:dyDescent="0.2">
      <c r="A626" s="3">
        <f t="shared" si="79"/>
        <v>21</v>
      </c>
      <c r="B626" s="3" t="str">
        <f>Input!A487</f>
        <v>931</v>
      </c>
      <c r="C626" s="3" t="str">
        <f>Input!B487</f>
        <v>RENTS</v>
      </c>
      <c r="D626" s="325" t="str">
        <f>VLOOKUP(Input!C487,'Alloc Table Cust'!$A$7:$B$27,2,FALSE)</f>
        <v>13CUST</v>
      </c>
      <c r="E626" s="3">
        <f>Classification!F626</f>
        <v>362200</v>
      </c>
      <c r="F626" s="3">
        <f ca="1">ROUND((VLOOKUP($D626,'Alloc Table Cust'!$B$7:$S$58,13,FALSE)*$E626),0)</f>
        <v>309605</v>
      </c>
      <c r="G626" s="3">
        <f ca="1">ROUND((VLOOKUP($D626,'Alloc Table Cust'!$B$7:$T$58,14,FALSE)*$E626),0)</f>
        <v>48868</v>
      </c>
      <c r="H626" s="3">
        <f ca="1">ROUND((VLOOKUP($D626,'Alloc Table Cust'!$B$7:$T$58,15,FALSE)*$E626),0)</f>
        <v>11</v>
      </c>
      <c r="I626" s="3">
        <f ca="1">ROUND((VLOOKUP($D626,'Alloc Table Cust'!$B$7:$T$58,16,FALSE)*$E626),0)</f>
        <v>764</v>
      </c>
      <c r="J626" s="3">
        <f ca="1">ROUND((VLOOKUP($D626,'Alloc Table Cust'!$B$7:$T$58,17,FALSE)*$E626),0)</f>
        <v>2952</v>
      </c>
      <c r="K626" s="3">
        <f ca="1">ROUND((VLOOKUP($D626,'Alloc Table Cust'!$B$7:$T$58,18,FALSE)*$E626),0)</f>
        <v>0</v>
      </c>
      <c r="L626" s="3">
        <f ca="1">ROUND((VLOOKUP($D626,'Alloc Table Cust'!$B$7:$T$58,19,FALSE)*$E626),0)</f>
        <v>0</v>
      </c>
    </row>
    <row r="627" spans="1:12" ht="11.25" x14ac:dyDescent="0.2">
      <c r="A627" s="3">
        <f t="shared" si="79"/>
        <v>22</v>
      </c>
      <c r="B627" s="3" t="str">
        <f>Input!A488</f>
        <v>935.13</v>
      </c>
      <c r="C627" s="3" t="str">
        <f>Input!B488</f>
        <v>MAINT. STRUCTURES &amp; IMPROV.</v>
      </c>
      <c r="D627" s="325" t="str">
        <f>VLOOKUP(Input!C488,'Alloc Table Cust'!$A$7:$B$27,2,FALSE)</f>
        <v>13CUST</v>
      </c>
      <c r="E627" s="3">
        <f>Classification!F627</f>
        <v>73</v>
      </c>
      <c r="F627" s="3">
        <f ca="1">ROUND((VLOOKUP($D627,'Alloc Table Cust'!$B$7:$S$58,13,FALSE)*$E627),0)</f>
        <v>62</v>
      </c>
      <c r="G627" s="3">
        <f ca="1">ROUND((VLOOKUP($D627,'Alloc Table Cust'!$B$7:$T$58,14,FALSE)*$E627),0)</f>
        <v>10</v>
      </c>
      <c r="H627" s="3">
        <f ca="1">ROUND((VLOOKUP($D627,'Alloc Table Cust'!$B$7:$T$58,15,FALSE)*$E627),0)</f>
        <v>0</v>
      </c>
      <c r="I627" s="3">
        <f ca="1">ROUND((VLOOKUP($D627,'Alloc Table Cust'!$B$7:$T$58,16,FALSE)*$E627),0)</f>
        <v>0</v>
      </c>
      <c r="J627" s="3">
        <f ca="1">ROUND((VLOOKUP($D627,'Alloc Table Cust'!$B$7:$T$58,17,FALSE)*$E627),0)</f>
        <v>1</v>
      </c>
      <c r="K627" s="3">
        <f ca="1">ROUND((VLOOKUP($D627,'Alloc Table Cust'!$B$7:$T$58,18,FALSE)*$E627),0)</f>
        <v>0</v>
      </c>
      <c r="L627" s="3">
        <f ca="1">ROUND((VLOOKUP($D627,'Alloc Table Cust'!$B$7:$T$58,19,FALSE)*$E627),0)</f>
        <v>0</v>
      </c>
    </row>
    <row r="628" spans="1:12" ht="11.25" x14ac:dyDescent="0.2">
      <c r="A628" s="3">
        <f t="shared" si="79"/>
        <v>23</v>
      </c>
      <c r="B628" s="3" t="str">
        <f>Input!A489</f>
        <v>935.23</v>
      </c>
      <c r="C628" s="3" t="str">
        <f>Input!B489</f>
        <v xml:space="preserve">MAINT. - GEN'L OFFICE </v>
      </c>
      <c r="D628" s="325"/>
      <c r="E628" s="1"/>
      <c r="F628" s="3"/>
      <c r="G628" s="3"/>
      <c r="H628" s="3"/>
      <c r="I628" s="3"/>
      <c r="J628" s="3"/>
      <c r="K628" s="3"/>
      <c r="L628" s="3"/>
    </row>
    <row r="629" spans="1:12" ht="11.25" x14ac:dyDescent="0.2">
      <c r="A629" s="3">
        <f t="shared" si="79"/>
        <v>24</v>
      </c>
      <c r="B629" s="3"/>
      <c r="C629" s="3" t="str">
        <f>Input!B490</f>
        <v>FURNITURE &amp; EQUIPMENT</v>
      </c>
      <c r="D629" s="325" t="str">
        <f>VLOOKUP(Input!C490,'Alloc Table Cust'!$A$7:$B$27,2,FALSE)</f>
        <v>13CUST</v>
      </c>
      <c r="E629" s="3">
        <f>Classification!F629</f>
        <v>0</v>
      </c>
      <c r="F629" s="3">
        <f ca="1">ROUND((VLOOKUP($D629,'Alloc Table Cust'!$B$7:$S$58,13,FALSE)*$E629),0)</f>
        <v>0</v>
      </c>
      <c r="G629" s="3">
        <f ca="1">ROUND((VLOOKUP($D629,'Alloc Table Cust'!$B$7:$T$58,14,FALSE)*$E629),0)</f>
        <v>0</v>
      </c>
      <c r="H629" s="3">
        <f ca="1">ROUND((VLOOKUP($D629,'Alloc Table Cust'!$B$7:$T$58,15,FALSE)*$E629),0)</f>
        <v>0</v>
      </c>
      <c r="I629" s="3">
        <f ca="1">ROUND((VLOOKUP($D629,'Alloc Table Cust'!$B$7:$T$58,16,FALSE)*$E629),0)</f>
        <v>0</v>
      </c>
      <c r="J629" s="3">
        <f ca="1">ROUND((VLOOKUP($D629,'Alloc Table Cust'!$B$7:$T$58,17,FALSE)*$E629),0)</f>
        <v>0</v>
      </c>
      <c r="K629" s="3">
        <f ca="1">ROUND((VLOOKUP($D629,'Alloc Table Cust'!$B$7:$T$58,18,FALSE)*$E629),0)</f>
        <v>0</v>
      </c>
      <c r="L629" s="3">
        <f ca="1">ROUND((VLOOKUP($D629,'Alloc Table Cust'!$B$7:$T$58,19,FALSE)*$E629),0)</f>
        <v>0</v>
      </c>
    </row>
    <row r="630" spans="1:12" ht="11.25" x14ac:dyDescent="0.2">
      <c r="A630" s="3">
        <f t="shared" si="79"/>
        <v>25</v>
      </c>
      <c r="B630" s="3">
        <f>Input!A491</f>
        <v>932</v>
      </c>
      <c r="C630" s="3" t="str">
        <f>Input!B491</f>
        <v>MAINT.-MISCELLANEOUS</v>
      </c>
      <c r="D630" s="325" t="str">
        <f>VLOOKUP(Input!C491,'Alloc Table Cust'!$A$7:$B$27,2,FALSE)</f>
        <v>13CUST</v>
      </c>
      <c r="E630" s="26">
        <f>Classification!F630</f>
        <v>146150</v>
      </c>
      <c r="F630" s="26">
        <f ca="1">ROUND((VLOOKUP($D630,'Alloc Table Cust'!$B$7:$S$58,13,FALSE)*$E630),0)</f>
        <v>124928</v>
      </c>
      <c r="G630" s="26">
        <f ca="1">ROUND((VLOOKUP($D630,'Alloc Table Cust'!$B$7:$T$58,14,FALSE)*$E630),0)</f>
        <v>19719</v>
      </c>
      <c r="H630" s="26">
        <f ca="1">ROUND((VLOOKUP($D630,'Alloc Table Cust'!$B$7:$T$58,15,FALSE)*$E630),0)</f>
        <v>4</v>
      </c>
      <c r="I630" s="26">
        <f ca="1">ROUND((VLOOKUP($D630,'Alloc Table Cust'!$B$7:$T$58,16,FALSE)*$E630),0)</f>
        <v>308</v>
      </c>
      <c r="J630" s="26">
        <f ca="1">ROUND((VLOOKUP($D630,'Alloc Table Cust'!$B$7:$T$58,17,FALSE)*$E630),0)</f>
        <v>1191</v>
      </c>
      <c r="K630" s="26">
        <f ca="1">ROUND((VLOOKUP($D630,'Alloc Table Cust'!$B$7:$T$58,18,FALSE)*$E630),0)</f>
        <v>0</v>
      </c>
      <c r="L630" s="26">
        <f ca="1">ROUND((VLOOKUP($D630,'Alloc Table Cust'!$B$7:$T$58,19,FALSE)*$E630),0)</f>
        <v>0</v>
      </c>
    </row>
    <row r="631" spans="1:12" ht="11.25" x14ac:dyDescent="0.2">
      <c r="A631" s="3">
        <f t="shared" si="79"/>
        <v>26</v>
      </c>
      <c r="B631" s="3"/>
      <c r="C631" s="3" t="s">
        <v>340</v>
      </c>
      <c r="D631" s="325"/>
      <c r="E631" s="26">
        <f t="shared" ref="E631:L631" ca="1" si="80">SUM(E614:E630)</f>
        <v>9823877</v>
      </c>
      <c r="F631" s="26">
        <f t="shared" ca="1" si="80"/>
        <v>8195505</v>
      </c>
      <c r="G631" s="26">
        <f t="shared" ca="1" si="80"/>
        <v>1518932</v>
      </c>
      <c r="H631" s="26">
        <f t="shared" ca="1" si="80"/>
        <v>442</v>
      </c>
      <c r="I631" s="26">
        <f t="shared" ca="1" si="80"/>
        <v>21843</v>
      </c>
      <c r="J631" s="26">
        <f t="shared" ca="1" si="80"/>
        <v>87156</v>
      </c>
      <c r="K631" s="26">
        <f t="shared" ca="1" si="80"/>
        <v>0</v>
      </c>
      <c r="L631" s="26">
        <f t="shared" ca="1" si="80"/>
        <v>0</v>
      </c>
    </row>
    <row r="632" spans="1:12" ht="11.25" x14ac:dyDescent="0.2">
      <c r="A632" s="3"/>
      <c r="B632" s="3"/>
      <c r="C632" s="3"/>
      <c r="D632" s="325"/>
      <c r="E632" s="3"/>
      <c r="F632" s="3"/>
      <c r="G632" s="3"/>
      <c r="H632" s="3"/>
      <c r="I632" s="3"/>
      <c r="J632" s="3"/>
      <c r="K632" s="3"/>
      <c r="L632" s="3"/>
    </row>
    <row r="633" spans="1:12" ht="11.25" x14ac:dyDescent="0.2">
      <c r="A633" s="3">
        <f>A631+1</f>
        <v>27</v>
      </c>
      <c r="B633" s="3"/>
      <c r="C633" s="3" t="s">
        <v>341</v>
      </c>
      <c r="D633" s="325"/>
      <c r="E633" s="3">
        <f ca="1">Customer!E409+Customer!E410+Customer!E411+Customer!E417+Customer!E419+Customer!E429+Customer!E430+E610+E631</f>
        <v>20604022</v>
      </c>
      <c r="F633" s="3">
        <f ca="1">Customer!F409+Customer!F410+Customer!F411+Customer!F417+Customer!F419+Customer!F429+Customer!F430+F610+F631</f>
        <v>17423601</v>
      </c>
      <c r="G633" s="3">
        <f ca="1">Customer!G409+Customer!G410+Customer!G411+Customer!G417+Customer!G419+Customer!G429+Customer!G430+G610+G631</f>
        <v>2969758</v>
      </c>
      <c r="H633" s="3">
        <f ca="1">Customer!H409+Customer!H410+Customer!H411+Customer!H417+Customer!H419+Customer!H429+Customer!H430+H610+H631</f>
        <v>774</v>
      </c>
      <c r="I633" s="3">
        <f ca="1">Customer!I409+Customer!I410+Customer!I411+Customer!I417+Customer!I419+Customer!I429+Customer!I430+I610+I631</f>
        <v>42489</v>
      </c>
      <c r="J633" s="3">
        <f ca="1">Customer!J409+Customer!J410+Customer!J411+Customer!J417+Customer!J419+Customer!J429+Customer!J430+J610+J631</f>
        <v>167401</v>
      </c>
      <c r="K633" s="3">
        <f ca="1">Customer!K409+Customer!K410+Customer!K411+Customer!K417+Customer!K419+Customer!K429+Customer!K430+K610+K631</f>
        <v>0</v>
      </c>
      <c r="L633" s="3">
        <f ca="1">Customer!L409+Customer!L410+Customer!L411+Customer!L417+Customer!L419+Customer!L429+Customer!L430+L610+L631</f>
        <v>0</v>
      </c>
    </row>
    <row r="634" spans="1:12" ht="11.25" x14ac:dyDescent="0.2">
      <c r="A634" s="3" t="s">
        <v>817</v>
      </c>
      <c r="B634" s="3"/>
      <c r="C634" s="14"/>
      <c r="D634" s="325"/>
      <c r="E634" s="15"/>
      <c r="F634" s="325" t="str">
        <f>""&amp;+Input!$B$1</f>
        <v>COLUMBIA GAS OF KENTUCKY, INC.</v>
      </c>
      <c r="H634" s="3"/>
      <c r="I634" s="3"/>
      <c r="J634" s="3"/>
      <c r="K634" s="3"/>
      <c r="L634" s="32" t="str">
        <f>Input!$B$2</f>
        <v>ATTACHMENT CEN-2</v>
      </c>
    </row>
    <row r="635" spans="1:12" ht="11.25" x14ac:dyDescent="0.2">
      <c r="A635" s="3" t="str">
        <f>Input!$B$7</f>
        <v>DEMAND-COMMODITY</v>
      </c>
      <c r="B635" s="3"/>
      <c r="C635" s="3"/>
      <c r="D635" s="325"/>
      <c r="E635" s="3"/>
      <c r="F635" s="325" t="s">
        <v>42</v>
      </c>
      <c r="H635" s="3"/>
      <c r="I635" s="3"/>
      <c r="J635" s="3"/>
      <c r="K635" s="3"/>
      <c r="L635" s="32" t="str">
        <f>"PAGE 70 OF "&amp;FIXED(Input!$B$8,0,TRUE)</f>
        <v>PAGE 70 OF 129</v>
      </c>
    </row>
    <row r="636" spans="1:12" ht="11.25" x14ac:dyDescent="0.2">
      <c r="A636" s="17" t="str">
        <f>Input!$B$6</f>
        <v>FORECASTED TEST YEAR - ORIGINAL FILING</v>
      </c>
      <c r="B636" s="17"/>
      <c r="C636" s="17"/>
      <c r="D636" s="34"/>
      <c r="E636" s="17"/>
      <c r="F636" s="19" t="str">
        <f>"FOR THE TWELVE MONTHS ENDED "&amp;Input!$B$4</f>
        <v>FOR THE TWELVE MONTHS ENDED 12/31/2017</v>
      </c>
      <c r="G636" s="329"/>
      <c r="H636" s="17"/>
      <c r="I636" s="17"/>
      <c r="J636" s="17"/>
      <c r="K636" s="17"/>
      <c r="L636" s="183" t="str">
        <f>"WITNESS: "&amp;Input!$B$5</f>
        <v>WITNESS: C. NOTESTONE</v>
      </c>
    </row>
    <row r="637" spans="1:12" ht="11.25" x14ac:dyDescent="0.2">
      <c r="A637" s="325" t="s">
        <v>5</v>
      </c>
      <c r="B637" s="3" t="s">
        <v>6</v>
      </c>
      <c r="C637" s="3"/>
      <c r="D637" s="325" t="s">
        <v>7</v>
      </c>
      <c r="E637" s="325" t="s">
        <v>8</v>
      </c>
      <c r="F637" s="3"/>
      <c r="G637" s="3"/>
      <c r="H637" s="3"/>
      <c r="I637" s="3"/>
      <c r="J637" s="3"/>
      <c r="K637" s="3"/>
      <c r="L637" s="3"/>
    </row>
    <row r="638" spans="1:12" ht="11.25" x14ac:dyDescent="0.2">
      <c r="A638" s="341" t="s">
        <v>9</v>
      </c>
      <c r="B638" s="341" t="s">
        <v>9</v>
      </c>
      <c r="C638" s="341" t="str">
        <f>"                        ACCOUNT TITLE                "</f>
        <v xml:space="preserve">                        ACCOUNT TITLE                </v>
      </c>
      <c r="D638" s="341" t="s">
        <v>10</v>
      </c>
      <c r="E638" s="341" t="s">
        <v>804</v>
      </c>
      <c r="F638" s="341" t="str">
        <f>"  "&amp;+Input!$C$12</f>
        <v xml:space="preserve">  GS-RESIDENTIAL</v>
      </c>
      <c r="G638" s="341" t="str">
        <f>Input!$C$13</f>
        <v>GS-OTHER</v>
      </c>
      <c r="H638" s="341" t="str">
        <f>Input!$C$14</f>
        <v>IUS</v>
      </c>
      <c r="I638" s="341" t="str">
        <f>Input!$C$15</f>
        <v>DS-ML</v>
      </c>
      <c r="J638" s="341" t="str">
        <f>Input!$C$16</f>
        <v>DS/IS</v>
      </c>
      <c r="K638" s="341" t="str">
        <f>Input!$C$17</f>
        <v>NOT USED</v>
      </c>
      <c r="L638" s="341" t="str">
        <f>Input!$C$18</f>
        <v>NOT USED</v>
      </c>
    </row>
    <row r="639" spans="1:12" ht="11.25" x14ac:dyDescent="0.2">
      <c r="A639" s="3"/>
      <c r="B639" s="342" t="s">
        <v>13</v>
      </c>
      <c r="C639" s="342" t="s">
        <v>14</v>
      </c>
      <c r="D639" s="325" t="s">
        <v>15</v>
      </c>
      <c r="E639" s="325" t="s">
        <v>16</v>
      </c>
      <c r="F639" s="325" t="s">
        <v>17</v>
      </c>
      <c r="G639" s="325" t="s">
        <v>18</v>
      </c>
      <c r="H639" s="325" t="s">
        <v>19</v>
      </c>
      <c r="I639" s="325" t="s">
        <v>20</v>
      </c>
      <c r="J639" s="325" t="s">
        <v>21</v>
      </c>
      <c r="K639" s="325" t="s">
        <v>22</v>
      </c>
      <c r="L639" s="325" t="s">
        <v>23</v>
      </c>
    </row>
    <row r="640" spans="1:12" ht="11.25" x14ac:dyDescent="0.2">
      <c r="A640" s="3"/>
      <c r="B640" s="3"/>
      <c r="C640" s="3"/>
      <c r="D640" s="325"/>
      <c r="E640" s="325" t="s">
        <v>26</v>
      </c>
      <c r="F640" s="325" t="s">
        <v>26</v>
      </c>
      <c r="G640" s="325" t="s">
        <v>26</v>
      </c>
      <c r="H640" s="325" t="s">
        <v>26</v>
      </c>
      <c r="I640" s="325" t="s">
        <v>26</v>
      </c>
      <c r="J640" s="325" t="s">
        <v>26</v>
      </c>
      <c r="K640" s="325" t="s">
        <v>26</v>
      </c>
      <c r="L640" s="325" t="s">
        <v>26</v>
      </c>
    </row>
    <row r="641" spans="1:12" ht="11.25" x14ac:dyDescent="0.2">
      <c r="A641" s="3">
        <v>1</v>
      </c>
      <c r="B641" s="3" t="s">
        <v>342</v>
      </c>
      <c r="C641" s="3"/>
      <c r="D641" s="325"/>
      <c r="E641" s="3"/>
      <c r="F641" s="3"/>
      <c r="G641" s="3"/>
      <c r="H641" s="3"/>
      <c r="I641" s="3"/>
      <c r="J641" s="3"/>
      <c r="K641" s="3"/>
      <c r="L641" s="3"/>
    </row>
    <row r="642" spans="1:12" ht="11.25" x14ac:dyDescent="0.2">
      <c r="A642" s="3"/>
      <c r="B642" s="3"/>
      <c r="C642" s="3"/>
      <c r="D642" s="325"/>
      <c r="E642" s="3"/>
      <c r="F642" s="3"/>
      <c r="G642" s="3"/>
      <c r="H642" s="3"/>
      <c r="I642" s="3"/>
      <c r="J642" s="3"/>
      <c r="K642" s="3"/>
      <c r="L642" s="3"/>
    </row>
    <row r="643" spans="1:12" ht="11.25" x14ac:dyDescent="0.2">
      <c r="A643" s="3">
        <f>A641+1</f>
        <v>2</v>
      </c>
      <c r="B643" s="3" t="s">
        <v>343</v>
      </c>
      <c r="C643" s="3"/>
      <c r="D643" s="325" t="s">
        <v>344</v>
      </c>
      <c r="E643" s="23">
        <f>Customer!E408+Customer!E416+Customer!E418+Customer!E428</f>
        <v>0</v>
      </c>
      <c r="F643" s="23">
        <f>Customer!F408+Customer!F416+Customer!F418+Customer!F428</f>
        <v>0</v>
      </c>
      <c r="G643" s="23">
        <f>Customer!G408+Customer!G416+Customer!G418+Customer!G428</f>
        <v>0</v>
      </c>
      <c r="H643" s="23">
        <f>Customer!H408+Customer!H416+Customer!H418+Customer!H428</f>
        <v>0</v>
      </c>
      <c r="I643" s="23">
        <f>Customer!I408+Customer!I416+Customer!I418+Customer!I428</f>
        <v>0</v>
      </c>
      <c r="J643" s="23">
        <f>Customer!J408+Customer!J416+Customer!J418+Customer!J428</f>
        <v>0</v>
      </c>
      <c r="K643" s="23">
        <f>Customer!K408+Customer!K416+Customer!K418+Customer!K428</f>
        <v>0</v>
      </c>
      <c r="L643" s="23">
        <f>Customer!L408+Customer!L416+Customer!L418+Customer!L428</f>
        <v>0</v>
      </c>
    </row>
    <row r="644" spans="1:12" ht="11.25" x14ac:dyDescent="0.2">
      <c r="A644" s="3">
        <f t="shared" ref="A644:A650" si="81">A643+1</f>
        <v>3</v>
      </c>
      <c r="B644" s="3" t="s">
        <v>345</v>
      </c>
      <c r="C644" s="3"/>
      <c r="D644" s="325" t="s">
        <v>346</v>
      </c>
      <c r="E644" s="23">
        <f>Customer!E452</f>
        <v>3851138</v>
      </c>
      <c r="F644" s="23">
        <f ca="1">Customer!F452</f>
        <v>2857060</v>
      </c>
      <c r="G644" s="23">
        <f ca="1">Customer!G452</f>
        <v>942208</v>
      </c>
      <c r="H644" s="23">
        <f ca="1">Customer!H452</f>
        <v>416</v>
      </c>
      <c r="I644" s="23">
        <f ca="1">Customer!I452</f>
        <v>9015</v>
      </c>
      <c r="J644" s="23">
        <f ca="1">Customer!J452</f>
        <v>42439</v>
      </c>
      <c r="K644" s="23">
        <f ca="1">Customer!K452</f>
        <v>0</v>
      </c>
      <c r="L644" s="23">
        <f ca="1">Customer!L452</f>
        <v>0</v>
      </c>
    </row>
    <row r="645" spans="1:12" ht="11.25" x14ac:dyDescent="0.2">
      <c r="A645" s="3">
        <f t="shared" si="81"/>
        <v>4</v>
      </c>
      <c r="B645" s="3" t="s">
        <v>347</v>
      </c>
      <c r="C645" s="3"/>
      <c r="D645" s="325" t="s">
        <v>346</v>
      </c>
      <c r="E645" s="3">
        <f>Customer!E464</f>
        <v>427470</v>
      </c>
      <c r="F645" s="3">
        <f ca="1">Customer!F464</f>
        <v>344582</v>
      </c>
      <c r="G645" s="3">
        <f ca="1">Customer!G464</f>
        <v>64977</v>
      </c>
      <c r="H645" s="3">
        <f ca="1">Customer!H464</f>
        <v>19</v>
      </c>
      <c r="I645" s="3">
        <f ca="1">Customer!I464</f>
        <v>4155</v>
      </c>
      <c r="J645" s="3">
        <f ca="1">Customer!J464</f>
        <v>13737</v>
      </c>
      <c r="K645" s="3">
        <f ca="1">Customer!K464</f>
        <v>0</v>
      </c>
      <c r="L645" s="3">
        <f ca="1">Customer!L464</f>
        <v>0</v>
      </c>
    </row>
    <row r="646" spans="1:12" ht="11.25" x14ac:dyDescent="0.2">
      <c r="A646" s="3">
        <f t="shared" si="81"/>
        <v>5</v>
      </c>
      <c r="B646" s="3" t="s">
        <v>348</v>
      </c>
      <c r="C646" s="3"/>
      <c r="D646" s="325" t="s">
        <v>349</v>
      </c>
      <c r="E646" s="3">
        <f>Customer!E483</f>
        <v>857887</v>
      </c>
      <c r="F646" s="3">
        <f>Customer!F483</f>
        <v>769164</v>
      </c>
      <c r="G646" s="3">
        <f>Customer!G483</f>
        <v>88182</v>
      </c>
      <c r="H646" s="3">
        <f>Customer!H483</f>
        <v>9</v>
      </c>
      <c r="I646" s="3">
        <f>Customer!I483</f>
        <v>35</v>
      </c>
      <c r="J646" s="3">
        <f>Customer!J483</f>
        <v>498</v>
      </c>
      <c r="K646" s="3">
        <f>Customer!K483</f>
        <v>0</v>
      </c>
      <c r="L646" s="3">
        <f>Customer!L483</f>
        <v>0</v>
      </c>
    </row>
    <row r="647" spans="1:12" ht="11.25" x14ac:dyDescent="0.2">
      <c r="A647" s="3">
        <f t="shared" si="81"/>
        <v>6</v>
      </c>
      <c r="B647" s="3" t="s">
        <v>350</v>
      </c>
      <c r="C647" s="3"/>
      <c r="D647" s="325" t="s">
        <v>349</v>
      </c>
      <c r="E647" s="3">
        <f>Customer!E495</f>
        <v>12982</v>
      </c>
      <c r="F647" s="3">
        <f>Customer!F495</f>
        <v>11639</v>
      </c>
      <c r="G647" s="3">
        <f>Customer!G495</f>
        <v>1334</v>
      </c>
      <c r="H647" s="3">
        <f>Customer!H495</f>
        <v>0</v>
      </c>
      <c r="I647" s="3">
        <f>Customer!I495</f>
        <v>1</v>
      </c>
      <c r="J647" s="3">
        <f>Customer!J495</f>
        <v>8</v>
      </c>
      <c r="K647" s="3">
        <f>Customer!K495</f>
        <v>0</v>
      </c>
      <c r="L647" s="3">
        <f>Customer!L495</f>
        <v>0</v>
      </c>
    </row>
    <row r="648" spans="1:12" ht="11.25" x14ac:dyDescent="0.2">
      <c r="A648" s="3">
        <f t="shared" si="81"/>
        <v>7</v>
      </c>
      <c r="B648" s="3" t="s">
        <v>351</v>
      </c>
      <c r="C648" s="3"/>
      <c r="D648" s="325" t="s">
        <v>352</v>
      </c>
      <c r="E648" s="3">
        <f>Customer!E509</f>
        <v>0</v>
      </c>
      <c r="F648" s="3">
        <f>Customer!F509</f>
        <v>0</v>
      </c>
      <c r="G648" s="3">
        <f>Customer!G509</f>
        <v>0</v>
      </c>
      <c r="H648" s="3">
        <f>Customer!H509</f>
        <v>0</v>
      </c>
      <c r="I648" s="3">
        <f>Customer!I509</f>
        <v>0</v>
      </c>
      <c r="J648" s="3">
        <f>Customer!J509</f>
        <v>0</v>
      </c>
      <c r="K648" s="3">
        <f>Customer!K509</f>
        <v>0</v>
      </c>
      <c r="L648" s="3">
        <f>Customer!L509</f>
        <v>0</v>
      </c>
    </row>
    <row r="649" spans="1:12" ht="11.25" x14ac:dyDescent="0.2">
      <c r="A649" s="3">
        <f t="shared" si="81"/>
        <v>8</v>
      </c>
      <c r="B649" s="3" t="s">
        <v>353</v>
      </c>
      <c r="C649" s="3"/>
      <c r="D649" s="325" t="s">
        <v>352</v>
      </c>
      <c r="E649" s="26">
        <f>Customer!E530</f>
        <v>1064020</v>
      </c>
      <c r="F649" s="26">
        <f ca="1">Customer!F530</f>
        <v>822881</v>
      </c>
      <c r="G649" s="26">
        <f ca="1">Customer!G530</f>
        <v>226605</v>
      </c>
      <c r="H649" s="26">
        <f ca="1">Customer!H530</f>
        <v>95</v>
      </c>
      <c r="I649" s="26">
        <f ca="1">Customer!I530</f>
        <v>2724</v>
      </c>
      <c r="J649" s="26">
        <f ca="1">Customer!J530</f>
        <v>11715</v>
      </c>
      <c r="K649" s="26">
        <f ca="1">Customer!K530</f>
        <v>0</v>
      </c>
      <c r="L649" s="26">
        <f ca="1">Customer!L530</f>
        <v>0</v>
      </c>
    </row>
    <row r="650" spans="1:12" ht="11.25" x14ac:dyDescent="0.2">
      <c r="A650" s="3">
        <f t="shared" si="81"/>
        <v>9</v>
      </c>
      <c r="B650" s="3" t="s">
        <v>354</v>
      </c>
      <c r="C650" s="3"/>
      <c r="D650" s="325"/>
      <c r="E650" s="1">
        <f t="shared" ref="E650:L650" si="82">SUM(E643:E649)</f>
        <v>6213497</v>
      </c>
      <c r="F650" s="3">
        <f t="shared" ca="1" si="82"/>
        <v>4805326</v>
      </c>
      <c r="G650" s="3">
        <f t="shared" ca="1" si="82"/>
        <v>1323306</v>
      </c>
      <c r="H650" s="3">
        <f t="shared" ca="1" si="82"/>
        <v>539</v>
      </c>
      <c r="I650" s="3">
        <f t="shared" ca="1" si="82"/>
        <v>15930</v>
      </c>
      <c r="J650" s="3">
        <f t="shared" ca="1" si="82"/>
        <v>68397</v>
      </c>
      <c r="K650" s="3">
        <f t="shared" ca="1" si="82"/>
        <v>0</v>
      </c>
      <c r="L650" s="3">
        <f t="shared" ca="1" si="82"/>
        <v>0</v>
      </c>
    </row>
    <row r="651" spans="1:12" ht="11.25" x14ac:dyDescent="0.2">
      <c r="A651" s="3"/>
      <c r="B651" s="3"/>
      <c r="C651" s="3"/>
      <c r="D651" s="325"/>
      <c r="E651" s="3"/>
      <c r="F651" s="3"/>
      <c r="G651" s="3"/>
      <c r="H651" s="3"/>
      <c r="I651" s="3"/>
      <c r="J651" s="3"/>
      <c r="K651" s="3"/>
      <c r="L651" s="3"/>
    </row>
    <row r="652" spans="1:12" ht="11.25" x14ac:dyDescent="0.2">
      <c r="A652" s="3">
        <f>A650+1</f>
        <v>10</v>
      </c>
      <c r="B652" s="3" t="s">
        <v>355</v>
      </c>
      <c r="C652" s="3"/>
      <c r="D652" s="325"/>
      <c r="E652" s="3"/>
      <c r="F652" s="3"/>
      <c r="G652" s="3"/>
      <c r="H652" s="3"/>
      <c r="I652" s="3"/>
      <c r="J652" s="3"/>
      <c r="K652" s="3"/>
      <c r="L652" s="3"/>
    </row>
    <row r="653" spans="1:12" ht="11.25" x14ac:dyDescent="0.2">
      <c r="A653" s="3"/>
      <c r="B653" s="3"/>
      <c r="C653" s="3"/>
      <c r="D653" s="325"/>
      <c r="E653" s="3"/>
      <c r="F653" s="3"/>
      <c r="G653" s="3"/>
      <c r="H653" s="3"/>
      <c r="I653" s="3"/>
      <c r="J653" s="3"/>
      <c r="K653" s="3"/>
      <c r="L653" s="3"/>
    </row>
    <row r="654" spans="1:12" ht="11.25" x14ac:dyDescent="0.2">
      <c r="A654" s="3">
        <f>A652+1</f>
        <v>11</v>
      </c>
      <c r="B654" s="3" t="s">
        <v>343</v>
      </c>
      <c r="C654" s="3"/>
      <c r="D654" s="325" t="s">
        <v>344</v>
      </c>
      <c r="E654" s="3">
        <f>Customer!E409+Customer!E410+Customer!E411+Customer!E417+Customer!E419+Customer!E429+Customer!E430</f>
        <v>0</v>
      </c>
      <c r="F654" s="3">
        <f>Customer!F409+Customer!F410+Customer!F411+Customer!F417+Customer!F419+Customer!F429+Customer!F430</f>
        <v>0</v>
      </c>
      <c r="G654" s="3">
        <f>Customer!G409+Customer!G410+Customer!G411+Customer!G417+Customer!G419+Customer!G429+Customer!G430</f>
        <v>0</v>
      </c>
      <c r="H654" s="3">
        <f>Customer!H409+Customer!H410+Customer!H411+Customer!H417+Customer!H419+Customer!H429+Customer!H430</f>
        <v>0</v>
      </c>
      <c r="I654" s="3">
        <f>Customer!I409+Customer!I410+Customer!I411+Customer!I417+Customer!I419+Customer!I429+Customer!I430</f>
        <v>0</v>
      </c>
      <c r="J654" s="3">
        <f>Customer!J409+Customer!J410+Customer!J411+Customer!J417+Customer!J419+Customer!J429+Customer!J430</f>
        <v>0</v>
      </c>
      <c r="K654" s="3">
        <f>Customer!K409+Customer!K410+Customer!K411+Customer!K417+Customer!K419+Customer!K429+Customer!K430</f>
        <v>0</v>
      </c>
      <c r="L654" s="3">
        <f>Customer!L409+Customer!L410+Customer!L411+Customer!L417+Customer!L419+Customer!L429+Customer!L430</f>
        <v>0</v>
      </c>
    </row>
    <row r="655" spans="1:12" ht="11.25" x14ac:dyDescent="0.2">
      <c r="A655" s="3">
        <f t="shared" ref="A655:A661" si="83">A654+1</f>
        <v>12</v>
      </c>
      <c r="B655" s="3" t="s">
        <v>345</v>
      </c>
      <c r="C655" s="3"/>
      <c r="D655" s="325" t="s">
        <v>356</v>
      </c>
      <c r="E655" s="3">
        <f>Customer!E551</f>
        <v>3710963</v>
      </c>
      <c r="F655" s="3">
        <f ca="1">Customer!F551</f>
        <v>3000344</v>
      </c>
      <c r="G655" s="3">
        <f ca="1">Customer!G551</f>
        <v>658475</v>
      </c>
      <c r="H655" s="3">
        <f ca="1">Customer!H551</f>
        <v>221</v>
      </c>
      <c r="I655" s="3">
        <f ca="1">Customer!I551</f>
        <v>9595</v>
      </c>
      <c r="J655" s="3">
        <f ca="1">Customer!J551</f>
        <v>42328</v>
      </c>
      <c r="K655" s="3">
        <f ca="1">Customer!K551</f>
        <v>0</v>
      </c>
      <c r="L655" s="3">
        <f ca="1">Customer!L551</f>
        <v>0</v>
      </c>
    </row>
    <row r="656" spans="1:12" ht="11.25" x14ac:dyDescent="0.2">
      <c r="A656" s="3">
        <f t="shared" si="83"/>
        <v>13</v>
      </c>
      <c r="B656" s="3" t="s">
        <v>347</v>
      </c>
      <c r="C656" s="3"/>
      <c r="D656" s="325" t="s">
        <v>356</v>
      </c>
      <c r="E656" s="3">
        <f>Customer!E563</f>
        <v>677895</v>
      </c>
      <c r="F656" s="3">
        <f ca="1">Customer!F563</f>
        <v>527057</v>
      </c>
      <c r="G656" s="3">
        <f ca="1">Customer!G563</f>
        <v>105982</v>
      </c>
      <c r="H656" s="3">
        <f ca="1">Customer!H563</f>
        <v>36</v>
      </c>
      <c r="I656" s="3">
        <f ca="1">Customer!I563</f>
        <v>10774</v>
      </c>
      <c r="J656" s="3">
        <f ca="1">Customer!J563</f>
        <v>34046</v>
      </c>
      <c r="K656" s="3">
        <f ca="1">Customer!K563</f>
        <v>0</v>
      </c>
      <c r="L656" s="3">
        <f ca="1">Customer!L563</f>
        <v>0</v>
      </c>
    </row>
    <row r="657" spans="1:12" ht="11.25" x14ac:dyDescent="0.2">
      <c r="A657" s="3">
        <f t="shared" si="83"/>
        <v>14</v>
      </c>
      <c r="B657" s="3" t="s">
        <v>348</v>
      </c>
      <c r="C657" s="3"/>
      <c r="D657" s="325" t="s">
        <v>357</v>
      </c>
      <c r="E657" s="3">
        <f>Customer!E582</f>
        <v>4681325</v>
      </c>
      <c r="F657" s="3">
        <f>Customer!F582</f>
        <v>4167578</v>
      </c>
      <c r="G657" s="3">
        <f>Customer!G582</f>
        <v>510603</v>
      </c>
      <c r="H657" s="3">
        <f>Customer!H582</f>
        <v>58</v>
      </c>
      <c r="I657" s="3">
        <f>Customer!I582</f>
        <v>208</v>
      </c>
      <c r="J657" s="3">
        <f>Customer!J582</f>
        <v>2880</v>
      </c>
      <c r="K657" s="3">
        <f>Customer!K582</f>
        <v>0</v>
      </c>
      <c r="L657" s="3">
        <f>Customer!L582</f>
        <v>0</v>
      </c>
    </row>
    <row r="658" spans="1:12" ht="11.25" x14ac:dyDescent="0.2">
      <c r="A658" s="3">
        <f t="shared" si="83"/>
        <v>15</v>
      </c>
      <c r="B658" s="3" t="s">
        <v>350</v>
      </c>
      <c r="C658" s="3"/>
      <c r="D658" s="325" t="s">
        <v>357</v>
      </c>
      <c r="E658" s="3">
        <f>Customer!E594</f>
        <v>1533779</v>
      </c>
      <c r="F658" s="3">
        <f>Customer!F594</f>
        <v>1375155</v>
      </c>
      <c r="G658" s="3">
        <f>Customer!G594</f>
        <v>157656</v>
      </c>
      <c r="H658" s="3">
        <f>Customer!H594</f>
        <v>16</v>
      </c>
      <c r="I658" s="3">
        <f>Customer!I594</f>
        <v>62</v>
      </c>
      <c r="J658" s="3">
        <f>Customer!J594</f>
        <v>889</v>
      </c>
      <c r="K658" s="3">
        <f>Customer!K594</f>
        <v>0</v>
      </c>
      <c r="L658" s="3">
        <f>Customer!L594</f>
        <v>0</v>
      </c>
    </row>
    <row r="659" spans="1:12" ht="11.25" x14ac:dyDescent="0.2">
      <c r="A659" s="3">
        <f t="shared" si="83"/>
        <v>16</v>
      </c>
      <c r="B659" s="3" t="s">
        <v>351</v>
      </c>
      <c r="C659" s="3"/>
      <c r="D659" s="325" t="s">
        <v>358</v>
      </c>
      <c r="E659" s="3">
        <f>Customer!E608</f>
        <v>176183</v>
      </c>
      <c r="F659" s="3">
        <f>Customer!F608</f>
        <v>157962</v>
      </c>
      <c r="G659" s="3">
        <f>Customer!G608</f>
        <v>18110</v>
      </c>
      <c r="H659" s="3">
        <f>Customer!H608</f>
        <v>1</v>
      </c>
      <c r="I659" s="3">
        <f>Customer!I608</f>
        <v>7</v>
      </c>
      <c r="J659" s="3">
        <f>Customer!J608</f>
        <v>102</v>
      </c>
      <c r="K659" s="3">
        <f>Customer!K608</f>
        <v>0</v>
      </c>
      <c r="L659" s="3">
        <f>Customer!L608</f>
        <v>0</v>
      </c>
    </row>
    <row r="660" spans="1:12" ht="11.25" x14ac:dyDescent="0.2">
      <c r="A660" s="3">
        <f t="shared" si="83"/>
        <v>17</v>
      </c>
      <c r="B660" s="3" t="s">
        <v>353</v>
      </c>
      <c r="C660" s="3"/>
      <c r="D660" s="325" t="s">
        <v>358</v>
      </c>
      <c r="E660" s="26">
        <f ca="1">Customer!E631</f>
        <v>9823877</v>
      </c>
      <c r="F660" s="26">
        <f ca="1">Customer!F631</f>
        <v>8195505</v>
      </c>
      <c r="G660" s="26">
        <f ca="1">Customer!G631</f>
        <v>1518932</v>
      </c>
      <c r="H660" s="26">
        <f ca="1">Customer!H631</f>
        <v>442</v>
      </c>
      <c r="I660" s="26">
        <f ca="1">Customer!I631</f>
        <v>21843</v>
      </c>
      <c r="J660" s="26">
        <f ca="1">Customer!J631</f>
        <v>87156</v>
      </c>
      <c r="K660" s="26">
        <f ca="1">Customer!K631</f>
        <v>0</v>
      </c>
      <c r="L660" s="26">
        <f ca="1">Customer!L631</f>
        <v>0</v>
      </c>
    </row>
    <row r="661" spans="1:12" ht="11.25" x14ac:dyDescent="0.2">
      <c r="A661" s="3">
        <f t="shared" si="83"/>
        <v>18</v>
      </c>
      <c r="B661" s="3" t="s">
        <v>359</v>
      </c>
      <c r="C661" s="3"/>
      <c r="D661" s="325"/>
      <c r="E661" s="26">
        <f t="shared" ref="E661:L661" ca="1" si="84">SUM(E654:E660)</f>
        <v>20604022</v>
      </c>
      <c r="F661" s="26">
        <f t="shared" ca="1" si="84"/>
        <v>17423601</v>
      </c>
      <c r="G661" s="26">
        <f t="shared" ca="1" si="84"/>
        <v>2969758</v>
      </c>
      <c r="H661" s="26">
        <f t="shared" ca="1" si="84"/>
        <v>774</v>
      </c>
      <c r="I661" s="26">
        <f t="shared" ca="1" si="84"/>
        <v>42489</v>
      </c>
      <c r="J661" s="26">
        <f t="shared" ca="1" si="84"/>
        <v>167401</v>
      </c>
      <c r="K661" s="26">
        <f t="shared" ca="1" si="84"/>
        <v>0</v>
      </c>
      <c r="L661" s="26">
        <f t="shared" ca="1" si="84"/>
        <v>0</v>
      </c>
    </row>
    <row r="662" spans="1:12" ht="11.25" x14ac:dyDescent="0.2">
      <c r="A662" s="3"/>
      <c r="B662" s="3"/>
      <c r="C662" s="3"/>
      <c r="D662" s="325"/>
      <c r="E662" s="3"/>
      <c r="F662" s="3"/>
      <c r="G662" s="3"/>
      <c r="H662" s="3"/>
      <c r="I662" s="3"/>
      <c r="J662" s="3"/>
      <c r="K662" s="3"/>
      <c r="L662" s="3"/>
    </row>
    <row r="663" spans="1:12" ht="11.25" x14ac:dyDescent="0.2">
      <c r="A663" s="3">
        <f>A661+1</f>
        <v>19</v>
      </c>
      <c r="B663" s="3" t="s">
        <v>360</v>
      </c>
      <c r="C663" s="3"/>
      <c r="D663" s="325"/>
      <c r="E663" s="3">
        <f t="shared" ref="E663:L663" ca="1" si="85">E650+E661</f>
        <v>26817519</v>
      </c>
      <c r="F663" s="3">
        <f t="shared" ca="1" si="85"/>
        <v>22228927</v>
      </c>
      <c r="G663" s="3">
        <f t="shared" ca="1" si="85"/>
        <v>4293064</v>
      </c>
      <c r="H663" s="3">
        <f t="shared" ca="1" si="85"/>
        <v>1313</v>
      </c>
      <c r="I663" s="3">
        <f t="shared" ca="1" si="85"/>
        <v>58419</v>
      </c>
      <c r="J663" s="3">
        <f t="shared" ca="1" si="85"/>
        <v>235798</v>
      </c>
      <c r="K663" s="3">
        <f t="shared" ca="1" si="85"/>
        <v>0</v>
      </c>
      <c r="L663" s="3">
        <f t="shared" ca="1" si="85"/>
        <v>0</v>
      </c>
    </row>
    <row r="664" spans="1:12" ht="11.25" x14ac:dyDescent="0.2">
      <c r="A664" s="3" t="s">
        <v>817</v>
      </c>
      <c r="B664" s="3"/>
      <c r="C664" s="3"/>
      <c r="D664" s="325"/>
      <c r="E664" s="15"/>
      <c r="F664" s="325" t="str">
        <f>""&amp;+Input!$B$1</f>
        <v>COLUMBIA GAS OF KENTUCKY, INC.</v>
      </c>
      <c r="H664" s="3"/>
      <c r="I664" s="3"/>
      <c r="J664" s="3"/>
      <c r="K664" s="3"/>
      <c r="L664" s="32" t="str">
        <f>Input!$B$2</f>
        <v>ATTACHMENT CEN-2</v>
      </c>
    </row>
    <row r="665" spans="1:12" ht="11.25" x14ac:dyDescent="0.2">
      <c r="A665" s="3" t="str">
        <f>Input!$B$7</f>
        <v>DEMAND-COMMODITY</v>
      </c>
      <c r="B665" s="3"/>
      <c r="C665" s="3"/>
      <c r="D665" s="325"/>
      <c r="E665" s="3"/>
      <c r="F665" s="325" t="s">
        <v>43</v>
      </c>
      <c r="H665" s="3"/>
      <c r="I665" s="3"/>
      <c r="J665" s="3"/>
      <c r="K665" s="3"/>
      <c r="L665" s="32" t="str">
        <f>"PAGE 71 OF "&amp;FIXED(Input!$B$8,0,TRUE)</f>
        <v>PAGE 71 OF 129</v>
      </c>
    </row>
    <row r="666" spans="1:12" ht="11.25" x14ac:dyDescent="0.2">
      <c r="A666" s="17" t="str">
        <f>Input!$B$6</f>
        <v>FORECASTED TEST YEAR - ORIGINAL FILING</v>
      </c>
      <c r="B666" s="17"/>
      <c r="C666" s="17"/>
      <c r="D666" s="34"/>
      <c r="E666" s="17"/>
      <c r="F666" s="19" t="str">
        <f>"FOR THE TWELVE MONTHS ENDED "&amp;Input!$B$4</f>
        <v>FOR THE TWELVE MONTHS ENDED 12/31/2017</v>
      </c>
      <c r="G666" s="329"/>
      <c r="H666" s="17"/>
      <c r="I666" s="17"/>
      <c r="J666" s="17"/>
      <c r="K666" s="17"/>
      <c r="L666" s="183" t="str">
        <f>"WITNESS: "&amp;Input!$B$5</f>
        <v>WITNESS: C. NOTESTONE</v>
      </c>
    </row>
    <row r="667" spans="1:12" ht="11.25" x14ac:dyDescent="0.2">
      <c r="A667" s="325" t="s">
        <v>5</v>
      </c>
      <c r="B667" s="3" t="s">
        <v>6</v>
      </c>
      <c r="C667" s="3"/>
      <c r="D667" s="325" t="s">
        <v>7</v>
      </c>
      <c r="E667" s="325" t="s">
        <v>8</v>
      </c>
      <c r="F667" s="3"/>
      <c r="G667" s="3"/>
      <c r="H667" s="3"/>
      <c r="I667" s="3"/>
      <c r="J667" s="3"/>
      <c r="K667" s="3"/>
      <c r="L667" s="3"/>
    </row>
    <row r="668" spans="1:12" ht="11.25" x14ac:dyDescent="0.2">
      <c r="A668" s="341" t="s">
        <v>9</v>
      </c>
      <c r="B668" s="341" t="s">
        <v>9</v>
      </c>
      <c r="C668" s="341" t="str">
        <f>"                        ACCOUNT TITLE                "</f>
        <v xml:space="preserve">                        ACCOUNT TITLE                </v>
      </c>
      <c r="D668" s="341" t="s">
        <v>10</v>
      </c>
      <c r="E668" s="341" t="s">
        <v>804</v>
      </c>
      <c r="F668" s="341" t="str">
        <f>"  "&amp;+Input!$C$12</f>
        <v xml:space="preserve">  GS-RESIDENTIAL</v>
      </c>
      <c r="G668" s="341" t="str">
        <f>Input!$C$13</f>
        <v>GS-OTHER</v>
      </c>
      <c r="H668" s="341" t="str">
        <f>Input!$C$14</f>
        <v>IUS</v>
      </c>
      <c r="I668" s="341" t="str">
        <f>Input!$C$15</f>
        <v>DS-ML</v>
      </c>
      <c r="J668" s="341" t="str">
        <f>Input!$C$16</f>
        <v>DS/IS</v>
      </c>
      <c r="K668" s="341" t="str">
        <f>Input!$C$17</f>
        <v>NOT USED</v>
      </c>
      <c r="L668" s="341" t="str">
        <f>Input!$C$18</f>
        <v>NOT USED</v>
      </c>
    </row>
    <row r="669" spans="1:12" ht="11.25" x14ac:dyDescent="0.2">
      <c r="A669" s="3"/>
      <c r="B669" s="342" t="s">
        <v>13</v>
      </c>
      <c r="C669" s="342" t="s">
        <v>14</v>
      </c>
      <c r="D669" s="325" t="s">
        <v>15</v>
      </c>
      <c r="E669" s="325" t="s">
        <v>16</v>
      </c>
      <c r="F669" s="325" t="s">
        <v>17</v>
      </c>
      <c r="G669" s="325" t="s">
        <v>18</v>
      </c>
      <c r="H669" s="325" t="s">
        <v>19</v>
      </c>
      <c r="I669" s="325" t="s">
        <v>20</v>
      </c>
      <c r="J669" s="325" t="s">
        <v>21</v>
      </c>
      <c r="K669" s="325" t="s">
        <v>22</v>
      </c>
      <c r="L669" s="325" t="s">
        <v>23</v>
      </c>
    </row>
    <row r="670" spans="1:12" ht="11.25" x14ac:dyDescent="0.2">
      <c r="A670" s="3"/>
      <c r="B670" s="3"/>
      <c r="C670" s="3"/>
      <c r="D670" s="325"/>
      <c r="E670" s="325" t="s">
        <v>26</v>
      </c>
      <c r="F670" s="325" t="s">
        <v>26</v>
      </c>
      <c r="G670" s="325" t="s">
        <v>26</v>
      </c>
      <c r="H670" s="325" t="s">
        <v>26</v>
      </c>
      <c r="I670" s="325" t="s">
        <v>26</v>
      </c>
      <c r="J670" s="325" t="s">
        <v>26</v>
      </c>
      <c r="K670" s="325" t="s">
        <v>26</v>
      </c>
      <c r="L670" s="325" t="s">
        <v>26</v>
      </c>
    </row>
    <row r="671" spans="1:12" ht="11.25" x14ac:dyDescent="0.2">
      <c r="A671" s="3"/>
      <c r="B671" s="3"/>
      <c r="C671" s="3"/>
      <c r="D671" s="325"/>
      <c r="E671" s="3"/>
      <c r="F671" s="3"/>
      <c r="G671" s="3"/>
      <c r="H671" s="3"/>
      <c r="I671" s="3"/>
      <c r="J671" s="3"/>
      <c r="K671" s="3"/>
      <c r="L671" s="3"/>
    </row>
    <row r="672" spans="1:12" ht="11.25" x14ac:dyDescent="0.2">
      <c r="A672" s="3"/>
      <c r="B672" s="3"/>
      <c r="C672" s="3"/>
      <c r="D672" s="325"/>
      <c r="E672" s="3"/>
      <c r="F672" s="3"/>
      <c r="G672" s="3"/>
      <c r="H672" s="3"/>
      <c r="I672" s="3"/>
      <c r="J672" s="3"/>
      <c r="K672" s="3"/>
      <c r="L672" s="3"/>
    </row>
    <row r="673" spans="1:12" ht="11.25" x14ac:dyDescent="0.2">
      <c r="A673" s="3">
        <v>1</v>
      </c>
      <c r="B673" s="3">
        <f>Input!A499</f>
        <v>408</v>
      </c>
      <c r="C673" s="23" t="str">
        <f>Input!B499</f>
        <v>TAXES BASED ON PROPERTY</v>
      </c>
      <c r="D673" s="325" t="str">
        <f>VLOOKUP(Input!C499,'Alloc Table Cust'!$A$7:$B$27,2,FALSE)</f>
        <v>7CUST</v>
      </c>
      <c r="E673" s="3">
        <f>Classification!F673</f>
        <v>1731121</v>
      </c>
      <c r="F673" s="3">
        <f ca="1">ROUND((VLOOKUP($D673,'Alloc Table Cust'!$B$7:$S$58,13,FALSE)*$E673),0)</f>
        <v>1430858</v>
      </c>
      <c r="G673" s="3">
        <f ca="1">ROUND((VLOOKUP($D673,'Alloc Table Cust'!$B$7:$T$58,14,FALSE)*$E673),0)</f>
        <v>266835</v>
      </c>
      <c r="H673" s="3">
        <f ca="1">ROUND((VLOOKUP($D673,'Alloc Table Cust'!$B$7:$T$58,15,FALSE)*$E673),0)</f>
        <v>69</v>
      </c>
      <c r="I673" s="3">
        <f ca="1">ROUND((VLOOKUP($D673,'Alloc Table Cust'!$B$7:$T$58,16,FALSE)*$E673),0)</f>
        <v>6855</v>
      </c>
      <c r="J673" s="3">
        <f ca="1">ROUND((VLOOKUP($D673,'Alloc Table Cust'!$B$7:$T$58,17,FALSE)*$E673),0)</f>
        <v>26503</v>
      </c>
      <c r="K673" s="3">
        <f ca="1">ROUND((VLOOKUP($D673,'Alloc Table Cust'!$B$7:$T$58,18,FALSE)*$E673),0)</f>
        <v>0</v>
      </c>
      <c r="L673" s="3">
        <f ca="1">ROUND((VLOOKUP($D673,'Alloc Table Cust'!$B$7:$T$58,19,FALSE)*$E673),0)</f>
        <v>0</v>
      </c>
    </row>
    <row r="674" spans="1:12" ht="11.25" x14ac:dyDescent="0.2">
      <c r="A674" s="3" t="s">
        <v>2</v>
      </c>
      <c r="B674" s="3"/>
      <c r="C674" s="3"/>
      <c r="D674" s="325"/>
      <c r="E674" s="3"/>
      <c r="F674" s="3"/>
      <c r="G674" s="3"/>
      <c r="H674" s="3"/>
      <c r="I674" s="3"/>
      <c r="J674" s="3"/>
      <c r="K674" s="3"/>
      <c r="L674" s="3"/>
    </row>
    <row r="675" spans="1:12" ht="11.25" x14ac:dyDescent="0.2">
      <c r="A675" s="3">
        <f>A673+1</f>
        <v>2</v>
      </c>
      <c r="B675" s="3">
        <f>Input!A500</f>
        <v>408</v>
      </c>
      <c r="C675" s="23" t="str">
        <f>Input!B500</f>
        <v>TAXES BASED ON PAYROLL</v>
      </c>
      <c r="D675" s="325" t="str">
        <f>VLOOKUP(Input!C500,'Alloc Table Cust'!$A$7:$B$27,2,FALSE)</f>
        <v>12CUST</v>
      </c>
      <c r="E675" s="3">
        <f>Classification!F675</f>
        <v>434275</v>
      </c>
      <c r="F675" s="3">
        <f ca="1">ROUND((VLOOKUP($D675,'Alloc Table Cust'!$B$7:$S$58,13,FALSE)*$E675),0)</f>
        <v>335855</v>
      </c>
      <c r="G675" s="3">
        <f ca="1">ROUND((VLOOKUP($D675,'Alloc Table Cust'!$B$7:$T$58,14,FALSE)*$E675),0)</f>
        <v>92488</v>
      </c>
      <c r="H675" s="3">
        <f ca="1">ROUND((VLOOKUP($D675,'Alloc Table Cust'!$B$7:$T$58,15,FALSE)*$E675),0)</f>
        <v>39</v>
      </c>
      <c r="I675" s="3">
        <f ca="1">ROUND((VLOOKUP($D675,'Alloc Table Cust'!$B$7:$T$58,16,FALSE)*$E675),0)</f>
        <v>1112</v>
      </c>
      <c r="J675" s="3">
        <f ca="1">ROUND((VLOOKUP($D675,'Alloc Table Cust'!$B$7:$T$58,17,FALSE)*$E675),0)</f>
        <v>4781</v>
      </c>
      <c r="K675" s="3">
        <f ca="1">ROUND((VLOOKUP($D675,'Alloc Table Cust'!$B$7:$T$58,18,FALSE)*$E675),0)</f>
        <v>0</v>
      </c>
      <c r="L675" s="3">
        <f ca="1">ROUND((VLOOKUP($D675,'Alloc Table Cust'!$B$7:$T$58,19,FALSE)*$E675),0)</f>
        <v>0</v>
      </c>
    </row>
    <row r="676" spans="1:12" ht="11.25" x14ac:dyDescent="0.2">
      <c r="A676" s="3"/>
      <c r="B676" s="3"/>
      <c r="C676" s="3"/>
      <c r="D676" s="325"/>
      <c r="E676" s="3"/>
      <c r="F676" s="3"/>
      <c r="G676" s="3"/>
      <c r="H676" s="3"/>
      <c r="I676" s="3"/>
      <c r="J676" s="3"/>
      <c r="K676" s="3"/>
      <c r="L676" s="3"/>
    </row>
    <row r="677" spans="1:12" ht="11.25" x14ac:dyDescent="0.2">
      <c r="A677" s="3">
        <f>A675+1</f>
        <v>3</v>
      </c>
      <c r="B677" s="3">
        <f>Input!A501</f>
        <v>408</v>
      </c>
      <c r="C677" s="23" t="str">
        <f>Input!B501</f>
        <v>OTHER TAXES</v>
      </c>
      <c r="D677" s="325" t="str">
        <f>VLOOKUP(Input!C501,'Alloc Table Cust'!$A$7:$B$27,2,FALSE)</f>
        <v>12CUST</v>
      </c>
      <c r="E677" s="3">
        <f>Classification!F677</f>
        <v>0</v>
      </c>
      <c r="F677" s="3">
        <f ca="1">ROUND((VLOOKUP($D677,'Alloc Table Cust'!$B$7:$S$58,13,FALSE)*$E677),0)</f>
        <v>0</v>
      </c>
      <c r="G677" s="3">
        <f ca="1">ROUND((VLOOKUP($D677,'Alloc Table Cust'!$B$7:$T$58,14,FALSE)*$E677),0)</f>
        <v>0</v>
      </c>
      <c r="H677" s="3">
        <f ca="1">ROUND((VLOOKUP($D677,'Alloc Table Cust'!$B$7:$T$58,15,FALSE)*$E677),0)</f>
        <v>0</v>
      </c>
      <c r="I677" s="3">
        <f ca="1">ROUND((VLOOKUP($D677,'Alloc Table Cust'!$B$7:$T$58,16,FALSE)*$E677),0)</f>
        <v>0</v>
      </c>
      <c r="J677" s="3">
        <f ca="1">ROUND((VLOOKUP($D677,'Alloc Table Cust'!$B$7:$T$58,17,FALSE)*$E677),0)</f>
        <v>0</v>
      </c>
      <c r="K677" s="3">
        <f ca="1">ROUND((VLOOKUP($D677,'Alloc Table Cust'!$B$7:$T$58,18,FALSE)*$E677),0)</f>
        <v>0</v>
      </c>
      <c r="L677" s="3">
        <f ca="1">ROUND((VLOOKUP($D677,'Alloc Table Cust'!$B$7:$T$58,19,FALSE)*$E677),0)</f>
        <v>0</v>
      </c>
    </row>
    <row r="678" spans="1:12" ht="11.25" x14ac:dyDescent="0.2">
      <c r="A678" s="3"/>
      <c r="B678" s="3"/>
      <c r="C678" s="3"/>
      <c r="D678" s="325"/>
      <c r="E678" s="3"/>
      <c r="F678" s="3"/>
      <c r="G678" s="3"/>
      <c r="H678" s="3"/>
      <c r="I678" s="3"/>
      <c r="J678" s="3"/>
      <c r="K678" s="3"/>
      <c r="L678" s="3"/>
    </row>
    <row r="679" spans="1:12" ht="11.25" x14ac:dyDescent="0.2">
      <c r="A679" s="3">
        <f>A677+1</f>
        <v>4</v>
      </c>
      <c r="B679" s="3"/>
      <c r="C679" s="3" t="s">
        <v>370</v>
      </c>
      <c r="D679" s="325"/>
      <c r="E679" s="3">
        <f t="shared" ref="E679:L679" si="86">SUM(E673:E677)</f>
        <v>2165396</v>
      </c>
      <c r="F679" s="3">
        <f t="shared" ca="1" si="86"/>
        <v>1766713</v>
      </c>
      <c r="G679" s="3">
        <f t="shared" ca="1" si="86"/>
        <v>359323</v>
      </c>
      <c r="H679" s="3">
        <f t="shared" ca="1" si="86"/>
        <v>108</v>
      </c>
      <c r="I679" s="3">
        <f t="shared" ca="1" si="86"/>
        <v>7967</v>
      </c>
      <c r="J679" s="3">
        <f t="shared" ca="1" si="86"/>
        <v>31284</v>
      </c>
      <c r="K679" s="3">
        <f t="shared" ca="1" si="86"/>
        <v>0</v>
      </c>
      <c r="L679" s="3">
        <f t="shared" ca="1" si="86"/>
        <v>0</v>
      </c>
    </row>
    <row r="680" spans="1:12" ht="11.25" x14ac:dyDescent="0.2">
      <c r="A680" s="3" t="s">
        <v>817</v>
      </c>
      <c r="B680" s="3"/>
      <c r="C680" s="3"/>
      <c r="D680" s="325"/>
      <c r="E680" s="3"/>
      <c r="F680" s="325" t="str">
        <f>""&amp;+Input!$B$1</f>
        <v>COLUMBIA GAS OF KENTUCKY, INC.</v>
      </c>
      <c r="H680" s="3"/>
      <c r="I680" s="3"/>
      <c r="J680" s="3"/>
      <c r="K680" s="3"/>
      <c r="L680" s="32" t="str">
        <f>Input!$B$2</f>
        <v>ATTACHMENT CEN-2</v>
      </c>
    </row>
    <row r="681" spans="1:12" ht="11.25" x14ac:dyDescent="0.2">
      <c r="A681" s="3" t="str">
        <f>Input!$B$7</f>
        <v>DEMAND-COMMODITY</v>
      </c>
      <c r="B681" s="3"/>
      <c r="C681" s="3"/>
      <c r="D681" s="325"/>
      <c r="E681" s="3"/>
      <c r="F681" s="325" t="s">
        <v>425</v>
      </c>
      <c r="H681" s="3"/>
      <c r="I681" s="3"/>
      <c r="J681" s="3"/>
      <c r="K681" s="3"/>
      <c r="L681" s="32" t="str">
        <f>"PAGE 72 OF "&amp;FIXED(Input!$B$8,0,TRUE)</f>
        <v>PAGE 72 OF 129</v>
      </c>
    </row>
    <row r="682" spans="1:12" ht="11.25" x14ac:dyDescent="0.2">
      <c r="A682" s="17" t="str">
        <f>Input!$B$6</f>
        <v>FORECASTED TEST YEAR - ORIGINAL FILING</v>
      </c>
      <c r="B682" s="17"/>
      <c r="C682" s="17"/>
      <c r="D682" s="34"/>
      <c r="E682" s="17"/>
      <c r="F682" s="19" t="str">
        <f>"FOR THE TWELVE MONTHS ENDED "&amp;Input!$B$4</f>
        <v>FOR THE TWELVE MONTHS ENDED 12/31/2017</v>
      </c>
      <c r="G682" s="329"/>
      <c r="H682" s="17"/>
      <c r="I682" s="17"/>
      <c r="J682" s="17"/>
      <c r="K682" s="17"/>
      <c r="L682" s="183" t="str">
        <f>"WITNESS: "&amp;Input!$B$5</f>
        <v>WITNESS: C. NOTESTONE</v>
      </c>
    </row>
    <row r="683" spans="1:12" ht="11.25" x14ac:dyDescent="0.2">
      <c r="A683" s="325" t="s">
        <v>5</v>
      </c>
      <c r="B683" s="3" t="s">
        <v>6</v>
      </c>
      <c r="C683" s="3"/>
      <c r="D683" s="325" t="s">
        <v>7</v>
      </c>
      <c r="E683" s="325" t="s">
        <v>8</v>
      </c>
      <c r="F683" s="3"/>
      <c r="G683" s="3"/>
      <c r="H683" s="3"/>
      <c r="I683" s="3"/>
      <c r="J683" s="3"/>
      <c r="K683" s="3"/>
      <c r="L683" s="3"/>
    </row>
    <row r="684" spans="1:12" ht="11.25" x14ac:dyDescent="0.2">
      <c r="A684" s="341" t="s">
        <v>9</v>
      </c>
      <c r="B684" s="341" t="s">
        <v>9</v>
      </c>
      <c r="C684" s="341" t="str">
        <f>"                           ACCOUNT TITLE                  "</f>
        <v xml:space="preserve">                           ACCOUNT TITLE                  </v>
      </c>
      <c r="D684" s="341" t="s">
        <v>10</v>
      </c>
      <c r="E684" s="341" t="s">
        <v>804</v>
      </c>
      <c r="F684" s="22" t="str">
        <f>"  "&amp;+Input!$C$12</f>
        <v xml:space="preserve">  GS-RESIDENTIAL</v>
      </c>
      <c r="G684" s="22" t="str">
        <f>Input!$C$13</f>
        <v>GS-OTHER</v>
      </c>
      <c r="H684" s="22" t="str">
        <f>Input!$C$14</f>
        <v>IUS</v>
      </c>
      <c r="I684" s="22" t="str">
        <f>Input!$C$15</f>
        <v>DS-ML</v>
      </c>
      <c r="J684" s="22" t="str">
        <f>Input!$C$16</f>
        <v>DS/IS</v>
      </c>
      <c r="K684" s="22" t="str">
        <f>Input!$C$17</f>
        <v>NOT USED</v>
      </c>
      <c r="L684" s="22" t="str">
        <f>Input!$C$18</f>
        <v>NOT USED</v>
      </c>
    </row>
    <row r="685" spans="1:12" ht="11.25" x14ac:dyDescent="0.2">
      <c r="A685" s="3"/>
      <c r="B685" s="342" t="s">
        <v>13</v>
      </c>
      <c r="C685" s="342" t="s">
        <v>14</v>
      </c>
      <c r="D685" s="325" t="s">
        <v>15</v>
      </c>
      <c r="E685" s="325" t="s">
        <v>16</v>
      </c>
      <c r="F685" s="325" t="s">
        <v>17</v>
      </c>
      <c r="G685" s="325" t="s">
        <v>18</v>
      </c>
      <c r="H685" s="325" t="s">
        <v>19</v>
      </c>
      <c r="I685" s="325" t="s">
        <v>20</v>
      </c>
      <c r="J685" s="325" t="s">
        <v>21</v>
      </c>
      <c r="K685" s="325" t="s">
        <v>22</v>
      </c>
      <c r="L685" s="325" t="s">
        <v>23</v>
      </c>
    </row>
    <row r="686" spans="1:12" ht="11.25" x14ac:dyDescent="0.2">
      <c r="A686" s="3"/>
      <c r="B686" s="1"/>
      <c r="C686" s="1"/>
      <c r="D686" s="325"/>
      <c r="E686" s="325" t="s">
        <v>26</v>
      </c>
      <c r="F686" s="325" t="s">
        <v>26</v>
      </c>
      <c r="G686" s="325" t="s">
        <v>26</v>
      </c>
      <c r="H686" s="325" t="s">
        <v>26</v>
      </c>
      <c r="I686" s="325" t="s">
        <v>26</v>
      </c>
      <c r="J686" s="325" t="s">
        <v>26</v>
      </c>
      <c r="K686" s="325" t="s">
        <v>26</v>
      </c>
      <c r="L686" s="325" t="s">
        <v>26</v>
      </c>
    </row>
    <row r="687" spans="1:12" ht="11.25" x14ac:dyDescent="0.2">
      <c r="A687" s="3">
        <v>1</v>
      </c>
      <c r="B687" s="1" t="s">
        <v>381</v>
      </c>
      <c r="C687" s="1"/>
      <c r="D687" s="325"/>
      <c r="E687" s="3">
        <f ca="1">Customer!E732</f>
        <v>-3072009</v>
      </c>
      <c r="F687" s="3">
        <f ca="1">Customer!F732</f>
        <v>-8929631</v>
      </c>
      <c r="G687" s="3">
        <f ca="1">Customer!G732</f>
        <v>3304240</v>
      </c>
      <c r="H687" s="3">
        <f ca="1">Customer!H732</f>
        <v>9474</v>
      </c>
      <c r="I687" s="3">
        <f ca="1">Customer!I732</f>
        <v>151709</v>
      </c>
      <c r="J687" s="3">
        <f ca="1">Customer!J732</f>
        <v>2392195</v>
      </c>
      <c r="K687" s="3">
        <f ca="1">Customer!K732</f>
        <v>0</v>
      </c>
      <c r="L687" s="3">
        <f ca="1">Customer!L732</f>
        <v>0</v>
      </c>
    </row>
    <row r="688" spans="1:12" ht="11.25" x14ac:dyDescent="0.2">
      <c r="A688" s="3"/>
      <c r="B688" s="1"/>
      <c r="C688" s="1"/>
      <c r="D688" s="325"/>
      <c r="E688" s="3"/>
      <c r="F688" s="3"/>
      <c r="G688" s="3"/>
      <c r="H688" s="3"/>
      <c r="I688" s="3"/>
      <c r="J688" s="3"/>
      <c r="K688" s="3"/>
      <c r="L688" s="3"/>
    </row>
    <row r="689" spans="1:12" ht="11.25" x14ac:dyDescent="0.2">
      <c r="A689" s="3">
        <f>A687+1</f>
        <v>2</v>
      </c>
      <c r="B689" s="1" t="s">
        <v>382</v>
      </c>
      <c r="C689" s="1"/>
      <c r="D689" s="325"/>
      <c r="E689" s="3"/>
      <c r="F689" s="3"/>
      <c r="G689" s="3"/>
      <c r="H689" s="3"/>
      <c r="I689" s="3"/>
      <c r="J689" s="3"/>
      <c r="K689" s="3"/>
      <c r="L689" s="3"/>
    </row>
    <row r="690" spans="1:12" ht="11.25" x14ac:dyDescent="0.2">
      <c r="A690" s="3"/>
      <c r="B690" s="1"/>
      <c r="C690" s="1"/>
      <c r="D690" s="325"/>
      <c r="E690" s="3"/>
      <c r="F690" s="3"/>
      <c r="G690" s="3"/>
      <c r="H690" s="3"/>
      <c r="I690" s="3"/>
      <c r="J690" s="3"/>
      <c r="K690" s="3"/>
      <c r="L690" s="3"/>
    </row>
    <row r="691" spans="1:12" ht="11.25" x14ac:dyDescent="0.2">
      <c r="A691" s="3">
        <f>A689+1</f>
        <v>3</v>
      </c>
      <c r="B691" s="1" t="s">
        <v>383</v>
      </c>
      <c r="C691" s="1"/>
      <c r="D691" s="325"/>
      <c r="E691" s="3">
        <f ca="1">Customer!E736</f>
        <v>1910314</v>
      </c>
      <c r="F691" s="3">
        <f ca="1">Customer!F736</f>
        <v>1550193</v>
      </c>
      <c r="G691" s="3">
        <f ca="1">Customer!G736</f>
        <v>312174</v>
      </c>
      <c r="H691" s="3">
        <f ca="1">Customer!H736</f>
        <v>99</v>
      </c>
      <c r="I691" s="3">
        <f ca="1">Customer!I736</f>
        <v>11827</v>
      </c>
      <c r="J691" s="3">
        <f ca="1">Customer!J736</f>
        <v>36023</v>
      </c>
      <c r="K691" s="3">
        <f ca="1">Customer!K736</f>
        <v>0</v>
      </c>
      <c r="L691" s="3">
        <f ca="1">Customer!L736</f>
        <v>0</v>
      </c>
    </row>
    <row r="692" spans="1:12" ht="11.25" x14ac:dyDescent="0.2">
      <c r="A692" s="3"/>
      <c r="B692" s="3"/>
      <c r="C692" s="3"/>
      <c r="D692" s="325"/>
      <c r="E692" s="3"/>
      <c r="F692" s="3"/>
      <c r="G692" s="3"/>
      <c r="H692" s="3"/>
      <c r="I692" s="3"/>
      <c r="J692" s="3"/>
      <c r="K692" s="3"/>
      <c r="L692" s="3"/>
    </row>
    <row r="693" spans="1:12" ht="11.25" x14ac:dyDescent="0.2">
      <c r="A693" s="3">
        <f>A691+1</f>
        <v>4</v>
      </c>
      <c r="B693" s="3" t="str">
        <f>Input!A535</f>
        <v>TAX ACCELERATED DEPRECIATION</v>
      </c>
      <c r="C693" s="3"/>
      <c r="D693" s="325" t="str">
        <f>VLOOKUP(Input!C535,'Alloc Table Cust'!$A$7:$B$27,2,FALSE)</f>
        <v>19CUST</v>
      </c>
      <c r="E693" s="3">
        <f>Classification!F693</f>
        <v>6107897</v>
      </c>
      <c r="F693" s="3">
        <f ca="1">ROUND((VLOOKUP($D693,'Alloc Table Cust'!$B$7:$S$58,13,FALSE)*$E693),0)</f>
        <v>5048482</v>
      </c>
      <c r="G693" s="3">
        <f ca="1">ROUND((VLOOKUP($D693,'Alloc Table Cust'!$B$7:$T$58,14,FALSE)*$E693),0)</f>
        <v>941471</v>
      </c>
      <c r="H693" s="3">
        <f ca="1">ROUND((VLOOKUP($D693,'Alloc Table Cust'!$B$7:$T$58,15,FALSE)*$E693),0)</f>
        <v>244</v>
      </c>
      <c r="I693" s="3">
        <f ca="1">ROUND((VLOOKUP($D693,'Alloc Table Cust'!$B$7:$T$58,16,FALSE)*$E693),0)</f>
        <v>24187</v>
      </c>
      <c r="J693" s="3">
        <f ca="1">ROUND((VLOOKUP($D693,'Alloc Table Cust'!$B$7:$T$58,17,FALSE)*$E693),0)</f>
        <v>93512</v>
      </c>
      <c r="K693" s="3">
        <f ca="1">ROUND((VLOOKUP($D693,'Alloc Table Cust'!$B$7:$T$58,18,FALSE)*$E693),0)</f>
        <v>0</v>
      </c>
      <c r="L693" s="3">
        <f ca="1">ROUND((VLOOKUP($D693,'Alloc Table Cust'!$B$7:$T$58,19,FALSE)*$E693),0)</f>
        <v>0</v>
      </c>
    </row>
    <row r="694" spans="1:12" ht="11.25" x14ac:dyDescent="0.2">
      <c r="A694" s="3">
        <f>A693+1</f>
        <v>5</v>
      </c>
      <c r="B694" s="3" t="str">
        <f>Customer!B739</f>
        <v xml:space="preserve">  BOOK DEPRECIATION</v>
      </c>
      <c r="C694" s="3"/>
      <c r="D694" s="325"/>
      <c r="E694" s="26">
        <f>Customer!E739</f>
        <v>8622382</v>
      </c>
      <c r="F694" s="26">
        <f ca="1">Customer!F739</f>
        <v>7177622</v>
      </c>
      <c r="G694" s="26">
        <f ca="1">Customer!G739</f>
        <v>1277289</v>
      </c>
      <c r="H694" s="26">
        <f ca="1">Customer!H739</f>
        <v>329</v>
      </c>
      <c r="I694" s="26">
        <f ca="1">Customer!I739</f>
        <v>14534</v>
      </c>
      <c r="J694" s="26">
        <f ca="1">Customer!J739</f>
        <v>152609</v>
      </c>
      <c r="K694" s="26">
        <f ca="1">Customer!K739</f>
        <v>0</v>
      </c>
      <c r="L694" s="26">
        <f ca="1">Customer!L739</f>
        <v>0</v>
      </c>
    </row>
    <row r="695" spans="1:12" ht="11.25" x14ac:dyDescent="0.2">
      <c r="A695" s="3">
        <f>A694+1</f>
        <v>6</v>
      </c>
      <c r="B695" s="3" t="str">
        <f>Customer!B740</f>
        <v xml:space="preserve">  EXCESS OF BOOK OVER TAX DEPRECIATION</v>
      </c>
      <c r="C695" s="3"/>
      <c r="D695" s="325"/>
      <c r="E695" s="3">
        <f t="shared" ref="E695:L695" si="87">E693-E694</f>
        <v>-2514485</v>
      </c>
      <c r="F695" s="3">
        <f t="shared" ca="1" si="87"/>
        <v>-2129140</v>
      </c>
      <c r="G695" s="3">
        <f t="shared" ca="1" si="87"/>
        <v>-335818</v>
      </c>
      <c r="H695" s="3">
        <f t="shared" ca="1" si="87"/>
        <v>-85</v>
      </c>
      <c r="I695" s="3">
        <f t="shared" ca="1" si="87"/>
        <v>9653</v>
      </c>
      <c r="J695" s="3">
        <f t="shared" ca="1" si="87"/>
        <v>-59097</v>
      </c>
      <c r="K695" s="3">
        <f t="shared" ca="1" si="87"/>
        <v>0</v>
      </c>
      <c r="L695" s="3">
        <f t="shared" ca="1" si="87"/>
        <v>0</v>
      </c>
    </row>
    <row r="696" spans="1:12" ht="11.25" x14ac:dyDescent="0.2">
      <c r="A696" s="3"/>
      <c r="B696" s="3"/>
      <c r="C696" s="3"/>
      <c r="D696" s="325"/>
      <c r="E696" s="3"/>
      <c r="F696" s="3"/>
      <c r="G696" s="3"/>
      <c r="H696" s="3"/>
      <c r="I696" s="3"/>
      <c r="J696" s="3"/>
      <c r="K696" s="3"/>
      <c r="L696" s="3"/>
    </row>
    <row r="697" spans="1:12" ht="11.25" x14ac:dyDescent="0.2">
      <c r="A697" s="3">
        <f>A695+1</f>
        <v>7</v>
      </c>
      <c r="B697" s="3" t="str">
        <f>Customer!B742</f>
        <v xml:space="preserve">  NON DEDUCTIBLE EMPLOYEE EXPENSE</v>
      </c>
      <c r="C697" s="3"/>
      <c r="D697" s="325" t="str">
        <f>VLOOKUP(Input!C520,'Alloc Table Cust'!$A$7:$B$27,2,FALSE)</f>
        <v>12CUST</v>
      </c>
      <c r="E697" s="26">
        <f>Customer!E742</f>
        <v>-3293</v>
      </c>
      <c r="F697" s="26">
        <f ca="1">ROUND((VLOOKUP($D697,'Alloc Table Cust'!$B$7:$S$58,13,FALSE)*$E697),0)</f>
        <v>-2547</v>
      </c>
      <c r="G697" s="26">
        <f ca="1">ROUND((VLOOKUP($D697,'Alloc Table Cust'!$B$7:$T$58,14,FALSE)*$E697),0)</f>
        <v>-701</v>
      </c>
      <c r="H697" s="26">
        <f ca="1">ROUND((VLOOKUP($D697,'Alloc Table Cust'!$B$7:$T$58,15,FALSE)*$E697),0)</f>
        <v>0</v>
      </c>
      <c r="I697" s="26">
        <f ca="1">ROUND((VLOOKUP($D697,'Alloc Table Cust'!$B$7:$T$58,16,FALSE)*$E697),0)</f>
        <v>-8</v>
      </c>
      <c r="J697" s="26">
        <f ca="1">ROUND((VLOOKUP($D697,'Alloc Table Cust'!$B$7:$T$58,17,FALSE)*$E697),0)</f>
        <v>-36</v>
      </c>
      <c r="K697" s="26">
        <f ca="1">ROUND((VLOOKUP($D697,'Alloc Table Cust'!$B$7:$T$58,18,FALSE)*$E697),0)</f>
        <v>0</v>
      </c>
      <c r="L697" s="26">
        <f ca="1">ROUND((VLOOKUP($D697,'Alloc Table Cust'!$B$7:$T$58,19,FALSE)*$E697),0)</f>
        <v>0</v>
      </c>
    </row>
    <row r="698" spans="1:12" ht="11.25" x14ac:dyDescent="0.2">
      <c r="A698" s="3"/>
      <c r="B698" s="3"/>
      <c r="C698" s="3"/>
      <c r="D698" s="325"/>
      <c r="E698" s="3"/>
      <c r="F698" s="3"/>
      <c r="G698" s="3"/>
      <c r="H698" s="3"/>
      <c r="I698" s="3"/>
      <c r="J698" s="3"/>
      <c r="K698" s="3"/>
      <c r="L698" s="3"/>
    </row>
    <row r="699" spans="1:12" ht="11.25" x14ac:dyDescent="0.2">
      <c r="A699" s="3">
        <f>A697+1</f>
        <v>8</v>
      </c>
      <c r="B699" s="3" t="s">
        <v>384</v>
      </c>
      <c r="C699" s="3"/>
      <c r="D699" s="325"/>
      <c r="E699" s="26">
        <f ca="1">E691+E695+E697</f>
        <v>-607464</v>
      </c>
      <c r="F699" s="26">
        <f t="shared" ref="F699:L699" ca="1" si="88">F691+F695+F697</f>
        <v>-581494</v>
      </c>
      <c r="G699" s="26">
        <f t="shared" ca="1" si="88"/>
        <v>-24345</v>
      </c>
      <c r="H699" s="26">
        <f t="shared" ca="1" si="88"/>
        <v>14</v>
      </c>
      <c r="I699" s="26">
        <f t="shared" ca="1" si="88"/>
        <v>21472</v>
      </c>
      <c r="J699" s="26">
        <f t="shared" ca="1" si="88"/>
        <v>-23110</v>
      </c>
      <c r="K699" s="26">
        <f t="shared" ca="1" si="88"/>
        <v>0</v>
      </c>
      <c r="L699" s="26">
        <f t="shared" ca="1" si="88"/>
        <v>0</v>
      </c>
    </row>
    <row r="700" spans="1:12" ht="11.25" x14ac:dyDescent="0.2">
      <c r="A700" s="3">
        <f>A699+1</f>
        <v>9</v>
      </c>
      <c r="B700" s="3" t="s">
        <v>385</v>
      </c>
      <c r="C700" s="3"/>
      <c r="D700" s="325"/>
      <c r="E700" s="3">
        <f t="shared" ref="E700:L700" ca="1" si="89">E687-E699</f>
        <v>-2464545</v>
      </c>
      <c r="F700" s="3">
        <f t="shared" ca="1" si="89"/>
        <v>-8348137</v>
      </c>
      <c r="G700" s="3">
        <f t="shared" ca="1" si="89"/>
        <v>3328585</v>
      </c>
      <c r="H700" s="3">
        <f t="shared" ca="1" si="89"/>
        <v>9460</v>
      </c>
      <c r="I700" s="3">
        <f t="shared" ca="1" si="89"/>
        <v>130237</v>
      </c>
      <c r="J700" s="3">
        <f t="shared" ca="1" si="89"/>
        <v>2415305</v>
      </c>
      <c r="K700" s="3">
        <f t="shared" ca="1" si="89"/>
        <v>0</v>
      </c>
      <c r="L700" s="3">
        <f t="shared" ca="1" si="89"/>
        <v>0</v>
      </c>
    </row>
    <row r="701" spans="1:12" ht="11.25" x14ac:dyDescent="0.2">
      <c r="A701" s="3"/>
      <c r="B701" s="3"/>
      <c r="C701" s="3"/>
      <c r="D701" s="325"/>
      <c r="E701" s="3"/>
      <c r="F701" s="3"/>
      <c r="G701" s="3"/>
      <c r="H701" s="3"/>
      <c r="I701" s="3"/>
      <c r="J701" s="3"/>
      <c r="K701" s="3"/>
      <c r="L701" s="3"/>
    </row>
    <row r="702" spans="1:12" ht="11.25" x14ac:dyDescent="0.2">
      <c r="A702" s="3">
        <f>A700+1</f>
        <v>10</v>
      </c>
      <c r="B702" s="3" t="str">
        <f>"STATE INCOME TAX @ "&amp;FIXED(ROUND(Input!$D$28*100,2),2,TRUE)&amp;"%"</f>
        <v>STATE INCOME TAX @ 6.00%</v>
      </c>
      <c r="C702" s="3"/>
      <c r="D702" s="325"/>
      <c r="E702" s="46">
        <f ca="1">Classification!F702</f>
        <v>-147871.91905799857</v>
      </c>
      <c r="F702" s="3">
        <f ca="1">($E$702/$E$700)*F700</f>
        <v>-500885.57472031674</v>
      </c>
      <c r="G702" s="3">
        <f ca="1">($E$702/$E$700)*G700</f>
        <v>199714.04526907328</v>
      </c>
      <c r="H702" s="3">
        <f ca="1">($E$702/$E$700)*H700</f>
        <v>567.5970024035538</v>
      </c>
      <c r="I702" s="3">
        <f ca="1">($E$702/$E$700)*I700</f>
        <v>7814.1787317158178</v>
      </c>
      <c r="J702" s="3">
        <f ca="1">($E$702/$E$700)*J700</f>
        <v>144917.53466070988</v>
      </c>
      <c r="K702" s="3">
        <f ca="1">ROUND(K700*Input!$D$28,0)</f>
        <v>0</v>
      </c>
      <c r="L702" s="3">
        <f ca="1">ROUND(L700*Input!$D$28,0)</f>
        <v>0</v>
      </c>
    </row>
    <row r="703" spans="1:12" ht="11.25" x14ac:dyDescent="0.2">
      <c r="A703" s="3">
        <f>A702+1</f>
        <v>11</v>
      </c>
      <c r="B703" s="3" t="str">
        <f>"PLUS: "&amp;+Input!A536</f>
        <v>PLUS: FOREIGN TAX PAYMENTS</v>
      </c>
      <c r="C703" s="3"/>
      <c r="D703" s="325" t="str">
        <f>VLOOKUP(Input!C536,'Alloc Table Cust'!$A$7:$B$27,2,FALSE)</f>
        <v>19CUST</v>
      </c>
      <c r="E703" s="26">
        <f>Classification!F703</f>
        <v>0</v>
      </c>
      <c r="F703" s="26">
        <f ca="1">ROUND((VLOOKUP($D703,'Alloc Table Cust'!$B$7:$S$58,13,FALSE)*$E703),0)</f>
        <v>0</v>
      </c>
      <c r="G703" s="26">
        <f ca="1">ROUND((VLOOKUP($D703,'Alloc Table Cust'!$B$7:$T$58,14,FALSE)*$E703),0)</f>
        <v>0</v>
      </c>
      <c r="H703" s="26">
        <f ca="1">ROUND((VLOOKUP($D703,'Alloc Table Cust'!$B$7:$T$58,15,FALSE)*$E703),0)</f>
        <v>0</v>
      </c>
      <c r="I703" s="26">
        <f ca="1">ROUND((VLOOKUP($D703,'Alloc Table Cust'!$B$7:$T$58,16,FALSE)*$E703),0)</f>
        <v>0</v>
      </c>
      <c r="J703" s="26">
        <f ca="1">ROUND((VLOOKUP($D703,'Alloc Table Cust'!$B$7:$T$58,17,FALSE)*$E703),0)</f>
        <v>0</v>
      </c>
      <c r="K703" s="26">
        <f ca="1">ROUND((VLOOKUP($D703,'Alloc Table Cust'!$B$7:$T$58,18,FALSE)*$E703),0)</f>
        <v>0</v>
      </c>
      <c r="L703" s="26">
        <f ca="1">ROUND((VLOOKUP($D703,'Alloc Table Cust'!$B$7:$T$58,19,FALSE)*$E703),0)</f>
        <v>0</v>
      </c>
    </row>
    <row r="704" spans="1:12" ht="11.25" x14ac:dyDescent="0.2">
      <c r="A704" s="3"/>
      <c r="B704" s="3"/>
      <c r="C704" s="3"/>
      <c r="D704" s="325"/>
      <c r="E704" s="3"/>
      <c r="F704" s="3"/>
      <c r="G704" s="3"/>
      <c r="H704" s="3"/>
      <c r="I704" s="3"/>
      <c r="J704" s="3"/>
      <c r="K704" s="3"/>
      <c r="L704" s="3"/>
    </row>
    <row r="705" spans="1:12" ht="11.25" x14ac:dyDescent="0.2">
      <c r="A705" s="3">
        <f>A703+1</f>
        <v>12</v>
      </c>
      <c r="B705" s="3" t="s">
        <v>46</v>
      </c>
      <c r="C705" s="3"/>
      <c r="D705" s="325"/>
      <c r="E705" s="3">
        <f t="shared" ref="E705:L705" ca="1" si="90">E702+E703</f>
        <v>-147871.91905799857</v>
      </c>
      <c r="F705" s="3">
        <f t="shared" ca="1" si="90"/>
        <v>-500885.57472031674</v>
      </c>
      <c r="G705" s="3">
        <f t="shared" ca="1" si="90"/>
        <v>199714.04526907328</v>
      </c>
      <c r="H705" s="3">
        <f t="shared" ca="1" si="90"/>
        <v>567.5970024035538</v>
      </c>
      <c r="I705" s="3">
        <f t="shared" ca="1" si="90"/>
        <v>7814.1787317158178</v>
      </c>
      <c r="J705" s="3">
        <f t="shared" ca="1" si="90"/>
        <v>144917.53466070988</v>
      </c>
      <c r="K705" s="3">
        <f t="shared" ca="1" si="90"/>
        <v>0</v>
      </c>
      <c r="L705" s="3">
        <f t="shared" ca="1" si="90"/>
        <v>0</v>
      </c>
    </row>
    <row r="706" spans="1:12" ht="11.25" x14ac:dyDescent="0.2">
      <c r="A706" s="3" t="s">
        <v>817</v>
      </c>
      <c r="B706" s="3"/>
      <c r="C706" s="3"/>
      <c r="D706" s="325"/>
      <c r="E706" s="3"/>
      <c r="F706" s="325" t="str">
        <f>""&amp;+Input!$B$1</f>
        <v>COLUMBIA GAS OF KENTUCKY, INC.</v>
      </c>
      <c r="H706" s="3"/>
      <c r="I706" s="3"/>
      <c r="J706" s="3"/>
      <c r="K706" s="3"/>
      <c r="L706" s="32" t="str">
        <f>Input!$B$2</f>
        <v>ATTACHMENT CEN-2</v>
      </c>
    </row>
    <row r="707" spans="1:12" ht="11.25" x14ac:dyDescent="0.2">
      <c r="A707" s="3" t="str">
        <f>Input!$B$7</f>
        <v>DEMAND-COMMODITY</v>
      </c>
      <c r="B707" s="3"/>
      <c r="C707" s="3"/>
      <c r="D707" s="325"/>
      <c r="E707" s="3"/>
      <c r="F707" s="325" t="s">
        <v>425</v>
      </c>
      <c r="H707" s="3"/>
      <c r="I707" s="3"/>
      <c r="J707" s="3"/>
      <c r="K707" s="3"/>
      <c r="L707" s="32" t="str">
        <f>"PAGE 73 OF "&amp;FIXED(Input!$B$8,0,TRUE)</f>
        <v>PAGE 73 OF 129</v>
      </c>
    </row>
    <row r="708" spans="1:12" ht="11.25" x14ac:dyDescent="0.2">
      <c r="A708" s="17" t="str">
        <f>Input!$B$6</f>
        <v>FORECASTED TEST YEAR - ORIGINAL FILING</v>
      </c>
      <c r="B708" s="17"/>
      <c r="C708" s="17"/>
      <c r="D708" s="34"/>
      <c r="E708" s="17"/>
      <c r="F708" s="19" t="str">
        <f>"FOR THE TWELVE MONTHS ENDED "&amp;Input!$B$4</f>
        <v>FOR THE TWELVE MONTHS ENDED 12/31/2017</v>
      </c>
      <c r="G708" s="329"/>
      <c r="H708" s="17"/>
      <c r="I708" s="17"/>
      <c r="J708" s="17"/>
      <c r="K708" s="17"/>
      <c r="L708" s="183" t="str">
        <f>"WITNESS: "&amp;Input!$B$5</f>
        <v>WITNESS: C. NOTESTONE</v>
      </c>
    </row>
    <row r="709" spans="1:12" ht="11.25" x14ac:dyDescent="0.2">
      <c r="A709" s="325" t="s">
        <v>5</v>
      </c>
      <c r="B709" s="3" t="s">
        <v>6</v>
      </c>
      <c r="C709" s="3"/>
      <c r="D709" s="325" t="s">
        <v>7</v>
      </c>
      <c r="E709" s="325" t="s">
        <v>8</v>
      </c>
      <c r="F709" s="3"/>
      <c r="G709" s="3"/>
      <c r="H709" s="3"/>
      <c r="I709" s="3"/>
      <c r="J709" s="3"/>
      <c r="K709" s="3"/>
      <c r="L709" s="3"/>
    </row>
    <row r="710" spans="1:12" ht="11.25" x14ac:dyDescent="0.2">
      <c r="A710" s="341" t="s">
        <v>9</v>
      </c>
      <c r="B710" s="341" t="s">
        <v>9</v>
      </c>
      <c r="C710" s="341" t="str">
        <f>"                        ACCOUNT TITLE                "</f>
        <v xml:space="preserve">                        ACCOUNT TITLE                </v>
      </c>
      <c r="D710" s="341" t="s">
        <v>10</v>
      </c>
      <c r="E710" s="341" t="s">
        <v>804</v>
      </c>
      <c r="F710" s="341" t="str">
        <f>"  "&amp;+Input!$C$12</f>
        <v xml:space="preserve">  GS-RESIDENTIAL</v>
      </c>
      <c r="G710" s="341" t="str">
        <f>Input!$C$13</f>
        <v>GS-OTHER</v>
      </c>
      <c r="H710" s="341" t="str">
        <f>Input!$C$14</f>
        <v>IUS</v>
      </c>
      <c r="I710" s="341" t="str">
        <f>Input!$C$15</f>
        <v>DS-ML</v>
      </c>
      <c r="J710" s="341" t="str">
        <f>Input!$C$16</f>
        <v>DS/IS</v>
      </c>
      <c r="K710" s="341" t="str">
        <f>Input!$C$17</f>
        <v>NOT USED</v>
      </c>
      <c r="L710" s="341" t="str">
        <f>Input!$C$18</f>
        <v>NOT USED</v>
      </c>
    </row>
    <row r="711" spans="1:12" ht="11.25" x14ac:dyDescent="0.2">
      <c r="A711" s="3"/>
      <c r="B711" s="342" t="s">
        <v>13</v>
      </c>
      <c r="C711" s="342" t="s">
        <v>14</v>
      </c>
      <c r="D711" s="325" t="s">
        <v>15</v>
      </c>
      <c r="E711" s="325" t="s">
        <v>16</v>
      </c>
      <c r="F711" s="325" t="s">
        <v>17</v>
      </c>
      <c r="G711" s="325" t="s">
        <v>18</v>
      </c>
      <c r="H711" s="325" t="s">
        <v>19</v>
      </c>
      <c r="I711" s="325" t="s">
        <v>20</v>
      </c>
      <c r="J711" s="325" t="s">
        <v>21</v>
      </c>
      <c r="K711" s="325" t="s">
        <v>22</v>
      </c>
      <c r="L711" s="325" t="s">
        <v>23</v>
      </c>
    </row>
    <row r="712" spans="1:12" ht="11.25" x14ac:dyDescent="0.2">
      <c r="A712" s="3"/>
      <c r="B712" s="3"/>
      <c r="C712" s="3"/>
      <c r="D712" s="325"/>
      <c r="E712" s="325" t="s">
        <v>26</v>
      </c>
      <c r="F712" s="325" t="s">
        <v>26</v>
      </c>
      <c r="G712" s="325" t="s">
        <v>26</v>
      </c>
      <c r="H712" s="325" t="s">
        <v>26</v>
      </c>
      <c r="I712" s="325" t="s">
        <v>26</v>
      </c>
      <c r="J712" s="325" t="s">
        <v>26</v>
      </c>
      <c r="K712" s="325" t="s">
        <v>26</v>
      </c>
      <c r="L712" s="325" t="s">
        <v>26</v>
      </c>
    </row>
    <row r="713" spans="1:12" ht="11.25" x14ac:dyDescent="0.2">
      <c r="A713" s="3">
        <v>1</v>
      </c>
      <c r="B713" s="3"/>
      <c r="C713" s="3" t="s">
        <v>386</v>
      </c>
      <c r="D713" s="325"/>
      <c r="E713" s="3"/>
      <c r="F713" s="3"/>
      <c r="G713" s="3"/>
      <c r="H713" s="3"/>
      <c r="I713" s="3"/>
      <c r="J713" s="3"/>
      <c r="K713" s="3"/>
      <c r="L713" s="3"/>
    </row>
    <row r="714" spans="1:12" ht="11.25" x14ac:dyDescent="0.2">
      <c r="A714" s="3"/>
      <c r="B714" s="3"/>
      <c r="C714" s="3"/>
      <c r="D714" s="325"/>
      <c r="E714" s="3"/>
      <c r="F714" s="3"/>
      <c r="G714" s="3"/>
      <c r="H714" s="3"/>
      <c r="I714" s="3"/>
      <c r="J714" s="3"/>
      <c r="K714" s="3"/>
      <c r="L714" s="3"/>
    </row>
    <row r="715" spans="1:12" ht="11.25" x14ac:dyDescent="0.2">
      <c r="A715" s="3">
        <f>A713+1</f>
        <v>2</v>
      </c>
      <c r="B715" s="3" t="s">
        <v>387</v>
      </c>
      <c r="C715" s="3"/>
      <c r="D715" s="325"/>
      <c r="E715" s="3"/>
      <c r="F715" s="3"/>
      <c r="G715" s="3"/>
      <c r="H715" s="3"/>
      <c r="I715" s="3"/>
      <c r="J715" s="3"/>
      <c r="K715" s="3"/>
      <c r="L715" s="3"/>
    </row>
    <row r="716" spans="1:12" ht="11.25" x14ac:dyDescent="0.2">
      <c r="A716" s="3"/>
      <c r="B716" s="3"/>
      <c r="C716" s="3"/>
      <c r="D716" s="325"/>
      <c r="E716" s="3"/>
      <c r="F716" s="3"/>
      <c r="G716" s="3"/>
      <c r="H716" s="3"/>
      <c r="I716" s="3"/>
      <c r="J716" s="3"/>
      <c r="K716" s="3"/>
      <c r="L716" s="3"/>
    </row>
    <row r="717" spans="1:12" ht="11.25" x14ac:dyDescent="0.2">
      <c r="A717" s="3">
        <f>A715+1</f>
        <v>3</v>
      </c>
      <c r="B717" s="3" t="str">
        <f>Input!A538</f>
        <v>AMORTIZATION OF EXCESS ADIT-STATE</v>
      </c>
      <c r="C717" s="3"/>
      <c r="D717" s="325" t="str">
        <f>VLOOKUP(Input!C538,'Alloc Table Cust'!$A$7:$B$27,2,FALSE)</f>
        <v>19CUST</v>
      </c>
      <c r="E717" s="26">
        <f>Classification!F717</f>
        <v>-7117</v>
      </c>
      <c r="F717" s="26">
        <f ca="1">ROUND((VLOOKUP($D717,'Alloc Table Cust'!$B$7:$S$58,13,FALSE)*$E717),0)</f>
        <v>-5883</v>
      </c>
      <c r="G717" s="26">
        <f ca="1">ROUND((VLOOKUP($D717,'Alloc Table Cust'!$B$7:$T$58,14,FALSE)*$E717),0)</f>
        <v>-1097</v>
      </c>
      <c r="H717" s="26">
        <f ca="1">ROUND((VLOOKUP($D717,'Alloc Table Cust'!$B$7:$T$58,15,FALSE)*$E717),0)</f>
        <v>0</v>
      </c>
      <c r="I717" s="26">
        <f ca="1">ROUND((VLOOKUP($D717,'Alloc Table Cust'!$B$7:$T$58,16,FALSE)*$E717),0)</f>
        <v>-28</v>
      </c>
      <c r="J717" s="26">
        <f ca="1">ROUND((VLOOKUP($D717,'Alloc Table Cust'!$B$7:$T$58,17,FALSE)*$E717),0)</f>
        <v>-109</v>
      </c>
      <c r="K717" s="26">
        <f ca="1">ROUND((VLOOKUP($D717,'Alloc Table Cust'!$B$7:$T$58,18,FALSE)*$E717),0)</f>
        <v>0</v>
      </c>
      <c r="L717" s="26">
        <f ca="1">ROUND((VLOOKUP($D717,'Alloc Table Cust'!$B$7:$T$58,19,FALSE)*$E717),0)</f>
        <v>0</v>
      </c>
    </row>
    <row r="718" spans="1:12" ht="11.25" x14ac:dyDescent="0.2">
      <c r="A718" s="3"/>
      <c r="B718" s="3"/>
      <c r="C718" s="3"/>
      <c r="D718" s="325"/>
      <c r="E718" s="26"/>
      <c r="F718" s="26"/>
      <c r="G718" s="26"/>
      <c r="H718" s="26"/>
      <c r="I718" s="26"/>
      <c r="J718" s="26"/>
      <c r="K718" s="26"/>
      <c r="L718" s="26"/>
    </row>
    <row r="719" spans="1:12" ht="11.25" x14ac:dyDescent="0.2">
      <c r="A719" s="3">
        <f>A717+1</f>
        <v>4</v>
      </c>
      <c r="B719" s="3" t="s">
        <v>388</v>
      </c>
      <c r="C719" s="3"/>
      <c r="D719" s="325"/>
      <c r="E719" s="3">
        <f t="shared" ref="E719:L719" si="91">E717</f>
        <v>-7117</v>
      </c>
      <c r="F719" s="3">
        <f t="shared" ca="1" si="91"/>
        <v>-5883</v>
      </c>
      <c r="G719" s="3">
        <f t="shared" ca="1" si="91"/>
        <v>-1097</v>
      </c>
      <c r="H719" s="3">
        <f t="shared" ca="1" si="91"/>
        <v>0</v>
      </c>
      <c r="I719" s="3">
        <f t="shared" ca="1" si="91"/>
        <v>-28</v>
      </c>
      <c r="J719" s="3">
        <f t="shared" ca="1" si="91"/>
        <v>-109</v>
      </c>
      <c r="K719" s="3">
        <f t="shared" ca="1" si="91"/>
        <v>0</v>
      </c>
      <c r="L719" s="3">
        <f t="shared" ca="1" si="91"/>
        <v>0</v>
      </c>
    </row>
    <row r="720" spans="1:12" ht="11.25" x14ac:dyDescent="0.2">
      <c r="A720" s="3"/>
      <c r="B720" s="3"/>
      <c r="C720" s="3"/>
      <c r="D720" s="325"/>
      <c r="E720" s="3"/>
      <c r="F720" s="3"/>
      <c r="G720" s="3"/>
      <c r="H720" s="3"/>
      <c r="I720" s="3"/>
      <c r="J720" s="3"/>
      <c r="K720" s="3"/>
      <c r="L720" s="3"/>
    </row>
    <row r="721" spans="1:12" ht="11.25" x14ac:dyDescent="0.2">
      <c r="A721" s="3">
        <f>A719+1</f>
        <v>5</v>
      </c>
      <c r="B721" s="3" t="s">
        <v>389</v>
      </c>
      <c r="C721" s="3"/>
      <c r="D721" s="325"/>
      <c r="E721" s="3">
        <f ca="1">Customer!E705+E719</f>
        <v>-154988.91905799857</v>
      </c>
      <c r="F721" s="3">
        <f ca="1">Customer!F705+F719</f>
        <v>-506768.57472031674</v>
      </c>
      <c r="G721" s="3">
        <f ca="1">Customer!G705+G719</f>
        <v>198617.04526907328</v>
      </c>
      <c r="H721" s="3">
        <f ca="1">Customer!H705+H719</f>
        <v>567.5970024035538</v>
      </c>
      <c r="I721" s="3">
        <f ca="1">Customer!I705+I719</f>
        <v>7786.1787317158178</v>
      </c>
      <c r="J721" s="3">
        <f ca="1">Customer!J705+J719</f>
        <v>144808.53466070988</v>
      </c>
      <c r="K721" s="3">
        <f ca="1">Customer!K705+K719</f>
        <v>0</v>
      </c>
      <c r="L721" s="3">
        <f ca="1">Customer!L705+L719</f>
        <v>0</v>
      </c>
    </row>
    <row r="722" spans="1:12" ht="11.25" x14ac:dyDescent="0.2">
      <c r="A722" s="3" t="s">
        <v>817</v>
      </c>
      <c r="B722" s="3"/>
      <c r="C722" s="3"/>
      <c r="D722" s="325"/>
      <c r="E722" s="3"/>
      <c r="F722" s="325" t="str">
        <f>""&amp;+Input!$B$1</f>
        <v>COLUMBIA GAS OF KENTUCKY, INC.</v>
      </c>
      <c r="H722" s="3"/>
      <c r="I722" s="3"/>
      <c r="J722" s="3"/>
      <c r="K722" s="3"/>
      <c r="L722" s="32" t="str">
        <f>Input!$B$2</f>
        <v>ATTACHMENT CEN-2</v>
      </c>
    </row>
    <row r="723" spans="1:12" ht="11.25" x14ac:dyDescent="0.2">
      <c r="A723" s="3" t="str">
        <f>Input!$B$7</f>
        <v>DEMAND-COMMODITY</v>
      </c>
      <c r="B723" s="3"/>
      <c r="C723" s="3"/>
      <c r="D723" s="325"/>
      <c r="E723" s="3"/>
      <c r="F723" s="325" t="s">
        <v>572</v>
      </c>
      <c r="H723" s="3"/>
      <c r="I723" s="3"/>
      <c r="J723" s="3"/>
      <c r="K723" s="3"/>
      <c r="L723" s="32" t="str">
        <f>"PAGE 74 OF "&amp;FIXED(Input!$B$8,0,TRUE)</f>
        <v>PAGE 74 OF 129</v>
      </c>
    </row>
    <row r="724" spans="1:12" ht="11.25" x14ac:dyDescent="0.2">
      <c r="A724" s="17" t="str">
        <f>Input!$B$6</f>
        <v>FORECASTED TEST YEAR - ORIGINAL FILING</v>
      </c>
      <c r="B724" s="17"/>
      <c r="C724" s="17"/>
      <c r="D724" s="34"/>
      <c r="E724" s="17"/>
      <c r="F724" s="19" t="str">
        <f>"FOR THE TWELVE MONTHS ENDED "&amp;Input!$B$4</f>
        <v>FOR THE TWELVE MONTHS ENDED 12/31/2017</v>
      </c>
      <c r="G724" s="329"/>
      <c r="H724" s="17"/>
      <c r="I724" s="17"/>
      <c r="J724" s="17"/>
      <c r="K724" s="17"/>
      <c r="L724" s="183" t="str">
        <f>"WITNESS: "&amp;Input!$B$5</f>
        <v>WITNESS: C. NOTESTONE</v>
      </c>
    </row>
    <row r="725" spans="1:12" ht="11.25" x14ac:dyDescent="0.2">
      <c r="A725" s="325" t="s">
        <v>5</v>
      </c>
      <c r="B725" s="3" t="s">
        <v>6</v>
      </c>
      <c r="C725" s="3"/>
      <c r="D725" s="325" t="s">
        <v>7</v>
      </c>
      <c r="E725" s="325" t="s">
        <v>8</v>
      </c>
      <c r="F725" s="3"/>
      <c r="G725" s="3"/>
      <c r="H725" s="3"/>
      <c r="I725" s="3"/>
      <c r="J725" s="3"/>
      <c r="K725" s="3"/>
      <c r="L725" s="3"/>
    </row>
    <row r="726" spans="1:12" ht="11.25" x14ac:dyDescent="0.2">
      <c r="A726" s="341" t="s">
        <v>9</v>
      </c>
      <c r="B726" s="341" t="s">
        <v>9</v>
      </c>
      <c r="C726" s="341" t="str">
        <f>"                        ACCOUNT TITLE                "</f>
        <v xml:space="preserve">                        ACCOUNT TITLE                </v>
      </c>
      <c r="D726" s="341" t="s">
        <v>10</v>
      </c>
      <c r="E726" s="341" t="s">
        <v>804</v>
      </c>
      <c r="F726" s="341" t="str">
        <f>"  "&amp;+Input!$C$12</f>
        <v xml:space="preserve">  GS-RESIDENTIAL</v>
      </c>
      <c r="G726" s="341" t="str">
        <f>Input!$C$13</f>
        <v>GS-OTHER</v>
      </c>
      <c r="H726" s="341" t="str">
        <f>Input!$C$14</f>
        <v>IUS</v>
      </c>
      <c r="I726" s="341" t="str">
        <f>Input!$C$15</f>
        <v>DS-ML</v>
      </c>
      <c r="J726" s="341" t="str">
        <f>Input!$C$16</f>
        <v>DS/IS</v>
      </c>
      <c r="K726" s="341" t="str">
        <f>Input!$C$17</f>
        <v>NOT USED</v>
      </c>
      <c r="L726" s="341" t="str">
        <f>Input!$C$18</f>
        <v>NOT USED</v>
      </c>
    </row>
    <row r="727" spans="1:12" ht="11.25" x14ac:dyDescent="0.2">
      <c r="A727" s="3"/>
      <c r="B727" s="342" t="s">
        <v>13</v>
      </c>
      <c r="C727" s="342" t="s">
        <v>14</v>
      </c>
      <c r="D727" s="325" t="s">
        <v>15</v>
      </c>
      <c r="E727" s="325" t="s">
        <v>16</v>
      </c>
      <c r="F727" s="325" t="s">
        <v>17</v>
      </c>
      <c r="G727" s="325" t="s">
        <v>18</v>
      </c>
      <c r="H727" s="325" t="s">
        <v>19</v>
      </c>
      <c r="I727" s="325" t="s">
        <v>20</v>
      </c>
      <c r="J727" s="325" t="s">
        <v>21</v>
      </c>
      <c r="K727" s="325" t="s">
        <v>22</v>
      </c>
      <c r="L727" s="325" t="s">
        <v>23</v>
      </c>
    </row>
    <row r="728" spans="1:12" ht="11.25" x14ac:dyDescent="0.2">
      <c r="A728" s="3"/>
      <c r="B728" s="3"/>
      <c r="C728" s="3"/>
      <c r="D728" s="325"/>
      <c r="E728" s="325" t="s">
        <v>26</v>
      </c>
      <c r="F728" s="325" t="s">
        <v>26</v>
      </c>
      <c r="G728" s="325" t="s">
        <v>26</v>
      </c>
      <c r="H728" s="325" t="s">
        <v>26</v>
      </c>
      <c r="I728" s="325" t="s">
        <v>26</v>
      </c>
      <c r="J728" s="325" t="s">
        <v>26</v>
      </c>
      <c r="K728" s="325" t="s">
        <v>26</v>
      </c>
      <c r="L728" s="325" t="s">
        <v>26</v>
      </c>
    </row>
    <row r="729" spans="1:12" ht="11.25" x14ac:dyDescent="0.2">
      <c r="A729" s="3"/>
      <c r="B729" s="3"/>
      <c r="C729" s="3"/>
      <c r="D729" s="325"/>
      <c r="E729" s="3"/>
      <c r="F729" s="3"/>
      <c r="G729" s="3"/>
      <c r="H729" s="3"/>
      <c r="I729" s="3"/>
      <c r="J729" s="3"/>
      <c r="K729" s="3"/>
      <c r="L729" s="3"/>
    </row>
    <row r="730" spans="1:12" ht="11.25" x14ac:dyDescent="0.2">
      <c r="A730" s="3">
        <v>1</v>
      </c>
      <c r="B730" s="3" t="s">
        <v>390</v>
      </c>
      <c r="C730" s="3"/>
      <c r="D730" s="325"/>
      <c r="E730" s="3">
        <f ca="1">Customer!E396</f>
        <v>35066460</v>
      </c>
      <c r="F730" s="3">
        <f ca="1">Customer!F396</f>
        <v>22684324</v>
      </c>
      <c r="G730" s="3">
        <f ca="1">Customer!G396</f>
        <v>9316099</v>
      </c>
      <c r="H730" s="3">
        <f ca="1">Customer!H396</f>
        <v>11245</v>
      </c>
      <c r="I730" s="3">
        <f ca="1">Customer!I396</f>
        <v>234740</v>
      </c>
      <c r="J730" s="3">
        <f ca="1">Customer!J396</f>
        <v>2820049</v>
      </c>
      <c r="K730" s="3">
        <f>Customer!K396</f>
        <v>0</v>
      </c>
      <c r="L730" s="3">
        <f>Customer!L396</f>
        <v>0</v>
      </c>
    </row>
    <row r="731" spans="1:12" ht="11.25" x14ac:dyDescent="0.2">
      <c r="A731" s="3">
        <f>A730+1</f>
        <v>2</v>
      </c>
      <c r="B731" s="3" t="s">
        <v>391</v>
      </c>
      <c r="C731" s="3"/>
      <c r="D731" s="325"/>
      <c r="E731" s="26">
        <f ca="1">Customer!E$663+Customer!E$679+Customer!E$375+Customer!E427</f>
        <v>38138469</v>
      </c>
      <c r="F731" s="26">
        <f ca="1">Customer!F$663+Customer!F$679+Customer!F$375+Customer!F427</f>
        <v>31613955</v>
      </c>
      <c r="G731" s="26">
        <f ca="1">Customer!G$663+Customer!G$679+Customer!G$375+Customer!G427</f>
        <v>6011859</v>
      </c>
      <c r="H731" s="26">
        <f ca="1">Customer!H$663+Customer!H$679+Customer!H$375+Customer!H427</f>
        <v>1771</v>
      </c>
      <c r="I731" s="26">
        <f ca="1">Customer!I$663+Customer!I$679+Customer!I$375+Customer!I427</f>
        <v>83031</v>
      </c>
      <c r="J731" s="26">
        <f ca="1">Customer!J$663+Customer!J$679+Customer!J$375+Customer!J427</f>
        <v>427854</v>
      </c>
      <c r="K731" s="26">
        <f ca="1">Customer!K$663+Customer!K$679+Customer!K$375+Customer!K427</f>
        <v>0</v>
      </c>
      <c r="L731" s="26">
        <f ca="1">Customer!L$663+Customer!L$679+Customer!L$375+Customer!L427</f>
        <v>0</v>
      </c>
    </row>
    <row r="732" spans="1:12" ht="11.25" x14ac:dyDescent="0.2">
      <c r="A732" s="3">
        <f>A731+1</f>
        <v>3</v>
      </c>
      <c r="B732" s="3" t="s">
        <v>392</v>
      </c>
      <c r="C732" s="3"/>
      <c r="D732" s="325"/>
      <c r="E732" s="3">
        <f t="shared" ref="E732:L732" ca="1" si="92">E730-E731</f>
        <v>-3072009</v>
      </c>
      <c r="F732" s="3">
        <f t="shared" ca="1" si="92"/>
        <v>-8929631</v>
      </c>
      <c r="G732" s="3">
        <f t="shared" ca="1" si="92"/>
        <v>3304240</v>
      </c>
      <c r="H732" s="3">
        <f t="shared" ca="1" si="92"/>
        <v>9474</v>
      </c>
      <c r="I732" s="3">
        <f t="shared" ca="1" si="92"/>
        <v>151709</v>
      </c>
      <c r="J732" s="3">
        <f t="shared" ca="1" si="92"/>
        <v>2392195</v>
      </c>
      <c r="K732" s="3">
        <f t="shared" ca="1" si="92"/>
        <v>0</v>
      </c>
      <c r="L732" s="3">
        <f t="shared" ca="1" si="92"/>
        <v>0</v>
      </c>
    </row>
    <row r="733" spans="1:12" ht="11.25" x14ac:dyDescent="0.2">
      <c r="A733" s="3"/>
      <c r="B733" s="3"/>
      <c r="C733" s="3"/>
      <c r="D733" s="325"/>
      <c r="E733" s="3"/>
      <c r="F733" s="3"/>
      <c r="G733" s="3"/>
      <c r="H733" s="3"/>
      <c r="I733" s="3"/>
      <c r="J733" s="3"/>
      <c r="K733" s="3"/>
      <c r="L733" s="3"/>
    </row>
    <row r="734" spans="1:12" ht="11.25" x14ac:dyDescent="0.2">
      <c r="A734" s="3">
        <f>A732+1</f>
        <v>4</v>
      </c>
      <c r="B734" s="3" t="s">
        <v>382</v>
      </c>
      <c r="C734" s="3"/>
      <c r="D734" s="325"/>
      <c r="E734" s="3"/>
      <c r="F734" s="3"/>
      <c r="G734" s="3"/>
      <c r="H734" s="3"/>
      <c r="I734" s="3"/>
      <c r="J734" s="3"/>
      <c r="K734" s="3"/>
      <c r="L734" s="3"/>
    </row>
    <row r="735" spans="1:12" ht="11.25" x14ac:dyDescent="0.2">
      <c r="A735" s="3"/>
      <c r="B735" s="3"/>
      <c r="C735" s="3"/>
      <c r="D735" s="325"/>
      <c r="E735" s="3"/>
      <c r="F735" s="3"/>
      <c r="G735" s="3"/>
      <c r="H735" s="3"/>
      <c r="I735" s="3"/>
      <c r="J735" s="3"/>
      <c r="K735" s="3"/>
      <c r="L735" s="3"/>
    </row>
    <row r="736" spans="1:12" ht="11.25" x14ac:dyDescent="0.2">
      <c r="A736" s="3">
        <f>A734+1</f>
        <v>5</v>
      </c>
      <c r="B736" s="3" t="s">
        <v>383</v>
      </c>
      <c r="C736" s="3"/>
      <c r="D736" s="325"/>
      <c r="E736" s="3">
        <f ca="1">ROUND(Customer!E800*Input!$D$30,0)</f>
        <v>1910314</v>
      </c>
      <c r="F736" s="3">
        <f ca="1">ROUND(Customer!F800*Input!$D$30,0)</f>
        <v>1550193</v>
      </c>
      <c r="G736" s="3">
        <f ca="1">ROUND(Customer!G800*Input!$D$30,0)</f>
        <v>312174</v>
      </c>
      <c r="H736" s="3">
        <f ca="1">ROUND(Customer!H800*Input!$D$30,0)</f>
        <v>99</v>
      </c>
      <c r="I736" s="3">
        <f ca="1">ROUND(Customer!I800*Input!$D$30,0)</f>
        <v>11827</v>
      </c>
      <c r="J736" s="3">
        <f ca="1">ROUND(Customer!J800*Input!$D$30,0)</f>
        <v>36023</v>
      </c>
      <c r="K736" s="3">
        <f ca="1">ROUND(Customer!K800*Input!$D$30,0)</f>
        <v>0</v>
      </c>
      <c r="L736" s="3">
        <f ca="1">ROUND(Customer!L800*Input!$D$30,0)</f>
        <v>0</v>
      </c>
    </row>
    <row r="737" spans="1:12" ht="11.25" x14ac:dyDescent="0.2">
      <c r="A737" s="3"/>
      <c r="B737" s="3"/>
      <c r="C737" s="3"/>
      <c r="D737" s="325"/>
      <c r="E737" s="3"/>
      <c r="F737" s="3"/>
      <c r="G737" s="3"/>
      <c r="H737" s="3"/>
      <c r="I737" s="3"/>
      <c r="J737" s="3"/>
      <c r="K737" s="3"/>
      <c r="L737" s="3"/>
    </row>
    <row r="738" spans="1:12" ht="11.25" x14ac:dyDescent="0.2">
      <c r="A738" s="3">
        <f>A736+1</f>
        <v>6</v>
      </c>
      <c r="B738" s="3" t="str">
        <f>"  "&amp;+Input!A519</f>
        <v xml:space="preserve">  EXCESS OF BOOK OVER TAX S/L</v>
      </c>
      <c r="C738" s="3"/>
      <c r="D738" s="325" t="str">
        <f>VLOOKUP(Input!C519,'Alloc Table Cust'!$A$7:$B$27,2,FALSE)</f>
        <v>19CUST</v>
      </c>
      <c r="E738" s="3">
        <f>Classification!F738</f>
        <v>6107897</v>
      </c>
      <c r="F738" s="3">
        <f ca="1">ROUND((VLOOKUP($D738,'Alloc Table Cust'!$B$7:$S$58,13,FALSE)*$E738),0)</f>
        <v>5048482</v>
      </c>
      <c r="G738" s="3">
        <f ca="1">ROUND((VLOOKUP($D738,'Alloc Table Cust'!$B$7:$T$58,14,FALSE)*$E738),0)</f>
        <v>941471</v>
      </c>
      <c r="H738" s="3">
        <f ca="1">ROUND((VLOOKUP($D738,'Alloc Table Cust'!$B$7:$T$58,15,FALSE)*$E738),0)</f>
        <v>244</v>
      </c>
      <c r="I738" s="3">
        <f ca="1">ROUND((VLOOKUP($D738,'Alloc Table Cust'!$B$7:$T$58,16,FALSE)*$E738),0)</f>
        <v>24187</v>
      </c>
      <c r="J738" s="3">
        <f ca="1">ROUND((VLOOKUP($D738,'Alloc Table Cust'!$B$7:$T$58,17,FALSE)*$E738),0)</f>
        <v>93512</v>
      </c>
      <c r="K738" s="3">
        <f ca="1">ROUND((VLOOKUP($D738,'Alloc Table Cust'!$B$7:$T$58,18,FALSE)*$E738),0)</f>
        <v>0</v>
      </c>
      <c r="L738" s="3">
        <f ca="1">ROUND((VLOOKUP($D738,'Alloc Table Cust'!$B$7:$T$58,19,FALSE)*$E738),0)</f>
        <v>0</v>
      </c>
    </row>
    <row r="739" spans="1:12" ht="11.25" x14ac:dyDescent="0.2">
      <c r="A739" s="3">
        <f>A738+1</f>
        <v>7</v>
      </c>
      <c r="B739" s="3" t="s">
        <v>393</v>
      </c>
      <c r="C739" s="3"/>
      <c r="D739" s="325"/>
      <c r="E739" s="26">
        <f>Customer!E375-Customer!E306</f>
        <v>8622382</v>
      </c>
      <c r="F739" s="26">
        <f ca="1">Customer!F375-Customer!F306</f>
        <v>7177622</v>
      </c>
      <c r="G739" s="26">
        <f ca="1">Customer!G375-Customer!G306</f>
        <v>1277289</v>
      </c>
      <c r="H739" s="26">
        <f ca="1">Customer!H375-Customer!H306</f>
        <v>329</v>
      </c>
      <c r="I739" s="26">
        <f ca="1">Customer!I375-Customer!I306</f>
        <v>14534</v>
      </c>
      <c r="J739" s="26">
        <f ca="1">Customer!J375-Customer!J306</f>
        <v>152609</v>
      </c>
      <c r="K739" s="26">
        <f ca="1">Customer!K375-Customer!K306</f>
        <v>0</v>
      </c>
      <c r="L739" s="26">
        <f ca="1">Customer!L375-Customer!L306</f>
        <v>0</v>
      </c>
    </row>
    <row r="740" spans="1:12" ht="11.25" x14ac:dyDescent="0.2">
      <c r="A740" s="3">
        <f>A739+1</f>
        <v>8</v>
      </c>
      <c r="B740" s="3" t="s">
        <v>551</v>
      </c>
      <c r="C740" s="3"/>
      <c r="D740" s="325"/>
      <c r="E740" s="3">
        <f t="shared" ref="E740:L740" si="93">E738-E739</f>
        <v>-2514485</v>
      </c>
      <c r="F740" s="3">
        <f t="shared" ca="1" si="93"/>
        <v>-2129140</v>
      </c>
      <c r="G740" s="3">
        <f t="shared" ca="1" si="93"/>
        <v>-335818</v>
      </c>
      <c r="H740" s="3">
        <f t="shared" ca="1" si="93"/>
        <v>-85</v>
      </c>
      <c r="I740" s="3">
        <f t="shared" ca="1" si="93"/>
        <v>9653</v>
      </c>
      <c r="J740" s="3">
        <f t="shared" ca="1" si="93"/>
        <v>-59097</v>
      </c>
      <c r="K740" s="3">
        <f t="shared" ca="1" si="93"/>
        <v>0</v>
      </c>
      <c r="L740" s="3">
        <f t="shared" ca="1" si="93"/>
        <v>0</v>
      </c>
    </row>
    <row r="741" spans="1:12" ht="11.25" x14ac:dyDescent="0.2">
      <c r="A741" s="3"/>
      <c r="B741" s="3"/>
      <c r="C741" s="3"/>
      <c r="D741" s="325"/>
      <c r="E741" s="3"/>
      <c r="F741" s="3"/>
      <c r="G741" s="3"/>
      <c r="H741" s="3"/>
      <c r="I741" s="3"/>
      <c r="J741" s="3"/>
      <c r="K741" s="3"/>
      <c r="L741" s="3"/>
    </row>
    <row r="742" spans="1:12" ht="11.25" x14ac:dyDescent="0.2">
      <c r="A742" s="3">
        <f>A740+1</f>
        <v>9</v>
      </c>
      <c r="B742" s="3" t="str">
        <f>"  "&amp;+Input!A520</f>
        <v xml:space="preserve">  NON DEDUCTIBLE EMPLOYEE EXPENSE</v>
      </c>
      <c r="C742" s="3"/>
      <c r="D742" s="325" t="str">
        <f>VLOOKUP(Input!C520,'Alloc Table Cust'!$A$7:$B$27,2,FALSE)</f>
        <v>12CUST</v>
      </c>
      <c r="E742" s="3">
        <f>Classification!F742</f>
        <v>-3293</v>
      </c>
      <c r="F742" s="3">
        <f ca="1">ROUND((VLOOKUP($D742,'Alloc Table Cust'!$B$7:$S$58,13,FALSE)*$E742),0)</f>
        <v>-2547</v>
      </c>
      <c r="G742" s="3">
        <f ca="1">ROUND((VLOOKUP($D742,'Alloc Table Cust'!$B$7:$T$58,14,FALSE)*$E742),0)</f>
        <v>-701</v>
      </c>
      <c r="H742" s="3">
        <f ca="1">ROUND((VLOOKUP($D742,'Alloc Table Cust'!$B$7:$T$58,15,FALSE)*$E742),0)</f>
        <v>0</v>
      </c>
      <c r="I742" s="3">
        <f ca="1">ROUND((VLOOKUP($D742,'Alloc Table Cust'!$B$7:$T$58,16,FALSE)*$E742),0)</f>
        <v>-8</v>
      </c>
      <c r="J742" s="3">
        <f ca="1">ROUND((VLOOKUP($D742,'Alloc Table Cust'!$B$7:$T$58,17,FALSE)*$E742),0)</f>
        <v>-36</v>
      </c>
      <c r="K742" s="3">
        <f ca="1">ROUND((VLOOKUP($D742,'Alloc Table Cust'!$B$7:$T$58,18,FALSE)*$E742),0)</f>
        <v>0</v>
      </c>
      <c r="L742" s="3">
        <f ca="1">ROUND((VLOOKUP($D742,'Alloc Table Cust'!$B$7:$T$58,19,FALSE)*$E742),0)</f>
        <v>0</v>
      </c>
    </row>
    <row r="743" spans="1:12" ht="11.25" x14ac:dyDescent="0.2">
      <c r="A743" s="3">
        <f>A742+1</f>
        <v>10</v>
      </c>
      <c r="B743" s="3" t="s">
        <v>394</v>
      </c>
      <c r="C743" s="3"/>
      <c r="D743" s="325"/>
      <c r="E743" s="26">
        <f ca="1">Customer!E705</f>
        <v>-147871.91905799857</v>
      </c>
      <c r="F743" s="26">
        <f ca="1">Customer!F705</f>
        <v>-500885.57472031674</v>
      </c>
      <c r="G743" s="26">
        <f ca="1">Customer!G705</f>
        <v>199714.04526907328</v>
      </c>
      <c r="H743" s="26">
        <f ca="1">Customer!H705</f>
        <v>567.5970024035538</v>
      </c>
      <c r="I743" s="26">
        <f ca="1">Customer!I705</f>
        <v>7814.1787317158178</v>
      </c>
      <c r="J743" s="26">
        <f ca="1">Customer!J705</f>
        <v>144917.53466070988</v>
      </c>
      <c r="K743" s="26">
        <f ca="1">Customer!K705</f>
        <v>0</v>
      </c>
      <c r="L743" s="26">
        <f ca="1">Customer!L705</f>
        <v>0</v>
      </c>
    </row>
    <row r="744" spans="1:12" ht="11.25" x14ac:dyDescent="0.2">
      <c r="A744" s="3"/>
      <c r="B744" s="3"/>
      <c r="C744" s="3"/>
      <c r="D744" s="325"/>
      <c r="E744" s="3"/>
      <c r="F744" s="3"/>
      <c r="G744" s="3"/>
      <c r="H744" s="3"/>
      <c r="I744" s="3"/>
      <c r="J744" s="3"/>
      <c r="K744" s="3"/>
      <c r="L744" s="3"/>
    </row>
    <row r="745" spans="1:12" ht="11.25" x14ac:dyDescent="0.2">
      <c r="A745" s="3">
        <f>A743+1</f>
        <v>11</v>
      </c>
      <c r="B745" s="3" t="s">
        <v>384</v>
      </c>
      <c r="C745" s="3"/>
      <c r="D745" s="325"/>
      <c r="E745" s="23">
        <f t="shared" ref="E745:L745" ca="1" si="94">E736+E740+SUM(E742:E743)</f>
        <v>-755335.91905799857</v>
      </c>
      <c r="F745" s="23">
        <f t="shared" ca="1" si="94"/>
        <v>-1082379.5747203168</v>
      </c>
      <c r="G745" s="23">
        <f t="shared" ca="1" si="94"/>
        <v>175369.04526907328</v>
      </c>
      <c r="H745" s="23">
        <f t="shared" ca="1" si="94"/>
        <v>581.5970024035538</v>
      </c>
      <c r="I745" s="23">
        <f t="shared" ca="1" si="94"/>
        <v>29286.178731715816</v>
      </c>
      <c r="J745" s="23">
        <f t="shared" ca="1" si="94"/>
        <v>121807.53466070988</v>
      </c>
      <c r="K745" s="23">
        <f t="shared" ca="1" si="94"/>
        <v>0</v>
      </c>
      <c r="L745" s="23">
        <f t="shared" ca="1" si="94"/>
        <v>0</v>
      </c>
    </row>
    <row r="746" spans="1:12" ht="11.25" x14ac:dyDescent="0.2">
      <c r="A746" s="3"/>
      <c r="B746" s="3"/>
      <c r="C746" s="3"/>
      <c r="D746" s="325"/>
      <c r="E746" s="3"/>
      <c r="F746" s="3"/>
      <c r="G746" s="3"/>
      <c r="H746" s="3"/>
      <c r="I746" s="3"/>
      <c r="J746" s="3"/>
      <c r="K746" s="3"/>
      <c r="L746" s="3"/>
    </row>
    <row r="747" spans="1:12" ht="11.25" x14ac:dyDescent="0.2">
      <c r="A747" s="3">
        <f>A745+1</f>
        <v>12</v>
      </c>
      <c r="B747" s="3" t="s">
        <v>385</v>
      </c>
      <c r="C747" s="3"/>
      <c r="D747" s="325"/>
      <c r="E747" s="3">
        <f t="shared" ref="E747:L747" ca="1" si="95">E732-E745</f>
        <v>-2316673.0809420012</v>
      </c>
      <c r="F747" s="3">
        <f t="shared" ca="1" si="95"/>
        <v>-7847251.4252796834</v>
      </c>
      <c r="G747" s="3">
        <f t="shared" ca="1" si="95"/>
        <v>3128870.9547309265</v>
      </c>
      <c r="H747" s="3">
        <f t="shared" ca="1" si="95"/>
        <v>8892.4029975964459</v>
      </c>
      <c r="I747" s="3">
        <f t="shared" ca="1" si="95"/>
        <v>122422.82126828418</v>
      </c>
      <c r="J747" s="3">
        <f t="shared" ca="1" si="95"/>
        <v>2270387.46533929</v>
      </c>
      <c r="K747" s="3">
        <f t="shared" ca="1" si="95"/>
        <v>0</v>
      </c>
      <c r="L747" s="3">
        <f t="shared" ca="1" si="95"/>
        <v>0</v>
      </c>
    </row>
    <row r="748" spans="1:12" ht="11.25" x14ac:dyDescent="0.2">
      <c r="A748" s="3"/>
      <c r="B748" s="3"/>
      <c r="C748" s="3"/>
      <c r="D748" s="325"/>
      <c r="E748" s="3"/>
      <c r="F748" s="3"/>
      <c r="G748" s="3"/>
      <c r="H748" s="3"/>
      <c r="I748" s="3"/>
      <c r="J748" s="3"/>
      <c r="K748" s="3"/>
      <c r="L748" s="3"/>
    </row>
    <row r="749" spans="1:12" ht="11.25" x14ac:dyDescent="0.2">
      <c r="A749" s="3">
        <f>A747+1</f>
        <v>13</v>
      </c>
      <c r="B749" s="3" t="str">
        <f>"CURRENT FEDERAL INCOME TAX @ "&amp;FIXED(ROUND(Input!$D$27*100,0),0,TRUE)&amp;"%"</f>
        <v>CURRENT FEDERAL INCOME TAX @ 35%</v>
      </c>
      <c r="C749" s="3"/>
      <c r="D749" s="325"/>
      <c r="E749" s="46">
        <f ca="1">Classification!F749</f>
        <v>-787669</v>
      </c>
      <c r="F749" s="3">
        <f ca="1">ROUND(+F747*($E$749/$E$747),0)</f>
        <v>-2668066</v>
      </c>
      <c r="G749" s="3">
        <f ca="1">ROUND(+G747*($E$749/$E$747),0)</f>
        <v>1063816</v>
      </c>
      <c r="H749" s="3">
        <f ca="1">ROUND(+H747*($E$749/$E$747),0)</f>
        <v>3023</v>
      </c>
      <c r="I749" s="3">
        <f ca="1">ROUND(+I747*($E$749/$E$747),0)</f>
        <v>41624</v>
      </c>
      <c r="J749" s="3">
        <f ca="1">ROUND(+J747*($E$749/$E$747),0)</f>
        <v>771932</v>
      </c>
      <c r="K749" s="3">
        <f ca="1">ROUND(+K747*Input!$D$27,0)</f>
        <v>0</v>
      </c>
      <c r="L749" s="3">
        <f ca="1">ROUND(+L747*Input!$D$27,0)</f>
        <v>0</v>
      </c>
    </row>
    <row r="750" spans="1:12" ht="11.25" x14ac:dyDescent="0.2">
      <c r="A750" s="3">
        <f>A749+1</f>
        <v>14</v>
      </c>
      <c r="B750" s="3" t="str">
        <f>"PLUS: "&amp;+Input!A528</f>
        <v>PLUS: DIRECT ADJUSTMENT TO F.I.T.</v>
      </c>
      <c r="C750" s="3"/>
      <c r="D750" s="325" t="str">
        <f>VLOOKUP(Input!C528,'Alloc Table Cust'!$A$7:$B$27,2,FALSE)</f>
        <v>19CUST</v>
      </c>
      <c r="E750" s="26">
        <f>Classification!F750</f>
        <v>0</v>
      </c>
      <c r="F750" s="26">
        <f ca="1">ROUND((VLOOKUP($D750,'Alloc Table Cust'!$B$7:$S$58,13,FALSE)*$E750),0)</f>
        <v>0</v>
      </c>
      <c r="G750" s="26">
        <f ca="1">ROUND((VLOOKUP($D750,'Alloc Table Cust'!$B$7:$T$58,14,FALSE)*$E750),0)</f>
        <v>0</v>
      </c>
      <c r="H750" s="26">
        <f ca="1">ROUND((VLOOKUP($D750,'Alloc Table Cust'!$B$7:$T$58,15,FALSE)*$E750),0)</f>
        <v>0</v>
      </c>
      <c r="I750" s="26">
        <f ca="1">ROUND((VLOOKUP($D750,'Alloc Table Cust'!$B$7:$T$58,16,FALSE)*$E750),0)</f>
        <v>0</v>
      </c>
      <c r="J750" s="26">
        <f ca="1">ROUND((VLOOKUP($D750,'Alloc Table Cust'!$B$7:$T$58,17,FALSE)*$E750),0)</f>
        <v>0</v>
      </c>
      <c r="K750" s="26">
        <f ca="1">ROUND((VLOOKUP($D750,'Alloc Table Cust'!$B$7:$T$58,18,FALSE)*$E750),0)</f>
        <v>0</v>
      </c>
      <c r="L750" s="26">
        <f ca="1">ROUND((VLOOKUP($D750,'Alloc Table Cust'!$B$7:$T$58,19,FALSE)*$E750),0)</f>
        <v>0</v>
      </c>
    </row>
    <row r="751" spans="1:12" ht="11.25" x14ac:dyDescent="0.2">
      <c r="A751" s="3">
        <f>A750+1</f>
        <v>15</v>
      </c>
      <c r="B751" s="3" t="str">
        <f>"CURRENT FEDERAL INCOME TAX @ "&amp;FIXED(ROUND(Input!$D$27*100,0),0,TRUE)&amp;"%"</f>
        <v>CURRENT FEDERAL INCOME TAX @ 35%</v>
      </c>
      <c r="C751" s="3"/>
      <c r="D751" s="325"/>
      <c r="E751" s="3">
        <f t="shared" ref="E751:L751" ca="1" si="96">E749+E750</f>
        <v>-787669</v>
      </c>
      <c r="F751" s="3">
        <f t="shared" ca="1" si="96"/>
        <v>-2668066</v>
      </c>
      <c r="G751" s="3">
        <f t="shared" ca="1" si="96"/>
        <v>1063816</v>
      </c>
      <c r="H751" s="3">
        <f t="shared" ca="1" si="96"/>
        <v>3023</v>
      </c>
      <c r="I751" s="3">
        <f t="shared" ca="1" si="96"/>
        <v>41624</v>
      </c>
      <c r="J751" s="3">
        <f t="shared" ca="1" si="96"/>
        <v>771932</v>
      </c>
      <c r="K751" s="3">
        <f t="shared" ca="1" si="96"/>
        <v>0</v>
      </c>
      <c r="L751" s="3">
        <f t="shared" ca="1" si="96"/>
        <v>0</v>
      </c>
    </row>
    <row r="752" spans="1:12" ht="11.25" x14ac:dyDescent="0.2">
      <c r="A752" s="3" t="s">
        <v>817</v>
      </c>
      <c r="B752" s="3"/>
      <c r="C752" s="3"/>
      <c r="D752" s="325"/>
      <c r="E752" s="3"/>
      <c r="F752" s="325" t="str">
        <f>""&amp;+Input!$B$1</f>
        <v>COLUMBIA GAS OF KENTUCKY, INC.</v>
      </c>
      <c r="H752" s="3"/>
      <c r="I752" s="3"/>
      <c r="J752" s="3"/>
      <c r="K752" s="3"/>
      <c r="L752" s="32" t="str">
        <f>Input!$B$2</f>
        <v>ATTACHMENT CEN-2</v>
      </c>
    </row>
    <row r="753" spans="1:12" ht="11.25" x14ac:dyDescent="0.2">
      <c r="A753" s="3" t="str">
        <f>Input!$B$7</f>
        <v>DEMAND-COMMODITY</v>
      </c>
      <c r="B753" s="3"/>
      <c r="C753" s="3"/>
      <c r="D753" s="325"/>
      <c r="E753" s="3"/>
      <c r="F753" s="325" t="s">
        <v>572</v>
      </c>
      <c r="H753" s="3"/>
      <c r="I753" s="3"/>
      <c r="J753" s="3"/>
      <c r="K753" s="3"/>
      <c r="L753" s="32" t="str">
        <f>"PAGE 75 OF "&amp;FIXED(Input!$B$8,0,TRUE)</f>
        <v>PAGE 75 OF 129</v>
      </c>
    </row>
    <row r="754" spans="1:12" ht="11.25" x14ac:dyDescent="0.2">
      <c r="A754" s="17" t="str">
        <f>Input!$B$6</f>
        <v>FORECASTED TEST YEAR - ORIGINAL FILING</v>
      </c>
      <c r="B754" s="17"/>
      <c r="C754" s="17"/>
      <c r="D754" s="34"/>
      <c r="E754" s="17"/>
      <c r="F754" s="19" t="str">
        <f>"FOR THE TWELVE MONTHS ENDED "&amp;Input!$B$4</f>
        <v>FOR THE TWELVE MONTHS ENDED 12/31/2017</v>
      </c>
      <c r="G754" s="329"/>
      <c r="H754" s="17"/>
      <c r="I754" s="17"/>
      <c r="J754" s="17"/>
      <c r="K754" s="17"/>
      <c r="L754" s="183" t="str">
        <f>"WITNESS: "&amp;Input!$B$5</f>
        <v>WITNESS: C. NOTESTONE</v>
      </c>
    </row>
    <row r="755" spans="1:12" ht="11.25" x14ac:dyDescent="0.2">
      <c r="A755" s="325" t="s">
        <v>5</v>
      </c>
      <c r="B755" s="3" t="s">
        <v>6</v>
      </c>
      <c r="C755" s="3"/>
      <c r="D755" s="325" t="s">
        <v>7</v>
      </c>
      <c r="E755" s="325" t="s">
        <v>8</v>
      </c>
      <c r="F755" s="3"/>
      <c r="G755" s="3"/>
      <c r="H755" s="3"/>
      <c r="I755" s="3"/>
      <c r="J755" s="3"/>
      <c r="K755" s="3"/>
      <c r="L755" s="3"/>
    </row>
    <row r="756" spans="1:12" ht="11.25" x14ac:dyDescent="0.2">
      <c r="A756" s="341" t="s">
        <v>9</v>
      </c>
      <c r="B756" s="341" t="s">
        <v>9</v>
      </c>
      <c r="C756" s="341" t="str">
        <f>"                        ACCOUNT TITLE                "</f>
        <v xml:space="preserve">                        ACCOUNT TITLE                </v>
      </c>
      <c r="D756" s="341" t="s">
        <v>10</v>
      </c>
      <c r="E756" s="341" t="s">
        <v>804</v>
      </c>
      <c r="F756" s="341" t="str">
        <f>"  "&amp;+Input!$C$12</f>
        <v xml:space="preserve">  GS-RESIDENTIAL</v>
      </c>
      <c r="G756" s="341" t="str">
        <f>Input!$C$13</f>
        <v>GS-OTHER</v>
      </c>
      <c r="H756" s="341" t="str">
        <f>Input!$C$14</f>
        <v>IUS</v>
      </c>
      <c r="I756" s="341" t="str">
        <f>Input!$C$15</f>
        <v>DS-ML</v>
      </c>
      <c r="J756" s="341" t="str">
        <f>Input!$C$16</f>
        <v>DS/IS</v>
      </c>
      <c r="K756" s="341" t="str">
        <f>Input!$C$17</f>
        <v>NOT USED</v>
      </c>
      <c r="L756" s="341" t="str">
        <f>Input!$C$18</f>
        <v>NOT USED</v>
      </c>
    </row>
    <row r="757" spans="1:12" ht="11.25" x14ac:dyDescent="0.2">
      <c r="A757" s="3"/>
      <c r="B757" s="342" t="s">
        <v>13</v>
      </c>
      <c r="C757" s="342" t="s">
        <v>14</v>
      </c>
      <c r="D757" s="325" t="s">
        <v>15</v>
      </c>
      <c r="E757" s="325" t="s">
        <v>16</v>
      </c>
      <c r="F757" s="325" t="s">
        <v>17</v>
      </c>
      <c r="G757" s="325" t="s">
        <v>18</v>
      </c>
      <c r="H757" s="325" t="s">
        <v>19</v>
      </c>
      <c r="I757" s="325" t="s">
        <v>20</v>
      </c>
      <c r="J757" s="325" t="s">
        <v>21</v>
      </c>
      <c r="K757" s="325" t="s">
        <v>22</v>
      </c>
      <c r="L757" s="325" t="s">
        <v>23</v>
      </c>
    </row>
    <row r="758" spans="1:12" ht="11.25" x14ac:dyDescent="0.2">
      <c r="A758" s="3"/>
      <c r="B758" s="3"/>
      <c r="C758" s="3"/>
      <c r="D758" s="325"/>
      <c r="E758" s="325" t="s">
        <v>26</v>
      </c>
      <c r="F758" s="325" t="s">
        <v>26</v>
      </c>
      <c r="G758" s="325" t="s">
        <v>26</v>
      </c>
      <c r="H758" s="325" t="s">
        <v>26</v>
      </c>
      <c r="I758" s="325" t="s">
        <v>26</v>
      </c>
      <c r="J758" s="325" t="s">
        <v>26</v>
      </c>
      <c r="K758" s="325" t="s">
        <v>26</v>
      </c>
      <c r="L758" s="325" t="s">
        <v>26</v>
      </c>
    </row>
    <row r="759" spans="1:12" ht="11.25" x14ac:dyDescent="0.2">
      <c r="A759" s="3"/>
      <c r="B759" s="3"/>
      <c r="C759" s="3"/>
      <c r="D759" s="325"/>
      <c r="E759" s="3"/>
      <c r="F759" s="3"/>
      <c r="G759" s="3"/>
      <c r="H759" s="3"/>
      <c r="I759" s="3"/>
      <c r="J759" s="3"/>
      <c r="K759" s="3"/>
      <c r="L759" s="3"/>
    </row>
    <row r="760" spans="1:12" ht="11.25" x14ac:dyDescent="0.2">
      <c r="A760" s="3">
        <v>1</v>
      </c>
      <c r="B760" s="3"/>
      <c r="C760" s="3" t="s">
        <v>395</v>
      </c>
      <c r="D760" s="325"/>
      <c r="E760" s="3"/>
      <c r="F760" s="3"/>
      <c r="G760" s="3"/>
      <c r="H760" s="3"/>
      <c r="I760" s="3"/>
      <c r="J760" s="3"/>
      <c r="K760" s="3"/>
      <c r="L760" s="3"/>
    </row>
    <row r="761" spans="1:12" ht="11.25" x14ac:dyDescent="0.2">
      <c r="A761" s="3"/>
      <c r="B761" s="3"/>
      <c r="C761" s="3"/>
      <c r="D761" s="325"/>
      <c r="E761" s="3"/>
      <c r="F761" s="3"/>
      <c r="G761" s="3"/>
      <c r="H761" s="3"/>
      <c r="I761" s="3"/>
      <c r="J761" s="3"/>
      <c r="K761" s="3"/>
      <c r="L761" s="3"/>
    </row>
    <row r="762" spans="1:12" ht="11.25" x14ac:dyDescent="0.2">
      <c r="A762" s="3">
        <f>A760+1</f>
        <v>2</v>
      </c>
      <c r="B762" s="3" t="str">
        <f>"LESS: "&amp;Input!A526</f>
        <v>LESS: AMORT. OF PRIOR YEARS ITC</v>
      </c>
      <c r="C762" s="3"/>
      <c r="D762" s="325" t="str">
        <f>VLOOKUP(Input!C526,'Alloc Table Cust'!$A$7:$B$27,2,FALSE)</f>
        <v>19CUST</v>
      </c>
      <c r="E762" s="3">
        <f>Classification!F762</f>
        <v>14965</v>
      </c>
      <c r="F762" s="3">
        <f ca="1">ROUND((VLOOKUP($D762,'Alloc Table Cust'!$B$7:$S$58,13,FALSE)*$E762),0)</f>
        <v>12369</v>
      </c>
      <c r="G762" s="3">
        <f ca="1">ROUND((VLOOKUP($D762,'Alloc Table Cust'!$B$7:$T$58,14,FALSE)*$E762),0)</f>
        <v>2307</v>
      </c>
      <c r="H762" s="3">
        <f ca="1">ROUND((VLOOKUP($D762,'Alloc Table Cust'!$B$7:$T$58,15,FALSE)*$E762),0)</f>
        <v>1</v>
      </c>
      <c r="I762" s="3">
        <f ca="1">ROUND((VLOOKUP($D762,'Alloc Table Cust'!$B$7:$T$58,16,FALSE)*$E762),0)</f>
        <v>59</v>
      </c>
      <c r="J762" s="3">
        <f ca="1">ROUND((VLOOKUP($D762,'Alloc Table Cust'!$B$7:$T$58,17,FALSE)*$E762),0)</f>
        <v>229</v>
      </c>
      <c r="K762" s="3">
        <f ca="1">ROUND((VLOOKUP($D762,'Alloc Table Cust'!$B$7:$T$58,18,FALSE)*$E762),0)</f>
        <v>0</v>
      </c>
      <c r="L762" s="3">
        <f ca="1">ROUND((VLOOKUP($D762,'Alloc Table Cust'!$B$7:$T$58,19,FALSE)*$E762),0)</f>
        <v>0</v>
      </c>
    </row>
    <row r="763" spans="1:12" ht="11.25" x14ac:dyDescent="0.2">
      <c r="A763" s="3"/>
      <c r="B763" s="3"/>
      <c r="C763" s="3"/>
      <c r="D763" s="325"/>
      <c r="E763" s="3"/>
      <c r="F763" s="3"/>
      <c r="G763" s="3"/>
      <c r="H763" s="3"/>
      <c r="I763" s="3"/>
      <c r="J763" s="3"/>
      <c r="K763" s="3"/>
      <c r="L763" s="3"/>
    </row>
    <row r="764" spans="1:12" ht="11.25" x14ac:dyDescent="0.2">
      <c r="A764" s="3">
        <f>A762+1</f>
        <v>3</v>
      </c>
      <c r="B764" s="3" t="s">
        <v>396</v>
      </c>
      <c r="C764" s="3"/>
      <c r="D764" s="325"/>
      <c r="E764" s="3"/>
      <c r="F764" s="3"/>
      <c r="G764" s="3"/>
      <c r="H764" s="3"/>
      <c r="I764" s="3"/>
      <c r="J764" s="3"/>
      <c r="K764" s="3"/>
      <c r="L764" s="3"/>
    </row>
    <row r="765" spans="1:12" ht="11.25" x14ac:dyDescent="0.2">
      <c r="A765" s="3"/>
      <c r="B765" s="3"/>
      <c r="C765" s="3"/>
      <c r="D765" s="325"/>
      <c r="E765" s="3"/>
      <c r="F765" s="3"/>
      <c r="G765" s="3"/>
      <c r="H765" s="3"/>
      <c r="I765" s="3"/>
      <c r="J765" s="3"/>
      <c r="K765" s="3"/>
      <c r="L765" s="3"/>
    </row>
    <row r="766" spans="1:12" ht="11.25" x14ac:dyDescent="0.2">
      <c r="A766" s="3">
        <f>A764+1</f>
        <v>4</v>
      </c>
      <c r="B766" s="3" t="str">
        <f>Input!A524</f>
        <v>AMORTIZATION OF EXCESS ADIT-FEDERAL</v>
      </c>
      <c r="C766" s="3"/>
      <c r="D766" s="325" t="str">
        <f>VLOOKUP(Input!C524,'Alloc Table Cust'!$A$7:$B$27,2,FALSE)</f>
        <v>19CUST</v>
      </c>
      <c r="E766" s="26">
        <f>Classification!F766</f>
        <v>-22818</v>
      </c>
      <c r="F766" s="26">
        <f ca="1">ROUND((VLOOKUP($D766,'Alloc Table Cust'!$B$7:$S$58,13,FALSE)*$E766),0)</f>
        <v>-18860</v>
      </c>
      <c r="G766" s="26">
        <f ca="1">ROUND((VLOOKUP($D766,'Alloc Table Cust'!$B$7:$T$58,14,FALSE)*$E766),0)</f>
        <v>-3517</v>
      </c>
      <c r="H766" s="26">
        <f ca="1">ROUND((VLOOKUP($D766,'Alloc Table Cust'!$B$7:$T$58,15,FALSE)*$E766),0)</f>
        <v>-1</v>
      </c>
      <c r="I766" s="26">
        <f ca="1">ROUND((VLOOKUP($D766,'Alloc Table Cust'!$B$7:$T$58,16,FALSE)*$E766),0)</f>
        <v>-90</v>
      </c>
      <c r="J766" s="26">
        <f ca="1">ROUND((VLOOKUP($D766,'Alloc Table Cust'!$B$7:$T$58,17,FALSE)*$E766),0)</f>
        <v>-349</v>
      </c>
      <c r="K766" s="26">
        <f ca="1">ROUND((VLOOKUP($D766,'Alloc Table Cust'!$B$7:$T$58,18,FALSE)*$E766),0)</f>
        <v>0</v>
      </c>
      <c r="L766" s="26">
        <f ca="1">ROUND((VLOOKUP($D766,'Alloc Table Cust'!$B$7:$T$58,19,FALSE)*$E766),0)</f>
        <v>0</v>
      </c>
    </row>
    <row r="767" spans="1:12" ht="11.25" x14ac:dyDescent="0.2">
      <c r="A767" s="3">
        <f>A766+1</f>
        <v>5</v>
      </c>
      <c r="B767" s="3" t="s">
        <v>397</v>
      </c>
      <c r="C767" s="3"/>
      <c r="D767" s="325"/>
      <c r="E767" s="23">
        <f t="shared" ref="E767:L767" si="97">SUM(E766:E766)</f>
        <v>-22818</v>
      </c>
      <c r="F767" s="23">
        <f t="shared" ca="1" si="97"/>
        <v>-18860</v>
      </c>
      <c r="G767" s="23">
        <f t="shared" ca="1" si="97"/>
        <v>-3517</v>
      </c>
      <c r="H767" s="23">
        <f t="shared" ca="1" si="97"/>
        <v>-1</v>
      </c>
      <c r="I767" s="23">
        <f t="shared" ca="1" si="97"/>
        <v>-90</v>
      </c>
      <c r="J767" s="23">
        <f t="shared" ca="1" si="97"/>
        <v>-349</v>
      </c>
      <c r="K767" s="23">
        <f t="shared" ca="1" si="97"/>
        <v>0</v>
      </c>
      <c r="L767" s="23">
        <f t="shared" ca="1" si="97"/>
        <v>0</v>
      </c>
    </row>
    <row r="768" spans="1:12" ht="11.25" x14ac:dyDescent="0.2">
      <c r="A768" s="3"/>
      <c r="B768" s="3"/>
      <c r="C768" s="3"/>
      <c r="D768" s="325"/>
      <c r="E768" s="3"/>
      <c r="F768" s="3"/>
      <c r="G768" s="3"/>
      <c r="H768" s="3"/>
      <c r="I768" s="3"/>
      <c r="J768" s="3"/>
      <c r="K768" s="3"/>
      <c r="L768" s="3"/>
    </row>
    <row r="769" spans="1:12" ht="11.25" x14ac:dyDescent="0.2">
      <c r="A769" s="3">
        <f>A767+1</f>
        <v>6</v>
      </c>
      <c r="B769" s="3" t="s">
        <v>388</v>
      </c>
      <c r="C769" s="3"/>
      <c r="D769" s="325"/>
      <c r="E769" s="26">
        <f t="shared" ref="E769:L769" si="98">-E762+E767</f>
        <v>-37783</v>
      </c>
      <c r="F769" s="26">
        <f t="shared" ca="1" si="98"/>
        <v>-31229</v>
      </c>
      <c r="G769" s="26">
        <f t="shared" ca="1" si="98"/>
        <v>-5824</v>
      </c>
      <c r="H769" s="26">
        <f t="shared" ca="1" si="98"/>
        <v>-2</v>
      </c>
      <c r="I769" s="26">
        <f t="shared" ca="1" si="98"/>
        <v>-149</v>
      </c>
      <c r="J769" s="26">
        <f t="shared" ca="1" si="98"/>
        <v>-578</v>
      </c>
      <c r="K769" s="26">
        <f t="shared" ca="1" si="98"/>
        <v>0</v>
      </c>
      <c r="L769" s="26">
        <f t="shared" ca="1" si="98"/>
        <v>0</v>
      </c>
    </row>
    <row r="770" spans="1:12" ht="11.25" x14ac:dyDescent="0.2">
      <c r="A770" s="3"/>
      <c r="B770" s="3"/>
      <c r="C770" s="3"/>
      <c r="D770" s="325"/>
      <c r="E770" s="3"/>
      <c r="F770" s="3"/>
      <c r="G770" s="3"/>
      <c r="H770" s="3"/>
      <c r="I770" s="3"/>
      <c r="J770" s="3"/>
      <c r="K770" s="3"/>
      <c r="L770" s="3"/>
    </row>
    <row r="771" spans="1:12" ht="11.25" x14ac:dyDescent="0.2">
      <c r="A771" s="3">
        <f>A769+1</f>
        <v>7</v>
      </c>
      <c r="B771" s="3" t="s">
        <v>398</v>
      </c>
      <c r="C771" s="3"/>
      <c r="D771" s="325"/>
      <c r="E771" s="3">
        <f ca="1">Customer!E751+E769</f>
        <v>-825452</v>
      </c>
      <c r="F771" s="3">
        <f ca="1">Customer!F751+F769</f>
        <v>-2699295</v>
      </c>
      <c r="G771" s="3">
        <f ca="1">Customer!G751+G769</f>
        <v>1057992</v>
      </c>
      <c r="H771" s="3">
        <f ca="1">Customer!H751+H769</f>
        <v>3021</v>
      </c>
      <c r="I771" s="3">
        <f ca="1">Customer!I751+I769</f>
        <v>41475</v>
      </c>
      <c r="J771" s="3">
        <f ca="1">Customer!J751+J769</f>
        <v>771354</v>
      </c>
      <c r="K771" s="3">
        <f ca="1">Customer!K751+K769</f>
        <v>0</v>
      </c>
      <c r="L771" s="3">
        <f ca="1">Customer!L751+L769</f>
        <v>0</v>
      </c>
    </row>
    <row r="772" spans="1:12" ht="11.25" x14ac:dyDescent="0.2">
      <c r="A772" s="3" t="s">
        <v>817</v>
      </c>
      <c r="B772" s="3"/>
      <c r="C772" s="14"/>
      <c r="D772" s="325"/>
      <c r="E772" s="15"/>
      <c r="F772" s="325" t="str">
        <f>""&amp;+Input!$B$1</f>
        <v>COLUMBIA GAS OF KENTUCKY, INC.</v>
      </c>
      <c r="H772" s="3"/>
      <c r="I772" s="3"/>
      <c r="J772" s="3"/>
      <c r="K772" s="3"/>
      <c r="L772" s="32" t="str">
        <f>Input!$B$2</f>
        <v>ATTACHMENT CEN-2</v>
      </c>
    </row>
    <row r="773" spans="1:12" ht="11.25" x14ac:dyDescent="0.2">
      <c r="A773" s="3" t="str">
        <f>Input!$B$7</f>
        <v>DEMAND-COMMODITY</v>
      </c>
      <c r="B773" s="3"/>
      <c r="C773" s="3"/>
      <c r="D773" s="325"/>
      <c r="E773" s="3"/>
      <c r="F773" s="325" t="s">
        <v>573</v>
      </c>
      <c r="H773" s="3"/>
      <c r="I773" s="3"/>
      <c r="J773" s="3"/>
      <c r="K773" s="3"/>
      <c r="L773" s="32" t="str">
        <f>"PAGE 76 OF "&amp;FIXED(Input!$B$8,0,TRUE)</f>
        <v>PAGE 76 OF 129</v>
      </c>
    </row>
    <row r="774" spans="1:12" ht="11.25" x14ac:dyDescent="0.2">
      <c r="A774" s="17" t="str">
        <f>Input!$B$6</f>
        <v>FORECASTED TEST YEAR - ORIGINAL FILING</v>
      </c>
      <c r="B774" s="17"/>
      <c r="C774" s="17"/>
      <c r="D774" s="34"/>
      <c r="E774" s="17"/>
      <c r="F774" s="19" t="str">
        <f>"FOR THE TWELVE MONTHS ENDED "&amp;Input!$B$4</f>
        <v>FOR THE TWELVE MONTHS ENDED 12/31/2017</v>
      </c>
      <c r="G774" s="329"/>
      <c r="H774" s="17"/>
      <c r="I774" s="17"/>
      <c r="J774" s="17"/>
      <c r="K774" s="17"/>
      <c r="L774" s="183" t="str">
        <f>"WITNESS: "&amp;Input!$B$5</f>
        <v>WITNESS: C. NOTESTONE</v>
      </c>
    </row>
    <row r="775" spans="1:12" ht="11.25" x14ac:dyDescent="0.2">
      <c r="A775" s="325" t="s">
        <v>5</v>
      </c>
      <c r="B775" s="3" t="s">
        <v>6</v>
      </c>
      <c r="C775" s="3"/>
      <c r="D775" s="325" t="s">
        <v>7</v>
      </c>
      <c r="E775" s="325" t="s">
        <v>8</v>
      </c>
      <c r="F775" s="3"/>
      <c r="G775" s="3"/>
      <c r="H775" s="3"/>
      <c r="I775" s="3"/>
      <c r="J775" s="3"/>
      <c r="K775" s="3"/>
      <c r="L775" s="3"/>
    </row>
    <row r="776" spans="1:12" ht="11.25" x14ac:dyDescent="0.2">
      <c r="A776" s="341" t="s">
        <v>9</v>
      </c>
      <c r="B776" s="341" t="s">
        <v>9</v>
      </c>
      <c r="C776" s="341" t="str">
        <f>"                        ACCOUNT TITLE                "</f>
        <v xml:space="preserve">                        ACCOUNT TITLE                </v>
      </c>
      <c r="D776" s="341" t="s">
        <v>10</v>
      </c>
      <c r="E776" s="341" t="s">
        <v>804</v>
      </c>
      <c r="F776" s="341" t="str">
        <f>"  "&amp;+Input!$C$12</f>
        <v xml:space="preserve">  GS-RESIDENTIAL</v>
      </c>
      <c r="G776" s="341" t="str">
        <f>Input!$C$13</f>
        <v>GS-OTHER</v>
      </c>
      <c r="H776" s="341" t="str">
        <f>Input!$C$14</f>
        <v>IUS</v>
      </c>
      <c r="I776" s="341" t="str">
        <f>Input!$C$15</f>
        <v>DS-ML</v>
      </c>
      <c r="J776" s="341" t="str">
        <f>Input!$C$16</f>
        <v>DS/IS</v>
      </c>
      <c r="K776" s="341" t="str">
        <f>Input!$C$17</f>
        <v>NOT USED</v>
      </c>
      <c r="L776" s="341" t="str">
        <f>Input!$C$18</f>
        <v>NOT USED</v>
      </c>
    </row>
    <row r="777" spans="1:12" ht="11.25" x14ac:dyDescent="0.2">
      <c r="A777" s="3"/>
      <c r="B777" s="342" t="s">
        <v>13</v>
      </c>
      <c r="C777" s="342" t="s">
        <v>14</v>
      </c>
      <c r="D777" s="325" t="s">
        <v>15</v>
      </c>
      <c r="E777" s="325" t="s">
        <v>16</v>
      </c>
      <c r="F777" s="325" t="s">
        <v>17</v>
      </c>
      <c r="G777" s="325" t="s">
        <v>18</v>
      </c>
      <c r="H777" s="325" t="s">
        <v>19</v>
      </c>
      <c r="I777" s="325" t="s">
        <v>20</v>
      </c>
      <c r="J777" s="325" t="s">
        <v>21</v>
      </c>
      <c r="K777" s="325" t="s">
        <v>22</v>
      </c>
      <c r="L777" s="325" t="s">
        <v>23</v>
      </c>
    </row>
    <row r="778" spans="1:12" ht="11.25" x14ac:dyDescent="0.2">
      <c r="A778" s="3"/>
      <c r="B778" s="3"/>
      <c r="C778" s="3"/>
      <c r="D778" s="325"/>
      <c r="E778" s="325" t="s">
        <v>26</v>
      </c>
      <c r="F778" s="325" t="s">
        <v>26</v>
      </c>
      <c r="G778" s="325" t="s">
        <v>26</v>
      </c>
      <c r="H778" s="325" t="s">
        <v>26</v>
      </c>
      <c r="I778" s="325" t="s">
        <v>26</v>
      </c>
      <c r="J778" s="325" t="s">
        <v>26</v>
      </c>
      <c r="K778" s="325" t="s">
        <v>26</v>
      </c>
      <c r="L778" s="325" t="s">
        <v>26</v>
      </c>
    </row>
    <row r="779" spans="1:12" ht="11.25" x14ac:dyDescent="0.2">
      <c r="A779" s="3">
        <v>1</v>
      </c>
      <c r="B779" s="3" t="s">
        <v>807</v>
      </c>
      <c r="C779" s="3"/>
      <c r="D779" s="325"/>
      <c r="E779" s="23">
        <f>Customer!E205</f>
        <v>183244104</v>
      </c>
      <c r="F779" s="23">
        <f ca="1">Customer!F205</f>
        <v>151459098</v>
      </c>
      <c r="G779" s="23">
        <f ca="1">Customer!G205</f>
        <v>28245419</v>
      </c>
      <c r="H779" s="23">
        <f ca="1">Customer!H205</f>
        <v>7776</v>
      </c>
      <c r="I779" s="23">
        <f ca="1">Customer!I205</f>
        <v>725830</v>
      </c>
      <c r="J779" s="23">
        <f ca="1">Customer!J205</f>
        <v>2806006</v>
      </c>
      <c r="K779" s="23">
        <f ca="1">Customer!K205</f>
        <v>0</v>
      </c>
      <c r="L779" s="23">
        <f ca="1">Customer!L205</f>
        <v>0</v>
      </c>
    </row>
    <row r="780" spans="1:12" ht="11.25" x14ac:dyDescent="0.2">
      <c r="A780" s="3"/>
      <c r="B780" s="3" t="s">
        <v>399</v>
      </c>
      <c r="C780" s="3"/>
      <c r="D780" s="325"/>
      <c r="E780" s="3"/>
      <c r="F780" s="3"/>
      <c r="G780" s="3"/>
      <c r="H780" s="3"/>
      <c r="I780" s="3"/>
      <c r="J780" s="3"/>
      <c r="K780" s="3"/>
      <c r="L780" s="3"/>
    </row>
    <row r="781" spans="1:12" ht="11.25" x14ac:dyDescent="0.2">
      <c r="A781" s="3">
        <f>A779+1</f>
        <v>2</v>
      </c>
      <c r="B781" s="3" t="s">
        <v>400</v>
      </c>
      <c r="C781" s="3" t="s">
        <v>401</v>
      </c>
      <c r="D781" s="325"/>
      <c r="E781" s="26">
        <f>Customer!E291</f>
        <v>80730256</v>
      </c>
      <c r="F781" s="26">
        <f ca="1">Customer!F291</f>
        <v>67831648</v>
      </c>
      <c r="G781" s="26">
        <f ca="1">Customer!G291</f>
        <v>11787646</v>
      </c>
      <c r="H781" s="26">
        <f ca="1">Customer!H291</f>
        <v>2863</v>
      </c>
      <c r="I781" s="26">
        <f ca="1">Customer!I291</f>
        <v>151981</v>
      </c>
      <c r="J781" s="26">
        <f ca="1">Customer!J291</f>
        <v>956121</v>
      </c>
      <c r="K781" s="26">
        <f ca="1">Customer!K291</f>
        <v>0</v>
      </c>
      <c r="L781" s="26">
        <f ca="1">Customer!L291</f>
        <v>0</v>
      </c>
    </row>
    <row r="782" spans="1:12" ht="11.25" x14ac:dyDescent="0.2">
      <c r="A782" s="3">
        <f>A781+1</f>
        <v>3</v>
      </c>
      <c r="B782" s="3"/>
      <c r="C782" s="3" t="s">
        <v>402</v>
      </c>
      <c r="D782" s="325"/>
      <c r="E782" s="23">
        <f t="shared" ref="E782:L782" si="99">E779-E781</f>
        <v>102513848</v>
      </c>
      <c r="F782" s="23">
        <f t="shared" ca="1" si="99"/>
        <v>83627450</v>
      </c>
      <c r="G782" s="23">
        <f t="shared" ca="1" si="99"/>
        <v>16457773</v>
      </c>
      <c r="H782" s="23">
        <f t="shared" ca="1" si="99"/>
        <v>4913</v>
      </c>
      <c r="I782" s="23">
        <f t="shared" ca="1" si="99"/>
        <v>573849</v>
      </c>
      <c r="J782" s="23">
        <f t="shared" ca="1" si="99"/>
        <v>1849885</v>
      </c>
      <c r="K782" s="23">
        <f t="shared" ca="1" si="99"/>
        <v>0</v>
      </c>
      <c r="L782" s="23">
        <f t="shared" ca="1" si="99"/>
        <v>0</v>
      </c>
    </row>
    <row r="783" spans="1:12" ht="11.25" x14ac:dyDescent="0.2">
      <c r="A783" s="3"/>
      <c r="B783" s="3"/>
      <c r="C783" s="3"/>
      <c r="D783" s="325"/>
      <c r="E783" s="3"/>
      <c r="F783" s="3"/>
      <c r="G783" s="3"/>
      <c r="H783" s="3"/>
      <c r="I783" s="3"/>
      <c r="J783" s="3"/>
      <c r="K783" s="3"/>
      <c r="L783" s="3"/>
    </row>
    <row r="784" spans="1:12" ht="11.25" x14ac:dyDescent="0.2">
      <c r="A784" s="3">
        <f>A782+1</f>
        <v>4</v>
      </c>
      <c r="B784" s="24">
        <f>Input!A69</f>
        <v>190</v>
      </c>
      <c r="C784" s="3" t="str">
        <f>Input!B69</f>
        <v>ACCUMULATED DEF INCOME TAX</v>
      </c>
      <c r="D784" s="325" t="str">
        <f>VLOOKUP(Input!C69,'Alloc Table Cust'!$A$7:$B$27,2,FALSE)</f>
        <v>19CUST</v>
      </c>
      <c r="E784" s="3">
        <f>Classification!F784</f>
        <v>2253872</v>
      </c>
      <c r="F784" s="3">
        <f ca="1">ROUND((VLOOKUP($D784,'Alloc Table Cust'!$B$7:$S$58,13,FALSE)*$E784),0)</f>
        <v>1862938</v>
      </c>
      <c r="G784" s="3">
        <f ca="1">ROUND((VLOOKUP($D784,'Alloc Table Cust'!$B$7:$T$58,14,FALSE)*$E784),0)</f>
        <v>347412</v>
      </c>
      <c r="H784" s="3">
        <f ca="1">ROUND((VLOOKUP($D784,'Alloc Table Cust'!$B$7:$T$58,15,FALSE)*$E784),0)</f>
        <v>90</v>
      </c>
      <c r="I784" s="3">
        <f ca="1">ROUND((VLOOKUP($D784,'Alloc Table Cust'!$B$7:$T$58,16,FALSE)*$E784),0)</f>
        <v>8925</v>
      </c>
      <c r="J784" s="3">
        <f ca="1">ROUND((VLOOKUP($D784,'Alloc Table Cust'!$B$7:$T$58,17,FALSE)*$E784),0)</f>
        <v>34507</v>
      </c>
      <c r="K784" s="3">
        <f ca="1">ROUND((VLOOKUP($D784,'Alloc Table Cust'!$B$7:$T$58,18,FALSE)*$E784),0)</f>
        <v>0</v>
      </c>
      <c r="L784" s="3">
        <f ca="1">ROUND((VLOOKUP($D784,'Alloc Table Cust'!$B$7:$T$58,19,FALSE)*$E784),0)</f>
        <v>0</v>
      </c>
    </row>
    <row r="785" spans="1:12" ht="11.25" x14ac:dyDescent="0.2">
      <c r="A785" s="3"/>
      <c r="B785" s="3" t="s">
        <v>399</v>
      </c>
      <c r="C785" s="3"/>
      <c r="D785" s="325"/>
      <c r="E785" s="3"/>
      <c r="F785" s="3"/>
      <c r="G785" s="3"/>
      <c r="H785" s="3"/>
      <c r="I785" s="3"/>
      <c r="J785" s="3"/>
      <c r="K785" s="3"/>
      <c r="L785" s="3"/>
    </row>
    <row r="786" spans="1:12" ht="11.25" x14ac:dyDescent="0.2">
      <c r="A786" s="3">
        <f>A784+1</f>
        <v>5</v>
      </c>
      <c r="B786" s="24">
        <f>Input!A70</f>
        <v>252</v>
      </c>
      <c r="C786" s="3" t="str">
        <f>Input!B70</f>
        <v>CUSTOMER ADVANCES</v>
      </c>
      <c r="D786" s="325">
        <f>Input!C70</f>
        <v>5</v>
      </c>
      <c r="E786" s="3">
        <f>Classification!F786</f>
        <v>0</v>
      </c>
      <c r="F786" s="3">
        <f>ROUND((VLOOKUP($D786,'Alloc Table Cust'!$B$7:$S$58,13,FALSE)*$E786),0)</f>
        <v>0</v>
      </c>
      <c r="G786" s="3">
        <f>ROUND((VLOOKUP($D786,'Alloc Table Cust'!$B$7:$T$58,14,FALSE)*$E786),0)</f>
        <v>0</v>
      </c>
      <c r="H786" s="3">
        <f>ROUND((VLOOKUP($D786,'Alloc Table Cust'!$B$7:$T$58,15,FALSE)*$E786),0)</f>
        <v>0</v>
      </c>
      <c r="I786" s="3">
        <f>ROUND((VLOOKUP($D786,'Alloc Table Cust'!$B$7:$T$58,16,FALSE)*$E786),0)</f>
        <v>0</v>
      </c>
      <c r="J786" s="3">
        <f>ROUND((VLOOKUP($D786,'Alloc Table Cust'!$B$7:$T$58,17,FALSE)*$E786),0)</f>
        <v>0</v>
      </c>
      <c r="K786" s="3">
        <f>ROUND((VLOOKUP($D786,'Alloc Table Cust'!$B$7:$T$58,18,FALSE)*$E786),0)</f>
        <v>0</v>
      </c>
      <c r="L786" s="3">
        <f>ROUND((VLOOKUP($D786,'Alloc Table Cust'!$B$7:$T$58,19,FALSE)*$E786),0)</f>
        <v>0</v>
      </c>
    </row>
    <row r="787" spans="1:12" ht="11.25" x14ac:dyDescent="0.2">
      <c r="A787" s="3">
        <f>A786+1</f>
        <v>6</v>
      </c>
      <c r="B787" s="24">
        <f>Input!A71</f>
        <v>255</v>
      </c>
      <c r="C787" s="3" t="str">
        <f>Input!B71</f>
        <v>(1962 - 69) INVESTMENT TAX CREDIT</v>
      </c>
      <c r="D787" s="325" t="str">
        <f>VLOOKUP(Input!C71,'Alloc Table Cust'!$A$7:$B$27,2,FALSE)</f>
        <v>19CUST</v>
      </c>
      <c r="E787" s="3">
        <f>Classification!F787</f>
        <v>0</v>
      </c>
      <c r="F787" s="3">
        <f ca="1">ROUND((VLOOKUP($D787,'Alloc Table Cust'!$B$7:$S$58,13,FALSE)*$E787),0)</f>
        <v>0</v>
      </c>
      <c r="G787" s="3">
        <f ca="1">ROUND((VLOOKUP($D787,'Alloc Table Cust'!$B$7:$T$58,14,FALSE)*$E787),0)</f>
        <v>0</v>
      </c>
      <c r="H787" s="3">
        <f ca="1">ROUND((VLOOKUP($D787,'Alloc Table Cust'!$B$7:$T$58,15,FALSE)*$E787),0)</f>
        <v>0</v>
      </c>
      <c r="I787" s="3">
        <f ca="1">ROUND((VLOOKUP($D787,'Alloc Table Cust'!$B$7:$T$58,16,FALSE)*$E787),0)</f>
        <v>0</v>
      </c>
      <c r="J787" s="3">
        <f ca="1">ROUND((VLOOKUP($D787,'Alloc Table Cust'!$B$7:$T$58,17,FALSE)*$E787),0)</f>
        <v>0</v>
      </c>
      <c r="K787" s="3">
        <f ca="1">ROUND((VLOOKUP($D787,'Alloc Table Cust'!$B$7:$T$58,18,FALSE)*$E787),0)</f>
        <v>0</v>
      </c>
      <c r="L787" s="3">
        <f ca="1">ROUND((VLOOKUP($D787,'Alloc Table Cust'!$B$7:$T$58,19,FALSE)*$E787),0)</f>
        <v>0</v>
      </c>
    </row>
    <row r="788" spans="1:12" ht="11.25" x14ac:dyDescent="0.2">
      <c r="A788" s="3">
        <f>A787+1</f>
        <v>7</v>
      </c>
      <c r="B788" s="24">
        <f>Input!A72</f>
        <v>282</v>
      </c>
      <c r="C788" s="3" t="str">
        <f>Input!B72</f>
        <v>ACCUMULATED DEF INCOME TAX</v>
      </c>
      <c r="D788" s="325" t="str">
        <f>VLOOKUP(Input!C72,'Alloc Table Cust'!$A$7:$B$27,2,FALSE)</f>
        <v>19CUST</v>
      </c>
      <c r="E788" s="3">
        <f>Classification!F788</f>
        <v>36058661</v>
      </c>
      <c r="F788" s="3">
        <f ca="1">ROUND((VLOOKUP($D788,'Alloc Table Cust'!$B$7:$S$58,13,FALSE)*$E788),0)</f>
        <v>29804286</v>
      </c>
      <c r="G788" s="3">
        <f ca="1">ROUND((VLOOKUP($D788,'Alloc Table Cust'!$B$7:$T$58,14,FALSE)*$E788),0)</f>
        <v>5558082</v>
      </c>
      <c r="H788" s="3">
        <f ca="1">ROUND((VLOOKUP($D788,'Alloc Table Cust'!$B$7:$T$58,15,FALSE)*$E788),0)</f>
        <v>1442</v>
      </c>
      <c r="I788" s="3">
        <f ca="1">ROUND((VLOOKUP($D788,'Alloc Table Cust'!$B$7:$T$58,16,FALSE)*$E788),0)</f>
        <v>142792</v>
      </c>
      <c r="J788" s="3">
        <f ca="1">ROUND((VLOOKUP($D788,'Alloc Table Cust'!$B$7:$T$58,17,FALSE)*$E788),0)</f>
        <v>552058</v>
      </c>
      <c r="K788" s="3">
        <f ca="1">ROUND((VLOOKUP($D788,'Alloc Table Cust'!$B$7:$T$58,18,FALSE)*$E788),0)</f>
        <v>0</v>
      </c>
      <c r="L788" s="3">
        <f ca="1">ROUND((VLOOKUP($D788,'Alloc Table Cust'!$B$7:$T$58,19,FALSE)*$E788),0)</f>
        <v>0</v>
      </c>
    </row>
    <row r="789" spans="1:12" ht="11.25" x14ac:dyDescent="0.2">
      <c r="A789" s="3">
        <f>A788+1</f>
        <v>8</v>
      </c>
      <c r="B789" s="24">
        <f>Input!A73</f>
        <v>283</v>
      </c>
      <c r="C789" s="3" t="str">
        <f>Input!B73</f>
        <v>ACCUMULATED DEF INCOME TAX</v>
      </c>
      <c r="D789" s="325" t="str">
        <f>VLOOKUP(Input!C73,'Alloc Table Cust'!$A$7:$B$27,2,FALSE)</f>
        <v>19CUST</v>
      </c>
      <c r="E789" s="26">
        <f>Classification!F789</f>
        <v>0</v>
      </c>
      <c r="F789" s="26">
        <f ca="1">ROUND((VLOOKUP($D789,'Alloc Table Cust'!$B$7:$S$58,13,FALSE)*$E789),0)</f>
        <v>0</v>
      </c>
      <c r="G789" s="26">
        <f ca="1">ROUND((VLOOKUP($D789,'Alloc Table Cust'!$B$7:$T$58,14,FALSE)*$E789),0)</f>
        <v>0</v>
      </c>
      <c r="H789" s="26">
        <f ca="1">ROUND((VLOOKUP($D789,'Alloc Table Cust'!$B$7:$T$58,15,FALSE)*$E789),0)</f>
        <v>0</v>
      </c>
      <c r="I789" s="26">
        <f ca="1">ROUND((VLOOKUP($D789,'Alloc Table Cust'!$B$7:$T$58,16,FALSE)*$E789),0)</f>
        <v>0</v>
      </c>
      <c r="J789" s="26">
        <f ca="1">ROUND((VLOOKUP($D789,'Alloc Table Cust'!$B$7:$T$58,17,FALSE)*$E789),0)</f>
        <v>0</v>
      </c>
      <c r="K789" s="26">
        <f ca="1">ROUND((VLOOKUP($D789,'Alloc Table Cust'!$B$7:$T$58,18,FALSE)*$E789),0)</f>
        <v>0</v>
      </c>
      <c r="L789" s="26">
        <f ca="1">ROUND((VLOOKUP($D789,'Alloc Table Cust'!$B$7:$T$58,19,FALSE)*$E789),0)</f>
        <v>0</v>
      </c>
    </row>
    <row r="790" spans="1:12" ht="11.25" x14ac:dyDescent="0.2">
      <c r="A790" s="3">
        <f>A789+1</f>
        <v>9</v>
      </c>
      <c r="B790" s="3"/>
      <c r="C790" s="3" t="s">
        <v>403</v>
      </c>
      <c r="D790" s="325"/>
      <c r="E790" s="23">
        <f t="shared" ref="E790:L790" si="100">E782-SUM(E786:E789)+E784</f>
        <v>68709059</v>
      </c>
      <c r="F790" s="23">
        <f t="shared" ca="1" si="100"/>
        <v>55686102</v>
      </c>
      <c r="G790" s="23">
        <f t="shared" ca="1" si="100"/>
        <v>11247103</v>
      </c>
      <c r="H790" s="23">
        <f t="shared" ca="1" si="100"/>
        <v>3561</v>
      </c>
      <c r="I790" s="23">
        <f t="shared" ca="1" si="100"/>
        <v>439982</v>
      </c>
      <c r="J790" s="23">
        <f t="shared" ca="1" si="100"/>
        <v>1332334</v>
      </c>
      <c r="K790" s="23">
        <f t="shared" ca="1" si="100"/>
        <v>0</v>
      </c>
      <c r="L790" s="23">
        <f t="shared" ca="1" si="100"/>
        <v>0</v>
      </c>
    </row>
    <row r="791" spans="1:12" ht="11.25" x14ac:dyDescent="0.2">
      <c r="A791" s="3"/>
      <c r="B791" s="3"/>
      <c r="C791" s="3"/>
      <c r="D791" s="325"/>
      <c r="E791" s="3"/>
      <c r="F791" s="3"/>
      <c r="G791" s="3"/>
      <c r="H791" s="3"/>
      <c r="I791" s="3"/>
      <c r="J791" s="3"/>
      <c r="K791" s="3"/>
      <c r="L791" s="3"/>
    </row>
    <row r="792" spans="1:12" ht="11.25" x14ac:dyDescent="0.2">
      <c r="A792" s="3">
        <f>A790+1</f>
        <v>10</v>
      </c>
      <c r="B792" s="3" t="s">
        <v>404</v>
      </c>
      <c r="C792" s="3"/>
      <c r="D792" s="325"/>
      <c r="E792" s="3"/>
      <c r="F792" s="3"/>
      <c r="G792" s="3"/>
      <c r="H792" s="3"/>
      <c r="I792" s="3"/>
      <c r="J792" s="3"/>
      <c r="K792" s="3"/>
      <c r="L792" s="3"/>
    </row>
    <row r="793" spans="1:12" ht="11.25" x14ac:dyDescent="0.2">
      <c r="A793" s="3"/>
      <c r="B793" s="3"/>
      <c r="C793" s="3"/>
      <c r="D793" s="325"/>
      <c r="E793" s="3"/>
      <c r="F793" s="3"/>
      <c r="G793" s="3"/>
      <c r="H793" s="3"/>
      <c r="I793" s="3"/>
      <c r="J793" s="3"/>
      <c r="K793" s="3"/>
      <c r="L793" s="3"/>
    </row>
    <row r="794" spans="1:12" ht="11.25" x14ac:dyDescent="0.2">
      <c r="A794" s="3">
        <f>A792+1</f>
        <v>11</v>
      </c>
      <c r="B794" s="3" t="s">
        <v>405</v>
      </c>
      <c r="C794" s="3"/>
      <c r="D794" s="325"/>
      <c r="E794" s="3"/>
      <c r="F794" s="3"/>
      <c r="G794" s="3"/>
      <c r="H794" s="3"/>
      <c r="I794" s="3"/>
      <c r="J794" s="3"/>
      <c r="K794" s="3"/>
      <c r="L794" s="3"/>
    </row>
    <row r="795" spans="1:12" ht="11.25" x14ac:dyDescent="0.2">
      <c r="A795" s="3">
        <f t="shared" ref="A795:A800" si="101">A794+1</f>
        <v>12</v>
      </c>
      <c r="B795" s="3" t="s">
        <v>406</v>
      </c>
      <c r="C795" s="3"/>
      <c r="D795" s="325"/>
      <c r="E795" s="3">
        <f t="shared" ref="E795:L795" ca="1" si="102">ROUND(E806/8,0)</f>
        <v>3352190</v>
      </c>
      <c r="F795" s="3">
        <f t="shared" ca="1" si="102"/>
        <v>2778616</v>
      </c>
      <c r="G795" s="3">
        <f t="shared" ca="1" si="102"/>
        <v>536633</v>
      </c>
      <c r="H795" s="3">
        <f t="shared" ca="1" si="102"/>
        <v>164</v>
      </c>
      <c r="I795" s="3">
        <f t="shared" ca="1" si="102"/>
        <v>7302</v>
      </c>
      <c r="J795" s="3">
        <f t="shared" ca="1" si="102"/>
        <v>29475</v>
      </c>
      <c r="K795" s="3">
        <f t="shared" ca="1" si="102"/>
        <v>0</v>
      </c>
      <c r="L795" s="3">
        <f t="shared" ca="1" si="102"/>
        <v>0</v>
      </c>
    </row>
    <row r="796" spans="1:12" ht="11.25" x14ac:dyDescent="0.2">
      <c r="A796" s="3">
        <f t="shared" si="101"/>
        <v>13</v>
      </c>
      <c r="B796" s="24">
        <f>Input!A68</f>
        <v>151</v>
      </c>
      <c r="C796" s="3" t="str">
        <f>Input!B68</f>
        <v>FUEL STOCK</v>
      </c>
      <c r="D796" s="325">
        <f>Input!C68</f>
        <v>2</v>
      </c>
      <c r="E796" s="3">
        <f>Classification!F796</f>
        <v>0</v>
      </c>
      <c r="F796" s="3">
        <f>ROUND((VLOOKUP($D796,'Alloc Table Cust'!$B$7:$S$58,13,FALSE)*$E796),0)</f>
        <v>0</v>
      </c>
      <c r="G796" s="3">
        <f>ROUND((VLOOKUP($D796,'Alloc Table Cust'!$B$7:$T$58,14,FALSE)*$E796),0)</f>
        <v>0</v>
      </c>
      <c r="H796" s="3">
        <f>ROUND((VLOOKUP($D796,'Alloc Table Cust'!$B$7:$T$58,15,FALSE)*$E796),0)</f>
        <v>0</v>
      </c>
      <c r="I796" s="3">
        <f>ROUND((VLOOKUP($D796,'Alloc Table Cust'!$B$7:$T$58,16,FALSE)*$E796),0)</f>
        <v>0</v>
      </c>
      <c r="J796" s="3">
        <f>ROUND((VLOOKUP($D796,'Alloc Table Cust'!$B$7:$T$58,17,FALSE)*$E796),0)</f>
        <v>0</v>
      </c>
      <c r="K796" s="3">
        <f>ROUND((VLOOKUP($D796,'Alloc Table Cust'!$B$7:$T$58,18,FALSE)*$E796),0)</f>
        <v>0</v>
      </c>
      <c r="L796" s="3">
        <f>ROUND((VLOOKUP($D796,'Alloc Table Cust'!$B$7:$T$58,19,FALSE)*$E796),0)</f>
        <v>0</v>
      </c>
    </row>
    <row r="797" spans="1:12" ht="11.25" x14ac:dyDescent="0.2">
      <c r="A797" s="3">
        <f t="shared" si="101"/>
        <v>14</v>
      </c>
      <c r="B797" s="24">
        <f>Input!A74</f>
        <v>154</v>
      </c>
      <c r="C797" s="3" t="str">
        <f>Input!B74</f>
        <v>MATERIALS &amp; SUPPLIES</v>
      </c>
      <c r="D797" s="325" t="str">
        <f>VLOOKUP(Input!C74,'Alloc Table Cust'!$A$7:$B$27,2,FALSE)</f>
        <v>7CUST</v>
      </c>
      <c r="E797" s="3">
        <f>Classification!F797</f>
        <v>34319</v>
      </c>
      <c r="F797" s="3">
        <f ca="1">ROUND((VLOOKUP($D797,'Alloc Table Cust'!$B$7:$S$58,13,FALSE)*$E797),0)</f>
        <v>28366</v>
      </c>
      <c r="G797" s="3">
        <f ca="1">ROUND((VLOOKUP($D797,'Alloc Table Cust'!$B$7:$T$58,14,FALSE)*$E797),0)</f>
        <v>5290</v>
      </c>
      <c r="H797" s="3">
        <f ca="1">ROUND((VLOOKUP($D797,'Alloc Table Cust'!$B$7:$T$58,15,FALSE)*$E797),0)</f>
        <v>1</v>
      </c>
      <c r="I797" s="3">
        <f ca="1">ROUND((VLOOKUP($D797,'Alloc Table Cust'!$B$7:$T$58,16,FALSE)*$E797),0)</f>
        <v>136</v>
      </c>
      <c r="J797" s="3">
        <f ca="1">ROUND((VLOOKUP($D797,'Alloc Table Cust'!$B$7:$T$58,17,FALSE)*$E797),0)</f>
        <v>525</v>
      </c>
      <c r="K797" s="3">
        <f ca="1">ROUND((VLOOKUP($D797,'Alloc Table Cust'!$B$7:$T$58,18,FALSE)*$E797),0)</f>
        <v>0</v>
      </c>
      <c r="L797" s="3">
        <f ca="1">ROUND((VLOOKUP($D797,'Alloc Table Cust'!$B$7:$T$58,19,FALSE)*$E797),0)</f>
        <v>0</v>
      </c>
    </row>
    <row r="798" spans="1:12" ht="11.25" x14ac:dyDescent="0.2">
      <c r="A798" s="3">
        <f t="shared" si="101"/>
        <v>15</v>
      </c>
      <c r="B798" s="24">
        <f>Input!A75</f>
        <v>165</v>
      </c>
      <c r="C798" s="3" t="str">
        <f>Input!B75</f>
        <v>PREPAYMENTS</v>
      </c>
      <c r="D798" s="325" t="str">
        <f>VLOOKUP(Input!C75,'Alloc Table Cust'!$A$7:$B$27,2,FALSE)</f>
        <v>13CUST</v>
      </c>
      <c r="E798" s="3">
        <f>Classification!F798</f>
        <v>264818</v>
      </c>
      <c r="F798" s="3">
        <f ca="1">ROUND((VLOOKUP($D798,'Alloc Table Cust'!$B$7:$S$58,13,FALSE)*$E798),0)</f>
        <v>226364</v>
      </c>
      <c r="G798" s="3">
        <f ca="1">ROUND((VLOOKUP($D798,'Alloc Table Cust'!$B$7:$T$58,14,FALSE)*$E798),0)</f>
        <v>35729</v>
      </c>
      <c r="H798" s="3">
        <f ca="1">ROUND((VLOOKUP($D798,'Alloc Table Cust'!$B$7:$T$58,15,FALSE)*$E798),0)</f>
        <v>8</v>
      </c>
      <c r="I798" s="3">
        <f ca="1">ROUND((VLOOKUP($D798,'Alloc Table Cust'!$B$7:$T$58,16,FALSE)*$E798),0)</f>
        <v>559</v>
      </c>
      <c r="J798" s="3">
        <f ca="1">ROUND((VLOOKUP($D798,'Alloc Table Cust'!$B$7:$T$58,17,FALSE)*$E798),0)</f>
        <v>2158</v>
      </c>
      <c r="K798" s="3">
        <f ca="1">ROUND((VLOOKUP($D798,'Alloc Table Cust'!$B$7:$T$58,18,FALSE)*$E798),0)</f>
        <v>0</v>
      </c>
      <c r="L798" s="3">
        <f ca="1">ROUND((VLOOKUP($D798,'Alloc Table Cust'!$B$7:$T$58,19,FALSE)*$E798),0)</f>
        <v>0</v>
      </c>
    </row>
    <row r="799" spans="1:12" ht="11.25" x14ac:dyDescent="0.2">
      <c r="A799" s="3">
        <f t="shared" si="101"/>
        <v>16</v>
      </c>
      <c r="B799" s="24">
        <f>Input!A76</f>
        <v>164</v>
      </c>
      <c r="C799" s="3" t="str">
        <f>Input!B76</f>
        <v>GAS STORED UNDERGROUND - FSS</v>
      </c>
      <c r="D799" s="325">
        <f>Input!C76</f>
        <v>2</v>
      </c>
      <c r="E799" s="26">
        <f>Classification!F799</f>
        <v>0</v>
      </c>
      <c r="F799" s="26">
        <f>ROUND((VLOOKUP($D799,'Alloc Table Cust'!$B$7:$S$58,13,FALSE)*$E799),0)</f>
        <v>0</v>
      </c>
      <c r="G799" s="26">
        <f>ROUND((VLOOKUP($D799,'Alloc Table Cust'!$B$7:$T$58,14,FALSE)*$E799),0)</f>
        <v>0</v>
      </c>
      <c r="H799" s="26">
        <f>ROUND((VLOOKUP($D799,'Alloc Table Cust'!$B$7:$T$58,15,FALSE)*$E799),0)</f>
        <v>0</v>
      </c>
      <c r="I799" s="26">
        <f>ROUND((VLOOKUP($D799,'Alloc Table Cust'!$B$7:$T$58,16,FALSE)*$E799),0)</f>
        <v>0</v>
      </c>
      <c r="J799" s="26">
        <f>ROUND((VLOOKUP($D799,'Alloc Table Cust'!$B$7:$T$58,17,FALSE)*$E799),0)</f>
        <v>0</v>
      </c>
      <c r="K799" s="26">
        <f>ROUND((VLOOKUP($D799,'Alloc Table Cust'!$B$7:$T$58,18,FALSE)*$E799),0)</f>
        <v>0</v>
      </c>
      <c r="L799" s="26">
        <f>ROUND((VLOOKUP($D799,'Alloc Table Cust'!$B$7:$T$58,19,FALSE)*$E799),0)</f>
        <v>0</v>
      </c>
    </row>
    <row r="800" spans="1:12" ht="11.25" x14ac:dyDescent="0.2">
      <c r="A800" s="3">
        <f t="shared" si="101"/>
        <v>17</v>
      </c>
      <c r="B800" s="3"/>
      <c r="C800" s="3" t="s">
        <v>407</v>
      </c>
      <c r="D800" s="325"/>
      <c r="E800" s="23">
        <f t="shared" ref="E800:L800" ca="1" si="103">E790+SUM(E795:E799)</f>
        <v>72360386</v>
      </c>
      <c r="F800" s="23">
        <f t="shared" ca="1" si="103"/>
        <v>58719448</v>
      </c>
      <c r="G800" s="23">
        <f t="shared" ca="1" si="103"/>
        <v>11824755</v>
      </c>
      <c r="H800" s="23">
        <f t="shared" ca="1" si="103"/>
        <v>3734</v>
      </c>
      <c r="I800" s="23">
        <f t="shared" ca="1" si="103"/>
        <v>447979</v>
      </c>
      <c r="J800" s="23">
        <f t="shared" ca="1" si="103"/>
        <v>1364492</v>
      </c>
      <c r="K800" s="23">
        <f t="shared" ca="1" si="103"/>
        <v>0</v>
      </c>
      <c r="L800" s="23">
        <f t="shared" ca="1" si="103"/>
        <v>0</v>
      </c>
    </row>
    <row r="801" spans="1:12" ht="11.25" x14ac:dyDescent="0.2">
      <c r="A801" s="3"/>
      <c r="B801" s="3"/>
      <c r="C801" s="3"/>
      <c r="D801" s="325"/>
      <c r="E801" s="3"/>
      <c r="F801" s="3"/>
      <c r="G801" s="3"/>
      <c r="H801" s="3"/>
      <c r="I801" s="3"/>
      <c r="J801" s="3"/>
      <c r="K801" s="3"/>
      <c r="L801" s="3"/>
    </row>
    <row r="802" spans="1:12" ht="11.25" x14ac:dyDescent="0.2">
      <c r="A802" s="3"/>
      <c r="B802" s="3"/>
      <c r="C802" s="3"/>
      <c r="D802" s="325"/>
      <c r="E802" s="3"/>
      <c r="F802" s="3"/>
      <c r="G802" s="3"/>
      <c r="H802" s="3"/>
      <c r="I802" s="3"/>
      <c r="J802" s="3"/>
      <c r="K802" s="3"/>
      <c r="L802" s="3"/>
    </row>
    <row r="803" spans="1:12" ht="11.25" x14ac:dyDescent="0.2">
      <c r="A803" s="3" t="s">
        <v>1140</v>
      </c>
      <c r="B803" s="3"/>
      <c r="C803" s="3"/>
      <c r="D803" s="325"/>
      <c r="E803" s="3"/>
      <c r="F803" s="3"/>
      <c r="G803" s="3"/>
      <c r="H803" s="3"/>
      <c r="I803" s="3"/>
      <c r="J803" s="3"/>
      <c r="K803" s="3"/>
      <c r="L803" s="3"/>
    </row>
    <row r="804" spans="1:12" ht="11.25" x14ac:dyDescent="0.2">
      <c r="A804" s="3"/>
      <c r="B804" s="47" t="s">
        <v>574</v>
      </c>
      <c r="C804" s="3"/>
      <c r="D804" s="325"/>
      <c r="E804" s="3">
        <f ca="1">Customer!E663+Customer!E427</f>
        <v>26817519</v>
      </c>
      <c r="F804" s="3">
        <f ca="1">Customer!F663+Customer!F427</f>
        <v>22228927</v>
      </c>
      <c r="G804" s="3">
        <f ca="1">Customer!G663+Customer!G427</f>
        <v>4293064</v>
      </c>
      <c r="H804" s="3">
        <f ca="1">Customer!H663+Customer!H427</f>
        <v>1313</v>
      </c>
      <c r="I804" s="3">
        <f ca="1">Customer!I663+Customer!I427</f>
        <v>58419</v>
      </c>
      <c r="J804" s="3">
        <f ca="1">Customer!J663+Customer!J427</f>
        <v>235798</v>
      </c>
      <c r="K804" s="3">
        <f ca="1">Customer!K663+Customer!K427</f>
        <v>0</v>
      </c>
      <c r="L804" s="3">
        <f ca="1">Customer!L663+Customer!L427</f>
        <v>0</v>
      </c>
    </row>
    <row r="805" spans="1:12" ht="11.25" x14ac:dyDescent="0.2">
      <c r="A805" s="3"/>
      <c r="B805" s="3"/>
      <c r="C805" s="47" t="s">
        <v>575</v>
      </c>
      <c r="D805" s="325"/>
      <c r="E805" s="26">
        <f>Customer!E427+Customer!E430</f>
        <v>0</v>
      </c>
      <c r="F805" s="26">
        <f>Customer!F427+Customer!F430</f>
        <v>0</v>
      </c>
      <c r="G805" s="26">
        <f>Customer!G427+Customer!G430</f>
        <v>0</v>
      </c>
      <c r="H805" s="26">
        <f>Customer!H427+Customer!H430</f>
        <v>0</v>
      </c>
      <c r="I805" s="26">
        <f>Customer!I427+Customer!I430</f>
        <v>0</v>
      </c>
      <c r="J805" s="26">
        <f>Customer!J427+Customer!J430</f>
        <v>0</v>
      </c>
      <c r="K805" s="26">
        <f>Customer!K427+Customer!K430</f>
        <v>0</v>
      </c>
      <c r="L805" s="26">
        <f>Customer!L427</f>
        <v>0</v>
      </c>
    </row>
    <row r="806" spans="1:12" ht="11.25" x14ac:dyDescent="0.2">
      <c r="A806" s="3"/>
      <c r="B806" s="3"/>
      <c r="C806" s="47" t="s">
        <v>576</v>
      </c>
      <c r="D806" s="325"/>
      <c r="E806" s="3">
        <f t="shared" ref="E806:L806" ca="1" si="104">E804-E805</f>
        <v>26817519</v>
      </c>
      <c r="F806" s="3">
        <f t="shared" ca="1" si="104"/>
        <v>22228927</v>
      </c>
      <c r="G806" s="3">
        <f t="shared" ca="1" si="104"/>
        <v>4293064</v>
      </c>
      <c r="H806" s="3">
        <f t="shared" ca="1" si="104"/>
        <v>1313</v>
      </c>
      <c r="I806" s="3">
        <f t="shared" ca="1" si="104"/>
        <v>58419</v>
      </c>
      <c r="J806" s="3">
        <f t="shared" ca="1" si="104"/>
        <v>235798</v>
      </c>
      <c r="K806" s="3">
        <f t="shared" ca="1" si="104"/>
        <v>0</v>
      </c>
      <c r="L806" s="3">
        <f t="shared" ca="1" si="104"/>
        <v>0</v>
      </c>
    </row>
    <row r="807" spans="1:12" ht="11.25" x14ac:dyDescent="0.2">
      <c r="B807" s="3"/>
      <c r="C807" s="14"/>
      <c r="D807" s="3"/>
      <c r="E807" s="15"/>
      <c r="F807" s="325" t="str">
        <f>""&amp;+Input!$B$1</f>
        <v>COLUMBIA GAS OF KENTUCKY, INC.</v>
      </c>
      <c r="H807" s="3"/>
      <c r="I807" s="3"/>
      <c r="J807" s="3"/>
      <c r="K807" s="32"/>
      <c r="L807" s="32" t="str">
        <f>Input!$B$2</f>
        <v>ATTACHMENT CEN-2</v>
      </c>
    </row>
    <row r="808" spans="1:12" ht="11.25" x14ac:dyDescent="0.2">
      <c r="A808" s="3" t="s">
        <v>817</v>
      </c>
      <c r="B808" s="3"/>
      <c r="C808" s="3"/>
      <c r="D808" s="3"/>
      <c r="E808" s="3"/>
      <c r="F808" s="325" t="s">
        <v>577</v>
      </c>
      <c r="H808" s="3"/>
      <c r="I808" s="3"/>
      <c r="J808" s="3"/>
      <c r="K808" s="32"/>
      <c r="L808" s="32" t="str">
        <f>"PAGE 77 OF "&amp;FIXED(Input!$B$8,0,TRUE)</f>
        <v>PAGE 77 OF 129</v>
      </c>
    </row>
    <row r="809" spans="1:12" ht="11.25" x14ac:dyDescent="0.2">
      <c r="A809" s="17" t="str">
        <f>Input!$B$6</f>
        <v>FORECASTED TEST YEAR - ORIGINAL FILING</v>
      </c>
      <c r="B809" s="17"/>
      <c r="C809" s="17"/>
      <c r="D809" s="18"/>
      <c r="E809" s="17"/>
      <c r="F809" s="19" t="str">
        <f>"FOR THE TWELVE MONTHS ENDED "&amp;Input!$B$4</f>
        <v>FOR THE TWELVE MONTHS ENDED 12/31/2017</v>
      </c>
      <c r="G809" s="329"/>
      <c r="H809" s="17"/>
      <c r="I809" s="17"/>
      <c r="J809" s="17"/>
      <c r="K809" s="183"/>
      <c r="L809" s="183" t="str">
        <f>"WITNESS: "&amp;Input!$B$5</f>
        <v>WITNESS: C. NOTESTONE</v>
      </c>
    </row>
    <row r="810" spans="1:12" ht="11.25" x14ac:dyDescent="0.2">
      <c r="A810" s="325" t="s">
        <v>5</v>
      </c>
      <c r="B810" s="3"/>
      <c r="C810" s="3"/>
      <c r="D810" s="325" t="s">
        <v>7</v>
      </c>
      <c r="E810" s="325" t="s">
        <v>8</v>
      </c>
      <c r="F810" s="3"/>
      <c r="G810" s="3"/>
      <c r="H810" s="3"/>
      <c r="I810" s="3"/>
      <c r="J810" s="3"/>
      <c r="K810" s="3"/>
      <c r="L810" s="3"/>
    </row>
    <row r="811" spans="1:12" ht="11.25" x14ac:dyDescent="0.2">
      <c r="A811" s="341" t="s">
        <v>9</v>
      </c>
      <c r="B811" s="447" t="str">
        <f>"DESCRIPTION"</f>
        <v>DESCRIPTION</v>
      </c>
      <c r="C811" s="447"/>
      <c r="D811" s="341" t="s">
        <v>10</v>
      </c>
      <c r="E811" s="341" t="s">
        <v>804</v>
      </c>
      <c r="F811" s="341" t="str">
        <f>"  "&amp;+Input!$C$12</f>
        <v xml:space="preserve">  GS-RESIDENTIAL</v>
      </c>
      <c r="G811" s="341" t="str">
        <f>Input!$C$13</f>
        <v>GS-OTHER</v>
      </c>
      <c r="H811" s="341" t="str">
        <f>Input!$C$14</f>
        <v>IUS</v>
      </c>
      <c r="I811" s="341" t="str">
        <f>Input!$C$15</f>
        <v>DS-ML</v>
      </c>
      <c r="J811" s="341" t="str">
        <f>Input!$C$16</f>
        <v>DS/IS</v>
      </c>
      <c r="K811" s="341" t="str">
        <f>Input!$C$17</f>
        <v>NOT USED</v>
      </c>
      <c r="L811" s="341" t="str">
        <f>Input!$C$18</f>
        <v>NOT USED</v>
      </c>
    </row>
    <row r="812" spans="1:12" ht="11.25" x14ac:dyDescent="0.2">
      <c r="A812" s="3"/>
      <c r="B812" s="448" t="s">
        <v>13</v>
      </c>
      <c r="C812" s="448"/>
      <c r="D812" s="342" t="s">
        <v>14</v>
      </c>
      <c r="E812" s="325" t="s">
        <v>15</v>
      </c>
      <c r="F812" s="325" t="s">
        <v>16</v>
      </c>
      <c r="G812" s="325" t="s">
        <v>17</v>
      </c>
      <c r="H812" s="325" t="s">
        <v>18</v>
      </c>
      <c r="I812" s="325" t="s">
        <v>19</v>
      </c>
      <c r="J812" s="325" t="s">
        <v>20</v>
      </c>
      <c r="K812" s="325" t="s">
        <v>21</v>
      </c>
      <c r="L812" s="325" t="s">
        <v>23</v>
      </c>
    </row>
    <row r="813" spans="1:12" ht="11.25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25"/>
      <c r="K813" s="325"/>
    </row>
    <row r="814" spans="1:12" ht="11.25" x14ac:dyDescent="0.2">
      <c r="A814" s="325">
        <v>1</v>
      </c>
      <c r="B814" s="23" t="str">
        <f>'Alloc Table Cust'!C7</f>
        <v>DESIGN DAY EXCL. DS-ML</v>
      </c>
      <c r="C814" s="3"/>
      <c r="D814" s="32">
        <f>'Alloc Table Cust'!B7</f>
        <v>1</v>
      </c>
      <c r="E814" s="43">
        <v>1</v>
      </c>
      <c r="F814" s="43">
        <f>'Alloc Table Cust'!N7</f>
        <v>0.44549</v>
      </c>
      <c r="G814" s="43">
        <f>'Alloc Table Cust'!O7</f>
        <v>0.28649999999999998</v>
      </c>
      <c r="H814" s="43">
        <f>'Alloc Table Cust'!P7</f>
        <v>6.4999999999999997E-4</v>
      </c>
      <c r="I814" s="43">
        <f>'Alloc Table Cust'!Q7</f>
        <v>0</v>
      </c>
      <c r="J814" s="43">
        <f>'Alloc Table Cust'!R7</f>
        <v>0.26735999999999999</v>
      </c>
      <c r="K814" s="43">
        <f>'Alloc Table Cust'!S7</f>
        <v>0</v>
      </c>
      <c r="L814" s="43">
        <f>'Alloc Table Cust'!T7</f>
        <v>0</v>
      </c>
    </row>
    <row r="815" spans="1:12" ht="11.25" x14ac:dyDescent="0.2">
      <c r="A815" s="325">
        <f t="shared" ref="A815:A823" si="105">A814+1</f>
        <v>2</v>
      </c>
      <c r="B815" s="23" t="str">
        <f>'Alloc Table Cust'!C8</f>
        <v>DESIGN DAY EXCL. INTERR DEMAND (MCF)</v>
      </c>
      <c r="C815" s="3"/>
      <c r="D815" s="32">
        <f>'Alloc Table Cust'!B8</f>
        <v>2</v>
      </c>
      <c r="E815" s="43">
        <v>1</v>
      </c>
      <c r="F815" s="43">
        <f>'Alloc Table Cust'!N8</f>
        <v>0.60941000000000001</v>
      </c>
      <c r="G815" s="43">
        <f>'Alloc Table Cust'!O8</f>
        <v>0.37239</v>
      </c>
      <c r="H815" s="43">
        <f>'Alloc Table Cust'!P8</f>
        <v>8.8999999999999995E-4</v>
      </c>
      <c r="I815" s="43">
        <f>'Alloc Table Cust'!Q8</f>
        <v>0</v>
      </c>
      <c r="J815" s="43">
        <f>'Alloc Table Cust'!R8</f>
        <v>1.7309999999999999E-2</v>
      </c>
      <c r="K815" s="43">
        <f>'Alloc Table Cust'!S8</f>
        <v>0</v>
      </c>
      <c r="L815" s="43">
        <f>'Alloc Table Cust'!T8</f>
        <v>0</v>
      </c>
    </row>
    <row r="816" spans="1:12" ht="11.25" x14ac:dyDescent="0.2">
      <c r="A816" s="325">
        <f t="shared" si="105"/>
        <v>3</v>
      </c>
      <c r="B816" s="23" t="str">
        <f>'Alloc Table Cust'!C9</f>
        <v>MINIMUM SYSTEM MAINS</v>
      </c>
      <c r="C816" s="3"/>
      <c r="D816" s="32">
        <f>'Alloc Table Cust'!B9</f>
        <v>3</v>
      </c>
      <c r="E816" s="43">
        <v>1</v>
      </c>
      <c r="F816" s="43">
        <f>'Alloc Table Cust'!N9</f>
        <v>0.73792999999999997</v>
      </c>
      <c r="G816" s="43">
        <f>'Alloc Table Cust'!O9</f>
        <v>0.16741</v>
      </c>
      <c r="H816" s="43">
        <f>'Alloc Table Cust'!P9</f>
        <v>2.4000000000000001E-4</v>
      </c>
      <c r="I816" s="43">
        <f>'Alloc Table Cust'!Q9</f>
        <v>0</v>
      </c>
      <c r="J816" s="43">
        <f>'Alloc Table Cust'!R9</f>
        <v>9.4420000000000004E-2</v>
      </c>
      <c r="K816" s="43">
        <f>'Alloc Table Cust'!S9</f>
        <v>0</v>
      </c>
      <c r="L816" s="43">
        <f>'Alloc Table Cust'!T9</f>
        <v>0</v>
      </c>
    </row>
    <row r="817" spans="1:12" ht="11.25" x14ac:dyDescent="0.2">
      <c r="A817" s="325">
        <f t="shared" si="105"/>
        <v>4</v>
      </c>
      <c r="B817" s="23" t="str">
        <f>'Alloc Table Cust'!C10</f>
        <v>THROUGHPUT EXCL MLS</v>
      </c>
      <c r="C817" s="3"/>
      <c r="D817" s="32">
        <f>'Alloc Table Cust'!B10</f>
        <v>4</v>
      </c>
      <c r="E817" s="43">
        <v>1</v>
      </c>
      <c r="F817" s="43">
        <f>'Alloc Table Cust'!N10</f>
        <v>0.33421000000000001</v>
      </c>
      <c r="G817" s="43">
        <f>'Alloc Table Cust'!O10</f>
        <v>0.24146999999999999</v>
      </c>
      <c r="H817" s="43">
        <f>'Alloc Table Cust'!P10</f>
        <v>4.8000000000000001E-4</v>
      </c>
      <c r="I817" s="43">
        <f>'Alloc Table Cust'!Q10</f>
        <v>0</v>
      </c>
      <c r="J817" s="43">
        <f>'Alloc Table Cust'!R10</f>
        <v>0.42383999999999999</v>
      </c>
      <c r="K817" s="43">
        <f>'Alloc Table Cust'!S10</f>
        <v>0</v>
      </c>
      <c r="L817" s="43">
        <f>'Alloc Table Cust'!T10</f>
        <v>0</v>
      </c>
    </row>
    <row r="818" spans="1:12" ht="11.25" x14ac:dyDescent="0.2">
      <c r="A818" s="325">
        <f t="shared" si="105"/>
        <v>5</v>
      </c>
      <c r="B818" s="23" t="str">
        <f>'Alloc Table Cust'!C11</f>
        <v>COMPOSIT OF ALLOC #1 &amp; #4</v>
      </c>
      <c r="C818" s="3"/>
      <c r="D818" s="32">
        <f>'Alloc Table Cust'!B11</f>
        <v>5</v>
      </c>
      <c r="E818" s="43">
        <v>1</v>
      </c>
      <c r="F818" s="43">
        <f>'Alloc Table Cust'!N11</f>
        <v>0.38984000000000002</v>
      </c>
      <c r="G818" s="43">
        <f>'Alloc Table Cust'!O11</f>
        <v>0.26399</v>
      </c>
      <c r="H818" s="43">
        <f>'Alloc Table Cust'!P11</f>
        <v>5.6999999999999998E-4</v>
      </c>
      <c r="I818" s="43">
        <f>'Alloc Table Cust'!Q11</f>
        <v>0</v>
      </c>
      <c r="J818" s="43">
        <f>'Alloc Table Cust'!R11</f>
        <v>0.34560000000000002</v>
      </c>
      <c r="K818" s="43">
        <f>'Alloc Table Cust'!S11</f>
        <v>0</v>
      </c>
      <c r="L818" s="43">
        <f>'Alloc Table Cust'!T11</f>
        <v>0</v>
      </c>
    </row>
    <row r="819" spans="1:12" ht="11.25" x14ac:dyDescent="0.2">
      <c r="A819" s="325">
        <f t="shared" si="105"/>
        <v>6</v>
      </c>
      <c r="B819" s="23" t="str">
        <f>'Alloc Table Cust'!C12</f>
        <v>AVERAGE NO. OF CUSTOMERS</v>
      </c>
      <c r="C819" s="3"/>
      <c r="D819" s="32">
        <f>'Alloc Table Cust'!B12</f>
        <v>6</v>
      </c>
      <c r="E819" s="43">
        <v>1</v>
      </c>
      <c r="F819" s="43">
        <f>'Alloc Table Cust'!N12</f>
        <v>0.89658000000000004</v>
      </c>
      <c r="G819" s="43">
        <f>'Alloc Table Cust'!O12</f>
        <v>0.10279000000000001</v>
      </c>
      <c r="H819" s="43">
        <f>'Alloc Table Cust'!P12</f>
        <v>1.0000000000000001E-5</v>
      </c>
      <c r="I819" s="43">
        <f>'Alloc Table Cust'!Q12</f>
        <v>4.0000000000000003E-5</v>
      </c>
      <c r="J819" s="43">
        <f>'Alloc Table Cust'!R12</f>
        <v>5.8E-4</v>
      </c>
      <c r="K819" s="43">
        <f>'Alloc Table Cust'!S12</f>
        <v>0</v>
      </c>
      <c r="L819" s="43">
        <f>'Alloc Table Cust'!T12</f>
        <v>0</v>
      </c>
    </row>
    <row r="820" spans="1:12" ht="11.25" x14ac:dyDescent="0.2">
      <c r="A820" s="325">
        <f t="shared" si="105"/>
        <v>7</v>
      </c>
      <c r="B820" s="23" t="str">
        <f>'Alloc Table Cust'!C13</f>
        <v>DIST. PLANT EXCL. ACCTS 375.70,375.71,387</v>
      </c>
      <c r="C820" s="3"/>
      <c r="D820" s="32" t="str">
        <f>'Alloc Table Cust'!B13</f>
        <v>7CUST</v>
      </c>
      <c r="E820" s="43">
        <v>1</v>
      </c>
      <c r="F820" s="43">
        <f ca="1">'Alloc Table Cust'!N13</f>
        <v>0.82655000000000001</v>
      </c>
      <c r="G820" s="43">
        <f ca="1">'Alloc Table Cust'!O13</f>
        <v>0.15414</v>
      </c>
      <c r="H820" s="43">
        <f ca="1">'Alloc Table Cust'!P13</f>
        <v>4.0000000000000003E-5</v>
      </c>
      <c r="I820" s="43">
        <f ca="1">'Alloc Table Cust'!Q13</f>
        <v>3.96E-3</v>
      </c>
      <c r="J820" s="43">
        <f ca="1">'Alloc Table Cust'!R13</f>
        <v>1.5310000000000001E-2</v>
      </c>
      <c r="K820" s="43">
        <f ca="1">'Alloc Table Cust'!S13</f>
        <v>0</v>
      </c>
      <c r="L820" s="43">
        <f ca="1">'Alloc Table Cust'!T13</f>
        <v>0</v>
      </c>
    </row>
    <row r="821" spans="1:12" ht="11.25" x14ac:dyDescent="0.2">
      <c r="A821" s="325">
        <f t="shared" si="105"/>
        <v>8</v>
      </c>
      <c r="B821" s="23" t="str">
        <f>'Alloc Table Cust'!C14</f>
        <v>TOTAL PLANT ACCOUNT 385</v>
      </c>
      <c r="C821" s="3"/>
      <c r="D821" s="32">
        <f>'Alloc Table Cust'!B14</f>
        <v>8</v>
      </c>
      <c r="E821" s="43">
        <v>1</v>
      </c>
      <c r="F821" s="43">
        <f>'Alloc Table Cust'!N14</f>
        <v>0</v>
      </c>
      <c r="G821" s="43">
        <f>'Alloc Table Cust'!O14</f>
        <v>0.20760999999999999</v>
      </c>
      <c r="H821" s="43">
        <f>'Alloc Table Cust'!P14</f>
        <v>2.3000000000000001E-4</v>
      </c>
      <c r="I821" s="43">
        <f>'Alloc Table Cust'!Q14</f>
        <v>0.20080999999999999</v>
      </c>
      <c r="J821" s="43">
        <f>'Alloc Table Cust'!R14</f>
        <v>0.59135000000000004</v>
      </c>
      <c r="K821" s="43">
        <f>'Alloc Table Cust'!S14</f>
        <v>0</v>
      </c>
      <c r="L821" s="43">
        <f>'Alloc Table Cust'!T14</f>
        <v>0</v>
      </c>
    </row>
    <row r="822" spans="1:12" ht="11.25" x14ac:dyDescent="0.2">
      <c r="A822" s="325">
        <f t="shared" si="105"/>
        <v>9</v>
      </c>
      <c r="B822" s="23" t="str">
        <f>'Alloc Table Cust'!C15</f>
        <v>GAS PURCHASE EXPENSE EX OFF SYST</v>
      </c>
      <c r="C822" s="3"/>
      <c r="D822" s="32">
        <f>'Alloc Table Cust'!B15</f>
        <v>9</v>
      </c>
      <c r="E822" s="43">
        <v>1</v>
      </c>
      <c r="F822" s="43">
        <f>'Alloc Table Cust'!N15</f>
        <v>1</v>
      </c>
      <c r="G822" s="43">
        <f>'Alloc Table Cust'!O15</f>
        <v>0</v>
      </c>
      <c r="H822" s="43">
        <f>'Alloc Table Cust'!P15</f>
        <v>0</v>
      </c>
      <c r="I822" s="43">
        <f>'Alloc Table Cust'!Q15</f>
        <v>0</v>
      </c>
      <c r="J822" s="43">
        <f>'Alloc Table Cust'!R15</f>
        <v>0</v>
      </c>
      <c r="K822" s="43">
        <f>'Alloc Table Cust'!S15</f>
        <v>0</v>
      </c>
      <c r="L822" s="43">
        <f>'Alloc Table Cust'!T15</f>
        <v>0</v>
      </c>
    </row>
    <row r="823" spans="1:12" ht="11.25" x14ac:dyDescent="0.2">
      <c r="A823" s="325">
        <f t="shared" si="105"/>
        <v>10</v>
      </c>
      <c r="B823" s="23" t="str">
        <f>'Alloc Table Cust'!C16</f>
        <v>OTHER DIST. EXP - LABOR</v>
      </c>
      <c r="C823" s="3"/>
      <c r="D823" s="32" t="str">
        <f>'Alloc Table Cust'!B16</f>
        <v>10CUST</v>
      </c>
      <c r="E823" s="43">
        <v>1</v>
      </c>
      <c r="F823" s="43">
        <f ca="1">'Alloc Table Cust'!N16</f>
        <v>0.74829000000000001</v>
      </c>
      <c r="G823" s="43">
        <f ca="1">'Alloc Table Cust'!O16</f>
        <v>0.2354</v>
      </c>
      <c r="H823" s="43">
        <f ca="1">'Alloc Table Cust'!P16</f>
        <v>1E-4</v>
      </c>
      <c r="I823" s="43">
        <f ca="1">'Alloc Table Cust'!Q16</f>
        <v>3.0799999999999998E-3</v>
      </c>
      <c r="J823" s="43">
        <f ca="1">'Alloc Table Cust'!R16</f>
        <v>1.3129999999999999E-2</v>
      </c>
      <c r="K823" s="43">
        <f ca="1">'Alloc Table Cust'!S16</f>
        <v>0</v>
      </c>
      <c r="L823" s="43">
        <f ca="1">'Alloc Table Cust'!T16</f>
        <v>0</v>
      </c>
    </row>
    <row r="824" spans="1:12" ht="11.25" x14ac:dyDescent="0.2">
      <c r="A824" s="325">
        <f t="shared" ref="A824:A834" si="106">A823+1</f>
        <v>11</v>
      </c>
      <c r="B824" s="23" t="str">
        <f>'Alloc Table Cust'!C17</f>
        <v>OTHER DIST. EXP EXCL - M &amp; E</v>
      </c>
      <c r="C824" s="3"/>
      <c r="D824" s="32" t="str">
        <f>'Alloc Table Cust'!B17</f>
        <v>11CUST</v>
      </c>
      <c r="E824" s="43">
        <v>1</v>
      </c>
      <c r="F824" s="43">
        <f ca="1">'Alloc Table Cust'!N17</f>
        <v>0.80371999999999999</v>
      </c>
      <c r="G824" s="43">
        <f ca="1">'Alloc Table Cust'!O17</f>
        <v>0.17418</v>
      </c>
      <c r="H824" s="43">
        <f ca="1">'Alloc Table Cust'!P17</f>
        <v>6.0000000000000002E-5</v>
      </c>
      <c r="I824" s="43">
        <f ca="1">'Alloc Table Cust'!Q17</f>
        <v>4.64E-3</v>
      </c>
      <c r="J824" s="43">
        <f ca="1">'Alloc Table Cust'!R17</f>
        <v>1.7399999999999999E-2</v>
      </c>
      <c r="K824" s="43">
        <f ca="1">'Alloc Table Cust'!S17</f>
        <v>0</v>
      </c>
      <c r="L824" s="43">
        <f ca="1">'Alloc Table Cust'!T17</f>
        <v>0</v>
      </c>
    </row>
    <row r="825" spans="1:12" ht="11.25" x14ac:dyDescent="0.2">
      <c r="A825" s="325">
        <f t="shared" si="106"/>
        <v>12</v>
      </c>
      <c r="B825" s="23" t="str">
        <f>'Alloc Table Cust'!C18</f>
        <v>O &amp; M EXCL A &amp; G - LABOR</v>
      </c>
      <c r="C825" s="3"/>
      <c r="D825" s="32" t="str">
        <f>'Alloc Table Cust'!B18</f>
        <v>12CUST</v>
      </c>
      <c r="E825" s="43">
        <v>1</v>
      </c>
      <c r="F825" s="43">
        <f ca="1">'Alloc Table Cust'!N18</f>
        <v>0.77337</v>
      </c>
      <c r="G825" s="43">
        <f ca="1">'Alloc Table Cust'!O18</f>
        <v>0.21296999999999999</v>
      </c>
      <c r="H825" s="43">
        <f ca="1">'Alloc Table Cust'!P18</f>
        <v>9.0000000000000006E-5</v>
      </c>
      <c r="I825" s="43">
        <f ca="1">'Alloc Table Cust'!Q18</f>
        <v>2.5600000000000002E-3</v>
      </c>
      <c r="J825" s="43">
        <f ca="1">'Alloc Table Cust'!R18</f>
        <v>1.1010000000000001E-2</v>
      </c>
      <c r="K825" s="43">
        <f ca="1">'Alloc Table Cust'!S18</f>
        <v>0</v>
      </c>
      <c r="L825" s="43">
        <f ca="1">'Alloc Table Cust'!T18</f>
        <v>0</v>
      </c>
    </row>
    <row r="826" spans="1:12" ht="11.25" x14ac:dyDescent="0.2">
      <c r="A826" s="325">
        <f t="shared" si="106"/>
        <v>13</v>
      </c>
      <c r="B826" s="23" t="str">
        <f>'Alloc Table Cust'!C19</f>
        <v>O &amp; M EXCL GAS PUR, UNCOL, AND A &amp; G - M&amp;E</v>
      </c>
      <c r="C826" s="3"/>
      <c r="D826" s="32" t="str">
        <f>'Alloc Table Cust'!B19</f>
        <v>13CUST</v>
      </c>
      <c r="E826" s="43">
        <v>1</v>
      </c>
      <c r="F826" s="43">
        <f ca="1">'Alloc Table Cust'!N19</f>
        <v>0.85479000000000005</v>
      </c>
      <c r="G826" s="43">
        <f ca="1">'Alloc Table Cust'!O19</f>
        <v>0.13492000000000001</v>
      </c>
      <c r="H826" s="43">
        <f ca="1">'Alloc Table Cust'!P19</f>
        <v>3.0000000000000001E-5</v>
      </c>
      <c r="I826" s="43">
        <f ca="1">'Alloc Table Cust'!Q19</f>
        <v>2.1099999999999999E-3</v>
      </c>
      <c r="J826" s="43">
        <f ca="1">'Alloc Table Cust'!R19</f>
        <v>8.1499999999999993E-3</v>
      </c>
      <c r="K826" s="43">
        <f ca="1">'Alloc Table Cust'!S19</f>
        <v>0</v>
      </c>
      <c r="L826" s="43">
        <f ca="1">'Alloc Table Cust'!T19</f>
        <v>0</v>
      </c>
    </row>
    <row r="827" spans="1:12" ht="11.25" x14ac:dyDescent="0.2">
      <c r="A827" s="325">
        <f t="shared" si="106"/>
        <v>14</v>
      </c>
      <c r="B827" s="23" t="str">
        <f>'Alloc Table Cust'!C20</f>
        <v>ACCT 376/380 - MAINS/SERVICES</v>
      </c>
      <c r="C827" s="3"/>
      <c r="D827" s="32" t="str">
        <f>'Alloc Table Cust'!B20</f>
        <v>14CUST</v>
      </c>
      <c r="E827" s="43">
        <v>1</v>
      </c>
      <c r="F827" s="43">
        <f ca="1">'Alloc Table Cust'!N20</f>
        <v>0.88227999999999995</v>
      </c>
      <c r="G827" s="43">
        <f ca="1">'Alloc Table Cust'!O20</f>
        <v>0.11418</v>
      </c>
      <c r="H827" s="43">
        <f ca="1">'Alloc Table Cust'!P20</f>
        <v>1.0000000000000001E-5</v>
      </c>
      <c r="I827" s="43">
        <f ca="1">'Alloc Table Cust'!Q20</f>
        <v>0</v>
      </c>
      <c r="J827" s="43">
        <f ca="1">'Alloc Table Cust'!R20</f>
        <v>3.5300000000000002E-3</v>
      </c>
      <c r="K827" s="43">
        <f ca="1">'Alloc Table Cust'!S20</f>
        <v>0</v>
      </c>
      <c r="L827" s="43">
        <f ca="1">'Alloc Table Cust'!T20</f>
        <v>0</v>
      </c>
    </row>
    <row r="828" spans="1:12" ht="11.25" x14ac:dyDescent="0.2">
      <c r="A828" s="325">
        <f t="shared" si="106"/>
        <v>15</v>
      </c>
      <c r="B828" s="23" t="str">
        <f>'Alloc Table Cust'!C21</f>
        <v xml:space="preserve">DIRECT PLANT ACCT 380 </v>
      </c>
      <c r="C828" s="3"/>
      <c r="D828" s="32">
        <f>'Alloc Table Cust'!B21</f>
        <v>15</v>
      </c>
      <c r="E828" s="43">
        <v>1</v>
      </c>
      <c r="F828" s="43">
        <f ca="1">'Alloc Table Cust'!N21</f>
        <v>0.88227999999999995</v>
      </c>
      <c r="G828" s="43">
        <f ca="1">'Alloc Table Cust'!O21</f>
        <v>0.11418</v>
      </c>
      <c r="H828" s="43">
        <f ca="1">'Alloc Table Cust'!P21</f>
        <v>1.0000000000000001E-5</v>
      </c>
      <c r="I828" s="43">
        <f ca="1">'Alloc Table Cust'!Q21</f>
        <v>0</v>
      </c>
      <c r="J828" s="43">
        <f ca="1">'Alloc Table Cust'!R21</f>
        <v>3.5300000000000002E-3</v>
      </c>
      <c r="K828" s="43">
        <f ca="1">'Alloc Table Cust'!S21</f>
        <v>0</v>
      </c>
      <c r="L828" s="43">
        <f ca="1">'Alloc Table Cust'!T21</f>
        <v>0</v>
      </c>
    </row>
    <row r="829" spans="1:12" ht="11.25" x14ac:dyDescent="0.2">
      <c r="A829" s="325">
        <f t="shared" si="106"/>
        <v>16</v>
      </c>
      <c r="B829" s="23" t="str">
        <f>'Alloc Table Cust'!C22</f>
        <v xml:space="preserve">DIRECT PLANT ACCTS 381 </v>
      </c>
      <c r="C829" s="3"/>
      <c r="D829" s="32">
        <f>'Alloc Table Cust'!B22</f>
        <v>16</v>
      </c>
      <c r="E829" s="43">
        <v>1</v>
      </c>
      <c r="F829" s="43">
        <f>'Alloc Table Cust'!N22</f>
        <v>0.71941999999999995</v>
      </c>
      <c r="G829" s="43">
        <f>'Alloc Table Cust'!O22</f>
        <v>0.27611999999999998</v>
      </c>
      <c r="H829" s="43">
        <f>'Alloc Table Cust'!P22</f>
        <v>1.2999999999999999E-4</v>
      </c>
      <c r="I829" s="43">
        <f>'Alloc Table Cust'!Q22</f>
        <v>0</v>
      </c>
      <c r="J829" s="43">
        <f>'Alloc Table Cust'!R22</f>
        <v>4.3299999999999996E-3</v>
      </c>
      <c r="K829" s="43">
        <f>'Alloc Table Cust'!S22</f>
        <v>0</v>
      </c>
      <c r="L829" s="43">
        <f>'Alloc Table Cust'!T22</f>
        <v>0</v>
      </c>
    </row>
    <row r="830" spans="1:12" ht="11.25" x14ac:dyDescent="0.2">
      <c r="A830" s="325">
        <f t="shared" si="106"/>
        <v>17</v>
      </c>
      <c r="B830" s="23" t="str">
        <f>'Alloc Table Cust'!C23</f>
        <v xml:space="preserve">DIRECT PLANT ACCT 385 </v>
      </c>
      <c r="C830" s="3"/>
      <c r="D830" s="32">
        <f>'Alloc Table Cust'!B23</f>
        <v>17</v>
      </c>
      <c r="E830" s="43">
        <v>1</v>
      </c>
      <c r="F830" s="43">
        <f>'Alloc Table Cust'!N23</f>
        <v>0</v>
      </c>
      <c r="G830" s="43">
        <f>'Alloc Table Cust'!O23</f>
        <v>0.25977</v>
      </c>
      <c r="H830" s="43">
        <f>'Alloc Table Cust'!P23</f>
        <v>2.9E-4</v>
      </c>
      <c r="I830" s="43">
        <f>'Alloc Table Cust'!Q23</f>
        <v>0</v>
      </c>
      <c r="J830" s="43">
        <f>'Alloc Table Cust'!R23</f>
        <v>0.73995</v>
      </c>
      <c r="K830" s="43">
        <f>'Alloc Table Cust'!S23</f>
        <v>0</v>
      </c>
      <c r="L830" s="43">
        <f>'Alloc Table Cust'!T23</f>
        <v>0</v>
      </c>
    </row>
    <row r="831" spans="1:12" ht="11.25" x14ac:dyDescent="0.2">
      <c r="A831" s="325">
        <f t="shared" si="106"/>
        <v>18</v>
      </c>
      <c r="B831" s="23" t="str">
        <f>'Alloc Table Cust'!C24</f>
        <v>ACCOUNT 376 MAINS - COMPOSITE/PLANT</v>
      </c>
      <c r="C831" s="3"/>
      <c r="D831" s="32" t="str">
        <f>'Alloc Table Cust'!B24</f>
        <v>18CUST</v>
      </c>
      <c r="E831" s="43">
        <v>1</v>
      </c>
      <c r="F831" s="43">
        <f>'Alloc Table Cust'!N24</f>
        <v>1</v>
      </c>
      <c r="G831" s="43">
        <f>'Alloc Table Cust'!O24</f>
        <v>0</v>
      </c>
      <c r="H831" s="43">
        <f>'Alloc Table Cust'!P24</f>
        <v>0</v>
      </c>
      <c r="I831" s="43">
        <f>'Alloc Table Cust'!Q24</f>
        <v>0</v>
      </c>
      <c r="J831" s="43">
        <f>'Alloc Table Cust'!R24</f>
        <v>0</v>
      </c>
      <c r="K831" s="43">
        <f>'Alloc Table Cust'!S24</f>
        <v>0</v>
      </c>
      <c r="L831" s="43">
        <f>'Alloc Table Cust'!T24</f>
        <v>0</v>
      </c>
    </row>
    <row r="832" spans="1:12" ht="11.25" x14ac:dyDescent="0.2">
      <c r="A832" s="325">
        <f t="shared" si="106"/>
        <v>19</v>
      </c>
      <c r="B832" s="23" t="str">
        <f>'Alloc Table Cust'!C25</f>
        <v>TOTAL PLANT</v>
      </c>
      <c r="C832" s="3"/>
      <c r="D832" s="32" t="str">
        <f>'Alloc Table Cust'!B25</f>
        <v>19CUST</v>
      </c>
      <c r="E832" s="43">
        <v>1</v>
      </c>
      <c r="F832" s="43">
        <f ca="1">'Alloc Table Cust'!N25</f>
        <v>0.82655000000000001</v>
      </c>
      <c r="G832" s="43">
        <f ca="1">'Alloc Table Cust'!O25</f>
        <v>0.15414</v>
      </c>
      <c r="H832" s="43">
        <f ca="1">'Alloc Table Cust'!P25</f>
        <v>4.0000000000000003E-5</v>
      </c>
      <c r="I832" s="43">
        <f ca="1">'Alloc Table Cust'!Q25</f>
        <v>3.96E-3</v>
      </c>
      <c r="J832" s="43">
        <f ca="1">'Alloc Table Cust'!R25</f>
        <v>1.5310000000000001E-2</v>
      </c>
      <c r="K832" s="43">
        <f ca="1">'Alloc Table Cust'!S25</f>
        <v>0</v>
      </c>
      <c r="L832" s="43">
        <f ca="1">'Alloc Table Cust'!T25</f>
        <v>0</v>
      </c>
    </row>
    <row r="833" spans="1:12" ht="11.25" x14ac:dyDescent="0.2">
      <c r="A833" s="325">
        <f t="shared" si="106"/>
        <v>20</v>
      </c>
      <c r="B833" s="23" t="str">
        <f>'Alloc Table Cust'!C26</f>
        <v>AVG DEM/COM #5 &amp; CUS/DEM #3</v>
      </c>
      <c r="C833" s="3"/>
      <c r="D833" s="32">
        <f>'Alloc Table Cust'!B26</f>
        <v>20</v>
      </c>
      <c r="E833" s="43">
        <v>1</v>
      </c>
      <c r="F833" s="43">
        <f>'Alloc Table Cust'!N26</f>
        <v>0.56387999999999994</v>
      </c>
      <c r="G833" s="43">
        <f>'Alloc Table Cust'!O26</f>
        <v>0.2157</v>
      </c>
      <c r="H833" s="43">
        <f>'Alloc Table Cust'!P26</f>
        <v>4.0999999999999999E-4</v>
      </c>
      <c r="I833" s="43">
        <f>'Alloc Table Cust'!Q26</f>
        <v>0</v>
      </c>
      <c r="J833" s="43">
        <f>'Alloc Table Cust'!R26</f>
        <v>0.22001000000000001</v>
      </c>
      <c r="K833" s="43">
        <f>'Alloc Table Cust'!S26</f>
        <v>0</v>
      </c>
      <c r="L833" s="43">
        <f>'Alloc Table Cust'!T26</f>
        <v>0</v>
      </c>
    </row>
    <row r="834" spans="1:12" ht="11.25" x14ac:dyDescent="0.2">
      <c r="A834" s="325">
        <f t="shared" si="106"/>
        <v>21</v>
      </c>
      <c r="B834" s="23" t="str">
        <f>'Alloc Table Cust'!C27</f>
        <v>UNCOLLECTIBLES</v>
      </c>
      <c r="C834" s="3"/>
      <c r="D834" s="32">
        <f>'Alloc Table Cust'!B27</f>
        <v>21</v>
      </c>
      <c r="E834" s="43">
        <v>1</v>
      </c>
      <c r="F834" s="43">
        <f>'Alloc Table Cust'!N27</f>
        <v>0.86777000000000004</v>
      </c>
      <c r="G834" s="43">
        <f>'Alloc Table Cust'!O27</f>
        <v>0.13141</v>
      </c>
      <c r="H834" s="43">
        <f>'Alloc Table Cust'!P27</f>
        <v>2.0000000000000002E-5</v>
      </c>
      <c r="I834" s="43">
        <f>'Alloc Table Cust'!Q27</f>
        <v>6.0000000000000002E-5</v>
      </c>
      <c r="J834" s="43">
        <f>'Alloc Table Cust'!R27</f>
        <v>7.3999999999999999E-4</v>
      </c>
      <c r="K834" s="43">
        <f>'Alloc Table Cust'!S27</f>
        <v>0</v>
      </c>
      <c r="L834" s="43">
        <f>'Alloc Table Cust'!T27</f>
        <v>0</v>
      </c>
    </row>
    <row r="835" spans="1:12" ht="11.25" x14ac:dyDescent="0.2">
      <c r="A835" s="325"/>
      <c r="B835" s="23"/>
      <c r="C835" s="3"/>
      <c r="D835" s="32"/>
      <c r="E835" s="43"/>
      <c r="F835" s="43"/>
      <c r="G835" s="43"/>
      <c r="H835" s="43"/>
      <c r="I835" s="43"/>
      <c r="J835" s="43"/>
      <c r="K835" s="43"/>
      <c r="L835" s="43"/>
    </row>
    <row r="836" spans="1:12" ht="11.25" x14ac:dyDescent="0.2">
      <c r="A836" s="325"/>
      <c r="B836" s="23"/>
      <c r="C836" s="3"/>
      <c r="D836" s="32"/>
      <c r="E836" s="43"/>
      <c r="F836" s="43"/>
      <c r="G836" s="43"/>
      <c r="H836" s="43"/>
      <c r="I836" s="43"/>
      <c r="J836" s="43"/>
      <c r="K836" s="43"/>
    </row>
    <row r="837" spans="1:12" ht="11.25" x14ac:dyDescent="0.2">
      <c r="A837" s="325"/>
      <c r="B837" s="23"/>
      <c r="C837" s="3"/>
      <c r="D837" s="32"/>
      <c r="E837" s="43"/>
      <c r="F837" s="43"/>
      <c r="G837" s="43"/>
      <c r="H837" s="43"/>
      <c r="I837" s="43"/>
      <c r="J837" s="43"/>
      <c r="K837" s="43"/>
    </row>
    <row r="838" spans="1:12" ht="11.25" x14ac:dyDescent="0.2">
      <c r="A838" s="325"/>
      <c r="B838" s="23"/>
      <c r="C838" s="3"/>
      <c r="D838" s="32"/>
      <c r="E838" s="43"/>
      <c r="F838" s="43"/>
      <c r="G838" s="43"/>
      <c r="H838" s="43"/>
      <c r="I838" s="43"/>
      <c r="J838" s="43"/>
      <c r="K838" s="43"/>
    </row>
    <row r="839" spans="1:12" ht="11.25" x14ac:dyDescent="0.2">
      <c r="A839" s="325"/>
      <c r="B839" s="23"/>
      <c r="C839" s="3"/>
      <c r="D839" s="32"/>
      <c r="E839" s="43"/>
      <c r="F839" s="43"/>
      <c r="G839" s="43"/>
      <c r="H839" s="43"/>
      <c r="I839" s="43"/>
      <c r="J839" s="43"/>
      <c r="K839" s="43"/>
    </row>
    <row r="840" spans="1:12" ht="11.25" x14ac:dyDescent="0.2">
      <c r="A840" s="325"/>
      <c r="B840" s="23"/>
      <c r="C840" s="3"/>
      <c r="D840" s="32"/>
      <c r="E840" s="43"/>
      <c r="F840" s="43"/>
      <c r="G840" s="43"/>
      <c r="H840" s="43"/>
      <c r="I840" s="43"/>
      <c r="J840" s="43"/>
      <c r="K840" s="43"/>
    </row>
    <row r="841" spans="1:12" ht="11.25" x14ac:dyDescent="0.2">
      <c r="A841" s="325"/>
      <c r="B841" s="23"/>
      <c r="C841" s="3"/>
      <c r="D841" s="32"/>
      <c r="E841" s="43"/>
      <c r="F841" s="43"/>
      <c r="G841" s="43"/>
      <c r="H841" s="43"/>
      <c r="I841" s="43"/>
      <c r="J841" s="43"/>
      <c r="K841" s="43"/>
    </row>
    <row r="842" spans="1:12" ht="11.25" x14ac:dyDescent="0.2">
      <c r="A842" s="325"/>
      <c r="B842" s="23"/>
      <c r="C842" s="3"/>
      <c r="D842" s="32"/>
      <c r="E842" s="43"/>
      <c r="F842" s="43"/>
      <c r="G842" s="43"/>
      <c r="H842" s="43"/>
      <c r="I842" s="43"/>
      <c r="J842" s="43"/>
      <c r="K842" s="43"/>
    </row>
    <row r="843" spans="1:12" ht="11.25" x14ac:dyDescent="0.2">
      <c r="A843" s="325"/>
      <c r="B843" s="23"/>
      <c r="C843" s="3"/>
      <c r="D843" s="32"/>
      <c r="E843" s="43"/>
      <c r="F843" s="43"/>
      <c r="G843" s="43"/>
      <c r="H843" s="43"/>
      <c r="I843" s="43"/>
      <c r="J843" s="43"/>
      <c r="K843" s="43"/>
    </row>
    <row r="844" spans="1:12" ht="11.25" x14ac:dyDescent="0.2">
      <c r="A844" s="325"/>
      <c r="B844" s="23"/>
      <c r="C844" s="3"/>
      <c r="D844" s="32"/>
      <c r="E844" s="43"/>
      <c r="F844" s="43"/>
      <c r="G844" s="43"/>
      <c r="H844" s="43"/>
      <c r="I844" s="43"/>
      <c r="J844" s="43"/>
      <c r="K844" s="43"/>
    </row>
    <row r="845" spans="1:12" ht="11.25" x14ac:dyDescent="0.2">
      <c r="A845" s="325"/>
      <c r="B845" s="23"/>
      <c r="C845" s="3"/>
      <c r="D845" s="32"/>
      <c r="E845" s="43"/>
      <c r="F845" s="43"/>
      <c r="G845" s="43"/>
      <c r="H845" s="43"/>
      <c r="I845" s="43"/>
      <c r="J845" s="43"/>
      <c r="K845" s="43"/>
    </row>
    <row r="846" spans="1:12" ht="11.25" x14ac:dyDescent="0.2">
      <c r="A846" s="325"/>
      <c r="B846" s="23"/>
      <c r="C846" s="3"/>
      <c r="D846" s="32"/>
      <c r="E846" s="43"/>
      <c r="F846" s="43"/>
      <c r="G846" s="43"/>
      <c r="H846" s="43"/>
      <c r="I846" s="43"/>
      <c r="J846" s="43"/>
      <c r="K846" s="43"/>
    </row>
    <row r="847" spans="1:12" ht="11.25" x14ac:dyDescent="0.2">
      <c r="A847" s="325"/>
      <c r="B847" s="23"/>
      <c r="C847" s="3"/>
      <c r="D847" s="32"/>
      <c r="E847" s="43"/>
      <c r="F847" s="43"/>
      <c r="G847" s="43"/>
      <c r="H847" s="43"/>
      <c r="I847" s="43"/>
      <c r="J847" s="43"/>
      <c r="K847" s="43"/>
    </row>
    <row r="848" spans="1:12" ht="11.25" x14ac:dyDescent="0.2">
      <c r="A848" s="325"/>
      <c r="B848" s="23"/>
      <c r="C848" s="3"/>
      <c r="D848" s="32"/>
      <c r="E848" s="43"/>
      <c r="F848" s="43"/>
      <c r="G848" s="43"/>
      <c r="H848" s="43"/>
      <c r="I848" s="43"/>
      <c r="J848" s="43"/>
      <c r="K848" s="43"/>
    </row>
    <row r="849" spans="1:11" ht="11.25" x14ac:dyDescent="0.2">
      <c r="A849" s="325"/>
      <c r="B849" s="23"/>
      <c r="C849" s="3"/>
      <c r="D849" s="32"/>
      <c r="E849" s="43"/>
      <c r="F849" s="43"/>
      <c r="G849" s="43"/>
      <c r="H849" s="43"/>
      <c r="I849" s="43"/>
      <c r="J849" s="43"/>
      <c r="K849" s="43"/>
    </row>
    <row r="850" spans="1:11" ht="11.25" x14ac:dyDescent="0.2">
      <c r="A850" s="325"/>
      <c r="B850" s="23"/>
      <c r="C850" s="3"/>
      <c r="D850" s="32"/>
      <c r="E850" s="43"/>
      <c r="F850" s="43"/>
      <c r="G850" s="43"/>
      <c r="H850" s="43"/>
      <c r="I850" s="43"/>
      <c r="J850" s="43"/>
      <c r="K850" s="43"/>
    </row>
    <row r="851" spans="1:11" ht="11.25" x14ac:dyDescent="0.2">
      <c r="A851" s="325"/>
      <c r="B851" s="23"/>
      <c r="C851" s="3"/>
      <c r="D851" s="32"/>
      <c r="E851" s="43"/>
      <c r="F851" s="43"/>
      <c r="G851" s="43"/>
      <c r="H851" s="43"/>
      <c r="I851" s="43"/>
      <c r="J851" s="43"/>
      <c r="K851" s="43"/>
    </row>
  </sheetData>
  <mergeCells count="2">
    <mergeCell ref="B811:C811"/>
    <mergeCell ref="B812:C812"/>
  </mergeCells>
  <pageMargins left="0" right="0" top="0.75" bottom="0.75" header="0.3" footer="0.3"/>
  <pageSetup scale="94" orientation="landscape" r:id="rId1"/>
  <rowBreaks count="25" manualBreakCount="25">
    <brk id="34" max="11" man="1"/>
    <brk id="66" max="11" man="1"/>
    <brk id="89" max="16383" man="1"/>
    <brk id="123" max="16383" man="1"/>
    <brk id="167" max="16383" man="1"/>
    <brk id="205" max="16383" man="1"/>
    <brk id="250" max="16383" man="1"/>
    <brk id="291" max="16383" man="1"/>
    <brk id="336" max="16383" man="1"/>
    <brk id="375" max="16383" man="1"/>
    <brk id="396" max="16383" man="1"/>
    <brk id="433" max="16383" man="1"/>
    <brk id="464" max="16383" man="1"/>
    <brk id="495" max="16383" man="1"/>
    <brk id="532" max="16383" man="1"/>
    <brk id="563" max="16383" man="1"/>
    <brk id="594" max="16383" man="1"/>
    <brk id="633" max="16383" man="1"/>
    <brk id="663" max="16383" man="1"/>
    <brk id="679" max="16383" man="1"/>
    <brk id="705" max="16383" man="1"/>
    <brk id="721" max="16383" man="1"/>
    <brk id="751" max="16383" man="1"/>
    <brk id="771" max="16383" man="1"/>
    <brk id="806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1"/>
  <sheetViews>
    <sheetView zoomScaleNormal="100" zoomScaleSheetLayoutView="90" workbookViewId="0">
      <selection activeCell="C39" sqref="C39"/>
    </sheetView>
  </sheetViews>
  <sheetFormatPr defaultRowHeight="10.5" x14ac:dyDescent="0.15"/>
  <cols>
    <col min="1" max="1" width="4.83203125" style="330" customWidth="1"/>
    <col min="2" max="2" width="9" style="330" customWidth="1"/>
    <col min="3" max="3" width="41.6640625" style="330" customWidth="1"/>
    <col min="4" max="4" width="8.6640625" style="337" customWidth="1"/>
    <col min="5" max="5" width="14" style="330" customWidth="1"/>
    <col min="6" max="6" width="16.1640625" style="330" bestFit="1" customWidth="1"/>
    <col min="7" max="7" width="11.1640625" style="330" customWidth="1"/>
    <col min="8" max="8" width="11.1640625" style="330" bestFit="1" customWidth="1"/>
    <col min="9" max="9" width="11" style="330" customWidth="1"/>
    <col min="10" max="10" width="10.83203125" style="330" bestFit="1" customWidth="1"/>
    <col min="11" max="12" width="9.6640625" style="330" bestFit="1" customWidth="1"/>
    <col min="13" max="16384" width="9.33203125" style="330"/>
  </cols>
  <sheetData>
    <row r="1" spans="1:13" ht="11.25" x14ac:dyDescent="0.2">
      <c r="A1" s="3" t="s">
        <v>818</v>
      </c>
      <c r="B1" s="3"/>
      <c r="C1" s="3"/>
      <c r="D1" s="325"/>
      <c r="E1" s="3"/>
      <c r="F1" s="325" t="str">
        <f>""&amp;+Input!$B$1</f>
        <v>COLUMBIA GAS OF KENTUCKY, INC.</v>
      </c>
      <c r="H1" s="3"/>
      <c r="I1" s="3"/>
      <c r="J1" s="3"/>
      <c r="K1" s="3"/>
      <c r="L1" s="32" t="str">
        <f>Input!$B$2</f>
        <v>ATTACHMENT CEN-2</v>
      </c>
    </row>
    <row r="2" spans="1:13" ht="11.25" x14ac:dyDescent="0.2">
      <c r="A2" s="3" t="str">
        <f>Input!$B$7</f>
        <v>DEMAND-COMMODITY</v>
      </c>
      <c r="B2" s="3"/>
      <c r="C2" s="3"/>
      <c r="D2" s="325"/>
      <c r="E2" s="3"/>
      <c r="F2" s="325" t="s">
        <v>564</v>
      </c>
      <c r="H2" s="3"/>
      <c r="I2" s="3"/>
      <c r="J2" s="3"/>
      <c r="K2" s="3"/>
      <c r="L2" s="32" t="str">
        <f>"PAGE 78 OF "&amp;FIXED(Input!$B$8,0,TRUE)</f>
        <v>PAGE 78 OF 129</v>
      </c>
    </row>
    <row r="3" spans="1:13" ht="11.25" x14ac:dyDescent="0.2">
      <c r="A3" s="17" t="str">
        <f>Input!$B$6</f>
        <v>FORECASTED TEST YEAR - ORIGINAL FILING</v>
      </c>
      <c r="B3" s="17"/>
      <c r="C3" s="17"/>
      <c r="D3" s="34"/>
      <c r="E3" s="17"/>
      <c r="F3" s="19" t="str">
        <f>"FOR THE TWELVE MONTHS ENDED "&amp;Input!$B$4</f>
        <v>FOR THE TWELVE MONTHS ENDED 12/31/2017</v>
      </c>
      <c r="G3" s="329"/>
      <c r="H3" s="17"/>
      <c r="I3" s="17"/>
      <c r="J3" s="17"/>
      <c r="K3" s="17"/>
      <c r="L3" s="183" t="str">
        <f>"WITNESS: "&amp;Input!$B$5</f>
        <v>WITNESS: C. NOTESTONE</v>
      </c>
    </row>
    <row r="4" spans="1:13" ht="11.25" x14ac:dyDescent="0.2">
      <c r="A4" s="325" t="s">
        <v>5</v>
      </c>
      <c r="B4" s="3" t="s">
        <v>6</v>
      </c>
      <c r="C4" s="3"/>
      <c r="D4" s="325" t="s">
        <v>7</v>
      </c>
      <c r="E4" s="325" t="s">
        <v>8</v>
      </c>
      <c r="F4" s="3"/>
      <c r="G4" s="3"/>
      <c r="H4" s="3"/>
      <c r="I4" s="3"/>
      <c r="J4" s="3"/>
      <c r="K4" s="3"/>
      <c r="L4" s="3"/>
    </row>
    <row r="5" spans="1:13" ht="11.25" x14ac:dyDescent="0.2">
      <c r="A5" s="341" t="s">
        <v>9</v>
      </c>
      <c r="B5" s="341" t="s">
        <v>9</v>
      </c>
      <c r="C5" s="341" t="str">
        <f>"                        ACCOUNT TITLE                "</f>
        <v xml:space="preserve">                        ACCOUNT TITLE                </v>
      </c>
      <c r="D5" s="341" t="s">
        <v>10</v>
      </c>
      <c r="E5" s="341" t="s">
        <v>812</v>
      </c>
      <c r="F5" s="341" t="str">
        <f>"  "&amp;+Input!$C$12</f>
        <v xml:space="preserve">  GS-RESIDENTIAL</v>
      </c>
      <c r="G5" s="341" t="str">
        <f>Input!$C$13</f>
        <v>GS-OTHER</v>
      </c>
      <c r="H5" s="341" t="str">
        <f>Input!$C$14</f>
        <v>IUS</v>
      </c>
      <c r="I5" s="341" t="str">
        <f>Input!$C$15</f>
        <v>DS-ML</v>
      </c>
      <c r="J5" s="341" t="str">
        <f>Input!$C$16</f>
        <v>DS/IS</v>
      </c>
      <c r="K5" s="341" t="str">
        <f>Input!$C$17</f>
        <v>NOT USED</v>
      </c>
      <c r="L5" s="341" t="str">
        <f>Input!$C$18</f>
        <v>NOT USED</v>
      </c>
    </row>
    <row r="6" spans="1:13" ht="11.25" x14ac:dyDescent="0.2">
      <c r="A6" s="3"/>
      <c r="B6" s="342" t="s">
        <v>13</v>
      </c>
      <c r="C6" s="342" t="s">
        <v>14</v>
      </c>
      <c r="D6" s="325" t="s">
        <v>15</v>
      </c>
      <c r="E6" s="325" t="s">
        <v>16</v>
      </c>
      <c r="F6" s="325" t="s">
        <v>17</v>
      </c>
      <c r="G6" s="325" t="s">
        <v>18</v>
      </c>
      <c r="H6" s="325" t="s">
        <v>19</v>
      </c>
      <c r="I6" s="325" t="s">
        <v>20</v>
      </c>
      <c r="J6" s="325" t="s">
        <v>21</v>
      </c>
      <c r="K6" s="325" t="s">
        <v>22</v>
      </c>
      <c r="L6" s="325" t="s">
        <v>23</v>
      </c>
    </row>
    <row r="7" spans="1:13" ht="11.25" x14ac:dyDescent="0.2">
      <c r="A7" s="3"/>
      <c r="B7" s="3"/>
      <c r="C7" s="3"/>
      <c r="D7" s="325"/>
      <c r="E7" s="325" t="s">
        <v>26</v>
      </c>
      <c r="F7" s="325" t="s">
        <v>26</v>
      </c>
      <c r="G7" s="325" t="s">
        <v>26</v>
      </c>
      <c r="H7" s="325" t="s">
        <v>26</v>
      </c>
      <c r="I7" s="325" t="s">
        <v>26</v>
      </c>
      <c r="J7" s="325" t="s">
        <v>26</v>
      </c>
      <c r="K7" s="325" t="s">
        <v>26</v>
      </c>
      <c r="L7" s="325" t="s">
        <v>26</v>
      </c>
    </row>
    <row r="8" spans="1:13" ht="11.25" x14ac:dyDescent="0.2">
      <c r="A8" s="3">
        <v>1</v>
      </c>
      <c r="B8" s="3" t="s">
        <v>421</v>
      </c>
      <c r="C8" s="3"/>
      <c r="D8" s="325"/>
      <c r="E8" s="3">
        <f ca="1">E97</f>
        <v>37773621.149999991</v>
      </c>
      <c r="F8" s="3">
        <f t="shared" ref="F8:L8" ca="1" si="0">F97</f>
        <v>24264600.589999996</v>
      </c>
      <c r="G8" s="3">
        <f t="shared" ca="1" si="0"/>
        <v>12036706</v>
      </c>
      <c r="H8" s="3">
        <f t="shared" ca="1" si="0"/>
        <v>30284.560000000001</v>
      </c>
      <c r="I8" s="3">
        <f t="shared" ca="1" si="0"/>
        <v>110813</v>
      </c>
      <c r="J8" s="3">
        <f t="shared" ca="1" si="0"/>
        <v>1331217</v>
      </c>
      <c r="K8" s="3">
        <f t="shared" si="0"/>
        <v>0</v>
      </c>
      <c r="L8" s="3">
        <f t="shared" si="0"/>
        <v>0</v>
      </c>
      <c r="M8" s="3"/>
    </row>
    <row r="9" spans="1:13" ht="11.25" x14ac:dyDescent="0.2">
      <c r="A9" s="3">
        <f>A8+1</f>
        <v>2</v>
      </c>
      <c r="B9" s="3" t="s">
        <v>833</v>
      </c>
      <c r="C9" s="3"/>
      <c r="D9" s="325"/>
      <c r="E9" s="26">
        <f ca="1">SUM(F9:L9)</f>
        <v>5893383</v>
      </c>
      <c r="F9" s="26">
        <f ca="1">F10-F8</f>
        <v>3808957</v>
      </c>
      <c r="G9" s="26">
        <f t="shared" ref="G9:L9" ca="1" si="1">G10-G8</f>
        <v>1588939</v>
      </c>
      <c r="H9" s="26">
        <f t="shared" ca="1" si="1"/>
        <v>1943</v>
      </c>
      <c r="I9" s="26">
        <f t="shared" ca="1" si="1"/>
        <v>584</v>
      </c>
      <c r="J9" s="26">
        <f t="shared" ca="1" si="1"/>
        <v>492960</v>
      </c>
      <c r="K9" s="26">
        <f t="shared" si="1"/>
        <v>0</v>
      </c>
      <c r="L9" s="26">
        <f t="shared" si="1"/>
        <v>0</v>
      </c>
      <c r="M9" s="3"/>
    </row>
    <row r="10" spans="1:13" ht="11.25" x14ac:dyDescent="0.2">
      <c r="A10" s="3">
        <f>A9+1</f>
        <v>3</v>
      </c>
      <c r="B10" s="3" t="s">
        <v>834</v>
      </c>
      <c r="C10" s="3"/>
      <c r="D10" s="325"/>
      <c r="E10" s="3">
        <f ca="1">SUM(F10:L10)</f>
        <v>43667004.149999999</v>
      </c>
      <c r="F10" s="3">
        <f ca="1">SUM(Input!E571:E576)</f>
        <v>28073557.589999996</v>
      </c>
      <c r="G10" s="3">
        <f ca="1">SUM(Input!F571:F576)</f>
        <v>13625645</v>
      </c>
      <c r="H10" s="3">
        <f ca="1">SUM(Input!G571:G576)</f>
        <v>32227.56</v>
      </c>
      <c r="I10" s="3">
        <f ca="1">SUM(Input!H571:H576)</f>
        <v>111397</v>
      </c>
      <c r="J10" s="3">
        <f ca="1">SUM(Input!I571:I576)</f>
        <v>1824177</v>
      </c>
      <c r="K10" s="3">
        <f>SUM(Input!J571:J576)</f>
        <v>0</v>
      </c>
      <c r="L10" s="3">
        <f>SUM(Input!K571:K576)</f>
        <v>0</v>
      </c>
      <c r="M10" s="3"/>
    </row>
    <row r="11" spans="1:13" ht="11.25" x14ac:dyDescent="0.2">
      <c r="A11" s="3"/>
      <c r="B11" s="3"/>
      <c r="C11" s="3"/>
      <c r="D11" s="325"/>
      <c r="E11" s="3"/>
      <c r="F11" s="3"/>
      <c r="G11" s="3"/>
      <c r="H11" s="3"/>
      <c r="I11" s="3"/>
      <c r="J11" s="3"/>
      <c r="K11" s="3"/>
      <c r="L11" s="3"/>
      <c r="M11" s="3"/>
    </row>
    <row r="12" spans="1:13" ht="11.25" x14ac:dyDescent="0.2">
      <c r="A12" s="3">
        <f>A10+1</f>
        <v>4</v>
      </c>
      <c r="B12" s="3" t="s">
        <v>409</v>
      </c>
      <c r="C12" s="3"/>
      <c r="D12" s="325"/>
      <c r="E12" s="3">
        <f>E99</f>
        <v>21475950.109999996</v>
      </c>
      <c r="F12" s="3">
        <f t="shared" ref="F12:L12" si="2">F99</f>
        <v>13807094.589999998</v>
      </c>
      <c r="G12" s="3">
        <f t="shared" si="2"/>
        <v>7643846.9600000009</v>
      </c>
      <c r="H12" s="3">
        <f t="shared" si="2"/>
        <v>25008.560000000001</v>
      </c>
      <c r="I12" s="3">
        <f t="shared" si="2"/>
        <v>0</v>
      </c>
      <c r="J12" s="3">
        <f t="shared" si="2"/>
        <v>0</v>
      </c>
      <c r="K12" s="3">
        <f t="shared" si="2"/>
        <v>0</v>
      </c>
      <c r="L12" s="3">
        <f t="shared" si="2"/>
        <v>0</v>
      </c>
      <c r="M12" s="3"/>
    </row>
    <row r="13" spans="1:13" ht="11.25" x14ac:dyDescent="0.2">
      <c r="A13" s="3">
        <f t="shared" ref="A13:A18" si="3">A12+1</f>
        <v>5</v>
      </c>
      <c r="B13" s="3" t="s">
        <v>422</v>
      </c>
      <c r="C13" s="3"/>
      <c r="D13" s="325"/>
      <c r="E13" s="3">
        <f ca="1">SUM(F13:L13)</f>
        <v>9268652</v>
      </c>
      <c r="F13" s="3">
        <f ca="1">F100+ROUND(F9*(Input!$E$40+Input!$E$41),0)</f>
        <v>3765859</v>
      </c>
      <c r="G13" s="3">
        <f ca="1">G100+ROUND(G9*(Input!$E$40+Input!$E$41),0)</f>
        <v>2496067</v>
      </c>
      <c r="H13" s="3">
        <f ca="1">H100+ROUND(H9*(Input!$E$40+Input!$E$41),0)</f>
        <v>5586</v>
      </c>
      <c r="I13" s="3">
        <f ca="1">I100+ROUND(I9*(Input!$E$40+Input!$E$41),0)</f>
        <v>444</v>
      </c>
      <c r="J13" s="3">
        <f ca="1">J100+ROUND(J9*(Input!$E$40+Input!$E$41),0)</f>
        <v>3000696</v>
      </c>
      <c r="K13" s="3">
        <f ca="1">K100+ROUND(K9*(Input!$E$40+Input!$E$41),0)</f>
        <v>0</v>
      </c>
      <c r="L13" s="3">
        <f ca="1">L100+ROUND(L9*(Input!$E$40+Input!$E$41),0)</f>
        <v>0</v>
      </c>
      <c r="M13" s="3"/>
    </row>
    <row r="14" spans="1:13" ht="11.25" x14ac:dyDescent="0.2">
      <c r="A14" s="3">
        <f t="shared" si="3"/>
        <v>6</v>
      </c>
      <c r="B14" s="3" t="s">
        <v>423</v>
      </c>
      <c r="C14" s="3"/>
      <c r="D14" s="325"/>
      <c r="E14" s="3">
        <f ca="1">SUM(F14:L14)</f>
        <v>3392117</v>
      </c>
      <c r="F14" s="3">
        <f ca="1">F101</f>
        <v>1322148</v>
      </c>
      <c r="G14" s="3">
        <f t="shared" ref="G14:L14" ca="1" si="4">G101</f>
        <v>895331</v>
      </c>
      <c r="H14" s="3">
        <f t="shared" ca="1" si="4"/>
        <v>1931</v>
      </c>
      <c r="I14" s="3">
        <f t="shared" ca="1" si="4"/>
        <v>597</v>
      </c>
      <c r="J14" s="3">
        <f t="shared" ca="1" si="4"/>
        <v>1172110</v>
      </c>
      <c r="K14" s="3">
        <f t="shared" ca="1" si="4"/>
        <v>0</v>
      </c>
      <c r="L14" s="3">
        <f t="shared" ca="1" si="4"/>
        <v>0</v>
      </c>
      <c r="M14" s="3"/>
    </row>
    <row r="15" spans="1:13" ht="11.25" x14ac:dyDescent="0.2">
      <c r="A15" s="3">
        <f t="shared" si="3"/>
        <v>7</v>
      </c>
      <c r="B15" s="3" t="s">
        <v>424</v>
      </c>
      <c r="C15" s="3"/>
      <c r="D15" s="325"/>
      <c r="E15" s="3">
        <f ca="1">SUM(F15:L15)</f>
        <v>1676084</v>
      </c>
      <c r="F15" s="1">
        <f ca="1">F102+ROUND(F9*Input!$E$45,0)</f>
        <v>2413608</v>
      </c>
      <c r="G15" s="1">
        <f ca="1">G102+ROUND(G9*Input!$E$45,0)</f>
        <v>466682</v>
      </c>
      <c r="H15" s="1">
        <f ca="1">H102+ROUND(H9*Input!$E$45,0)</f>
        <v>-890</v>
      </c>
      <c r="I15" s="1">
        <f ca="1">I102+ROUND(I9*Input!$E$45,0)</f>
        <v>34854</v>
      </c>
      <c r="J15" s="1">
        <f ca="1">J102+ROUND(J9*Input!$E$45,0)</f>
        <v>-1238170</v>
      </c>
      <c r="K15" s="1">
        <f ca="1">K102+ROUND(K9*Input!$E$45,0)</f>
        <v>0</v>
      </c>
      <c r="L15" s="1">
        <f ca="1">L102+ROUND(L9*Input!$E$45,0)</f>
        <v>0</v>
      </c>
      <c r="M15" s="3"/>
    </row>
    <row r="16" spans="1:13" ht="11.25" x14ac:dyDescent="0.2">
      <c r="A16" s="3">
        <f t="shared" si="3"/>
        <v>8</v>
      </c>
      <c r="B16" s="3" t="s">
        <v>425</v>
      </c>
      <c r="C16" s="3"/>
      <c r="D16" s="325"/>
      <c r="E16" s="3">
        <f ca="1">SUM(F16:L16)</f>
        <v>304358.44216293551</v>
      </c>
      <c r="F16" s="1">
        <f ca="1">F103+ROUND(F9*Input!$E$43,0)</f>
        <v>446463.90910505259</v>
      </c>
      <c r="G16" s="1">
        <f ca="1">G103+ROUND(G9*Input!$E$43,0)</f>
        <v>84835.426690496024</v>
      </c>
      <c r="H16" s="1">
        <f ca="1">H103+ROUND(H9*Input!$E$43,0)</f>
        <v>-170.95845936964866</v>
      </c>
      <c r="I16" s="1">
        <f ca="1">I103+ROUND(I9*Input!$E$43,0)</f>
        <v>6542.6445622351084</v>
      </c>
      <c r="J16" s="1">
        <f ca="1">J103+ROUND(J9*Input!$E$43,0)</f>
        <v>-233312.57973547862</v>
      </c>
      <c r="K16" s="1">
        <f ca="1">K103+ROUND(K9*Input!$E$43,0)</f>
        <v>0</v>
      </c>
      <c r="L16" s="1">
        <f ca="1">L103+ROUND(L9*Input!$E$43,0)</f>
        <v>0</v>
      </c>
      <c r="M16" s="3"/>
    </row>
    <row r="17" spans="1:13" ht="11.25" x14ac:dyDescent="0.2">
      <c r="A17" s="3">
        <f t="shared" si="3"/>
        <v>9</v>
      </c>
      <c r="B17" s="3" t="s">
        <v>426</v>
      </c>
      <c r="C17" s="3"/>
      <c r="D17" s="325"/>
      <c r="E17" s="26">
        <f ca="1">SUM(F17:L17)</f>
        <v>1315912</v>
      </c>
      <c r="F17" s="26">
        <f ca="1">F104</f>
        <v>512520</v>
      </c>
      <c r="G17" s="26">
        <f t="shared" ref="G17:L17" ca="1" si="5">G104</f>
        <v>347172</v>
      </c>
      <c r="H17" s="26">
        <f t="shared" ca="1" si="5"/>
        <v>749</v>
      </c>
      <c r="I17" s="26">
        <f t="shared" ca="1" si="5"/>
        <v>295</v>
      </c>
      <c r="J17" s="26">
        <f t="shared" ca="1" si="5"/>
        <v>455176</v>
      </c>
      <c r="K17" s="26">
        <f t="shared" ca="1" si="5"/>
        <v>0</v>
      </c>
      <c r="L17" s="26">
        <f t="shared" ca="1" si="5"/>
        <v>0</v>
      </c>
      <c r="M17" s="3"/>
    </row>
    <row r="18" spans="1:13" ht="11.25" x14ac:dyDescent="0.2">
      <c r="A18" s="3">
        <f t="shared" si="3"/>
        <v>10</v>
      </c>
      <c r="B18" s="3" t="s">
        <v>415</v>
      </c>
      <c r="C18" s="3"/>
      <c r="D18" s="325"/>
      <c r="E18" s="3">
        <f t="shared" ref="E18:L18" ca="1" si="6">SUM(E12:E17)</f>
        <v>37433073.552162938</v>
      </c>
      <c r="F18" s="3">
        <f t="shared" ca="1" si="6"/>
        <v>22267693.499105047</v>
      </c>
      <c r="G18" s="3">
        <f t="shared" ca="1" si="6"/>
        <v>11933934.386690497</v>
      </c>
      <c r="H18" s="3">
        <f t="shared" ca="1" si="6"/>
        <v>32213.601540630352</v>
      </c>
      <c r="I18" s="3">
        <f t="shared" ca="1" si="6"/>
        <v>42732.644562235109</v>
      </c>
      <c r="J18" s="3">
        <f t="shared" ca="1" si="6"/>
        <v>3156499.4202645216</v>
      </c>
      <c r="K18" s="3">
        <f t="shared" ca="1" si="6"/>
        <v>0</v>
      </c>
      <c r="L18" s="3">
        <f t="shared" ca="1" si="6"/>
        <v>0</v>
      </c>
      <c r="M18" s="3"/>
    </row>
    <row r="19" spans="1:13" ht="11.25" x14ac:dyDescent="0.2">
      <c r="A19" s="3"/>
      <c r="B19" s="3"/>
      <c r="C19" s="3"/>
      <c r="D19" s="325"/>
      <c r="E19" s="3"/>
      <c r="F19" s="3"/>
      <c r="G19" s="3"/>
      <c r="H19" s="3"/>
      <c r="I19" s="3"/>
      <c r="J19" s="3"/>
      <c r="K19" s="3"/>
      <c r="L19" s="3"/>
      <c r="M19" s="3"/>
    </row>
    <row r="20" spans="1:13" ht="11.25" x14ac:dyDescent="0.2">
      <c r="A20" s="3">
        <f>A18+1</f>
        <v>11</v>
      </c>
      <c r="B20" s="3" t="s">
        <v>48</v>
      </c>
      <c r="C20" s="3"/>
      <c r="D20" s="325"/>
      <c r="E20" s="3">
        <f ca="1">E10-E18</f>
        <v>6233930.5978370607</v>
      </c>
      <c r="F20" s="3">
        <f t="shared" ref="F20:L20" ca="1" si="7">F10-F18</f>
        <v>5805864.0908949487</v>
      </c>
      <c r="G20" s="3">
        <f t="shared" ca="1" si="7"/>
        <v>1691710.6133095026</v>
      </c>
      <c r="H20" s="3">
        <f t="shared" ca="1" si="7"/>
        <v>13.958459369649063</v>
      </c>
      <c r="I20" s="3">
        <f t="shared" ca="1" si="7"/>
        <v>68664.355437764898</v>
      </c>
      <c r="J20" s="3">
        <f t="shared" ca="1" si="7"/>
        <v>-1332322.4202645216</v>
      </c>
      <c r="K20" s="3">
        <f t="shared" ca="1" si="7"/>
        <v>0</v>
      </c>
      <c r="L20" s="3">
        <f t="shared" ca="1" si="7"/>
        <v>0</v>
      </c>
      <c r="M20" s="3"/>
    </row>
    <row r="21" spans="1:13" ht="11.25" x14ac:dyDescent="0.2">
      <c r="A21" s="3"/>
      <c r="B21" s="3"/>
      <c r="C21" s="3"/>
      <c r="D21" s="325"/>
      <c r="E21" s="3"/>
      <c r="F21" s="3"/>
      <c r="G21" s="3"/>
      <c r="H21" s="3"/>
      <c r="I21" s="3"/>
      <c r="J21" s="3"/>
      <c r="K21" s="3"/>
      <c r="L21" s="3"/>
      <c r="M21" s="3"/>
    </row>
    <row r="22" spans="1:13" ht="11.25" x14ac:dyDescent="0.2">
      <c r="A22" s="3">
        <f>A20+1</f>
        <v>12</v>
      </c>
      <c r="B22" s="3" t="s">
        <v>427</v>
      </c>
      <c r="C22" s="3"/>
      <c r="D22" s="325"/>
      <c r="E22" s="26">
        <f ca="1">SUM(F22:L22)</f>
        <v>1837905</v>
      </c>
      <c r="F22" s="26">
        <f ca="1">F109</f>
        <v>716803</v>
      </c>
      <c r="G22" s="26">
        <f t="shared" ref="G22:L22" ca="1" si="8">G109</f>
        <v>485238</v>
      </c>
      <c r="H22" s="26">
        <f t="shared" ca="1" si="8"/>
        <v>1049</v>
      </c>
      <c r="I22" s="26">
        <f t="shared" ca="1" si="8"/>
        <v>495</v>
      </c>
      <c r="J22" s="26">
        <f t="shared" ca="1" si="8"/>
        <v>634320</v>
      </c>
      <c r="K22" s="26">
        <f t="shared" ca="1" si="8"/>
        <v>0</v>
      </c>
      <c r="L22" s="26">
        <f t="shared" ca="1" si="8"/>
        <v>0</v>
      </c>
      <c r="M22" s="3"/>
    </row>
    <row r="23" spans="1:13" ht="11.25" x14ac:dyDescent="0.2">
      <c r="A23" s="3">
        <f>A22+1</f>
        <v>13</v>
      </c>
      <c r="B23" s="3" t="s">
        <v>417</v>
      </c>
      <c r="C23" s="3"/>
      <c r="D23" s="325"/>
      <c r="E23" s="3">
        <f t="shared" ref="E23:L23" ca="1" si="9">E20-E22</f>
        <v>4396025.5978370607</v>
      </c>
      <c r="F23" s="3">
        <f t="shared" ca="1" si="9"/>
        <v>5089061.0908949487</v>
      </c>
      <c r="G23" s="3">
        <f t="shared" ca="1" si="9"/>
        <v>1206472.6133095026</v>
      </c>
      <c r="H23" s="3">
        <f t="shared" ca="1" si="9"/>
        <v>-1035.0415406303509</v>
      </c>
      <c r="I23" s="3">
        <f t="shared" ca="1" si="9"/>
        <v>68169.355437764898</v>
      </c>
      <c r="J23" s="3">
        <f t="shared" ca="1" si="9"/>
        <v>-1966642.4202645216</v>
      </c>
      <c r="K23" s="3">
        <f t="shared" ca="1" si="9"/>
        <v>0</v>
      </c>
      <c r="L23" s="3">
        <f t="shared" ca="1" si="9"/>
        <v>0</v>
      </c>
      <c r="M23" s="3"/>
    </row>
    <row r="24" spans="1:13" ht="11.25" x14ac:dyDescent="0.2">
      <c r="A24" s="3"/>
      <c r="B24" s="3"/>
      <c r="C24" s="3"/>
      <c r="D24" s="325"/>
      <c r="E24" s="3"/>
      <c r="F24" s="3"/>
      <c r="G24" s="3"/>
      <c r="H24" s="3"/>
      <c r="I24" s="3"/>
      <c r="J24" s="3"/>
      <c r="K24" s="3"/>
      <c r="L24" s="3"/>
      <c r="M24" s="3"/>
    </row>
    <row r="25" spans="1:13" ht="11.25" x14ac:dyDescent="0.2">
      <c r="A25" s="3">
        <f>A23+1</f>
        <v>14</v>
      </c>
      <c r="B25" s="3" t="s">
        <v>428</v>
      </c>
      <c r="C25" s="3"/>
      <c r="D25" s="325"/>
      <c r="E25" s="3">
        <f ca="1">E113</f>
        <v>69617593</v>
      </c>
      <c r="F25" s="3">
        <f ca="1">F113</f>
        <v>27151627</v>
      </c>
      <c r="G25" s="3">
        <f t="shared" ref="G25:L25" ca="1" si="10">G113</f>
        <v>18380223</v>
      </c>
      <c r="H25" s="3">
        <f t="shared" ca="1" si="10"/>
        <v>39716</v>
      </c>
      <c r="I25" s="3">
        <f t="shared" ca="1" si="10"/>
        <v>18762</v>
      </c>
      <c r="J25" s="3">
        <f t="shared" ca="1" si="10"/>
        <v>24027267</v>
      </c>
      <c r="K25" s="3">
        <f t="shared" ca="1" si="10"/>
        <v>0</v>
      </c>
      <c r="L25" s="3">
        <f t="shared" ca="1" si="10"/>
        <v>0</v>
      </c>
      <c r="M25" s="3"/>
    </row>
    <row r="26" spans="1:13" ht="11.25" x14ac:dyDescent="0.2">
      <c r="A26" s="3"/>
      <c r="B26" s="3"/>
      <c r="C26" s="3"/>
      <c r="D26" s="325"/>
      <c r="E26" s="48"/>
      <c r="F26" s="48"/>
      <c r="G26" s="48"/>
      <c r="H26" s="48"/>
      <c r="I26" s="48"/>
      <c r="J26" s="48"/>
      <c r="K26" s="48"/>
      <c r="L26" s="48"/>
      <c r="M26" s="3"/>
    </row>
    <row r="27" spans="1:13" ht="11.25" x14ac:dyDescent="0.2">
      <c r="A27" s="3">
        <f>A25+1</f>
        <v>15</v>
      </c>
      <c r="B27" s="3" t="s">
        <v>429</v>
      </c>
      <c r="C27" s="3"/>
      <c r="D27" s="325"/>
      <c r="E27" s="49">
        <f t="shared" ref="E27:L27" ca="1" si="11">IF(E25=0,0,ROUND(E20/E25,4))</f>
        <v>8.9499999999999996E-2</v>
      </c>
      <c r="F27" s="49">
        <f t="shared" ca="1" si="11"/>
        <v>0.21379999999999999</v>
      </c>
      <c r="G27" s="49">
        <f t="shared" ca="1" si="11"/>
        <v>9.1999999999999998E-2</v>
      </c>
      <c r="H27" s="49">
        <f t="shared" ca="1" si="11"/>
        <v>4.0000000000000002E-4</v>
      </c>
      <c r="I27" s="49">
        <f t="shared" ca="1" si="11"/>
        <v>3.6598000000000002</v>
      </c>
      <c r="J27" s="49">
        <f t="shared" ca="1" si="11"/>
        <v>-5.5500000000000001E-2</v>
      </c>
      <c r="K27" s="49">
        <f t="shared" ca="1" si="11"/>
        <v>0</v>
      </c>
      <c r="L27" s="49">
        <f t="shared" ca="1" si="11"/>
        <v>0</v>
      </c>
      <c r="M27" s="3"/>
    </row>
    <row r="28" spans="1:13" ht="11.25" x14ac:dyDescent="0.2">
      <c r="A28" s="3"/>
      <c r="B28" s="3"/>
      <c r="C28" s="3"/>
      <c r="D28" s="325"/>
      <c r="E28" s="3"/>
      <c r="F28" s="3"/>
      <c r="G28" s="3"/>
      <c r="H28" s="3"/>
      <c r="I28" s="3"/>
      <c r="J28" s="3"/>
      <c r="K28" s="3"/>
      <c r="L28" s="3"/>
      <c r="M28" s="3"/>
    </row>
    <row r="29" spans="1:13" ht="11.25" x14ac:dyDescent="0.2">
      <c r="A29" s="3">
        <f>A27+1</f>
        <v>16</v>
      </c>
      <c r="B29" s="3" t="s">
        <v>420</v>
      </c>
      <c r="C29" s="3"/>
      <c r="D29" s="325"/>
      <c r="E29" s="24">
        <v>1</v>
      </c>
      <c r="F29" s="24">
        <f ca="1">IF($E$59=0,0,ROUND(F27/$E$59,2))</f>
        <v>2.54</v>
      </c>
      <c r="G29" s="24">
        <f t="shared" ref="G29:L29" ca="1" si="12">IF($E$59=0,0,ROUND(G27/$E$59,2))</f>
        <v>1.0900000000000001</v>
      </c>
      <c r="H29" s="24">
        <f t="shared" ca="1" si="12"/>
        <v>0</v>
      </c>
      <c r="I29" s="24">
        <f t="shared" ca="1" si="12"/>
        <v>43.52</v>
      </c>
      <c r="J29" s="24">
        <f t="shared" ca="1" si="12"/>
        <v>-0.66</v>
      </c>
      <c r="K29" s="24">
        <f t="shared" ca="1" si="12"/>
        <v>0</v>
      </c>
      <c r="L29" s="24">
        <f t="shared" ca="1" si="12"/>
        <v>0</v>
      </c>
      <c r="M29" s="3"/>
    </row>
    <row r="30" spans="1:13" ht="11.25" x14ac:dyDescent="0.2">
      <c r="A30" s="3"/>
      <c r="B30" s="3"/>
      <c r="C30" s="3"/>
      <c r="D30" s="325"/>
      <c r="E30" s="31"/>
      <c r="F30" s="31"/>
      <c r="G30" s="31"/>
      <c r="H30" s="31"/>
      <c r="I30" s="31"/>
      <c r="J30" s="31"/>
      <c r="K30" s="31"/>
      <c r="L30" s="31"/>
    </row>
    <row r="31" spans="1:13" ht="11.25" x14ac:dyDescent="0.2">
      <c r="A31" s="3"/>
      <c r="B31" s="3"/>
      <c r="C31" s="3"/>
      <c r="D31" s="325"/>
      <c r="E31" s="31"/>
      <c r="F31" s="31"/>
      <c r="G31" s="31"/>
      <c r="H31" s="31"/>
      <c r="I31" s="31"/>
      <c r="J31" s="31"/>
      <c r="K31" s="31"/>
      <c r="L31" s="31"/>
    </row>
    <row r="32" spans="1:13" ht="11.25" x14ac:dyDescent="0.2">
      <c r="A32" s="3"/>
      <c r="B32" s="3"/>
      <c r="C32" s="3"/>
      <c r="D32" s="325"/>
      <c r="E32" s="3"/>
      <c r="F32" s="3"/>
      <c r="G32" s="3"/>
      <c r="H32" s="3"/>
      <c r="I32" s="3"/>
      <c r="J32" s="3"/>
      <c r="K32" s="3"/>
      <c r="L32" s="3"/>
    </row>
    <row r="33" spans="1:12" ht="11.25" x14ac:dyDescent="0.2">
      <c r="A33" s="3"/>
      <c r="B33" s="3"/>
      <c r="C33" s="3"/>
      <c r="D33" s="325"/>
      <c r="E33" s="24"/>
      <c r="F33" s="24"/>
      <c r="G33" s="24"/>
      <c r="H33" s="24"/>
      <c r="I33" s="24"/>
      <c r="J33" s="24"/>
      <c r="K33" s="24"/>
      <c r="L33" s="24"/>
    </row>
    <row r="34" spans="1:12" ht="11.25" x14ac:dyDescent="0.2">
      <c r="A34" s="3"/>
      <c r="B34" s="3"/>
      <c r="C34" s="3"/>
      <c r="D34" s="325"/>
      <c r="E34" s="3"/>
      <c r="F34" s="3"/>
      <c r="G34" s="3"/>
      <c r="H34" s="3"/>
      <c r="I34" s="3"/>
      <c r="J34" s="3"/>
      <c r="K34" s="3"/>
      <c r="L34" s="3"/>
    </row>
    <row r="35" spans="1:12" ht="11.25" x14ac:dyDescent="0.2">
      <c r="A35" s="3" t="s">
        <v>818</v>
      </c>
      <c r="B35" s="3"/>
      <c r="C35" s="3"/>
      <c r="D35" s="325"/>
      <c r="E35" s="3"/>
      <c r="F35" s="325" t="str">
        <f>""&amp;+Input!$B$1</f>
        <v>COLUMBIA GAS OF KENTUCKY, INC.</v>
      </c>
      <c r="H35" s="3"/>
      <c r="I35" s="3"/>
      <c r="J35" s="3"/>
      <c r="K35" s="3"/>
      <c r="L35" s="32" t="str">
        <f>Input!$B$2</f>
        <v>ATTACHMENT CEN-2</v>
      </c>
    </row>
    <row r="36" spans="1:12" ht="11.25" x14ac:dyDescent="0.2">
      <c r="A36" s="3" t="str">
        <f>Input!$B$7</f>
        <v>DEMAND-COMMODITY</v>
      </c>
      <c r="B36" s="3"/>
      <c r="C36" s="3"/>
      <c r="D36" s="325"/>
      <c r="E36" s="3"/>
      <c r="F36" s="325" t="s">
        <v>831</v>
      </c>
      <c r="H36" s="3"/>
      <c r="I36" s="3"/>
      <c r="J36" s="3"/>
      <c r="K36" s="3"/>
      <c r="L36" s="32" t="str">
        <f>"PAGE 79 OF "&amp;FIXED(Input!$B$8,0,TRUE)</f>
        <v>PAGE 79 OF 129</v>
      </c>
    </row>
    <row r="37" spans="1:12" ht="11.25" x14ac:dyDescent="0.2">
      <c r="A37" s="17" t="str">
        <f>Input!$B$6</f>
        <v>FORECASTED TEST YEAR - ORIGINAL FILING</v>
      </c>
      <c r="B37" s="17"/>
      <c r="C37" s="17"/>
      <c r="D37" s="34"/>
      <c r="E37" s="17"/>
      <c r="F37" s="19" t="str">
        <f>"FOR THE TWELVE MONTHS ENDED "&amp;Input!$B$4</f>
        <v>FOR THE TWELVE MONTHS ENDED 12/31/2017</v>
      </c>
      <c r="G37" s="329"/>
      <c r="H37" s="17"/>
      <c r="I37" s="17"/>
      <c r="J37" s="17"/>
      <c r="K37" s="17"/>
      <c r="L37" s="183" t="str">
        <f>"WITNESS: "&amp;Input!$B$5</f>
        <v>WITNESS: C. NOTESTONE</v>
      </c>
    </row>
    <row r="38" spans="1:12" ht="11.25" x14ac:dyDescent="0.2">
      <c r="A38" s="325" t="s">
        <v>5</v>
      </c>
      <c r="B38" s="3" t="s">
        <v>6</v>
      </c>
      <c r="C38" s="3"/>
      <c r="D38" s="325" t="s">
        <v>7</v>
      </c>
      <c r="E38" s="325" t="s">
        <v>8</v>
      </c>
      <c r="F38" s="3"/>
      <c r="G38" s="3"/>
      <c r="H38" s="3"/>
      <c r="I38" s="3"/>
      <c r="J38" s="3"/>
      <c r="K38" s="3"/>
      <c r="L38" s="3"/>
    </row>
    <row r="39" spans="1:12" ht="11.25" x14ac:dyDescent="0.2">
      <c r="A39" s="341" t="s">
        <v>9</v>
      </c>
      <c r="B39" s="341" t="s">
        <v>9</v>
      </c>
      <c r="C39" s="341" t="str">
        <f>"                        ACCOUNT TITLE                "</f>
        <v xml:space="preserve">                        ACCOUNT TITLE                </v>
      </c>
      <c r="D39" s="341" t="s">
        <v>10</v>
      </c>
      <c r="E39" s="341" t="s">
        <v>812</v>
      </c>
      <c r="F39" s="341" t="str">
        <f>"  "&amp;+Input!$C$12</f>
        <v xml:space="preserve">  GS-RESIDENTIAL</v>
      </c>
      <c r="G39" s="341" t="str">
        <f>Input!$C$13</f>
        <v>GS-OTHER</v>
      </c>
      <c r="H39" s="341" t="str">
        <f>Input!$C$14</f>
        <v>IUS</v>
      </c>
      <c r="I39" s="341" t="str">
        <f>Input!$C$15</f>
        <v>DS-ML</v>
      </c>
      <c r="J39" s="341" t="str">
        <f>Input!$C$16</f>
        <v>DS/IS</v>
      </c>
      <c r="K39" s="341" t="str">
        <f>Input!$C$17</f>
        <v>NOT USED</v>
      </c>
      <c r="L39" s="341" t="str">
        <f>Input!$C$18</f>
        <v>NOT USED</v>
      </c>
    </row>
    <row r="40" spans="1:12" ht="11.25" x14ac:dyDescent="0.2">
      <c r="A40" s="3"/>
      <c r="B40" s="342" t="s">
        <v>13</v>
      </c>
      <c r="C40" s="342" t="s">
        <v>14</v>
      </c>
      <c r="D40" s="325" t="s">
        <v>15</v>
      </c>
      <c r="E40" s="325" t="s">
        <v>16</v>
      </c>
      <c r="F40" s="325" t="s">
        <v>17</v>
      </c>
      <c r="G40" s="325" t="s">
        <v>18</v>
      </c>
      <c r="H40" s="325" t="s">
        <v>19</v>
      </c>
      <c r="I40" s="325" t="s">
        <v>20</v>
      </c>
      <c r="J40" s="325" t="s">
        <v>21</v>
      </c>
      <c r="K40" s="325" t="s">
        <v>22</v>
      </c>
      <c r="L40" s="325" t="s">
        <v>23</v>
      </c>
    </row>
    <row r="41" spans="1:12" ht="11.25" x14ac:dyDescent="0.2">
      <c r="A41" s="3"/>
      <c r="B41" s="3"/>
      <c r="C41" s="3"/>
      <c r="D41" s="325"/>
      <c r="E41" s="325" t="s">
        <v>26</v>
      </c>
      <c r="F41" s="325" t="s">
        <v>26</v>
      </c>
      <c r="G41" s="325" t="s">
        <v>26</v>
      </c>
      <c r="H41" s="325" t="s">
        <v>26</v>
      </c>
      <c r="I41" s="325" t="s">
        <v>26</v>
      </c>
      <c r="J41" s="325" t="s">
        <v>26</v>
      </c>
      <c r="K41" s="325" t="s">
        <v>26</v>
      </c>
      <c r="L41" s="325" t="s">
        <v>26</v>
      </c>
    </row>
    <row r="42" spans="1:12" ht="11.25" x14ac:dyDescent="0.2">
      <c r="A42" s="3">
        <v>1</v>
      </c>
      <c r="B42" s="3" t="s">
        <v>421</v>
      </c>
      <c r="C42" s="3"/>
      <c r="D42" s="325"/>
      <c r="E42" s="1">
        <f ca="1">E73+E97</f>
        <v>43039579.911346063</v>
      </c>
      <c r="F42" s="1">
        <f ca="1">F73+F97</f>
        <v>22243650.151575118</v>
      </c>
      <c r="G42" s="1">
        <f ca="1">G73+G97</f>
        <v>13384111.654329857</v>
      </c>
      <c r="H42" s="1">
        <f t="shared" ref="H42:L42" ca="1" si="13">H73+H97</f>
        <v>37732.531296459209</v>
      </c>
      <c r="I42" s="1">
        <f t="shared" ca="1" si="13"/>
        <v>361.67209546775848</v>
      </c>
      <c r="J42" s="1">
        <f t="shared" ca="1" si="13"/>
        <v>7373717.5796058178</v>
      </c>
      <c r="K42" s="1">
        <f t="shared" ca="1" si="13"/>
        <v>0</v>
      </c>
      <c r="L42" s="1">
        <f t="shared" ca="1" si="13"/>
        <v>0</v>
      </c>
    </row>
    <row r="43" spans="1:12" ht="11.25" x14ac:dyDescent="0.2">
      <c r="A43" s="3"/>
      <c r="B43" s="3"/>
      <c r="C43" s="3"/>
      <c r="D43" s="325"/>
      <c r="E43" s="3"/>
      <c r="F43" s="3"/>
      <c r="G43" s="3"/>
      <c r="H43" s="3"/>
      <c r="I43" s="3"/>
      <c r="J43" s="3"/>
      <c r="K43" s="3"/>
      <c r="L43" s="3"/>
    </row>
    <row r="44" spans="1:12" ht="11.25" x14ac:dyDescent="0.2">
      <c r="A44" s="3">
        <f>A42+1</f>
        <v>2</v>
      </c>
      <c r="B44" s="3" t="s">
        <v>409</v>
      </c>
      <c r="C44" s="3"/>
      <c r="D44" s="325"/>
      <c r="E44" s="3">
        <f>Commodity!E99+Commodity!E75</f>
        <v>21475950.109999996</v>
      </c>
      <c r="F44" s="3">
        <f>Commodity!F99+Commodity!F75</f>
        <v>13807094.589999998</v>
      </c>
      <c r="G44" s="3">
        <f>Commodity!G99+Commodity!G75</f>
        <v>7643846.9600000009</v>
      </c>
      <c r="H44" s="3">
        <f>Commodity!H99+Commodity!H75</f>
        <v>25008.560000000001</v>
      </c>
      <c r="I44" s="3">
        <f>Commodity!I99+Commodity!I75</f>
        <v>0</v>
      </c>
      <c r="J44" s="3">
        <f>Commodity!J99+Commodity!J75</f>
        <v>0</v>
      </c>
      <c r="K44" s="3">
        <f>Commodity!K99+Commodity!K75</f>
        <v>0</v>
      </c>
      <c r="L44" s="3">
        <f>Commodity!L99+Commodity!L75</f>
        <v>0</v>
      </c>
    </row>
    <row r="45" spans="1:12" ht="11.25" x14ac:dyDescent="0.2">
      <c r="A45" s="3">
        <f t="shared" ref="A45:A50" si="14">A44+1</f>
        <v>3</v>
      </c>
      <c r="B45" s="3" t="s">
        <v>422</v>
      </c>
      <c r="C45" s="3"/>
      <c r="D45" s="325"/>
      <c r="E45" s="3">
        <f ca="1">SUM(F45:L45)</f>
        <v>9261664</v>
      </c>
      <c r="F45" s="3">
        <f ca="1">Commodity!F100+Commodity!F77+Commodity!F79</f>
        <v>3700947</v>
      </c>
      <c r="G45" s="3">
        <f ca="1">Commodity!G100+Commodity!G77+Commodity!G79</f>
        <v>2493377</v>
      </c>
      <c r="H45" s="3">
        <f ca="1">Commodity!H100+Commodity!H77+Commodity!H79</f>
        <v>5647</v>
      </c>
      <c r="I45" s="3">
        <f ca="1">Commodity!I100+Commodity!I77+Commodity!I79</f>
        <v>-793</v>
      </c>
      <c r="J45" s="3">
        <f ca="1">Commodity!J100+Commodity!J77+Commodity!J79</f>
        <v>3062486</v>
      </c>
      <c r="K45" s="3">
        <f ca="1">Commodity!K100+Commodity!K77+Commodity!K79</f>
        <v>0</v>
      </c>
      <c r="L45" s="3">
        <f ca="1">Commodity!L100+Commodity!L77+Commodity!L79</f>
        <v>0</v>
      </c>
    </row>
    <row r="46" spans="1:12" ht="11.25" x14ac:dyDescent="0.2">
      <c r="A46" s="3">
        <f t="shared" si="14"/>
        <v>4</v>
      </c>
      <c r="B46" s="3" t="s">
        <v>423</v>
      </c>
      <c r="C46" s="3"/>
      <c r="D46" s="325"/>
      <c r="E46" s="3">
        <f>Commodity!E101</f>
        <v>3392118</v>
      </c>
      <c r="F46" s="3">
        <f ca="1">Commodity!F101</f>
        <v>1322148</v>
      </c>
      <c r="G46" s="3">
        <f ca="1">Commodity!G101</f>
        <v>895331</v>
      </c>
      <c r="H46" s="3">
        <f ca="1">Commodity!H101</f>
        <v>1931</v>
      </c>
      <c r="I46" s="3">
        <f ca="1">Commodity!I101</f>
        <v>597</v>
      </c>
      <c r="J46" s="3">
        <f ca="1">Commodity!J101</f>
        <v>1172110</v>
      </c>
      <c r="K46" s="3">
        <f ca="1">Commodity!K101</f>
        <v>0</v>
      </c>
      <c r="L46" s="3">
        <f ca="1">Commodity!L101</f>
        <v>0</v>
      </c>
    </row>
    <row r="47" spans="1:12" ht="11.25" x14ac:dyDescent="0.2">
      <c r="A47" s="3">
        <f t="shared" si="14"/>
        <v>5</v>
      </c>
      <c r="B47" s="3" t="s">
        <v>424</v>
      </c>
      <c r="C47" s="3"/>
      <c r="D47" s="325"/>
      <c r="E47" s="3">
        <f ca="1">SUM(F47:L47)</f>
        <v>1471958</v>
      </c>
      <c r="F47" s="3">
        <f ca="1">Commodity!F102+Commodity!F87</f>
        <v>516924</v>
      </c>
      <c r="G47" s="3">
        <f ca="1">Commodity!G102+Commodity!G87</f>
        <v>388103</v>
      </c>
      <c r="H47" s="3">
        <f ca="1">Commodity!H102+Commodity!H87</f>
        <v>901</v>
      </c>
      <c r="I47" s="3">
        <f ca="1">Commodity!I102+Commodity!I87</f>
        <v>-1270</v>
      </c>
      <c r="J47" s="3">
        <f ca="1">Commodity!J102+Commodity!J87</f>
        <v>567300</v>
      </c>
      <c r="K47" s="3">
        <f ca="1">Commodity!K102+Commodity!K87</f>
        <v>0</v>
      </c>
      <c r="L47" s="3">
        <f ca="1">Commodity!L102+Commodity!L87</f>
        <v>0</v>
      </c>
    </row>
    <row r="48" spans="1:12" ht="11.25" x14ac:dyDescent="0.2">
      <c r="A48" s="3">
        <f t="shared" si="14"/>
        <v>6</v>
      </c>
      <c r="B48" s="3" t="s">
        <v>425</v>
      </c>
      <c r="C48" s="3"/>
      <c r="D48" s="325"/>
      <c r="E48" s="3">
        <f ca="1">SUM(F48:L48)</f>
        <v>267131.44216293539</v>
      </c>
      <c r="F48" s="3">
        <f ca="1">Commodity!F103+Commodity!F83</f>
        <v>100563.90910505256</v>
      </c>
      <c r="G48" s="3">
        <f ca="1">Commodity!G103+Commodity!G83</f>
        <v>70504.426690496024</v>
      </c>
      <c r="H48" s="3">
        <f ca="1">Commodity!H103+Commodity!H83</f>
        <v>156.04154063035134</v>
      </c>
      <c r="I48" s="3">
        <f ca="1">Commodity!I103+Commodity!I83</f>
        <v>-45.355437764891576</v>
      </c>
      <c r="J48" s="3">
        <f ca="1">Commodity!J103+Commodity!J83</f>
        <v>95952.420264521381</v>
      </c>
      <c r="K48" s="3">
        <f ca="1">Commodity!K103+Commodity!K83</f>
        <v>0</v>
      </c>
      <c r="L48" s="3">
        <f ca="1">Commodity!L103+Commodity!L83</f>
        <v>0</v>
      </c>
    </row>
    <row r="49" spans="1:12" ht="11.25" x14ac:dyDescent="0.2">
      <c r="A49" s="3">
        <f t="shared" si="14"/>
        <v>7</v>
      </c>
      <c r="B49" s="3" t="s">
        <v>426</v>
      </c>
      <c r="C49" s="3"/>
      <c r="D49" s="325"/>
      <c r="E49" s="26">
        <f ca="1">SUM(F49:L49)</f>
        <v>1315912</v>
      </c>
      <c r="F49" s="26">
        <f ca="1">Commodity!F104</f>
        <v>512520</v>
      </c>
      <c r="G49" s="26">
        <f ca="1">Commodity!G104</f>
        <v>347172</v>
      </c>
      <c r="H49" s="26">
        <f ca="1">Commodity!H104</f>
        <v>749</v>
      </c>
      <c r="I49" s="26">
        <f ca="1">Commodity!I104</f>
        <v>295</v>
      </c>
      <c r="J49" s="26">
        <f ca="1">Commodity!J104</f>
        <v>455176</v>
      </c>
      <c r="K49" s="26">
        <f ca="1">Commodity!K104</f>
        <v>0</v>
      </c>
      <c r="L49" s="26">
        <f ca="1">Commodity!L104</f>
        <v>0</v>
      </c>
    </row>
    <row r="50" spans="1:12" ht="11.25" x14ac:dyDescent="0.2">
      <c r="A50" s="3">
        <f t="shared" si="14"/>
        <v>8</v>
      </c>
      <c r="B50" s="3" t="s">
        <v>415</v>
      </c>
      <c r="C50" s="3"/>
      <c r="D50" s="325"/>
      <c r="E50" s="3">
        <f t="shared" ref="E50:L50" ca="1" si="15">SUM(E44:E49)</f>
        <v>37184733.552162938</v>
      </c>
      <c r="F50" s="3">
        <f t="shared" ca="1" si="15"/>
        <v>19960197.499105047</v>
      </c>
      <c r="G50" s="3">
        <f t="shared" ca="1" si="15"/>
        <v>11838334.386690497</v>
      </c>
      <c r="H50" s="3">
        <f t="shared" ca="1" si="15"/>
        <v>34392.601540630349</v>
      </c>
      <c r="I50" s="3">
        <f t="shared" ca="1" si="15"/>
        <v>-1216.3554377648916</v>
      </c>
      <c r="J50" s="3">
        <f t="shared" ca="1" si="15"/>
        <v>5353024.4202645216</v>
      </c>
      <c r="K50" s="3">
        <f t="shared" ca="1" si="15"/>
        <v>0</v>
      </c>
      <c r="L50" s="3">
        <f t="shared" ca="1" si="15"/>
        <v>0</v>
      </c>
    </row>
    <row r="51" spans="1:12" ht="11.25" x14ac:dyDescent="0.2">
      <c r="A51" s="3"/>
      <c r="B51" s="3"/>
      <c r="C51" s="3"/>
      <c r="D51" s="325"/>
      <c r="E51" s="3"/>
      <c r="F51" s="3"/>
      <c r="G51" s="3"/>
      <c r="H51" s="3"/>
      <c r="I51" s="3"/>
      <c r="J51" s="3"/>
      <c r="K51" s="3"/>
      <c r="L51" s="3"/>
    </row>
    <row r="52" spans="1:12" ht="11.25" x14ac:dyDescent="0.2">
      <c r="A52" s="3">
        <f>A50+1</f>
        <v>9</v>
      </c>
      <c r="B52" s="3" t="s">
        <v>48</v>
      </c>
      <c r="C52" s="3"/>
      <c r="D52" s="325"/>
      <c r="E52" s="3">
        <f t="shared" ref="E52:L52" ca="1" si="16">E42-E50</f>
        <v>5854846.3591831252</v>
      </c>
      <c r="F52" s="3">
        <f t="shared" ca="1" si="16"/>
        <v>2283452.6524700709</v>
      </c>
      <c r="G52" s="3">
        <f t="shared" ca="1" si="16"/>
        <v>1545777.2676393595</v>
      </c>
      <c r="H52" s="3">
        <f t="shared" ca="1" si="16"/>
        <v>3339.9297558288599</v>
      </c>
      <c r="I52" s="3">
        <f t="shared" ca="1" si="16"/>
        <v>1578.0275332326501</v>
      </c>
      <c r="J52" s="3">
        <f t="shared" ca="1" si="16"/>
        <v>2020693.1593412962</v>
      </c>
      <c r="K52" s="3">
        <f t="shared" ca="1" si="16"/>
        <v>0</v>
      </c>
      <c r="L52" s="3">
        <f t="shared" ca="1" si="16"/>
        <v>0</v>
      </c>
    </row>
    <row r="53" spans="1:12" ht="11.25" x14ac:dyDescent="0.2">
      <c r="A53" s="3"/>
      <c r="B53" s="3"/>
      <c r="C53" s="3"/>
      <c r="D53" s="325"/>
      <c r="E53" s="3"/>
      <c r="F53" s="3"/>
      <c r="G53" s="3"/>
      <c r="H53" s="3"/>
      <c r="I53" s="3"/>
      <c r="J53" s="3"/>
      <c r="K53" s="3"/>
      <c r="L53" s="3"/>
    </row>
    <row r="54" spans="1:12" ht="11.25" x14ac:dyDescent="0.2">
      <c r="A54" s="3">
        <f>A52+1</f>
        <v>10</v>
      </c>
      <c r="B54" s="3" t="s">
        <v>427</v>
      </c>
      <c r="C54" s="3"/>
      <c r="D54" s="325"/>
      <c r="E54" s="26">
        <f ca="1">SUM(F54:L54)</f>
        <v>1837905</v>
      </c>
      <c r="F54" s="26">
        <f ca="1">Commodity!F109</f>
        <v>716803</v>
      </c>
      <c r="G54" s="26">
        <f ca="1">Commodity!G109</f>
        <v>485238</v>
      </c>
      <c r="H54" s="26">
        <f ca="1">Commodity!H109</f>
        <v>1049</v>
      </c>
      <c r="I54" s="26">
        <f ca="1">Commodity!I109</f>
        <v>495</v>
      </c>
      <c r="J54" s="26">
        <f ca="1">Commodity!J109</f>
        <v>634320</v>
      </c>
      <c r="K54" s="26">
        <f ca="1">Commodity!K109</f>
        <v>0</v>
      </c>
      <c r="L54" s="26">
        <f ca="1">Commodity!L109</f>
        <v>0</v>
      </c>
    </row>
    <row r="55" spans="1:12" ht="11.25" x14ac:dyDescent="0.2">
      <c r="A55" s="3">
        <f>A54+1</f>
        <v>11</v>
      </c>
      <c r="B55" s="3" t="s">
        <v>417</v>
      </c>
      <c r="C55" s="3"/>
      <c r="D55" s="325"/>
      <c r="E55" s="3">
        <f t="shared" ref="E55:L55" ca="1" si="17">E52-E54</f>
        <v>4016941.3591831252</v>
      </c>
      <c r="F55" s="3">
        <f t="shared" ca="1" si="17"/>
        <v>1566649.6524700709</v>
      </c>
      <c r="G55" s="3">
        <f t="shared" ca="1" si="17"/>
        <v>1060539.2676393595</v>
      </c>
      <c r="H55" s="3">
        <f t="shared" ca="1" si="17"/>
        <v>2290.9297558288599</v>
      </c>
      <c r="I55" s="3">
        <f t="shared" ca="1" si="17"/>
        <v>1083.0275332326501</v>
      </c>
      <c r="J55" s="3">
        <f t="shared" ca="1" si="17"/>
        <v>1386373.1593412962</v>
      </c>
      <c r="K55" s="3">
        <f t="shared" ca="1" si="17"/>
        <v>0</v>
      </c>
      <c r="L55" s="3">
        <f t="shared" ca="1" si="17"/>
        <v>0</v>
      </c>
    </row>
    <row r="56" spans="1:12" ht="11.25" x14ac:dyDescent="0.2">
      <c r="A56" s="3"/>
      <c r="B56" s="3"/>
      <c r="C56" s="3"/>
      <c r="D56" s="325"/>
      <c r="E56" s="3"/>
      <c r="F56" s="3"/>
      <c r="G56" s="3"/>
      <c r="H56" s="3"/>
      <c r="I56" s="3"/>
      <c r="J56" s="3"/>
      <c r="K56" s="3"/>
      <c r="L56" s="3"/>
    </row>
    <row r="57" spans="1:12" ht="11.25" x14ac:dyDescent="0.2">
      <c r="A57" s="3">
        <f>A55+1</f>
        <v>12</v>
      </c>
      <c r="B57" s="3" t="s">
        <v>428</v>
      </c>
      <c r="C57" s="3"/>
      <c r="D57" s="325"/>
      <c r="E57" s="3">
        <f ca="1">Commodity!E113</f>
        <v>69617593</v>
      </c>
      <c r="F57" s="3">
        <f ca="1">Commodity!F113</f>
        <v>27151627</v>
      </c>
      <c r="G57" s="3">
        <f ca="1">Commodity!G113</f>
        <v>18380223</v>
      </c>
      <c r="H57" s="3">
        <f ca="1">Commodity!H113</f>
        <v>39716</v>
      </c>
      <c r="I57" s="3">
        <f ca="1">Commodity!I113</f>
        <v>18762</v>
      </c>
      <c r="J57" s="3">
        <f ca="1">Commodity!J113</f>
        <v>24027267</v>
      </c>
      <c r="K57" s="3">
        <f ca="1">Commodity!K113</f>
        <v>0</v>
      </c>
      <c r="L57" s="3">
        <f ca="1">Commodity!L113</f>
        <v>0</v>
      </c>
    </row>
    <row r="58" spans="1:12" ht="11.25" x14ac:dyDescent="0.2">
      <c r="A58" s="3"/>
      <c r="B58" s="3"/>
      <c r="C58" s="3"/>
      <c r="D58" s="325"/>
      <c r="E58" s="48"/>
      <c r="F58" s="48"/>
      <c r="G58" s="48"/>
      <c r="H58" s="48"/>
      <c r="I58" s="48"/>
      <c r="J58" s="48"/>
      <c r="K58" s="48"/>
      <c r="L58" s="48"/>
    </row>
    <row r="59" spans="1:12" ht="11.25" x14ac:dyDescent="0.2">
      <c r="A59" s="3">
        <f>A57+1</f>
        <v>13</v>
      </c>
      <c r="B59" s="3" t="s">
        <v>429</v>
      </c>
      <c r="C59" s="3"/>
      <c r="D59" s="325"/>
      <c r="E59" s="49">
        <f t="shared" ref="E59:L59" ca="1" si="18">IF(E57=0,0,ROUND(E52/E57,4))</f>
        <v>8.4099999999999994E-2</v>
      </c>
      <c r="F59" s="49">
        <f t="shared" ca="1" si="18"/>
        <v>8.4099999999999994E-2</v>
      </c>
      <c r="G59" s="49">
        <f t="shared" ca="1" si="18"/>
        <v>8.4099999999999994E-2</v>
      </c>
      <c r="H59" s="49">
        <f t="shared" ca="1" si="18"/>
        <v>8.4099999999999994E-2</v>
      </c>
      <c r="I59" s="49">
        <f t="shared" ca="1" si="18"/>
        <v>8.4099999999999994E-2</v>
      </c>
      <c r="J59" s="49">
        <f t="shared" ca="1" si="18"/>
        <v>8.4099999999999994E-2</v>
      </c>
      <c r="K59" s="49">
        <f t="shared" ca="1" si="18"/>
        <v>0</v>
      </c>
      <c r="L59" s="49">
        <f t="shared" ca="1" si="18"/>
        <v>0</v>
      </c>
    </row>
    <row r="60" spans="1:12" ht="11.25" x14ac:dyDescent="0.2">
      <c r="A60" s="3"/>
      <c r="B60" s="3"/>
      <c r="C60" s="3"/>
      <c r="D60" s="325"/>
      <c r="E60" s="3"/>
      <c r="F60" s="3"/>
      <c r="G60" s="3"/>
      <c r="H60" s="3"/>
      <c r="I60" s="3"/>
      <c r="J60" s="3"/>
      <c r="K60" s="3"/>
      <c r="L60" s="3"/>
    </row>
    <row r="61" spans="1:12" ht="11.25" x14ac:dyDescent="0.2">
      <c r="A61" s="3">
        <f>A59+1</f>
        <v>14</v>
      </c>
      <c r="B61" s="3" t="s">
        <v>420</v>
      </c>
      <c r="C61" s="3"/>
      <c r="D61" s="325"/>
      <c r="E61" s="24">
        <v>1</v>
      </c>
      <c r="F61" s="24">
        <f ca="1">IF($E$59=0,0,ROUND(F59/$E$59,2))</f>
        <v>1</v>
      </c>
      <c r="G61" s="24">
        <f t="shared" ref="G61:L61" ca="1" si="19">IF($E$59=0,0,ROUND(G59/$E$59,2))</f>
        <v>1</v>
      </c>
      <c r="H61" s="24">
        <f t="shared" ca="1" si="19"/>
        <v>1</v>
      </c>
      <c r="I61" s="24">
        <f t="shared" ca="1" si="19"/>
        <v>1</v>
      </c>
      <c r="J61" s="24">
        <f t="shared" ca="1" si="19"/>
        <v>1</v>
      </c>
      <c r="K61" s="24">
        <f t="shared" ca="1" si="19"/>
        <v>0</v>
      </c>
      <c r="L61" s="24">
        <f t="shared" ca="1" si="19"/>
        <v>0</v>
      </c>
    </row>
    <row r="62" spans="1:12" ht="11.25" x14ac:dyDescent="0.2">
      <c r="A62" s="3"/>
      <c r="B62" s="3"/>
      <c r="C62" s="3"/>
      <c r="D62" s="325"/>
      <c r="E62" s="31"/>
      <c r="F62" s="31"/>
      <c r="G62" s="31"/>
      <c r="H62" s="31"/>
      <c r="I62" s="31"/>
      <c r="J62" s="31"/>
      <c r="K62" s="31"/>
      <c r="L62" s="31"/>
    </row>
    <row r="63" spans="1:12" ht="11.25" x14ac:dyDescent="0.2">
      <c r="A63" s="3"/>
      <c r="B63" s="3"/>
      <c r="C63" s="3"/>
      <c r="D63" s="325"/>
      <c r="E63" s="31"/>
      <c r="F63" s="31"/>
      <c r="G63" s="31"/>
      <c r="H63" s="31"/>
      <c r="I63" s="31"/>
      <c r="J63" s="31"/>
      <c r="K63" s="31"/>
      <c r="L63" s="31"/>
    </row>
    <row r="64" spans="1:12" ht="11.25" x14ac:dyDescent="0.2">
      <c r="A64" s="3"/>
      <c r="B64" s="3"/>
      <c r="C64" s="3"/>
      <c r="D64" s="325"/>
      <c r="E64" s="3"/>
      <c r="F64" s="3"/>
      <c r="G64" s="3"/>
      <c r="H64" s="3"/>
      <c r="I64" s="3"/>
      <c r="J64" s="3"/>
      <c r="K64" s="3"/>
      <c r="L64" s="3"/>
    </row>
    <row r="65" spans="1:12" ht="11.25" x14ac:dyDescent="0.2">
      <c r="A65" s="3"/>
      <c r="B65" s="3"/>
      <c r="C65" s="3"/>
      <c r="D65" s="325"/>
      <c r="E65" s="24"/>
      <c r="F65" s="24"/>
      <c r="G65" s="24"/>
      <c r="H65" s="24"/>
      <c r="I65" s="24"/>
      <c r="J65" s="24"/>
      <c r="K65" s="24"/>
      <c r="L65" s="24"/>
    </row>
    <row r="66" spans="1:12" ht="11.25" x14ac:dyDescent="0.2">
      <c r="A66" s="3"/>
      <c r="B66" s="3"/>
      <c r="C66" s="3"/>
      <c r="D66" s="325"/>
      <c r="E66" s="3"/>
      <c r="F66" s="3"/>
      <c r="G66" s="3"/>
      <c r="H66" s="3"/>
      <c r="I66" s="3"/>
      <c r="J66" s="3"/>
      <c r="K66" s="3"/>
      <c r="L66" s="3"/>
    </row>
    <row r="67" spans="1:12" ht="11.25" x14ac:dyDescent="0.2">
      <c r="A67" s="3" t="s">
        <v>818</v>
      </c>
      <c r="B67" s="3"/>
      <c r="C67" s="3"/>
      <c r="E67" s="3"/>
      <c r="F67" s="325" t="str">
        <f>""&amp;+Input!$B$1</f>
        <v>COLUMBIA GAS OF KENTUCKY, INC.</v>
      </c>
      <c r="H67" s="3"/>
      <c r="I67" s="3"/>
      <c r="J67" s="3"/>
      <c r="K67" s="3"/>
      <c r="L67" s="32" t="str">
        <f>Input!$B$2</f>
        <v>ATTACHMENT CEN-2</v>
      </c>
    </row>
    <row r="68" spans="1:12" ht="11.25" x14ac:dyDescent="0.2">
      <c r="A68" s="3" t="str">
        <f>Input!$B$7</f>
        <v>DEMAND-COMMODITY</v>
      </c>
      <c r="B68" s="3"/>
      <c r="C68" s="3"/>
      <c r="E68" s="3"/>
      <c r="F68" s="325" t="s">
        <v>4</v>
      </c>
      <c r="H68" s="3"/>
      <c r="I68" s="3"/>
      <c r="J68" s="3"/>
      <c r="K68" s="3"/>
      <c r="L68" s="32" t="str">
        <f>"PAGE 80 OF "&amp;FIXED(Input!$B$8,0,TRUE)</f>
        <v>PAGE 80 OF 129</v>
      </c>
    </row>
    <row r="69" spans="1:12" ht="11.25" x14ac:dyDescent="0.2">
      <c r="A69" s="17" t="str">
        <f>Input!$B$6</f>
        <v>FORECASTED TEST YEAR - ORIGINAL FILING</v>
      </c>
      <c r="B69" s="17"/>
      <c r="C69" s="17"/>
      <c r="D69" s="34"/>
      <c r="E69" s="18"/>
      <c r="F69" s="19" t="str">
        <f>"FOR THE TWELVE MONTHS ENDED "&amp;Input!$B$4</f>
        <v>FOR THE TWELVE MONTHS ENDED 12/31/2017</v>
      </c>
      <c r="G69" s="329"/>
      <c r="H69" s="17"/>
      <c r="I69" s="17"/>
      <c r="J69" s="17"/>
      <c r="K69" s="17"/>
      <c r="L69" s="183" t="str">
        <f>"WITNESS: "&amp;Input!$B$5</f>
        <v>WITNESS: C. NOTESTONE</v>
      </c>
    </row>
    <row r="70" spans="1:12" ht="11.25" x14ac:dyDescent="0.2">
      <c r="A70" s="21" t="s">
        <v>5</v>
      </c>
      <c r="C70" s="3"/>
      <c r="D70" s="325" t="s">
        <v>7</v>
      </c>
      <c r="E70" s="325" t="s">
        <v>12</v>
      </c>
      <c r="F70" s="325"/>
      <c r="G70" s="325"/>
      <c r="H70" s="325"/>
      <c r="I70" s="325"/>
      <c r="J70" s="325"/>
      <c r="K70" s="325"/>
      <c r="L70" s="325"/>
    </row>
    <row r="71" spans="1:12" ht="11.25" x14ac:dyDescent="0.2">
      <c r="A71" s="22" t="s">
        <v>9</v>
      </c>
      <c r="C71" s="341" t="s">
        <v>24</v>
      </c>
      <c r="D71" s="341" t="s">
        <v>10</v>
      </c>
      <c r="E71" s="341" t="s">
        <v>812</v>
      </c>
      <c r="F71" s="341" t="str">
        <f>Input!$C$12</f>
        <v>GS-RESIDENTIAL</v>
      </c>
      <c r="G71" s="341" t="str">
        <f>Input!$C$13</f>
        <v>GS-OTHER</v>
      </c>
      <c r="H71" s="341" t="str">
        <f>Input!$C$14</f>
        <v>IUS</v>
      </c>
      <c r="I71" s="341" t="str">
        <f>Input!$C$15</f>
        <v>DS-ML</v>
      </c>
      <c r="J71" s="341" t="str">
        <f>Input!$C$16</f>
        <v>DS/IS</v>
      </c>
      <c r="K71" s="341" t="str">
        <f>Input!$C$17</f>
        <v>NOT USED</v>
      </c>
      <c r="L71" s="341" t="str">
        <f>Input!$C$18</f>
        <v>NOT USED</v>
      </c>
    </row>
    <row r="72" spans="1:12" ht="11.25" x14ac:dyDescent="0.2">
      <c r="A72" s="325"/>
      <c r="C72" s="342" t="s">
        <v>13</v>
      </c>
      <c r="D72" s="342" t="s">
        <v>14</v>
      </c>
      <c r="E72" s="325" t="s">
        <v>15</v>
      </c>
      <c r="F72" s="325" t="s">
        <v>16</v>
      </c>
      <c r="G72" s="325" t="s">
        <v>17</v>
      </c>
      <c r="H72" s="325" t="s">
        <v>18</v>
      </c>
      <c r="I72" s="325" t="s">
        <v>19</v>
      </c>
      <c r="J72" s="325" t="s">
        <v>20</v>
      </c>
      <c r="K72" s="325" t="s">
        <v>21</v>
      </c>
      <c r="L72" s="325" t="s">
        <v>22</v>
      </c>
    </row>
    <row r="73" spans="1:12" ht="11.25" x14ac:dyDescent="0.2">
      <c r="A73" s="325">
        <v>1</v>
      </c>
      <c r="B73" s="3" t="s">
        <v>27</v>
      </c>
      <c r="C73" s="3"/>
      <c r="E73" s="3">
        <f ca="1">((ROUND(E113*Input!$D$24,0)-E107)*Input!$E$49)</f>
        <v>5265958.7613460701</v>
      </c>
      <c r="F73" s="3">
        <f ca="1">((ROUND(F113*Input!$D$24,0)-F107)*Input!$E$49)</f>
        <v>-2020950.438424879</v>
      </c>
      <c r="G73" s="3">
        <f ca="1">((ROUND(G113*Input!$D$24,0)-G107)*Input!$E$49)</f>
        <v>1347405.6543298562</v>
      </c>
      <c r="H73" s="3">
        <f ca="1">((ROUND(H113*Input!$D$24,0)-H107)*Input!$E$49)</f>
        <v>7447.9712964592063</v>
      </c>
      <c r="I73" s="3">
        <f ca="1">((ROUND(I113*Input!$D$24,0)-I107)*Input!$E$49)</f>
        <v>-110451.32790453224</v>
      </c>
      <c r="J73" s="3">
        <f ca="1">((ROUND(J113*Input!$D$24,0)-J107)*Input!$E$49)</f>
        <v>6042500.5796058178</v>
      </c>
      <c r="K73" s="3">
        <f ca="1">((ROUND(K113*Input!$D$24,0)-K107)*Input!$E$49)</f>
        <v>0</v>
      </c>
      <c r="L73" s="3">
        <f ca="1">((ROUND(L113*Input!$D$24,0)-L107)*Input!$E$49)</f>
        <v>0</v>
      </c>
    </row>
    <row r="74" spans="1:12" ht="11.25" x14ac:dyDescent="0.2">
      <c r="A74" s="325"/>
      <c r="B74" s="3"/>
      <c r="C74" s="3"/>
      <c r="E74" s="23"/>
      <c r="F74" s="23"/>
      <c r="G74" s="23"/>
      <c r="H74" s="23"/>
      <c r="I74" s="23"/>
      <c r="J74" s="23"/>
      <c r="K74" s="23"/>
      <c r="L74" s="23"/>
    </row>
    <row r="75" spans="1:12" ht="11.25" x14ac:dyDescent="0.2">
      <c r="A75" s="325">
        <f>A73+1</f>
        <v>2</v>
      </c>
      <c r="B75" s="25" t="s">
        <v>28</v>
      </c>
      <c r="C75" s="3"/>
      <c r="E75" s="23">
        <f>SUM(F75:L75)</f>
        <v>0</v>
      </c>
      <c r="F75" s="23">
        <f>Input!E556</f>
        <v>0</v>
      </c>
      <c r="G75" s="23">
        <f>Input!F556</f>
        <v>0</v>
      </c>
      <c r="H75" s="23">
        <f>Input!G556</f>
        <v>0</v>
      </c>
      <c r="I75" s="23">
        <f>Input!H556</f>
        <v>0</v>
      </c>
      <c r="J75" s="23">
        <f>Input!I556</f>
        <v>0</v>
      </c>
      <c r="K75" s="23">
        <f>Input!J556</f>
        <v>0</v>
      </c>
      <c r="L75" s="23">
        <f>Input!K556</f>
        <v>0</v>
      </c>
    </row>
    <row r="76" spans="1:12" ht="11.25" x14ac:dyDescent="0.2">
      <c r="A76" s="325"/>
      <c r="B76" s="3"/>
      <c r="C76" s="3"/>
      <c r="E76" s="3"/>
      <c r="F76" s="3"/>
      <c r="G76" s="3"/>
      <c r="H76" s="3"/>
      <c r="I76" s="3"/>
      <c r="J76" s="3"/>
      <c r="K76" s="3"/>
      <c r="L76" s="3"/>
    </row>
    <row r="77" spans="1:12" ht="11.25" x14ac:dyDescent="0.2">
      <c r="A77" s="325">
        <f>A75+1</f>
        <v>3</v>
      </c>
      <c r="B77" s="25" t="str">
        <f>"LESS: UNCOLLECTIBLES @ "&amp;FIXED(Input!$D$26,8,TRUE)</f>
        <v>LESS: UNCOLLECTIBLES @ 0.00923329</v>
      </c>
      <c r="C77" s="3"/>
      <c r="E77" s="23">
        <f ca="1">SUM(F77:L77)</f>
        <v>48622</v>
      </c>
      <c r="F77" s="23">
        <f ca="1">ROUND(F73*Input!$D$26,0)</f>
        <v>-18660</v>
      </c>
      <c r="G77" s="23">
        <f ca="1">ROUND(G73*Input!$D$26,0)</f>
        <v>12441</v>
      </c>
      <c r="H77" s="23">
        <f ca="1">ROUND(H73*Input!$D$26,0)</f>
        <v>69</v>
      </c>
      <c r="I77" s="23">
        <f ca="1">ROUND(I73*Input!$D$26,0)</f>
        <v>-1020</v>
      </c>
      <c r="J77" s="23">
        <f ca="1">ROUND(J73*Input!$D$26,0)</f>
        <v>55792</v>
      </c>
      <c r="K77" s="23">
        <f ca="1">ROUND(K73*Input!$D$26,0)</f>
        <v>0</v>
      </c>
      <c r="L77" s="23">
        <f ca="1">ROUND(L73*Input!$D$26,0)</f>
        <v>0</v>
      </c>
    </row>
    <row r="78" spans="1:12" ht="11.25" x14ac:dyDescent="0.2">
      <c r="A78" s="325"/>
      <c r="B78" s="3"/>
      <c r="C78" s="3"/>
      <c r="E78" s="23"/>
      <c r="F78" s="23"/>
      <c r="G78" s="23"/>
      <c r="H78" s="23"/>
      <c r="I78" s="23"/>
      <c r="J78" s="23"/>
      <c r="K78" s="23"/>
      <c r="L78" s="23"/>
    </row>
    <row r="79" spans="1:12" ht="11.25" x14ac:dyDescent="0.2">
      <c r="A79" s="325">
        <f>A77+1</f>
        <v>4</v>
      </c>
      <c r="B79" s="25" t="str">
        <f>"LESS: PSC FEES @ "&amp;FIXED(Input!$D$31,8,TRUE)</f>
        <v>LESS: PSC FEES @ 0.00190100</v>
      </c>
      <c r="C79" s="3"/>
      <c r="E79" s="27">
        <f ca="1">SUM(F79:L79)</f>
        <v>10010</v>
      </c>
      <c r="F79" s="27">
        <f ca="1">ROUND(F73*Input!$D$31,0)</f>
        <v>-3842</v>
      </c>
      <c r="G79" s="27">
        <f ca="1">ROUND(G73*Input!$D$31,0)</f>
        <v>2561</v>
      </c>
      <c r="H79" s="27">
        <f ca="1">ROUND(H73*Input!$D$31,0)</f>
        <v>14</v>
      </c>
      <c r="I79" s="27">
        <f ca="1">ROUND(I73*Input!$D$31,0)</f>
        <v>-210</v>
      </c>
      <c r="J79" s="27">
        <f ca="1">ROUND(J73*Input!$D$31,0)</f>
        <v>11487</v>
      </c>
      <c r="K79" s="27">
        <f ca="1">ROUND(K73*Input!$D$31,0)</f>
        <v>0</v>
      </c>
      <c r="L79" s="27">
        <f ca="1">ROUND(L73*Input!$D$31,0)</f>
        <v>0</v>
      </c>
    </row>
    <row r="80" spans="1:12" ht="11.25" x14ac:dyDescent="0.2">
      <c r="A80" s="325"/>
      <c r="B80" s="3"/>
      <c r="C80" s="3"/>
      <c r="E80" s="3"/>
      <c r="F80" s="3"/>
      <c r="G80" s="3"/>
      <c r="H80" s="3"/>
      <c r="I80" s="3"/>
      <c r="J80" s="3"/>
      <c r="K80" s="3"/>
      <c r="L80" s="3"/>
    </row>
    <row r="81" spans="1:12" ht="11.25" x14ac:dyDescent="0.2">
      <c r="A81" s="325">
        <f>A79+1</f>
        <v>5</v>
      </c>
      <c r="B81" s="25" t="s">
        <v>31</v>
      </c>
      <c r="C81" s="3"/>
      <c r="E81" s="23">
        <f t="shared" ref="E81:L81" ca="1" si="20">E73-E75-E77-E79</f>
        <v>5207326.7613460701</v>
      </c>
      <c r="F81" s="23">
        <f t="shared" ca="1" si="20"/>
        <v>-1998448.438424879</v>
      </c>
      <c r="G81" s="23">
        <f t="shared" ca="1" si="20"/>
        <v>1332403.6543298562</v>
      </c>
      <c r="H81" s="23">
        <f t="shared" ca="1" si="20"/>
        <v>7364.9712964592063</v>
      </c>
      <c r="I81" s="23">
        <f t="shared" ca="1" si="20"/>
        <v>-109221.32790453224</v>
      </c>
      <c r="J81" s="23">
        <f t="shared" ca="1" si="20"/>
        <v>5975221.5796058178</v>
      </c>
      <c r="K81" s="23">
        <f t="shared" ca="1" si="20"/>
        <v>0</v>
      </c>
      <c r="L81" s="23">
        <f t="shared" ca="1" si="20"/>
        <v>0</v>
      </c>
    </row>
    <row r="82" spans="1:12" ht="11.25" x14ac:dyDescent="0.2">
      <c r="A82" s="325"/>
      <c r="B82" s="3"/>
      <c r="C82" s="3"/>
      <c r="E82" s="3"/>
      <c r="F82" s="3"/>
      <c r="G82" s="3"/>
      <c r="H82" s="3"/>
      <c r="I82" s="3"/>
      <c r="J82" s="3"/>
      <c r="K82" s="3"/>
      <c r="L82" s="3"/>
    </row>
    <row r="83" spans="1:12" ht="11.25" x14ac:dyDescent="0.2">
      <c r="A83" s="325">
        <f>A81+1</f>
        <v>6</v>
      </c>
      <c r="B83" s="25" t="str">
        <f>"LESS: KENTUCKY STATE INCOME TAX @ "&amp;FIXED(Input!$D$28,4,TRUE)</f>
        <v>LESS: KENTUCKY STATE INCOME TAX @ 0.0600</v>
      </c>
      <c r="C83" s="3"/>
      <c r="E83" s="27">
        <f ca="1">ROUND(E81*Input!$D$28,0)</f>
        <v>312440</v>
      </c>
      <c r="F83" s="27">
        <f ca="1">ROUND(F81*Input!$D$28,0)</f>
        <v>-119907</v>
      </c>
      <c r="G83" s="27">
        <f ca="1">ROUND(G81*Input!$D$28,0)</f>
        <v>79944</v>
      </c>
      <c r="H83" s="27">
        <f ca="1">ROUND(H81*Input!$D$28,0)</f>
        <v>442</v>
      </c>
      <c r="I83" s="27">
        <f ca="1">ROUND(I81*Input!$D$28,0)</f>
        <v>-6553</v>
      </c>
      <c r="J83" s="27">
        <f ca="1">ROUND(J81*Input!$D$28,0)</f>
        <v>358513</v>
      </c>
      <c r="K83" s="27">
        <f ca="1">ROUND(K81*Input!$D$28,0)</f>
        <v>0</v>
      </c>
      <c r="L83" s="27">
        <f ca="1">ROUND(L81*Input!$D$28,0)</f>
        <v>0</v>
      </c>
    </row>
    <row r="84" spans="1:12" ht="11.25" x14ac:dyDescent="0.2">
      <c r="A84" s="325"/>
      <c r="B84" s="3"/>
      <c r="C84" s="3"/>
      <c r="E84" s="23"/>
      <c r="F84" s="23"/>
      <c r="G84" s="23"/>
      <c r="H84" s="23"/>
      <c r="I84" s="23"/>
      <c r="J84" s="23"/>
      <c r="K84" s="23"/>
      <c r="L84" s="23"/>
    </row>
    <row r="85" spans="1:12" ht="11.25" x14ac:dyDescent="0.2">
      <c r="A85" s="325">
        <f>A83+1</f>
        <v>7</v>
      </c>
      <c r="B85" s="25" t="s">
        <v>38</v>
      </c>
      <c r="C85" s="3"/>
      <c r="E85" s="23">
        <f t="shared" ref="E85:L85" ca="1" si="21">E81-E83</f>
        <v>4894886.7613460701</v>
      </c>
      <c r="F85" s="23">
        <f t="shared" ca="1" si="21"/>
        <v>-1878541.438424879</v>
      </c>
      <c r="G85" s="23">
        <f t="shared" ca="1" si="21"/>
        <v>1252459.6543298562</v>
      </c>
      <c r="H85" s="23">
        <f t="shared" ca="1" si="21"/>
        <v>6922.9712964592063</v>
      </c>
      <c r="I85" s="23">
        <f t="shared" ca="1" si="21"/>
        <v>-102668.32790453224</v>
      </c>
      <c r="J85" s="23">
        <f t="shared" ca="1" si="21"/>
        <v>5616708.5796058178</v>
      </c>
      <c r="K85" s="23">
        <f t="shared" ca="1" si="21"/>
        <v>0</v>
      </c>
      <c r="L85" s="23">
        <f t="shared" ca="1" si="21"/>
        <v>0</v>
      </c>
    </row>
    <row r="86" spans="1:12" ht="11.25" x14ac:dyDescent="0.2">
      <c r="A86" s="325"/>
      <c r="B86" s="3"/>
      <c r="C86" s="3"/>
      <c r="E86" s="23"/>
      <c r="F86" s="23"/>
      <c r="G86" s="23"/>
      <c r="H86" s="23"/>
      <c r="I86" s="23"/>
      <c r="J86" s="23"/>
      <c r="K86" s="23"/>
      <c r="L86" s="23"/>
    </row>
    <row r="87" spans="1:12" ht="11.25" x14ac:dyDescent="0.2">
      <c r="A87" s="325">
        <f>A85+1</f>
        <v>8</v>
      </c>
      <c r="B87" s="25" t="str">
        <f>"LESS: FEDERAL INCOME TAX @ "&amp;FIXED(Input!$D$33,8,TRUE)</f>
        <v>LESS: FEDERAL INCOME TAX @ 0.35000000</v>
      </c>
      <c r="C87" s="3"/>
      <c r="E87" s="27">
        <f ca="1">SUM(F87:L87)</f>
        <v>1713208</v>
      </c>
      <c r="F87" s="27">
        <f ca="1">ROUND(F85*Input!$D$33,0)</f>
        <v>-657490</v>
      </c>
      <c r="G87" s="27">
        <f ca="1">ROUND(G85*Input!$D$33,0)</f>
        <v>438361</v>
      </c>
      <c r="H87" s="27">
        <f ca="1">ROUND(H85*Input!$D$33,0)</f>
        <v>2423</v>
      </c>
      <c r="I87" s="27">
        <f ca="1">ROUND(I85*Input!$D$33,0)</f>
        <v>-35934</v>
      </c>
      <c r="J87" s="27">
        <f ca="1">ROUND(J85*Input!$D$33,0)</f>
        <v>1965848</v>
      </c>
      <c r="K87" s="27">
        <f ca="1">ROUND(K85*Input!$D$33,0)</f>
        <v>0</v>
      </c>
      <c r="L87" s="27">
        <f ca="1">ROUND(L85*Input!$D$33,0)</f>
        <v>0</v>
      </c>
    </row>
    <row r="88" spans="1:12" ht="11.25" x14ac:dyDescent="0.2">
      <c r="A88" s="325"/>
      <c r="B88" s="3"/>
      <c r="C88" s="3"/>
      <c r="E88" s="23"/>
      <c r="F88" s="23"/>
      <c r="G88" s="23"/>
      <c r="H88" s="23"/>
      <c r="I88" s="23"/>
      <c r="J88" s="23"/>
      <c r="K88" s="23"/>
      <c r="L88" s="23"/>
    </row>
    <row r="89" spans="1:12" ht="11.25" x14ac:dyDescent="0.2">
      <c r="A89" s="325">
        <f>A87+1</f>
        <v>9</v>
      </c>
      <c r="B89" s="25" t="s">
        <v>48</v>
      </c>
      <c r="C89" s="3"/>
      <c r="E89" s="23">
        <f t="shared" ref="E89:L89" ca="1" si="22">E85-E87</f>
        <v>3181678.7613460701</v>
      </c>
      <c r="F89" s="23">
        <f t="shared" ca="1" si="22"/>
        <v>-1221051.438424879</v>
      </c>
      <c r="G89" s="23">
        <f t="shared" ca="1" si="22"/>
        <v>814098.65432985616</v>
      </c>
      <c r="H89" s="23">
        <f t="shared" ca="1" si="22"/>
        <v>4499.9712964592063</v>
      </c>
      <c r="I89" s="23">
        <f t="shared" ca="1" si="22"/>
        <v>-66734.327904532242</v>
      </c>
      <c r="J89" s="23">
        <f t="shared" ca="1" si="22"/>
        <v>3650860.5796058178</v>
      </c>
      <c r="K89" s="23">
        <f t="shared" ca="1" si="22"/>
        <v>0</v>
      </c>
      <c r="L89" s="23">
        <f t="shared" ca="1" si="22"/>
        <v>0</v>
      </c>
    </row>
    <row r="90" spans="1:12" ht="11.25" x14ac:dyDescent="0.2">
      <c r="A90" s="3" t="s">
        <v>818</v>
      </c>
      <c r="B90" s="3"/>
      <c r="C90" s="14"/>
      <c r="D90" s="325"/>
      <c r="E90" s="15"/>
      <c r="F90" s="325" t="str">
        <f>""&amp;+Input!$B$1</f>
        <v>COLUMBIA GAS OF KENTUCKY, INC.</v>
      </c>
      <c r="H90" s="3"/>
      <c r="I90" s="3"/>
      <c r="J90" s="3"/>
      <c r="K90" s="3"/>
      <c r="L90" s="32" t="str">
        <f>Input!$B$2</f>
        <v>ATTACHMENT CEN-2</v>
      </c>
    </row>
    <row r="91" spans="1:12" ht="11.25" x14ac:dyDescent="0.2">
      <c r="A91" s="3" t="str">
        <f>Input!$B$7</f>
        <v>DEMAND-COMMODITY</v>
      </c>
      <c r="B91" s="3"/>
      <c r="C91" s="3"/>
      <c r="D91" s="325"/>
      <c r="E91" s="3"/>
      <c r="F91" s="325" t="s">
        <v>578</v>
      </c>
      <c r="H91" s="3"/>
      <c r="I91" s="3"/>
      <c r="J91" s="3"/>
      <c r="K91" s="3"/>
      <c r="L91" s="32" t="str">
        <f>"PAGE 81 OF "&amp;FIXED(Input!$B$8,0,TRUE)</f>
        <v>PAGE 81 OF 129</v>
      </c>
    </row>
    <row r="92" spans="1:12" ht="11.25" x14ac:dyDescent="0.2">
      <c r="A92" s="17" t="str">
        <f>Input!$B$6</f>
        <v>FORECASTED TEST YEAR - ORIGINAL FILING</v>
      </c>
      <c r="B92" s="17"/>
      <c r="C92" s="17"/>
      <c r="D92" s="34"/>
      <c r="E92" s="17"/>
      <c r="F92" s="19" t="str">
        <f>"FOR THE TWELVE MONTHS ENDED "&amp;Input!$B$4</f>
        <v>FOR THE TWELVE MONTHS ENDED 12/31/2017</v>
      </c>
      <c r="G92" s="329"/>
      <c r="H92" s="17"/>
      <c r="I92" s="17"/>
      <c r="J92" s="17"/>
      <c r="K92" s="17"/>
      <c r="L92" s="183" t="str">
        <f>"WITNESS: "&amp;Input!$B$5</f>
        <v>WITNESS: C. NOTESTONE</v>
      </c>
    </row>
    <row r="93" spans="1:12" ht="11.25" x14ac:dyDescent="0.2">
      <c r="A93" s="325" t="s">
        <v>5</v>
      </c>
      <c r="B93" s="3" t="s">
        <v>6</v>
      </c>
      <c r="C93" s="3"/>
      <c r="D93" s="325" t="s">
        <v>7</v>
      </c>
      <c r="E93" s="325" t="s">
        <v>8</v>
      </c>
      <c r="F93" s="325"/>
      <c r="G93" s="325"/>
      <c r="H93" s="325"/>
      <c r="I93" s="325"/>
      <c r="J93" s="325"/>
      <c r="K93" s="325"/>
      <c r="L93" s="325"/>
    </row>
    <row r="94" spans="1:12" ht="11.25" x14ac:dyDescent="0.2">
      <c r="A94" s="341" t="s">
        <v>9</v>
      </c>
      <c r="B94" s="341" t="s">
        <v>9</v>
      </c>
      <c r="C94" s="341" t="str">
        <f>"                        ACCOUNT TITLE                "</f>
        <v xml:space="preserve">                        ACCOUNT TITLE                </v>
      </c>
      <c r="D94" s="341" t="s">
        <v>10</v>
      </c>
      <c r="E94" s="341" t="s">
        <v>812</v>
      </c>
      <c r="F94" s="341" t="str">
        <f>"  "&amp;+Input!$C$12</f>
        <v xml:space="preserve">  GS-RESIDENTIAL</v>
      </c>
      <c r="G94" s="341" t="str">
        <f>Input!$C$13</f>
        <v>GS-OTHER</v>
      </c>
      <c r="H94" s="341" t="str">
        <f>Input!$C$14</f>
        <v>IUS</v>
      </c>
      <c r="I94" s="341" t="str">
        <f>Input!$C$15</f>
        <v>DS-ML</v>
      </c>
      <c r="J94" s="341" t="str">
        <f>Input!$C$16</f>
        <v>DS/IS</v>
      </c>
      <c r="K94" s="341" t="str">
        <f>Input!$C$17</f>
        <v>NOT USED</v>
      </c>
      <c r="L94" s="341" t="str">
        <f>Input!$C$18</f>
        <v>NOT USED</v>
      </c>
    </row>
    <row r="95" spans="1:12" ht="11.25" x14ac:dyDescent="0.2">
      <c r="A95" s="3"/>
      <c r="B95" s="342" t="s">
        <v>13</v>
      </c>
      <c r="C95" s="342" t="s">
        <v>14</v>
      </c>
      <c r="D95" s="325" t="s">
        <v>15</v>
      </c>
      <c r="E95" s="325" t="s">
        <v>16</v>
      </c>
      <c r="F95" s="325" t="s">
        <v>17</v>
      </c>
      <c r="G95" s="325" t="s">
        <v>18</v>
      </c>
      <c r="H95" s="325" t="s">
        <v>19</v>
      </c>
      <c r="I95" s="325" t="s">
        <v>20</v>
      </c>
      <c r="J95" s="325" t="s">
        <v>21</v>
      </c>
      <c r="K95" s="325" t="s">
        <v>22</v>
      </c>
      <c r="L95" s="325" t="s">
        <v>23</v>
      </c>
    </row>
    <row r="96" spans="1:12" ht="11.25" x14ac:dyDescent="0.2">
      <c r="A96" s="3"/>
      <c r="B96" s="3"/>
      <c r="C96" s="3"/>
      <c r="D96" s="325"/>
      <c r="E96" s="325" t="s">
        <v>26</v>
      </c>
      <c r="F96" s="325" t="s">
        <v>26</v>
      </c>
      <c r="G96" s="325" t="s">
        <v>26</v>
      </c>
      <c r="H96" s="325" t="s">
        <v>26</v>
      </c>
      <c r="I96" s="325" t="s">
        <v>26</v>
      </c>
      <c r="J96" s="325" t="s">
        <v>26</v>
      </c>
      <c r="K96" s="325" t="s">
        <v>26</v>
      </c>
      <c r="L96" s="325" t="s">
        <v>26</v>
      </c>
    </row>
    <row r="97" spans="1:12" ht="11.25" x14ac:dyDescent="0.2">
      <c r="A97" s="3">
        <v>1</v>
      </c>
      <c r="B97" s="3" t="s">
        <v>408</v>
      </c>
      <c r="C97" s="3"/>
      <c r="D97" s="325"/>
      <c r="E97" s="3">
        <f ca="1">Commodity!E396</f>
        <v>37773621.149999991</v>
      </c>
      <c r="F97" s="3">
        <f ca="1">Commodity!F396</f>
        <v>24264600.589999996</v>
      </c>
      <c r="G97" s="3">
        <f ca="1">Commodity!G396</f>
        <v>12036706</v>
      </c>
      <c r="H97" s="3">
        <f ca="1">Commodity!H396</f>
        <v>30284.560000000001</v>
      </c>
      <c r="I97" s="3">
        <f ca="1">Commodity!I396</f>
        <v>110813</v>
      </c>
      <c r="J97" s="3">
        <f ca="1">Commodity!J396</f>
        <v>1331217</v>
      </c>
      <c r="K97" s="3">
        <f>Commodity!K396</f>
        <v>0</v>
      </c>
      <c r="L97" s="3">
        <f>Commodity!L396</f>
        <v>0</v>
      </c>
    </row>
    <row r="98" spans="1:12" ht="11.25" x14ac:dyDescent="0.2">
      <c r="A98" s="3"/>
      <c r="B98" s="3"/>
      <c r="C98" s="3"/>
      <c r="D98" s="325"/>
      <c r="E98" s="3"/>
      <c r="F98" s="3"/>
      <c r="G98" s="3"/>
      <c r="H98" s="3"/>
      <c r="I98" s="3"/>
      <c r="J98" s="3"/>
      <c r="K98" s="3"/>
      <c r="L98" s="3"/>
    </row>
    <row r="99" spans="1:12" ht="11.25" x14ac:dyDescent="0.2">
      <c r="A99" s="3">
        <f>A97+1</f>
        <v>2</v>
      </c>
      <c r="B99" s="3" t="s">
        <v>409</v>
      </c>
      <c r="C99" s="3"/>
      <c r="D99" s="325"/>
      <c r="E99" s="1">
        <f>Commodity!E427</f>
        <v>21475950.109999996</v>
      </c>
      <c r="F99" s="1">
        <f>Commodity!F427</f>
        <v>13807094.589999998</v>
      </c>
      <c r="G99" s="1">
        <f>Commodity!G427</f>
        <v>7643846.9600000009</v>
      </c>
      <c r="H99" s="1">
        <f>Commodity!H427</f>
        <v>25008.560000000001</v>
      </c>
      <c r="I99" s="1">
        <f>Commodity!I427</f>
        <v>0</v>
      </c>
      <c r="J99" s="1">
        <f>Commodity!J427</f>
        <v>0</v>
      </c>
      <c r="K99" s="1">
        <f>Commodity!K427</f>
        <v>0</v>
      </c>
      <c r="L99" s="1">
        <f>Commodity!L427</f>
        <v>0</v>
      </c>
    </row>
    <row r="100" spans="1:12" ht="11.25" x14ac:dyDescent="0.2">
      <c r="A100" s="3">
        <f t="shared" ref="A100:A105" si="23">A99+1</f>
        <v>3</v>
      </c>
      <c r="B100" s="3" t="s">
        <v>410</v>
      </c>
      <c r="C100" s="3"/>
      <c r="D100" s="325"/>
      <c r="E100" s="3">
        <f ca="1">Commodity!E663</f>
        <v>9203038</v>
      </c>
      <c r="F100" s="3">
        <f ca="1">Commodity!F663</f>
        <v>3723449</v>
      </c>
      <c r="G100" s="3">
        <f ca="1">Commodity!G663</f>
        <v>2478375</v>
      </c>
      <c r="H100" s="3">
        <f ca="1">Commodity!H663</f>
        <v>5564</v>
      </c>
      <c r="I100" s="3">
        <f ca="1">Commodity!I663</f>
        <v>437</v>
      </c>
      <c r="J100" s="3">
        <f ca="1">Commodity!J663</f>
        <v>2995207</v>
      </c>
      <c r="K100" s="3">
        <f ca="1">Commodity!K663</f>
        <v>0</v>
      </c>
      <c r="L100" s="3">
        <f ca="1">Commodity!L663</f>
        <v>0</v>
      </c>
    </row>
    <row r="101" spans="1:12" ht="11.25" x14ac:dyDescent="0.2">
      <c r="A101" s="3">
        <f t="shared" si="23"/>
        <v>4</v>
      </c>
      <c r="B101" s="3" t="s">
        <v>411</v>
      </c>
      <c r="C101" s="3"/>
      <c r="D101" s="325"/>
      <c r="E101" s="3">
        <f>Commodity!E375</f>
        <v>3392118</v>
      </c>
      <c r="F101" s="3">
        <f ca="1">Commodity!F375</f>
        <v>1322148</v>
      </c>
      <c r="G101" s="3">
        <f ca="1">Commodity!G375</f>
        <v>895331</v>
      </c>
      <c r="H101" s="3">
        <f ca="1">Commodity!H375</f>
        <v>1931</v>
      </c>
      <c r="I101" s="3">
        <f ca="1">Commodity!I375</f>
        <v>597</v>
      </c>
      <c r="J101" s="3">
        <f ca="1">Commodity!J375</f>
        <v>1172110</v>
      </c>
      <c r="K101" s="3">
        <f ca="1">Commodity!K375</f>
        <v>0</v>
      </c>
      <c r="L101" s="3">
        <f ca="1">Commodity!L375</f>
        <v>0</v>
      </c>
    </row>
    <row r="102" spans="1:12" ht="11.25" x14ac:dyDescent="0.2">
      <c r="A102" s="3">
        <f t="shared" si="23"/>
        <v>5</v>
      </c>
      <c r="B102" s="3" t="s">
        <v>412</v>
      </c>
      <c r="C102" s="3"/>
      <c r="D102" s="325"/>
      <c r="E102" s="3">
        <f ca="1">Commodity!E771</f>
        <v>-241252</v>
      </c>
      <c r="F102" s="3">
        <f ca="1">Commodity!F771</f>
        <v>1174414</v>
      </c>
      <c r="G102" s="3">
        <f ca="1">Commodity!G771</f>
        <v>-50258</v>
      </c>
      <c r="H102" s="3">
        <f ca="1">Commodity!H771</f>
        <v>-1522</v>
      </c>
      <c r="I102" s="3">
        <f ca="1">Commodity!I771</f>
        <v>34664</v>
      </c>
      <c r="J102" s="3">
        <f ca="1">Commodity!J771</f>
        <v>-1398548</v>
      </c>
      <c r="K102" s="3">
        <f ca="1">Commodity!K771</f>
        <v>0</v>
      </c>
      <c r="L102" s="3">
        <f ca="1">Commodity!L771</f>
        <v>0</v>
      </c>
    </row>
    <row r="103" spans="1:12" ht="11.25" x14ac:dyDescent="0.2">
      <c r="A103" s="3">
        <f t="shared" si="23"/>
        <v>6</v>
      </c>
      <c r="B103" s="3" t="s">
        <v>413</v>
      </c>
      <c r="C103" s="3"/>
      <c r="D103" s="325"/>
      <c r="E103" s="3">
        <f ca="1">Commodity!E721</f>
        <v>-45307.737836084969</v>
      </c>
      <c r="F103" s="3">
        <f ca="1">Commodity!F721</f>
        <v>220470.90910505256</v>
      </c>
      <c r="G103" s="3">
        <f ca="1">Commodity!G721</f>
        <v>-9439.5733095039795</v>
      </c>
      <c r="H103" s="3">
        <f ca="1">Commodity!H721</f>
        <v>-285.95845936964866</v>
      </c>
      <c r="I103" s="3">
        <f ca="1">Commodity!I721</f>
        <v>6507.6445622351084</v>
      </c>
      <c r="J103" s="3">
        <f ca="1">Commodity!J721</f>
        <v>-262560.57973547862</v>
      </c>
      <c r="K103" s="3">
        <f ca="1">Commodity!K721</f>
        <v>0</v>
      </c>
      <c r="L103" s="3">
        <f ca="1">Commodity!L721</f>
        <v>0</v>
      </c>
    </row>
    <row r="104" spans="1:12" ht="11.25" x14ac:dyDescent="0.2">
      <c r="A104" s="3">
        <f t="shared" si="23"/>
        <v>7</v>
      </c>
      <c r="B104" s="3" t="s">
        <v>414</v>
      </c>
      <c r="C104" s="3"/>
      <c r="D104" s="325"/>
      <c r="E104" s="26">
        <f>Commodity!E679</f>
        <v>1315911</v>
      </c>
      <c r="F104" s="26">
        <f ca="1">Commodity!F679</f>
        <v>512520</v>
      </c>
      <c r="G104" s="26">
        <f ca="1">Commodity!G679</f>
        <v>347172</v>
      </c>
      <c r="H104" s="26">
        <f ca="1">Commodity!H679</f>
        <v>749</v>
      </c>
      <c r="I104" s="26">
        <f ca="1">Commodity!I679</f>
        <v>295</v>
      </c>
      <c r="J104" s="26">
        <f ca="1">Commodity!J679</f>
        <v>455176</v>
      </c>
      <c r="K104" s="26">
        <f ca="1">Commodity!K679</f>
        <v>0</v>
      </c>
      <c r="L104" s="26">
        <f ca="1">Commodity!L679</f>
        <v>0</v>
      </c>
    </row>
    <row r="105" spans="1:12" ht="11.25" x14ac:dyDescent="0.2">
      <c r="A105" s="3">
        <f t="shared" si="23"/>
        <v>8</v>
      </c>
      <c r="B105" s="3" t="s">
        <v>415</v>
      </c>
      <c r="C105" s="3"/>
      <c r="D105" s="325"/>
      <c r="E105" s="3">
        <f t="shared" ref="E105:L105" ca="1" si="24">SUM(E99:E104)</f>
        <v>35100457.372163914</v>
      </c>
      <c r="F105" s="3">
        <f t="shared" ca="1" si="24"/>
        <v>20760096.499105047</v>
      </c>
      <c r="G105" s="3">
        <f t="shared" ca="1" si="24"/>
        <v>11305027.386690497</v>
      </c>
      <c r="H105" s="3">
        <f t="shared" ca="1" si="24"/>
        <v>31444.601540630352</v>
      </c>
      <c r="I105" s="3">
        <f t="shared" ca="1" si="24"/>
        <v>42500.644562235109</v>
      </c>
      <c r="J105" s="3">
        <f t="shared" ca="1" si="24"/>
        <v>2961384.4202645216</v>
      </c>
      <c r="K105" s="3">
        <f t="shared" ca="1" si="24"/>
        <v>0</v>
      </c>
      <c r="L105" s="3">
        <f t="shared" ca="1" si="24"/>
        <v>0</v>
      </c>
    </row>
    <row r="106" spans="1:12" ht="11.25" x14ac:dyDescent="0.2">
      <c r="A106" s="3"/>
      <c r="B106" s="3"/>
      <c r="C106" s="3"/>
      <c r="D106" s="325"/>
      <c r="E106" s="3"/>
      <c r="F106" s="3"/>
      <c r="G106" s="3"/>
      <c r="H106" s="3"/>
      <c r="I106" s="3"/>
      <c r="J106" s="3"/>
      <c r="K106" s="3"/>
      <c r="L106" s="3"/>
    </row>
    <row r="107" spans="1:12" ht="11.25" x14ac:dyDescent="0.2">
      <c r="A107" s="3">
        <f>A105+1</f>
        <v>9</v>
      </c>
      <c r="B107" s="3" t="s">
        <v>48</v>
      </c>
      <c r="C107" s="3"/>
      <c r="D107" s="325"/>
      <c r="E107" s="3">
        <f t="shared" ref="E107:L107" ca="1" si="25">E97-E105</f>
        <v>2673163.7778360769</v>
      </c>
      <c r="F107" s="3">
        <f t="shared" ca="1" si="25"/>
        <v>3504504.0908949487</v>
      </c>
      <c r="G107" s="3">
        <f t="shared" ca="1" si="25"/>
        <v>731678.6133095026</v>
      </c>
      <c r="H107" s="3">
        <f t="shared" ca="1" si="25"/>
        <v>-1160.0415406303509</v>
      </c>
      <c r="I107" s="3">
        <f t="shared" ca="1" si="25"/>
        <v>68312.355437764898</v>
      </c>
      <c r="J107" s="3">
        <f t="shared" ca="1" si="25"/>
        <v>-1630167.4202645216</v>
      </c>
      <c r="K107" s="3">
        <f t="shared" ca="1" si="25"/>
        <v>0</v>
      </c>
      <c r="L107" s="3">
        <f t="shared" ca="1" si="25"/>
        <v>0</v>
      </c>
    </row>
    <row r="108" spans="1:12" ht="11.25" x14ac:dyDescent="0.2">
      <c r="A108" s="3"/>
      <c r="B108" s="3"/>
      <c r="C108" s="3"/>
      <c r="D108" s="325"/>
      <c r="E108" s="3"/>
      <c r="F108" s="3"/>
      <c r="G108" s="3"/>
      <c r="H108" s="3"/>
      <c r="I108" s="3"/>
      <c r="J108" s="3"/>
      <c r="K108" s="3"/>
      <c r="L108" s="3"/>
    </row>
    <row r="109" spans="1:12" ht="11.25" x14ac:dyDescent="0.2">
      <c r="A109" s="3">
        <f>A107+1</f>
        <v>10</v>
      </c>
      <c r="B109" s="3" t="s">
        <v>416</v>
      </c>
      <c r="C109" s="3"/>
      <c r="D109" s="325"/>
      <c r="E109" s="26">
        <f ca="1">Commodity!E736</f>
        <v>1837904</v>
      </c>
      <c r="F109" s="26">
        <f ca="1">Commodity!F736</f>
        <v>716803</v>
      </c>
      <c r="G109" s="26">
        <f ca="1">Commodity!G736</f>
        <v>485238</v>
      </c>
      <c r="H109" s="26">
        <f ca="1">Commodity!H736</f>
        <v>1049</v>
      </c>
      <c r="I109" s="26">
        <f ca="1">Commodity!I736</f>
        <v>495</v>
      </c>
      <c r="J109" s="26">
        <f ca="1">Commodity!J736</f>
        <v>634320</v>
      </c>
      <c r="K109" s="26">
        <f ca="1">Commodity!K736</f>
        <v>0</v>
      </c>
      <c r="L109" s="26">
        <f ca="1">Commodity!L736</f>
        <v>0</v>
      </c>
    </row>
    <row r="110" spans="1:12" ht="11.25" x14ac:dyDescent="0.2">
      <c r="A110" s="3"/>
      <c r="B110" s="3"/>
      <c r="C110" s="3"/>
      <c r="D110" s="325"/>
      <c r="E110" s="3"/>
      <c r="F110" s="3"/>
      <c r="G110" s="3"/>
      <c r="H110" s="3"/>
      <c r="I110" s="3"/>
      <c r="J110" s="3"/>
      <c r="K110" s="3"/>
      <c r="L110" s="3"/>
    </row>
    <row r="111" spans="1:12" ht="11.25" x14ac:dyDescent="0.2">
      <c r="A111" s="3">
        <f>A109+1</f>
        <v>11</v>
      </c>
      <c r="B111" s="3" t="s">
        <v>417</v>
      </c>
      <c r="C111" s="3"/>
      <c r="D111" s="325"/>
      <c r="E111" s="3">
        <f t="shared" ref="E111:L111" ca="1" si="26">E107-E109</f>
        <v>835259.77783607692</v>
      </c>
      <c r="F111" s="3">
        <f t="shared" ca="1" si="26"/>
        <v>2787701.0908949487</v>
      </c>
      <c r="G111" s="3">
        <f t="shared" ca="1" si="26"/>
        <v>246440.6133095026</v>
      </c>
      <c r="H111" s="3">
        <f t="shared" ca="1" si="26"/>
        <v>-2209.0415406303509</v>
      </c>
      <c r="I111" s="3">
        <f t="shared" ca="1" si="26"/>
        <v>67817.355437764898</v>
      </c>
      <c r="J111" s="3">
        <f t="shared" ca="1" si="26"/>
        <v>-2264487.4202645216</v>
      </c>
      <c r="K111" s="3">
        <f t="shared" ca="1" si="26"/>
        <v>0</v>
      </c>
      <c r="L111" s="3">
        <f t="shared" ca="1" si="26"/>
        <v>0</v>
      </c>
    </row>
    <row r="112" spans="1:12" ht="11.25" x14ac:dyDescent="0.2">
      <c r="A112" s="3"/>
      <c r="B112" s="3"/>
      <c r="C112" s="3"/>
      <c r="D112" s="325"/>
      <c r="E112" s="3"/>
      <c r="F112" s="3"/>
      <c r="G112" s="3"/>
      <c r="H112" s="3"/>
      <c r="I112" s="3"/>
      <c r="J112" s="3"/>
      <c r="K112" s="3"/>
      <c r="L112" s="3"/>
    </row>
    <row r="113" spans="1:12" ht="11.25" x14ac:dyDescent="0.2">
      <c r="A113" s="3">
        <f>A111+1</f>
        <v>12</v>
      </c>
      <c r="B113" s="3" t="s">
        <v>418</v>
      </c>
      <c r="C113" s="3"/>
      <c r="D113" s="325"/>
      <c r="E113" s="3">
        <f ca="1">Commodity!E800</f>
        <v>69617593</v>
      </c>
      <c r="F113" s="3">
        <f ca="1">Commodity!F800</f>
        <v>27151627</v>
      </c>
      <c r="G113" s="3">
        <f ca="1">Commodity!G800</f>
        <v>18380223</v>
      </c>
      <c r="H113" s="3">
        <f ca="1">Commodity!H800</f>
        <v>39716</v>
      </c>
      <c r="I113" s="3">
        <f ca="1">Commodity!I800</f>
        <v>18762</v>
      </c>
      <c r="J113" s="3">
        <f ca="1">Commodity!J800</f>
        <v>24027267</v>
      </c>
      <c r="K113" s="3">
        <f ca="1">Commodity!K800</f>
        <v>0</v>
      </c>
      <c r="L113" s="3">
        <f ca="1">Commodity!L800</f>
        <v>0</v>
      </c>
    </row>
    <row r="114" spans="1:12" ht="11.25" x14ac:dyDescent="0.2">
      <c r="A114" s="3"/>
      <c r="B114" s="3"/>
      <c r="C114" s="3"/>
      <c r="D114" s="325"/>
      <c r="E114" s="48"/>
      <c r="F114" s="48"/>
      <c r="G114" s="48"/>
      <c r="H114" s="48"/>
      <c r="I114" s="48"/>
      <c r="J114" s="48"/>
      <c r="K114" s="48"/>
      <c r="L114" s="48"/>
    </row>
    <row r="115" spans="1:12" ht="11.25" x14ac:dyDescent="0.2">
      <c r="A115" s="3">
        <f>A113+1</f>
        <v>13</v>
      </c>
      <c r="B115" s="3" t="s">
        <v>419</v>
      </c>
      <c r="C115" s="3"/>
      <c r="D115" s="325"/>
      <c r="E115" s="49">
        <f t="shared" ref="E115:L115" ca="1" si="27">IF(E113=0,0,ROUND(E107/E113,4))</f>
        <v>3.8399999999999997E-2</v>
      </c>
      <c r="F115" s="49">
        <f t="shared" ca="1" si="27"/>
        <v>0.12909999999999999</v>
      </c>
      <c r="G115" s="49">
        <f t="shared" ca="1" si="27"/>
        <v>3.9800000000000002E-2</v>
      </c>
      <c r="H115" s="49">
        <f t="shared" ca="1" si="27"/>
        <v>-2.92E-2</v>
      </c>
      <c r="I115" s="49">
        <f t="shared" ca="1" si="27"/>
        <v>3.641</v>
      </c>
      <c r="J115" s="49">
        <f t="shared" ca="1" si="27"/>
        <v>-6.7799999999999999E-2</v>
      </c>
      <c r="K115" s="49">
        <f t="shared" ca="1" si="27"/>
        <v>0</v>
      </c>
      <c r="L115" s="49">
        <f t="shared" ca="1" si="27"/>
        <v>0</v>
      </c>
    </row>
    <row r="116" spans="1:12" ht="11.25" x14ac:dyDescent="0.2">
      <c r="A116" s="3"/>
      <c r="B116" s="3"/>
      <c r="C116" s="3"/>
      <c r="D116" s="325"/>
      <c r="E116" s="3"/>
      <c r="F116" s="3"/>
      <c r="G116" s="3"/>
      <c r="H116" s="3"/>
      <c r="I116" s="3"/>
      <c r="J116" s="3"/>
      <c r="K116" s="3"/>
      <c r="L116" s="3"/>
    </row>
    <row r="117" spans="1:12" ht="11.25" x14ac:dyDescent="0.2">
      <c r="A117" s="3">
        <f>A115+1</f>
        <v>14</v>
      </c>
      <c r="B117" s="3" t="s">
        <v>420</v>
      </c>
      <c r="C117" s="3"/>
      <c r="D117" s="325"/>
      <c r="E117" s="24">
        <v>1</v>
      </c>
      <c r="F117" s="24">
        <f ca="1">IF($E$115=0,0,ROUND(F115/$E$115,2))</f>
        <v>3.36</v>
      </c>
      <c r="G117" s="24">
        <f t="shared" ref="G117:L117" ca="1" si="28">IF($E$115=0,0,ROUND(G115/$E$115,2))</f>
        <v>1.04</v>
      </c>
      <c r="H117" s="24">
        <f t="shared" ca="1" si="28"/>
        <v>-0.76</v>
      </c>
      <c r="I117" s="24">
        <f t="shared" ca="1" si="28"/>
        <v>94.82</v>
      </c>
      <c r="J117" s="24">
        <f t="shared" ca="1" si="28"/>
        <v>-1.77</v>
      </c>
      <c r="K117" s="24">
        <f t="shared" ca="1" si="28"/>
        <v>0</v>
      </c>
      <c r="L117" s="24">
        <f t="shared" ca="1" si="28"/>
        <v>0</v>
      </c>
    </row>
    <row r="118" spans="1:12" ht="11.25" x14ac:dyDescent="0.2">
      <c r="A118" s="3"/>
      <c r="B118" s="3"/>
      <c r="C118" s="3"/>
      <c r="D118" s="325"/>
      <c r="E118" s="31"/>
      <c r="F118" s="31"/>
      <c r="G118" s="31"/>
      <c r="H118" s="31"/>
      <c r="I118" s="31"/>
      <c r="J118" s="31"/>
      <c r="K118" s="31"/>
      <c r="L118" s="31"/>
    </row>
    <row r="119" spans="1:12" ht="11.25" x14ac:dyDescent="0.2">
      <c r="A119" s="3"/>
      <c r="B119" s="3"/>
      <c r="C119" s="3"/>
      <c r="D119" s="325"/>
      <c r="E119" s="31"/>
      <c r="F119" s="31"/>
      <c r="G119" s="31"/>
      <c r="H119" s="31"/>
      <c r="I119" s="31"/>
      <c r="J119" s="31"/>
      <c r="K119" s="31"/>
      <c r="L119" s="31"/>
    </row>
    <row r="120" spans="1:12" ht="11.25" x14ac:dyDescent="0.2">
      <c r="A120" s="3"/>
      <c r="B120" s="3"/>
      <c r="C120" s="3"/>
      <c r="D120" s="325"/>
      <c r="E120" s="3"/>
      <c r="F120" s="3"/>
      <c r="G120" s="3"/>
      <c r="H120" s="3"/>
      <c r="I120" s="3"/>
      <c r="J120" s="3"/>
      <c r="K120" s="3"/>
      <c r="L120" s="3"/>
    </row>
    <row r="121" spans="1:12" ht="11.25" x14ac:dyDescent="0.2">
      <c r="A121" s="3"/>
      <c r="B121" s="3"/>
      <c r="C121" s="3"/>
      <c r="D121" s="325"/>
      <c r="E121" s="3"/>
      <c r="F121" s="3"/>
      <c r="G121" s="3"/>
      <c r="H121" s="3"/>
      <c r="I121" s="3"/>
      <c r="J121" s="3"/>
      <c r="K121" s="3"/>
      <c r="L121" s="3"/>
    </row>
    <row r="122" spans="1:12" ht="11.25" x14ac:dyDescent="0.2">
      <c r="A122" s="3" t="s">
        <v>1136</v>
      </c>
      <c r="B122" s="3"/>
      <c r="C122" s="3"/>
      <c r="D122" s="325"/>
      <c r="E122" s="3"/>
      <c r="F122" s="3"/>
      <c r="G122" s="3"/>
      <c r="H122" s="3"/>
      <c r="I122" s="3"/>
      <c r="J122" s="3"/>
      <c r="K122" s="3"/>
      <c r="L122" s="3"/>
    </row>
    <row r="123" spans="1:12" ht="11.25" x14ac:dyDescent="0.2">
      <c r="A123" s="3"/>
      <c r="B123" s="3"/>
      <c r="C123" s="3"/>
      <c r="D123" s="325"/>
      <c r="E123" s="3"/>
      <c r="F123" s="3"/>
      <c r="G123" s="3"/>
      <c r="H123" s="3"/>
      <c r="I123" s="3"/>
      <c r="J123" s="3"/>
      <c r="K123" s="3"/>
      <c r="L123" s="3"/>
    </row>
    <row r="124" spans="1:12" ht="11.25" x14ac:dyDescent="0.2">
      <c r="A124" s="3" t="s">
        <v>818</v>
      </c>
      <c r="B124" s="14"/>
      <c r="C124" s="3"/>
      <c r="D124" s="325"/>
      <c r="E124" s="3"/>
      <c r="F124" s="325" t="str">
        <f>""&amp;+Input!$B$1</f>
        <v>COLUMBIA GAS OF KENTUCKY, INC.</v>
      </c>
      <c r="H124" s="3"/>
      <c r="I124" s="15"/>
      <c r="J124" s="3"/>
      <c r="K124" s="3"/>
      <c r="L124" s="32" t="str">
        <f>Input!$B$2</f>
        <v>ATTACHMENT CEN-2</v>
      </c>
    </row>
    <row r="125" spans="1:12" ht="11.25" x14ac:dyDescent="0.2">
      <c r="A125" s="3" t="str">
        <f>Input!$B$7</f>
        <v>DEMAND-COMMODITY</v>
      </c>
      <c r="B125" s="3"/>
      <c r="C125" s="3"/>
      <c r="D125" s="325"/>
      <c r="E125" s="3"/>
      <c r="F125" s="325" t="s">
        <v>805</v>
      </c>
      <c r="H125" s="3"/>
      <c r="I125" s="3"/>
      <c r="J125" s="3"/>
      <c r="K125" s="3"/>
      <c r="L125" s="32" t="str">
        <f>"PAGE 82 OF "&amp;FIXED(Input!$B$8,0,TRUE)</f>
        <v>PAGE 82 OF 129</v>
      </c>
    </row>
    <row r="126" spans="1:12" ht="11.25" x14ac:dyDescent="0.2">
      <c r="A126" s="17" t="str">
        <f>Input!$B$6</f>
        <v>FORECASTED TEST YEAR - ORIGINAL FILING</v>
      </c>
      <c r="B126" s="17"/>
      <c r="C126" s="17"/>
      <c r="D126" s="19"/>
      <c r="E126" s="18"/>
      <c r="F126" s="19" t="str">
        <f>"FOR THE TWELVE MONTHS ENDED "&amp;Input!$B$4</f>
        <v>FOR THE TWELVE MONTHS ENDED 12/31/2017</v>
      </c>
      <c r="G126" s="329"/>
      <c r="H126" s="17"/>
      <c r="I126" s="17"/>
      <c r="J126" s="17"/>
      <c r="K126" s="17"/>
      <c r="L126" s="183" t="str">
        <f>"WITNESS: "&amp;Input!$B$5</f>
        <v>WITNESS: C. NOTESTONE</v>
      </c>
    </row>
    <row r="127" spans="1:12" ht="11.25" x14ac:dyDescent="0.2">
      <c r="A127" s="325" t="s">
        <v>5</v>
      </c>
      <c r="B127" s="3" t="s">
        <v>6</v>
      </c>
      <c r="C127" s="3"/>
      <c r="D127" s="325" t="s">
        <v>7</v>
      </c>
      <c r="E127" s="325" t="s">
        <v>8</v>
      </c>
      <c r="F127" s="325"/>
      <c r="G127" s="325"/>
      <c r="H127" s="325"/>
      <c r="I127" s="325"/>
      <c r="J127" s="325"/>
      <c r="K127" s="325"/>
      <c r="L127" s="325"/>
    </row>
    <row r="128" spans="1:12" ht="11.25" x14ac:dyDescent="0.2">
      <c r="A128" s="341" t="s">
        <v>9</v>
      </c>
      <c r="B128" s="341" t="s">
        <v>9</v>
      </c>
      <c r="C128" s="20" t="s">
        <v>484</v>
      </c>
      <c r="D128" s="341" t="s">
        <v>10</v>
      </c>
      <c r="E128" s="341" t="s">
        <v>812</v>
      </c>
      <c r="F128" s="341" t="str">
        <f>"  "&amp;+Input!$C$12</f>
        <v xml:space="preserve">  GS-RESIDENTIAL</v>
      </c>
      <c r="G128" s="341" t="str">
        <f>Input!$C$13</f>
        <v>GS-OTHER</v>
      </c>
      <c r="H128" s="341" t="str">
        <f>Input!$C$14</f>
        <v>IUS</v>
      </c>
      <c r="I128" s="341" t="str">
        <f>Input!$C$15</f>
        <v>DS-ML</v>
      </c>
      <c r="J128" s="341" t="str">
        <f>Input!$C$16</f>
        <v>DS/IS</v>
      </c>
      <c r="K128" s="341" t="str">
        <f>Input!$C$17</f>
        <v>NOT USED</v>
      </c>
      <c r="L128" s="341" t="str">
        <f>Input!$C$18</f>
        <v>NOT USED</v>
      </c>
    </row>
    <row r="129" spans="1:12" ht="11.25" x14ac:dyDescent="0.2">
      <c r="A129" s="325"/>
      <c r="B129" s="342" t="s">
        <v>13</v>
      </c>
      <c r="C129" s="342" t="s">
        <v>14</v>
      </c>
      <c r="D129" s="325" t="s">
        <v>15</v>
      </c>
      <c r="E129" s="325" t="s">
        <v>16</v>
      </c>
      <c r="F129" s="325" t="s">
        <v>17</v>
      </c>
      <c r="G129" s="325" t="s">
        <v>18</v>
      </c>
      <c r="H129" s="325" t="s">
        <v>19</v>
      </c>
      <c r="I129" s="325" t="s">
        <v>20</v>
      </c>
      <c r="J129" s="325" t="s">
        <v>21</v>
      </c>
      <c r="K129" s="325" t="s">
        <v>22</v>
      </c>
      <c r="L129" s="325" t="s">
        <v>23</v>
      </c>
    </row>
    <row r="130" spans="1:12" ht="11.25" x14ac:dyDescent="0.2">
      <c r="A130" s="325"/>
      <c r="B130" s="3"/>
      <c r="C130" s="3"/>
      <c r="D130" s="325"/>
      <c r="E130" s="325" t="s">
        <v>26</v>
      </c>
      <c r="F130" s="325" t="s">
        <v>26</v>
      </c>
      <c r="G130" s="325" t="s">
        <v>26</v>
      </c>
      <c r="H130" s="325" t="s">
        <v>26</v>
      </c>
      <c r="I130" s="325" t="s">
        <v>26</v>
      </c>
      <c r="J130" s="325" t="s">
        <v>26</v>
      </c>
      <c r="K130" s="325" t="s">
        <v>26</v>
      </c>
      <c r="L130" s="325" t="s">
        <v>26</v>
      </c>
    </row>
    <row r="131" spans="1:12" ht="11.25" x14ac:dyDescent="0.2">
      <c r="A131" s="325">
        <v>1</v>
      </c>
      <c r="B131" s="3"/>
      <c r="C131" s="3" t="str">
        <f>Input!A85</f>
        <v>INTANGIBLE PLANT</v>
      </c>
      <c r="D131" s="325"/>
      <c r="E131" s="3"/>
      <c r="F131" s="3"/>
      <c r="G131" s="3"/>
      <c r="H131" s="3"/>
      <c r="I131" s="3"/>
      <c r="J131" s="3"/>
      <c r="K131" s="3"/>
      <c r="L131" s="3"/>
    </row>
    <row r="132" spans="1:12" ht="11.25" x14ac:dyDescent="0.2">
      <c r="A132" s="325"/>
      <c r="B132" s="3"/>
      <c r="C132" s="3"/>
      <c r="D132" s="325"/>
      <c r="E132" s="3"/>
      <c r="F132" s="3"/>
      <c r="G132" s="3"/>
      <c r="H132" s="3"/>
      <c r="I132" s="3"/>
      <c r="J132" s="3"/>
      <c r="K132" s="3"/>
      <c r="L132" s="3"/>
    </row>
    <row r="133" spans="1:12" ht="11.25" x14ac:dyDescent="0.2">
      <c r="A133" s="325">
        <f>A131+1</f>
        <v>2</v>
      </c>
      <c r="B133" s="24">
        <f>Input!A86</f>
        <v>301</v>
      </c>
      <c r="C133" s="3" t="str">
        <f>Input!B86</f>
        <v>ORGANIZATION</v>
      </c>
      <c r="D133" s="325" t="str">
        <f>VLOOKUP(Input!C86,'Alloc Table Comm'!$A$7:$B$27,2,FALSE)</f>
        <v>7COMM</v>
      </c>
      <c r="E133" s="3">
        <f>Classification!G133</f>
        <v>151</v>
      </c>
      <c r="F133" s="3">
        <f ca="1">ROUND((VLOOKUP($D133,'Alloc Table Comm'!$B$7:$T$56,13,FALSE)*$E133),0)</f>
        <v>59</v>
      </c>
      <c r="G133" s="3">
        <f ca="1">ROUND((VLOOKUP($D133,'Alloc Table Comm'!$B$7:$T$56,14,FALSE)*$E133),0)</f>
        <v>40</v>
      </c>
      <c r="H133" s="3">
        <f ca="1">ROUND((VLOOKUP($D133,'Alloc Table Comm'!$B$7:$T$56,15,FALSE)*$E133),0)</f>
        <v>0</v>
      </c>
      <c r="I133" s="3">
        <f ca="1">ROUND((VLOOKUP($D133,'Alloc Table Comm'!$B$7:$T$56,16,FALSE)*$E133),0)</f>
        <v>0</v>
      </c>
      <c r="J133" s="3">
        <f ca="1">ROUND((VLOOKUP($D133,'Alloc Table Comm'!$B$7:$T$56,17,FALSE)*$E133),0)</f>
        <v>52</v>
      </c>
      <c r="K133" s="3">
        <f ca="1">ROUND((VLOOKUP($D133,'Alloc Table Comm'!$B$7:$T$56,18,FALSE)*$E133),0)</f>
        <v>0</v>
      </c>
      <c r="L133" s="3">
        <f ca="1">ROUND((VLOOKUP($D133,'Alloc Table Comm'!$B$7:$T$56,19,FALSE)*$E133),0)</f>
        <v>0</v>
      </c>
    </row>
    <row r="134" spans="1:12" ht="11.25" x14ac:dyDescent="0.2">
      <c r="A134" s="325">
        <f>A133+1</f>
        <v>3</v>
      </c>
      <c r="B134" s="24">
        <f>Input!A87</f>
        <v>303</v>
      </c>
      <c r="C134" s="3" t="str">
        <f>Input!B87</f>
        <v>MISC. INTANGIBLE PLANT</v>
      </c>
      <c r="D134" s="325" t="str">
        <f>VLOOKUP(Input!C87,'Alloc Table Comm'!$A$7:$B$27,2,FALSE)</f>
        <v>7COMM</v>
      </c>
      <c r="E134" s="3">
        <f>Classification!G134</f>
        <v>21618</v>
      </c>
      <c r="F134" s="3">
        <f ca="1">ROUND((VLOOKUP($D134,'Alloc Table Comm'!$B$7:$T$56,13,FALSE)*$E134),0)</f>
        <v>8425</v>
      </c>
      <c r="G134" s="3">
        <f ca="1">ROUND((VLOOKUP($D134,'Alloc Table Comm'!$B$7:$T$56,14,FALSE)*$E134),0)</f>
        <v>5706</v>
      </c>
      <c r="H134" s="3">
        <f ca="1">ROUND((VLOOKUP($D134,'Alloc Table Comm'!$B$7:$T$56,15,FALSE)*$E134),0)</f>
        <v>12</v>
      </c>
      <c r="I134" s="3">
        <f ca="1">ROUND((VLOOKUP($D134,'Alloc Table Comm'!$B$7:$T$56,16,FALSE)*$E134),0)</f>
        <v>5</v>
      </c>
      <c r="J134" s="3">
        <f ca="1">ROUND((VLOOKUP($D134,'Alloc Table Comm'!$B$7:$T$56,17,FALSE)*$E134),0)</f>
        <v>7469</v>
      </c>
      <c r="K134" s="3">
        <f ca="1">ROUND((VLOOKUP($D134,'Alloc Table Comm'!$B$7:$T$56,18,FALSE)*$E134),0)</f>
        <v>0</v>
      </c>
      <c r="L134" s="3">
        <f ca="1">ROUND((VLOOKUP($D134,'Alloc Table Comm'!$B$7:$T$56,19,FALSE)*$E134),0)</f>
        <v>0</v>
      </c>
    </row>
    <row r="135" spans="1:12" ht="11.25" x14ac:dyDescent="0.2">
      <c r="A135" s="325">
        <f>A134+1</f>
        <v>4</v>
      </c>
      <c r="B135" s="24">
        <f>Input!A88</f>
        <v>303.10000000000002</v>
      </c>
      <c r="C135" s="3" t="str">
        <f>Input!B88</f>
        <v>DIS SOFTWARE</v>
      </c>
      <c r="D135" s="325" t="str">
        <f>VLOOKUP(Input!C88,'Alloc Table Comm'!$A$7:$B$27,2,FALSE)</f>
        <v>7COMM</v>
      </c>
      <c r="E135" s="3">
        <f>Classification!G135</f>
        <v>0</v>
      </c>
      <c r="F135" s="3">
        <f ca="1">ROUND((VLOOKUP($D135,'Alloc Table Comm'!$B$7:$T$56,13,FALSE)*$E135),0)</f>
        <v>0</v>
      </c>
      <c r="G135" s="3">
        <f ca="1">ROUND((VLOOKUP($D135,'Alloc Table Comm'!$B$7:$T$56,14,FALSE)*$E135),0)</f>
        <v>0</v>
      </c>
      <c r="H135" s="3">
        <f ca="1">ROUND((VLOOKUP($D135,'Alloc Table Comm'!$B$7:$T$56,15,FALSE)*$E135),0)</f>
        <v>0</v>
      </c>
      <c r="I135" s="3">
        <f ca="1">ROUND((VLOOKUP($D135,'Alloc Table Comm'!$B$7:$T$56,16,FALSE)*$E135),0)</f>
        <v>0</v>
      </c>
      <c r="J135" s="3">
        <f ca="1">ROUND((VLOOKUP($D135,'Alloc Table Comm'!$B$7:$T$56,17,FALSE)*$E135),0)</f>
        <v>0</v>
      </c>
      <c r="K135" s="3">
        <f ca="1">ROUND((VLOOKUP($D135,'Alloc Table Comm'!$B$7:$T$56,18,FALSE)*$E135),0)</f>
        <v>0</v>
      </c>
      <c r="L135" s="3">
        <f ca="1">ROUND((VLOOKUP($D135,'Alloc Table Comm'!$B$7:$T$56,19,FALSE)*$E135),0)</f>
        <v>0</v>
      </c>
    </row>
    <row r="136" spans="1:12" ht="11.25" x14ac:dyDescent="0.2">
      <c r="A136" s="325">
        <f>A135+1</f>
        <v>5</v>
      </c>
      <c r="B136" s="24">
        <f>Input!A89</f>
        <v>303.2</v>
      </c>
      <c r="C136" s="3" t="str">
        <f>Input!B89</f>
        <v>FARA SOFTWARE</v>
      </c>
      <c r="D136" s="325" t="str">
        <f>VLOOKUP(Input!C89,'Alloc Table Comm'!$A$7:$B$27,2,FALSE)</f>
        <v>7COMM</v>
      </c>
      <c r="E136" s="3">
        <f>Classification!G136</f>
        <v>0</v>
      </c>
      <c r="F136" s="3">
        <f ca="1">ROUND((VLOOKUP($D136,'Alloc Table Comm'!$B$7:$T$56,13,FALSE)*$E136),0)</f>
        <v>0</v>
      </c>
      <c r="G136" s="3">
        <f ca="1">ROUND((VLOOKUP($D136,'Alloc Table Comm'!$B$7:$T$56,14,FALSE)*$E136),0)</f>
        <v>0</v>
      </c>
      <c r="H136" s="3">
        <f ca="1">ROUND((VLOOKUP($D136,'Alloc Table Comm'!$B$7:$T$56,15,FALSE)*$E136),0)</f>
        <v>0</v>
      </c>
      <c r="I136" s="3">
        <f ca="1">ROUND((VLOOKUP($D136,'Alloc Table Comm'!$B$7:$T$56,16,FALSE)*$E136),0)</f>
        <v>0</v>
      </c>
      <c r="J136" s="3">
        <f ca="1">ROUND((VLOOKUP($D136,'Alloc Table Comm'!$B$7:$T$56,17,FALSE)*$E136),0)</f>
        <v>0</v>
      </c>
      <c r="K136" s="3">
        <f ca="1">ROUND((VLOOKUP($D136,'Alloc Table Comm'!$B$7:$T$56,18,FALSE)*$E136),0)</f>
        <v>0</v>
      </c>
      <c r="L136" s="3">
        <f ca="1">ROUND((VLOOKUP($D136,'Alloc Table Comm'!$B$7:$T$56,19,FALSE)*$E136),0)</f>
        <v>0</v>
      </c>
    </row>
    <row r="137" spans="1:12" ht="11.25" x14ac:dyDescent="0.2">
      <c r="A137" s="325">
        <f>A136+1</f>
        <v>6</v>
      </c>
      <c r="B137" s="24">
        <f>Input!A90</f>
        <v>303.3</v>
      </c>
      <c r="C137" s="3" t="str">
        <f>Input!B90</f>
        <v>OTHER SOFTWARE</v>
      </c>
      <c r="D137" s="325" t="str">
        <f>VLOOKUP(Input!C90,'Alloc Table Comm'!$A$7:$B$27,2,FALSE)</f>
        <v>7COMM</v>
      </c>
      <c r="E137" s="26">
        <f>Classification!G137</f>
        <v>2425360</v>
      </c>
      <c r="F137" s="26">
        <f ca="1">ROUND((VLOOKUP($D137,'Alloc Table Comm'!$B$7:$T$56,13,FALSE)*$E137),0)</f>
        <v>945260</v>
      </c>
      <c r="G137" s="26">
        <f ca="1">ROUND((VLOOKUP($D137,'Alloc Table Comm'!$B$7:$T$56,14,FALSE)*$E137),0)</f>
        <v>640125</v>
      </c>
      <c r="H137" s="26">
        <f ca="1">ROUND((VLOOKUP($D137,'Alloc Table Comm'!$B$7:$T$56,15,FALSE)*$E137),0)</f>
        <v>1382</v>
      </c>
      <c r="I137" s="26">
        <f ca="1">ROUND((VLOOKUP($D137,'Alloc Table Comm'!$B$7:$T$56,16,FALSE)*$E137),0)</f>
        <v>582</v>
      </c>
      <c r="J137" s="26">
        <f ca="1">ROUND((VLOOKUP($D137,'Alloc Table Comm'!$B$7:$T$56,17,FALSE)*$E137),0)</f>
        <v>838010</v>
      </c>
      <c r="K137" s="26">
        <f ca="1">ROUND((VLOOKUP($D137,'Alloc Table Comm'!$B$7:$T$56,18,FALSE)*$E137),0)</f>
        <v>0</v>
      </c>
      <c r="L137" s="26">
        <f ca="1">ROUND((VLOOKUP($D137,'Alloc Table Comm'!$B$7:$T$56,19,FALSE)*$E137),0)</f>
        <v>0</v>
      </c>
    </row>
    <row r="138" spans="1:12" ht="11.25" x14ac:dyDescent="0.2">
      <c r="A138" s="325">
        <f>A137+1</f>
        <v>7</v>
      </c>
      <c r="B138" s="3"/>
      <c r="C138" s="3" t="s">
        <v>30</v>
      </c>
      <c r="D138" s="325"/>
      <c r="E138" s="3">
        <f t="shared" ref="E138:L138" si="29">SUM(E133:E137)</f>
        <v>2447129</v>
      </c>
      <c r="F138" s="3">
        <f t="shared" ca="1" si="29"/>
        <v>953744</v>
      </c>
      <c r="G138" s="3">
        <f t="shared" ca="1" si="29"/>
        <v>645871</v>
      </c>
      <c r="H138" s="3">
        <f t="shared" ca="1" si="29"/>
        <v>1394</v>
      </c>
      <c r="I138" s="3">
        <f t="shared" ca="1" si="29"/>
        <v>587</v>
      </c>
      <c r="J138" s="3">
        <f t="shared" ca="1" si="29"/>
        <v>845531</v>
      </c>
      <c r="K138" s="3">
        <f t="shared" ca="1" si="29"/>
        <v>0</v>
      </c>
      <c r="L138" s="3">
        <f t="shared" ca="1" si="29"/>
        <v>0</v>
      </c>
    </row>
    <row r="139" spans="1:12" ht="11.25" x14ac:dyDescent="0.2">
      <c r="A139" s="325"/>
      <c r="B139" s="3"/>
      <c r="C139" s="3"/>
      <c r="D139" s="325"/>
      <c r="E139" s="3"/>
      <c r="F139" s="3"/>
      <c r="G139" s="3"/>
      <c r="H139" s="3"/>
      <c r="I139" s="3"/>
      <c r="J139" s="3"/>
      <c r="K139" s="3"/>
      <c r="L139" s="3"/>
    </row>
    <row r="140" spans="1:12" ht="11.25" x14ac:dyDescent="0.2">
      <c r="A140" s="325">
        <f>A138+1</f>
        <v>8</v>
      </c>
      <c r="B140" s="3"/>
      <c r="C140" s="25" t="str">
        <f>Input!A91</f>
        <v>PRODUCTION PLANT</v>
      </c>
      <c r="D140" s="325"/>
      <c r="E140" s="3"/>
      <c r="F140" s="3"/>
      <c r="G140" s="3"/>
      <c r="H140" s="3"/>
      <c r="I140" s="3"/>
      <c r="J140" s="3"/>
      <c r="K140" s="3"/>
      <c r="L140" s="3"/>
    </row>
    <row r="141" spans="1:12" ht="11.25" x14ac:dyDescent="0.2">
      <c r="A141" s="325"/>
      <c r="B141" s="3"/>
      <c r="C141" s="3"/>
      <c r="D141" s="325"/>
      <c r="E141" s="3"/>
      <c r="F141" s="3"/>
      <c r="G141" s="3"/>
      <c r="H141" s="3"/>
      <c r="I141" s="3"/>
      <c r="J141" s="3"/>
      <c r="K141" s="3"/>
      <c r="L141" s="3"/>
    </row>
    <row r="142" spans="1:12" ht="11.25" x14ac:dyDescent="0.2">
      <c r="A142" s="325">
        <f>A140+1</f>
        <v>9</v>
      </c>
      <c r="B142" s="24">
        <f>Input!A92</f>
        <v>304.10000000000002</v>
      </c>
      <c r="C142" s="3" t="str">
        <f>Input!B92</f>
        <v>LAND</v>
      </c>
      <c r="D142" s="325">
        <f>Input!C92</f>
        <v>2</v>
      </c>
      <c r="E142" s="3">
        <f>Classification!G142</f>
        <v>0</v>
      </c>
      <c r="F142" s="3">
        <f>ROUND((VLOOKUP($D142,'Alloc Table Comm'!$B$7:$T$56,13,FALSE)*$E142),0)</f>
        <v>0</v>
      </c>
      <c r="G142" s="3">
        <f>ROUND((VLOOKUP($D142,'Alloc Table Comm'!$B$7:$T$56,14,FALSE)*$E142),0)</f>
        <v>0</v>
      </c>
      <c r="H142" s="3">
        <f>ROUND((VLOOKUP($D142,'Alloc Table Comm'!$B$7:$T$56,15,FALSE)*$E142),0)</f>
        <v>0</v>
      </c>
      <c r="I142" s="3">
        <f>ROUND((VLOOKUP($D142,'Alloc Table Comm'!$B$7:$T$56,16,FALSE)*$E142),0)</f>
        <v>0</v>
      </c>
      <c r="J142" s="3">
        <f>ROUND((VLOOKUP($D142,'Alloc Table Comm'!$B$7:$T$56,17,FALSE)*$E142),0)</f>
        <v>0</v>
      </c>
      <c r="K142" s="3">
        <f>ROUND((VLOOKUP($D142,'Alloc Table Comm'!$B$7:$T$56,18,FALSE)*$E142),0)</f>
        <v>0</v>
      </c>
      <c r="L142" s="3">
        <f>ROUND((VLOOKUP($D142,'Alloc Table Comm'!$B$7:$T$56,19,FALSE)*$E142),0)</f>
        <v>0</v>
      </c>
    </row>
    <row r="143" spans="1:12" ht="11.25" x14ac:dyDescent="0.2">
      <c r="A143" s="325">
        <f>A142+1</f>
        <v>10</v>
      </c>
      <c r="B143" s="24">
        <f>Input!A93</f>
        <v>305</v>
      </c>
      <c r="C143" s="3" t="str">
        <f>Input!B93</f>
        <v>STRUCTURES &amp; IMPROVEMENTS</v>
      </c>
      <c r="D143" s="325">
        <f>Input!C93</f>
        <v>2</v>
      </c>
      <c r="E143" s="3">
        <f>Classification!G143</f>
        <v>0</v>
      </c>
      <c r="F143" s="3">
        <f>ROUND((VLOOKUP($D143,'Alloc Table Comm'!$B$7:$T$56,13,FALSE)*$E143),0)</f>
        <v>0</v>
      </c>
      <c r="G143" s="3">
        <f>ROUND((VLOOKUP($D143,'Alloc Table Comm'!$B$7:$T$56,14,FALSE)*$E143),0)</f>
        <v>0</v>
      </c>
      <c r="H143" s="3">
        <f>ROUND((VLOOKUP($D143,'Alloc Table Comm'!$B$7:$T$56,15,FALSE)*$E143),0)</f>
        <v>0</v>
      </c>
      <c r="I143" s="3">
        <f>ROUND((VLOOKUP($D143,'Alloc Table Comm'!$B$7:$T$56,16,FALSE)*$E143),0)</f>
        <v>0</v>
      </c>
      <c r="J143" s="3">
        <f>ROUND((VLOOKUP($D143,'Alloc Table Comm'!$B$7:$T$56,17,FALSE)*$E143),0)</f>
        <v>0</v>
      </c>
      <c r="K143" s="3">
        <f>ROUND((VLOOKUP($D143,'Alloc Table Comm'!$B$7:$T$56,18,FALSE)*$E143),0)</f>
        <v>0</v>
      </c>
      <c r="L143" s="3">
        <f>ROUND((VLOOKUP($D143,'Alloc Table Comm'!$B$7:$T$56,19,FALSE)*$E143),0)</f>
        <v>0</v>
      </c>
    </row>
    <row r="144" spans="1:12" ht="11.25" x14ac:dyDescent="0.2">
      <c r="A144" s="325">
        <f>A143+1</f>
        <v>11</v>
      </c>
      <c r="B144" s="24">
        <f>Input!A94</f>
        <v>311</v>
      </c>
      <c r="C144" s="3" t="str">
        <f>Input!B94</f>
        <v>LIQUEFIED PETROLEUM GAS EQUIP</v>
      </c>
      <c r="D144" s="325">
        <f>Input!C94</f>
        <v>2</v>
      </c>
      <c r="E144" s="26">
        <f>Classification!G144</f>
        <v>0</v>
      </c>
      <c r="F144" s="26">
        <f>ROUND((VLOOKUP($D144,'Alloc Table Comm'!$B$7:$T$56,13,FALSE)*$E144),0)</f>
        <v>0</v>
      </c>
      <c r="G144" s="26">
        <f>ROUND((VLOOKUP($D144,'Alloc Table Comm'!$B$7:$T$56,14,FALSE)*$E144),0)</f>
        <v>0</v>
      </c>
      <c r="H144" s="26">
        <f>ROUND((VLOOKUP($D144,'Alloc Table Comm'!$B$7:$T$56,15,FALSE)*$E144),0)</f>
        <v>0</v>
      </c>
      <c r="I144" s="26">
        <f>ROUND((VLOOKUP($D144,'Alloc Table Comm'!$B$7:$T$56,16,FALSE)*$E144),0)</f>
        <v>0</v>
      </c>
      <c r="J144" s="26">
        <f>ROUND((VLOOKUP($D144,'Alloc Table Comm'!$B$7:$T$56,17,FALSE)*$E144),0)</f>
        <v>0</v>
      </c>
      <c r="K144" s="26">
        <f>ROUND((VLOOKUP($D144,'Alloc Table Comm'!$B$7:$T$56,18,FALSE)*$E144),0)</f>
        <v>0</v>
      </c>
      <c r="L144" s="26">
        <f>ROUND((VLOOKUP($D144,'Alloc Table Comm'!$B$7:$T$56,19,FALSE)*$E144),0)</f>
        <v>0</v>
      </c>
    </row>
    <row r="145" spans="1:12" ht="11.25" x14ac:dyDescent="0.2">
      <c r="A145" s="325">
        <f>A144+1</f>
        <v>12</v>
      </c>
      <c r="B145" s="3"/>
      <c r="C145" s="3" t="s">
        <v>41</v>
      </c>
      <c r="D145" s="325"/>
      <c r="E145" s="3">
        <f t="shared" ref="E145:L145" si="30">SUM(E142:E144)</f>
        <v>0</v>
      </c>
      <c r="F145" s="3">
        <f t="shared" si="30"/>
        <v>0</v>
      </c>
      <c r="G145" s="3">
        <f t="shared" si="30"/>
        <v>0</v>
      </c>
      <c r="H145" s="3">
        <f t="shared" si="30"/>
        <v>0</v>
      </c>
      <c r="I145" s="3">
        <f t="shared" si="30"/>
        <v>0</v>
      </c>
      <c r="J145" s="3">
        <f t="shared" si="30"/>
        <v>0</v>
      </c>
      <c r="K145" s="3">
        <f t="shared" si="30"/>
        <v>0</v>
      </c>
      <c r="L145" s="3">
        <f t="shared" si="30"/>
        <v>0</v>
      </c>
    </row>
    <row r="146" spans="1:12" ht="11.25" x14ac:dyDescent="0.2">
      <c r="A146" s="325"/>
      <c r="B146" s="3"/>
      <c r="C146" s="3"/>
      <c r="D146" s="325"/>
      <c r="E146" s="3"/>
      <c r="F146" s="3"/>
      <c r="G146" s="3"/>
      <c r="H146" s="3"/>
      <c r="I146" s="3"/>
      <c r="J146" s="3"/>
      <c r="K146" s="3"/>
      <c r="L146" s="3"/>
    </row>
    <row r="147" spans="1:12" ht="11.25" x14ac:dyDescent="0.2">
      <c r="A147" s="325">
        <f>A145+1</f>
        <v>13</v>
      </c>
      <c r="B147" s="24"/>
      <c r="C147" s="25" t="str">
        <f>Input!A95</f>
        <v>DISTRIBUTION PLANT</v>
      </c>
      <c r="D147" s="325"/>
      <c r="E147" s="3"/>
      <c r="F147" s="3"/>
      <c r="G147" s="3"/>
      <c r="H147" s="3"/>
      <c r="I147" s="3"/>
      <c r="J147" s="3"/>
      <c r="K147" s="3"/>
      <c r="L147" s="3"/>
    </row>
    <row r="148" spans="1:12" ht="11.25" x14ac:dyDescent="0.2">
      <c r="A148" s="325"/>
      <c r="B148" s="3"/>
      <c r="C148" s="3"/>
      <c r="D148" s="325"/>
      <c r="E148" s="3"/>
      <c r="F148" s="3"/>
      <c r="G148" s="3"/>
      <c r="H148" s="3"/>
      <c r="I148" s="3"/>
      <c r="J148" s="3"/>
      <c r="K148" s="3"/>
      <c r="L148" s="3"/>
    </row>
    <row r="149" spans="1:12" ht="11.25" x14ac:dyDescent="0.2">
      <c r="A149" s="325">
        <f>A147+1</f>
        <v>14</v>
      </c>
      <c r="B149" s="24">
        <f>Input!A96</f>
        <v>374.1</v>
      </c>
      <c r="C149" s="25" t="str">
        <f>Input!B96</f>
        <v>LAND - CITY GATE &amp; M/L IND M&amp;R</v>
      </c>
      <c r="D149" s="325">
        <f>Input!C96</f>
        <v>5</v>
      </c>
      <c r="E149" s="3">
        <f>Classification!G149</f>
        <v>103</v>
      </c>
      <c r="F149" s="3">
        <f>ROUND((VLOOKUP($D149,'Alloc Table Comm'!$B$7:$T$56,13,FALSE)*$E149),0)</f>
        <v>40</v>
      </c>
      <c r="G149" s="3">
        <f>ROUND((VLOOKUP($D149,'Alloc Table Comm'!$B$7:$T$56,14,FALSE)*$E149),0)</f>
        <v>27</v>
      </c>
      <c r="H149" s="3">
        <f>ROUND((VLOOKUP($D149,'Alloc Table Comm'!$B$7:$T$56,15,FALSE)*$E149),0)</f>
        <v>0</v>
      </c>
      <c r="I149" s="3">
        <f>ROUND((VLOOKUP($D149,'Alloc Table Comm'!$B$7:$T$56,16,FALSE)*$E149),0)</f>
        <v>0</v>
      </c>
      <c r="J149" s="3">
        <f>ROUND((VLOOKUP($D149,'Alloc Table Comm'!$B$7:$T$56,17,FALSE)*$E149),0)</f>
        <v>36</v>
      </c>
      <c r="K149" s="3">
        <f>ROUND((VLOOKUP($D149,'Alloc Table Comm'!$B$7:$T$56,18,FALSE)*$E149),0)</f>
        <v>0</v>
      </c>
      <c r="L149" s="3">
        <f>ROUND((VLOOKUP($D149,'Alloc Table Comm'!$B$7:$T$56,19,FALSE)*$E149),0)</f>
        <v>0</v>
      </c>
    </row>
    <row r="150" spans="1:12" ht="11.25" x14ac:dyDescent="0.2">
      <c r="A150" s="325">
        <f t="shared" ref="A150:A167" si="31">A149+1</f>
        <v>15</v>
      </c>
      <c r="B150" s="24">
        <f>Input!A97</f>
        <v>374.2</v>
      </c>
      <c r="C150" s="25" t="str">
        <f>Input!B97</f>
        <v>LAND - OTHER DISTRIBUTION</v>
      </c>
      <c r="D150" s="325">
        <f>Input!C97</f>
        <v>5</v>
      </c>
      <c r="E150" s="3">
        <f>Classification!G150</f>
        <v>438878</v>
      </c>
      <c r="F150" s="3">
        <f>ROUND((VLOOKUP($D150,'Alloc Table Comm'!$B$7:$T$56,13,FALSE)*$E150),0)</f>
        <v>171092</v>
      </c>
      <c r="G150" s="3">
        <f>ROUND((VLOOKUP($D150,'Alloc Table Comm'!$B$7:$T$56,14,FALSE)*$E150),0)</f>
        <v>115859</v>
      </c>
      <c r="H150" s="3">
        <f>ROUND((VLOOKUP($D150,'Alloc Table Comm'!$B$7:$T$56,15,FALSE)*$E150),0)</f>
        <v>250</v>
      </c>
      <c r="I150" s="3">
        <f>ROUND((VLOOKUP($D150,'Alloc Table Comm'!$B$7:$T$56,16,FALSE)*$E150),0)</f>
        <v>0</v>
      </c>
      <c r="J150" s="3">
        <f>ROUND((VLOOKUP($D150,'Alloc Table Comm'!$B$7:$T$56,17,FALSE)*$E150),0)</f>
        <v>151676</v>
      </c>
      <c r="K150" s="3">
        <f>ROUND((VLOOKUP($D150,'Alloc Table Comm'!$B$7:$T$56,18,FALSE)*$E150),0)</f>
        <v>0</v>
      </c>
      <c r="L150" s="3">
        <f>ROUND((VLOOKUP($D150,'Alloc Table Comm'!$B$7:$T$56,19,FALSE)*$E150),0)</f>
        <v>0</v>
      </c>
    </row>
    <row r="151" spans="1:12" ht="11.25" x14ac:dyDescent="0.2">
      <c r="A151" s="325">
        <f t="shared" si="31"/>
        <v>16</v>
      </c>
      <c r="B151" s="24">
        <f>Input!A98</f>
        <v>374.4</v>
      </c>
      <c r="C151" s="25" t="str">
        <f>Input!B98</f>
        <v>LAND RIGHTS - OTHER DISTRIBUTION</v>
      </c>
      <c r="D151" s="325">
        <f>Input!C98</f>
        <v>5</v>
      </c>
      <c r="E151" s="3">
        <f>Classification!G151</f>
        <v>330653</v>
      </c>
      <c r="F151" s="3">
        <f>ROUND((VLOOKUP($D151,'Alloc Table Comm'!$B$7:$T$56,13,FALSE)*$E151),0)</f>
        <v>128902</v>
      </c>
      <c r="G151" s="3">
        <f>ROUND((VLOOKUP($D151,'Alloc Table Comm'!$B$7:$T$56,14,FALSE)*$E151),0)</f>
        <v>87289</v>
      </c>
      <c r="H151" s="3">
        <f>ROUND((VLOOKUP($D151,'Alloc Table Comm'!$B$7:$T$56,15,FALSE)*$E151),0)</f>
        <v>188</v>
      </c>
      <c r="I151" s="3">
        <f>ROUND((VLOOKUP($D151,'Alloc Table Comm'!$B$7:$T$56,16,FALSE)*$E151),0)</f>
        <v>0</v>
      </c>
      <c r="J151" s="3">
        <f>ROUND((VLOOKUP($D151,'Alloc Table Comm'!$B$7:$T$56,17,FALSE)*$E151),0)</f>
        <v>114274</v>
      </c>
      <c r="K151" s="3">
        <f>ROUND((VLOOKUP($D151,'Alloc Table Comm'!$B$7:$T$56,18,FALSE)*$E151),0)</f>
        <v>0</v>
      </c>
      <c r="L151" s="3">
        <f>ROUND((VLOOKUP($D151,'Alloc Table Comm'!$B$7:$T$56,19,FALSE)*$E151),0)</f>
        <v>0</v>
      </c>
    </row>
    <row r="152" spans="1:12" ht="11.25" x14ac:dyDescent="0.2">
      <c r="A152" s="325">
        <f t="shared" si="31"/>
        <v>17</v>
      </c>
      <c r="B152" s="24">
        <f>Input!A99</f>
        <v>374.5</v>
      </c>
      <c r="C152" s="25" t="str">
        <f>Input!B99</f>
        <v>RIGHTS OF WAY</v>
      </c>
      <c r="D152" s="325">
        <f>Input!C99</f>
        <v>5</v>
      </c>
      <c r="E152" s="3">
        <f>Classification!G152</f>
        <v>1364914</v>
      </c>
      <c r="F152" s="3">
        <f>ROUND((VLOOKUP($D152,'Alloc Table Comm'!$B$7:$T$56,13,FALSE)*$E152),0)</f>
        <v>532098</v>
      </c>
      <c r="G152" s="3">
        <f>ROUND((VLOOKUP($D152,'Alloc Table Comm'!$B$7:$T$56,14,FALSE)*$E152),0)</f>
        <v>360324</v>
      </c>
      <c r="H152" s="3">
        <f>ROUND((VLOOKUP($D152,'Alloc Table Comm'!$B$7:$T$56,15,FALSE)*$E152),0)</f>
        <v>778</v>
      </c>
      <c r="I152" s="3">
        <f>ROUND((VLOOKUP($D152,'Alloc Table Comm'!$B$7:$T$56,16,FALSE)*$E152),0)</f>
        <v>0</v>
      </c>
      <c r="J152" s="3">
        <f>ROUND((VLOOKUP($D152,'Alloc Table Comm'!$B$7:$T$56,17,FALSE)*$E152),0)</f>
        <v>471714</v>
      </c>
      <c r="K152" s="3">
        <f>ROUND((VLOOKUP($D152,'Alloc Table Comm'!$B$7:$T$56,18,FALSE)*$E152),0)</f>
        <v>0</v>
      </c>
      <c r="L152" s="3">
        <f>ROUND((VLOOKUP($D152,'Alloc Table Comm'!$B$7:$T$56,19,FALSE)*$E152),0)</f>
        <v>0</v>
      </c>
    </row>
    <row r="153" spans="1:12" ht="11.25" x14ac:dyDescent="0.2">
      <c r="A153" s="325">
        <f t="shared" si="31"/>
        <v>18</v>
      </c>
      <c r="B153" s="24">
        <f>Input!A100</f>
        <v>375.2</v>
      </c>
      <c r="C153" s="25" t="str">
        <f>Input!B100</f>
        <v>CITY GATE - MEAS &amp; REG STRUCTURES</v>
      </c>
      <c r="D153" s="325">
        <f>Input!C100</f>
        <v>5</v>
      </c>
      <c r="E153" s="3">
        <f>Classification!G153</f>
        <v>1063</v>
      </c>
      <c r="F153" s="3">
        <f>ROUND((VLOOKUP($D153,'Alloc Table Comm'!$B$7:$T$56,13,FALSE)*$E153),0)</f>
        <v>414</v>
      </c>
      <c r="G153" s="3">
        <f>ROUND((VLOOKUP($D153,'Alloc Table Comm'!$B$7:$T$56,14,FALSE)*$E153),0)</f>
        <v>281</v>
      </c>
      <c r="H153" s="3">
        <f>ROUND((VLOOKUP($D153,'Alloc Table Comm'!$B$7:$T$56,15,FALSE)*$E153),0)</f>
        <v>1</v>
      </c>
      <c r="I153" s="3">
        <f>ROUND((VLOOKUP($D153,'Alloc Table Comm'!$B$7:$T$56,16,FALSE)*$E153),0)</f>
        <v>0</v>
      </c>
      <c r="J153" s="3">
        <f>ROUND((VLOOKUP($D153,'Alloc Table Comm'!$B$7:$T$56,17,FALSE)*$E153),0)</f>
        <v>367</v>
      </c>
      <c r="K153" s="3">
        <f>ROUND((VLOOKUP($D153,'Alloc Table Comm'!$B$7:$T$56,18,FALSE)*$E153),0)</f>
        <v>0</v>
      </c>
      <c r="L153" s="3">
        <f>ROUND((VLOOKUP($D153,'Alloc Table Comm'!$B$7:$T$56,19,FALSE)*$E153),0)</f>
        <v>0</v>
      </c>
    </row>
    <row r="154" spans="1:12" ht="11.25" x14ac:dyDescent="0.2">
      <c r="A154" s="325">
        <f t="shared" si="31"/>
        <v>19</v>
      </c>
      <c r="B154" s="24">
        <f>Input!A101</f>
        <v>375.3</v>
      </c>
      <c r="C154" s="25" t="str">
        <f>Input!B101</f>
        <v>STRUC &amp; IMPROV-GENERAL M&amp;R</v>
      </c>
      <c r="D154" s="325">
        <f>Input!C101</f>
        <v>5</v>
      </c>
      <c r="E154" s="3">
        <f>Classification!G154</f>
        <v>0</v>
      </c>
      <c r="F154" s="3">
        <f>ROUND((VLOOKUP($D154,'Alloc Table Comm'!$B$7:$T$56,13,FALSE)*$E154),0)</f>
        <v>0</v>
      </c>
      <c r="G154" s="3">
        <f>ROUND((VLOOKUP($D154,'Alloc Table Comm'!$B$7:$T$56,14,FALSE)*$E154),0)</f>
        <v>0</v>
      </c>
      <c r="H154" s="3">
        <f>ROUND((VLOOKUP($D154,'Alloc Table Comm'!$B$7:$T$56,15,FALSE)*$E154),0)</f>
        <v>0</v>
      </c>
      <c r="I154" s="3">
        <f>ROUND((VLOOKUP($D154,'Alloc Table Comm'!$B$7:$T$56,16,FALSE)*$E154),0)</f>
        <v>0</v>
      </c>
      <c r="J154" s="3">
        <f>ROUND((VLOOKUP($D154,'Alloc Table Comm'!$B$7:$T$56,17,FALSE)*$E154),0)</f>
        <v>0</v>
      </c>
      <c r="K154" s="3">
        <f>ROUND((VLOOKUP($D154,'Alloc Table Comm'!$B$7:$T$56,18,FALSE)*$E154),0)</f>
        <v>0</v>
      </c>
      <c r="L154" s="3">
        <f>ROUND((VLOOKUP($D154,'Alloc Table Comm'!$B$7:$T$56,19,FALSE)*$E154),0)</f>
        <v>0</v>
      </c>
    </row>
    <row r="155" spans="1:12" ht="11.25" x14ac:dyDescent="0.2">
      <c r="A155" s="325">
        <f t="shared" si="31"/>
        <v>20</v>
      </c>
      <c r="B155" s="24">
        <f>Input!A102</f>
        <v>375.4</v>
      </c>
      <c r="C155" s="25" t="str">
        <f>Input!B102</f>
        <v>STRUC &amp; IMPROV-REGULATING</v>
      </c>
      <c r="D155" s="325">
        <f>Input!C102</f>
        <v>5</v>
      </c>
      <c r="E155" s="3">
        <f>Classification!G155</f>
        <v>1088343</v>
      </c>
      <c r="F155" s="3">
        <f>ROUND((VLOOKUP($D155,'Alloc Table Comm'!$B$7:$T$56,13,FALSE)*$E155),0)</f>
        <v>424280</v>
      </c>
      <c r="G155" s="3">
        <f>ROUND((VLOOKUP($D155,'Alloc Table Comm'!$B$7:$T$56,14,FALSE)*$E155),0)</f>
        <v>287312</v>
      </c>
      <c r="H155" s="3">
        <f>ROUND((VLOOKUP($D155,'Alloc Table Comm'!$B$7:$T$56,15,FALSE)*$E155),0)</f>
        <v>620</v>
      </c>
      <c r="I155" s="3">
        <f>ROUND((VLOOKUP($D155,'Alloc Table Comm'!$B$7:$T$56,16,FALSE)*$E155),0)</f>
        <v>0</v>
      </c>
      <c r="J155" s="3">
        <f>ROUND((VLOOKUP($D155,'Alloc Table Comm'!$B$7:$T$56,17,FALSE)*$E155),0)</f>
        <v>376131</v>
      </c>
      <c r="K155" s="3">
        <f>ROUND((VLOOKUP($D155,'Alloc Table Comm'!$B$7:$T$56,18,FALSE)*$E155),0)</f>
        <v>0</v>
      </c>
      <c r="L155" s="3">
        <f>ROUND((VLOOKUP($D155,'Alloc Table Comm'!$B$7:$T$56,19,FALSE)*$E155),0)</f>
        <v>0</v>
      </c>
    </row>
    <row r="156" spans="1:12" ht="11.25" x14ac:dyDescent="0.2">
      <c r="A156" s="325">
        <f t="shared" si="31"/>
        <v>21</v>
      </c>
      <c r="B156" s="24">
        <f>B155</f>
        <v>375.4</v>
      </c>
      <c r="C156" s="25" t="str">
        <f>"DIRECT "&amp;C155</f>
        <v>DIRECT STRUC &amp; IMPROV-REGULATING</v>
      </c>
      <c r="D156" s="325"/>
      <c r="E156" s="3">
        <f>Classification!G156</f>
        <v>23105</v>
      </c>
      <c r="F156" s="3">
        <v>0</v>
      </c>
      <c r="G156" s="3">
        <v>0</v>
      </c>
      <c r="H156" s="3">
        <v>0</v>
      </c>
      <c r="I156" s="3">
        <f>E156</f>
        <v>23105</v>
      </c>
      <c r="J156" s="3">
        <v>0</v>
      </c>
      <c r="K156" s="3">
        <v>0</v>
      </c>
      <c r="L156" s="3">
        <v>0</v>
      </c>
    </row>
    <row r="157" spans="1:12" ht="11.25" x14ac:dyDescent="0.2">
      <c r="A157" s="325">
        <f t="shared" si="31"/>
        <v>22</v>
      </c>
      <c r="B157" s="24">
        <f>Input!A103</f>
        <v>375.6</v>
      </c>
      <c r="C157" s="25" t="str">
        <f>Input!B103</f>
        <v>STRUC &amp; IMPROV-DIST. IND. M &amp; R</v>
      </c>
      <c r="D157" s="325">
        <f>Input!C103</f>
        <v>8</v>
      </c>
      <c r="E157" s="3">
        <f>Classification!G157</f>
        <v>0</v>
      </c>
      <c r="F157" s="3">
        <f>ROUND((VLOOKUP($D157,'Alloc Table Comm'!$B$7:$T$56,13,FALSE)*$E157),0)</f>
        <v>0</v>
      </c>
      <c r="G157" s="3">
        <f>ROUND((VLOOKUP($D157,'Alloc Table Comm'!$B$7:$T$56,14,FALSE)*$E157),0)</f>
        <v>0</v>
      </c>
      <c r="H157" s="3">
        <f>ROUND((VLOOKUP($D157,'Alloc Table Comm'!$B$7:$T$56,15,FALSE)*$E157),0)</f>
        <v>0</v>
      </c>
      <c r="I157" s="3">
        <f>ROUND((VLOOKUP($D157,'Alloc Table Comm'!$B$7:$T$56,16,FALSE)*$E157),0)</f>
        <v>0</v>
      </c>
      <c r="J157" s="3">
        <f>ROUND((VLOOKUP($D157,'Alloc Table Comm'!$B$7:$T$56,17,FALSE)*$E157),0)</f>
        <v>0</v>
      </c>
      <c r="K157" s="3">
        <f>ROUND((VLOOKUP($D157,'Alloc Table Comm'!$B$7:$T$56,18,FALSE)*$E157),0)</f>
        <v>0</v>
      </c>
      <c r="L157" s="3">
        <f>ROUND((VLOOKUP($D157,'Alloc Table Comm'!$B$7:$T$56,19,FALSE)*$E157),0)</f>
        <v>0</v>
      </c>
    </row>
    <row r="158" spans="1:12" ht="11.25" x14ac:dyDescent="0.2">
      <c r="A158" s="325">
        <f t="shared" si="31"/>
        <v>23</v>
      </c>
      <c r="B158" s="24">
        <f>Input!A104</f>
        <v>375.7</v>
      </c>
      <c r="C158" s="25" t="str">
        <f>Input!B104</f>
        <v>STRUC &amp; IMPROV-OTHER DIST. SYSTEM</v>
      </c>
      <c r="D158" s="325" t="str">
        <f>VLOOKUP(Input!C104,'Alloc Table Comm'!$A$7:$B$27,2,FALSE)</f>
        <v>7COMM</v>
      </c>
      <c r="E158" s="3">
        <f>Classification!G158</f>
        <v>2547510</v>
      </c>
      <c r="F158" s="3">
        <f ca="1">ROUND((VLOOKUP($D158,'Alloc Table Comm'!$B$7:$T$56,13,FALSE)*$E158),0)</f>
        <v>992867</v>
      </c>
      <c r="G158" s="3">
        <f ca="1">ROUND((VLOOKUP($D158,'Alloc Table Comm'!$B$7:$T$56,14,FALSE)*$E158),0)</f>
        <v>672364</v>
      </c>
      <c r="H158" s="3">
        <f ca="1">ROUND((VLOOKUP($D158,'Alloc Table Comm'!$B$7:$T$56,15,FALSE)*$E158),0)</f>
        <v>1452</v>
      </c>
      <c r="I158" s="3">
        <f ca="1">ROUND((VLOOKUP($D158,'Alloc Table Comm'!$B$7:$T$56,16,FALSE)*$E158),0)</f>
        <v>611</v>
      </c>
      <c r="J158" s="3">
        <f ca="1">ROUND((VLOOKUP($D158,'Alloc Table Comm'!$B$7:$T$56,17,FALSE)*$E158),0)</f>
        <v>880216</v>
      </c>
      <c r="K158" s="3">
        <f ca="1">ROUND((VLOOKUP($D158,'Alloc Table Comm'!$B$7:$T$56,18,FALSE)*$E158),0)</f>
        <v>0</v>
      </c>
      <c r="L158" s="3">
        <f ca="1">ROUND((VLOOKUP($D158,'Alloc Table Comm'!$B$7:$T$56,19,FALSE)*$E158),0)</f>
        <v>0</v>
      </c>
    </row>
    <row r="159" spans="1:12" ht="11.25" x14ac:dyDescent="0.2">
      <c r="A159" s="325">
        <f t="shared" si="31"/>
        <v>24</v>
      </c>
      <c r="B159" s="24">
        <f>Input!A105</f>
        <v>375.71</v>
      </c>
      <c r="C159" s="25" t="str">
        <f>Input!B105</f>
        <v>STRUCT &amp; IMPROV-OTHER DIST. SYSTEM-IMPROV</v>
      </c>
      <c r="D159" s="325" t="str">
        <f>VLOOKUP(Input!C105,'Alloc Table Comm'!$A$7:$B$27,2,FALSE)</f>
        <v>7COMM</v>
      </c>
      <c r="E159" s="3">
        <f>Classification!G159</f>
        <v>75543</v>
      </c>
      <c r="F159" s="3">
        <f ca="1">ROUND((VLOOKUP($D159,'Alloc Table Comm'!$B$7:$T$56,13,FALSE)*$E159),0)</f>
        <v>29442</v>
      </c>
      <c r="G159" s="3">
        <f ca="1">ROUND((VLOOKUP($D159,'Alloc Table Comm'!$B$7:$T$56,14,FALSE)*$E159),0)</f>
        <v>19938</v>
      </c>
      <c r="H159" s="3">
        <f ca="1">ROUND((VLOOKUP($D159,'Alloc Table Comm'!$B$7:$T$56,15,FALSE)*$E159),0)</f>
        <v>43</v>
      </c>
      <c r="I159" s="3">
        <f ca="1">ROUND((VLOOKUP($D159,'Alloc Table Comm'!$B$7:$T$56,16,FALSE)*$E159),0)</f>
        <v>18</v>
      </c>
      <c r="J159" s="3">
        <f ca="1">ROUND((VLOOKUP($D159,'Alloc Table Comm'!$B$7:$T$56,17,FALSE)*$E159),0)</f>
        <v>26102</v>
      </c>
      <c r="K159" s="3">
        <f ca="1">ROUND((VLOOKUP($D159,'Alloc Table Comm'!$B$7:$T$56,18,FALSE)*$E159),0)</f>
        <v>0</v>
      </c>
      <c r="L159" s="3">
        <f ca="1">ROUND((VLOOKUP($D159,'Alloc Table Comm'!$B$7:$T$56,19,FALSE)*$E159),0)</f>
        <v>0</v>
      </c>
    </row>
    <row r="160" spans="1:12" ht="11.25" x14ac:dyDescent="0.2">
      <c r="A160" s="325">
        <f t="shared" si="31"/>
        <v>25</v>
      </c>
      <c r="B160" s="24">
        <f>Input!A106</f>
        <v>375.8</v>
      </c>
      <c r="C160" s="25" t="str">
        <f>Input!B106</f>
        <v>STRUC &amp; IMPROV-COMMUNICATION</v>
      </c>
      <c r="D160" s="325">
        <f>Input!C106</f>
        <v>5</v>
      </c>
      <c r="E160" s="3">
        <f>Classification!G160</f>
        <v>0</v>
      </c>
      <c r="F160" s="3">
        <f>ROUND((VLOOKUP($D160,'Alloc Table Comm'!$B$7:$T$56,13,FALSE)*$E160),0)</f>
        <v>0</v>
      </c>
      <c r="G160" s="3">
        <f>ROUND((VLOOKUP($D160,'Alloc Table Comm'!$B$7:$T$56,14,FALSE)*$E160),0)</f>
        <v>0</v>
      </c>
      <c r="H160" s="3">
        <f>ROUND((VLOOKUP($D160,'Alloc Table Comm'!$B$7:$T$56,15,FALSE)*$E160),0)</f>
        <v>0</v>
      </c>
      <c r="I160" s="3">
        <f>ROUND((VLOOKUP($D160,'Alloc Table Comm'!$B$7:$T$56,16,FALSE)*$E160),0)</f>
        <v>0</v>
      </c>
      <c r="J160" s="3">
        <f>ROUND((VLOOKUP($D160,'Alloc Table Comm'!$B$7:$T$56,17,FALSE)*$E160),0)</f>
        <v>0</v>
      </c>
      <c r="K160" s="3">
        <f>ROUND((VLOOKUP($D160,'Alloc Table Comm'!$B$7:$T$56,18,FALSE)*$E160),0)</f>
        <v>0</v>
      </c>
      <c r="L160" s="3">
        <f>ROUND((VLOOKUP($D160,'Alloc Table Comm'!$B$7:$T$56,19,FALSE)*$E160),0)</f>
        <v>0</v>
      </c>
    </row>
    <row r="161" spans="1:12" ht="11.25" x14ac:dyDescent="0.2">
      <c r="A161" s="325">
        <f t="shared" si="31"/>
        <v>26</v>
      </c>
      <c r="B161" s="24">
        <f>Input!A107</f>
        <v>376</v>
      </c>
      <c r="C161" s="25" t="str">
        <f>Input!B107</f>
        <v>MAINS</v>
      </c>
      <c r="D161" s="325">
        <f>Input!C107</f>
        <v>5</v>
      </c>
      <c r="E161" s="3">
        <f>Classification!G161</f>
        <v>110650427</v>
      </c>
      <c r="F161" s="3">
        <f>ROUND((VLOOKUP($D161,'Alloc Table Comm'!$B$7:$T$56,13,FALSE)*$E161),0)</f>
        <v>43135962</v>
      </c>
      <c r="G161" s="3">
        <f>ROUND((VLOOKUP($D161,'Alloc Table Comm'!$B$7:$T$56,14,FALSE)*$E161),0)</f>
        <v>29210606</v>
      </c>
      <c r="H161" s="3">
        <f>ROUND((VLOOKUP($D161,'Alloc Table Comm'!$B$7:$T$56,15,FALSE)*$E161),0)</f>
        <v>63071</v>
      </c>
      <c r="I161" s="3">
        <f>ROUND((VLOOKUP($D161,'Alloc Table Comm'!$B$7:$T$56,16,FALSE)*$E161),0)</f>
        <v>0</v>
      </c>
      <c r="J161" s="3">
        <f>ROUND((VLOOKUP($D161,'Alloc Table Comm'!$B$7:$T$56,17,FALSE)*$E161),0)</f>
        <v>38240788</v>
      </c>
      <c r="K161" s="3">
        <f>ROUND((VLOOKUP($D161,'Alloc Table Comm'!$B$7:$T$56,18,FALSE)*$E161),0)</f>
        <v>0</v>
      </c>
      <c r="L161" s="3">
        <f>ROUND((VLOOKUP($D161,'Alloc Table Comm'!$B$7:$T$56,19,FALSE)*$E161),0)</f>
        <v>0</v>
      </c>
    </row>
    <row r="162" spans="1:12" ht="11.25" x14ac:dyDescent="0.2">
      <c r="A162" s="325">
        <f t="shared" si="31"/>
        <v>27</v>
      </c>
      <c r="B162" s="24">
        <f>Input!A107</f>
        <v>376</v>
      </c>
      <c r="C162" s="25" t="str">
        <f>"DIRECT "&amp;+Input!B107</f>
        <v>DIRECT MAINS</v>
      </c>
      <c r="D162" s="325"/>
      <c r="E162" s="3">
        <f>Classification!G162</f>
        <v>5841</v>
      </c>
      <c r="F162" s="3">
        <v>0</v>
      </c>
      <c r="G162" s="3">
        <v>0</v>
      </c>
      <c r="H162" s="3">
        <v>0</v>
      </c>
      <c r="I162" s="3">
        <f>E162</f>
        <v>5841</v>
      </c>
      <c r="J162" s="3">
        <v>0</v>
      </c>
      <c r="K162" s="3">
        <v>0</v>
      </c>
      <c r="L162" s="3">
        <v>0</v>
      </c>
    </row>
    <row r="163" spans="1:12" ht="11.25" x14ac:dyDescent="0.2">
      <c r="A163" s="325">
        <f t="shared" si="31"/>
        <v>28</v>
      </c>
      <c r="B163" s="24">
        <f>Input!A108</f>
        <v>378.1</v>
      </c>
      <c r="C163" s="25" t="str">
        <f>Input!B108</f>
        <v>M &amp; R GENERAL</v>
      </c>
      <c r="D163" s="325">
        <f>Input!C108</f>
        <v>5</v>
      </c>
      <c r="E163" s="3">
        <f>Classification!G163</f>
        <v>259252</v>
      </c>
      <c r="F163" s="3">
        <f>ROUND((VLOOKUP($D163,'Alloc Table Comm'!$B$7:$T$56,13,FALSE)*$E163),0)</f>
        <v>101067</v>
      </c>
      <c r="G163" s="3">
        <f>ROUND((VLOOKUP($D163,'Alloc Table Comm'!$B$7:$T$56,14,FALSE)*$E163),0)</f>
        <v>68440</v>
      </c>
      <c r="H163" s="3">
        <f>ROUND((VLOOKUP($D163,'Alloc Table Comm'!$B$7:$T$56,15,FALSE)*$E163),0)</f>
        <v>148</v>
      </c>
      <c r="I163" s="3">
        <f>ROUND((VLOOKUP($D163,'Alloc Table Comm'!$B$7:$T$56,16,FALSE)*$E163),0)</f>
        <v>0</v>
      </c>
      <c r="J163" s="3">
        <f>ROUND((VLOOKUP($D163,'Alloc Table Comm'!$B$7:$T$56,17,FALSE)*$E163),0)</f>
        <v>89597</v>
      </c>
      <c r="K163" s="3">
        <f>ROUND((VLOOKUP($D163,'Alloc Table Comm'!$B$7:$T$56,18,FALSE)*$E163),0)</f>
        <v>0</v>
      </c>
      <c r="L163" s="3">
        <f>ROUND((VLOOKUP($D163,'Alloc Table Comm'!$B$7:$T$56,19,FALSE)*$E163),0)</f>
        <v>0</v>
      </c>
    </row>
    <row r="164" spans="1:12" ht="11.25" x14ac:dyDescent="0.2">
      <c r="A164" s="325">
        <f t="shared" si="31"/>
        <v>29</v>
      </c>
      <c r="B164" s="24">
        <f>Input!A109</f>
        <v>378.2</v>
      </c>
      <c r="C164" s="25" t="str">
        <f>Input!B109</f>
        <v>M &amp; R GENERAL - REGULATING</v>
      </c>
      <c r="D164" s="325">
        <f>Input!C109</f>
        <v>5</v>
      </c>
      <c r="E164" s="3">
        <f>Classification!G164</f>
        <v>4587545</v>
      </c>
      <c r="F164" s="3">
        <f>ROUND((VLOOKUP($D164,'Alloc Table Comm'!$B$7:$T$56,13,FALSE)*$E164),0)</f>
        <v>1788409</v>
      </c>
      <c r="G164" s="3">
        <f>ROUND((VLOOKUP($D164,'Alloc Table Comm'!$B$7:$T$56,14,FALSE)*$E164),0)</f>
        <v>1211066</v>
      </c>
      <c r="H164" s="3">
        <f>ROUND((VLOOKUP($D164,'Alloc Table Comm'!$B$7:$T$56,15,FALSE)*$E164),0)</f>
        <v>2615</v>
      </c>
      <c r="I164" s="3">
        <f>ROUND((VLOOKUP($D164,'Alloc Table Comm'!$B$7:$T$56,16,FALSE)*$E164),0)</f>
        <v>0</v>
      </c>
      <c r="J164" s="3">
        <f>ROUND((VLOOKUP($D164,'Alloc Table Comm'!$B$7:$T$56,17,FALSE)*$E164),0)</f>
        <v>1585456</v>
      </c>
      <c r="K164" s="3">
        <f>ROUND((VLOOKUP($D164,'Alloc Table Comm'!$B$7:$T$56,18,FALSE)*$E164),0)</f>
        <v>0</v>
      </c>
      <c r="L164" s="3">
        <f>ROUND((VLOOKUP($D164,'Alloc Table Comm'!$B$7:$T$56,19,FALSE)*$E164),0)</f>
        <v>0</v>
      </c>
    </row>
    <row r="165" spans="1:12" ht="11.25" x14ac:dyDescent="0.2">
      <c r="A165" s="325">
        <f t="shared" si="31"/>
        <v>30</v>
      </c>
      <c r="B165" s="24">
        <f>Input!A110</f>
        <v>378.3</v>
      </c>
      <c r="C165" s="25" t="str">
        <f>Input!B110</f>
        <v>M &amp; R EQUIP - LOCAL GAS PURCHASES</v>
      </c>
      <c r="D165" s="325">
        <f>Input!C110</f>
        <v>5</v>
      </c>
      <c r="E165" s="3">
        <f>Classification!G165</f>
        <v>22722</v>
      </c>
      <c r="F165" s="3">
        <f>ROUND((VLOOKUP($D165,'Alloc Table Comm'!$B$7:$T$56,13,FALSE)*$E165),0)</f>
        <v>8858</v>
      </c>
      <c r="G165" s="3">
        <f>ROUND((VLOOKUP($D165,'Alloc Table Comm'!$B$7:$T$56,14,FALSE)*$E165),0)</f>
        <v>5998</v>
      </c>
      <c r="H165" s="3">
        <f>ROUND((VLOOKUP($D165,'Alloc Table Comm'!$B$7:$T$56,15,FALSE)*$E165),0)</f>
        <v>13</v>
      </c>
      <c r="I165" s="3">
        <f>ROUND((VLOOKUP($D165,'Alloc Table Comm'!$B$7:$T$56,16,FALSE)*$E165),0)</f>
        <v>0</v>
      </c>
      <c r="J165" s="3">
        <f>ROUND((VLOOKUP($D165,'Alloc Table Comm'!$B$7:$T$56,17,FALSE)*$E165),0)</f>
        <v>7853</v>
      </c>
      <c r="K165" s="3">
        <f>ROUND((VLOOKUP($D165,'Alloc Table Comm'!$B$7:$T$56,18,FALSE)*$E165),0)</f>
        <v>0</v>
      </c>
      <c r="L165" s="3">
        <f>ROUND((VLOOKUP($D165,'Alloc Table Comm'!$B$7:$T$56,19,FALSE)*$E165),0)</f>
        <v>0</v>
      </c>
    </row>
    <row r="166" spans="1:12" ht="11.25" x14ac:dyDescent="0.2">
      <c r="A166" s="325">
        <f t="shared" si="31"/>
        <v>31</v>
      </c>
      <c r="B166" s="24">
        <f>Input!A111</f>
        <v>379.1</v>
      </c>
      <c r="C166" s="25" t="str">
        <f>Input!B111</f>
        <v>STA EQUIP - CITY</v>
      </c>
      <c r="D166" s="325">
        <f>Input!C111</f>
        <v>5</v>
      </c>
      <c r="E166" s="3">
        <f>Classification!G166</f>
        <v>127451</v>
      </c>
      <c r="F166" s="3">
        <f>ROUND((VLOOKUP($D166,'Alloc Table Comm'!$B$7:$T$56,13,FALSE)*$E166),0)</f>
        <v>49685</v>
      </c>
      <c r="G166" s="3">
        <f>ROUND((VLOOKUP($D166,'Alloc Table Comm'!$B$7:$T$56,14,FALSE)*$E166),0)</f>
        <v>33646</v>
      </c>
      <c r="H166" s="3">
        <f>ROUND((VLOOKUP($D166,'Alloc Table Comm'!$B$7:$T$56,15,FALSE)*$E166),0)</f>
        <v>73</v>
      </c>
      <c r="I166" s="3">
        <f>ROUND((VLOOKUP($D166,'Alloc Table Comm'!$B$7:$T$56,16,FALSE)*$E166),0)</f>
        <v>0</v>
      </c>
      <c r="J166" s="3">
        <f>ROUND((VLOOKUP($D166,'Alloc Table Comm'!$B$7:$T$56,17,FALSE)*$E166),0)</f>
        <v>44047</v>
      </c>
      <c r="K166" s="3">
        <f>ROUND((VLOOKUP($D166,'Alloc Table Comm'!$B$7:$T$56,18,FALSE)*$E166),0)</f>
        <v>0</v>
      </c>
      <c r="L166" s="3">
        <f>ROUND((VLOOKUP($D166,'Alloc Table Comm'!$B$7:$T$56,19,FALSE)*$E166),0)</f>
        <v>0</v>
      </c>
    </row>
    <row r="167" spans="1:12" ht="11.25" x14ac:dyDescent="0.2">
      <c r="A167" s="325">
        <f t="shared" si="31"/>
        <v>32</v>
      </c>
      <c r="B167" s="24">
        <f>Input!A112</f>
        <v>380</v>
      </c>
      <c r="C167" s="25" t="str">
        <f>Input!B112</f>
        <v>SERVICES</v>
      </c>
      <c r="D167" s="325">
        <f>Input!C112</f>
        <v>15</v>
      </c>
      <c r="E167" s="3">
        <f>Classification!G167</f>
        <v>0</v>
      </c>
      <c r="F167" s="3">
        <f ca="1">ROUND((VLOOKUP($D167,'Alloc Table Comm'!$B$7:$T$56,13,FALSE)*$E167),0)</f>
        <v>0</v>
      </c>
      <c r="G167" s="3">
        <f ca="1">ROUND((VLOOKUP($D167,'Alloc Table Comm'!$B$7:$T$56,14,FALSE)*$E167),0)</f>
        <v>0</v>
      </c>
      <c r="H167" s="3">
        <f ca="1">ROUND((VLOOKUP($D167,'Alloc Table Comm'!$B$7:$T$56,15,FALSE)*$E167),0)</f>
        <v>0</v>
      </c>
      <c r="I167" s="3">
        <f ca="1">ROUND((VLOOKUP($D167,'Alloc Table Comm'!$B$7:$T$56,16,FALSE)*$E167),0)</f>
        <v>0</v>
      </c>
      <c r="J167" s="3">
        <f ca="1">ROUND((VLOOKUP($D167,'Alloc Table Comm'!$B$7:$T$56,17,FALSE)*$E167),0)</f>
        <v>0</v>
      </c>
      <c r="K167" s="3">
        <f ca="1">ROUND((VLOOKUP($D167,'Alloc Table Comm'!$B$7:$T$56,18,FALSE)*$E167),0)</f>
        <v>0</v>
      </c>
      <c r="L167" s="3">
        <f ca="1">ROUND((VLOOKUP($D167,'Alloc Table Comm'!$B$7:$T$56,19,FALSE)*$E167),0)</f>
        <v>0</v>
      </c>
    </row>
    <row r="168" spans="1:12" ht="11.25" x14ac:dyDescent="0.2">
      <c r="A168" s="3" t="s">
        <v>818</v>
      </c>
      <c r="B168" s="3"/>
      <c r="C168" s="14"/>
      <c r="D168" s="325"/>
      <c r="E168" s="3"/>
      <c r="F168" s="325" t="str">
        <f>""&amp;+Input!$B$1</f>
        <v>COLUMBIA GAS OF KENTUCKY, INC.</v>
      </c>
      <c r="H168" s="3"/>
      <c r="I168" s="3"/>
      <c r="J168" s="3"/>
      <c r="K168" s="3"/>
      <c r="L168" s="32" t="str">
        <f>Input!$B$2</f>
        <v>ATTACHMENT CEN-2</v>
      </c>
    </row>
    <row r="169" spans="1:12" ht="11.25" x14ac:dyDescent="0.2">
      <c r="A169" s="3" t="str">
        <f>Input!$B$7</f>
        <v>DEMAND-COMMODITY</v>
      </c>
      <c r="B169" s="3"/>
      <c r="C169" s="3"/>
      <c r="D169" s="325"/>
      <c r="E169" s="3"/>
      <c r="F169" s="325" t="s">
        <v>806</v>
      </c>
      <c r="H169" s="3"/>
      <c r="I169" s="3"/>
      <c r="J169" s="3"/>
      <c r="K169" s="3"/>
      <c r="L169" s="32" t="str">
        <f>"PAGE 83 OF "&amp;FIXED(Input!$B$8,0,TRUE)</f>
        <v>PAGE 83 OF 129</v>
      </c>
    </row>
    <row r="170" spans="1:12" ht="11.25" x14ac:dyDescent="0.2">
      <c r="A170" s="17" t="str">
        <f>Input!$B$6</f>
        <v>FORECASTED TEST YEAR - ORIGINAL FILING</v>
      </c>
      <c r="B170" s="17"/>
      <c r="C170" s="17"/>
      <c r="D170" s="34"/>
      <c r="E170" s="18"/>
      <c r="F170" s="19" t="str">
        <f>"FOR THE TWELVE MONTHS ENDED "&amp;Input!$B$4</f>
        <v>FOR THE TWELVE MONTHS ENDED 12/31/2017</v>
      </c>
      <c r="G170" s="329"/>
      <c r="H170" s="17"/>
      <c r="I170" s="17"/>
      <c r="J170" s="17"/>
      <c r="K170" s="17"/>
      <c r="L170" s="183" t="str">
        <f>"WITNESS: "&amp;Input!$B$5</f>
        <v>WITNESS: C. NOTESTONE</v>
      </c>
    </row>
    <row r="171" spans="1:12" ht="11.25" x14ac:dyDescent="0.2">
      <c r="A171" s="325" t="s">
        <v>5</v>
      </c>
      <c r="B171" s="3" t="s">
        <v>6</v>
      </c>
      <c r="C171" s="3"/>
      <c r="D171" s="325" t="s">
        <v>7</v>
      </c>
      <c r="E171" s="325" t="s">
        <v>8</v>
      </c>
      <c r="F171" s="3"/>
      <c r="G171" s="3"/>
      <c r="H171" s="3"/>
      <c r="I171" s="3"/>
      <c r="J171" s="3"/>
      <c r="K171" s="3"/>
      <c r="L171" s="3"/>
    </row>
    <row r="172" spans="1:12" ht="11.25" x14ac:dyDescent="0.2">
      <c r="A172" s="341" t="s">
        <v>9</v>
      </c>
      <c r="B172" s="341" t="s">
        <v>9</v>
      </c>
      <c r="C172" s="20" t="str">
        <f>Commodity!C128</f>
        <v xml:space="preserve"> ACCOUNT TITLE</v>
      </c>
      <c r="D172" s="341" t="s">
        <v>10</v>
      </c>
      <c r="E172" s="341" t="s">
        <v>812</v>
      </c>
      <c r="F172" s="341" t="str">
        <f>"  "&amp;+Input!$C$12</f>
        <v xml:space="preserve">  GS-RESIDENTIAL</v>
      </c>
      <c r="G172" s="341" t="str">
        <f>Input!$C$13</f>
        <v>GS-OTHER</v>
      </c>
      <c r="H172" s="341" t="str">
        <f>Input!$C$14</f>
        <v>IUS</v>
      </c>
      <c r="I172" s="341" t="str">
        <f>Input!$C$15</f>
        <v>DS-ML</v>
      </c>
      <c r="J172" s="341" t="str">
        <f>Input!$C$16</f>
        <v>DS/IS</v>
      </c>
      <c r="K172" s="341" t="str">
        <f>Input!$C$17</f>
        <v>NOT USED</v>
      </c>
      <c r="L172" s="341" t="str">
        <f>Input!$C$18</f>
        <v>NOT USED</v>
      </c>
    </row>
    <row r="173" spans="1:12" ht="11.25" x14ac:dyDescent="0.2">
      <c r="A173" s="325"/>
      <c r="B173" s="342" t="s">
        <v>13</v>
      </c>
      <c r="C173" s="342" t="s">
        <v>14</v>
      </c>
      <c r="D173" s="325" t="s">
        <v>15</v>
      </c>
      <c r="E173" s="325" t="s">
        <v>16</v>
      </c>
      <c r="F173" s="325" t="s">
        <v>17</v>
      </c>
      <c r="G173" s="325" t="s">
        <v>18</v>
      </c>
      <c r="H173" s="325" t="s">
        <v>19</v>
      </c>
      <c r="I173" s="325" t="s">
        <v>20</v>
      </c>
      <c r="J173" s="325" t="s">
        <v>21</v>
      </c>
      <c r="K173" s="325" t="s">
        <v>22</v>
      </c>
      <c r="L173" s="325" t="s">
        <v>23</v>
      </c>
    </row>
    <row r="174" spans="1:12" ht="11.25" x14ac:dyDescent="0.2">
      <c r="A174" s="325"/>
      <c r="B174" s="3"/>
      <c r="C174" s="3"/>
      <c r="D174" s="325"/>
      <c r="E174" s="325" t="s">
        <v>26</v>
      </c>
      <c r="F174" s="325" t="s">
        <v>26</v>
      </c>
      <c r="G174" s="325" t="s">
        <v>26</v>
      </c>
      <c r="H174" s="325" t="s">
        <v>26</v>
      </c>
      <c r="I174" s="325" t="s">
        <v>26</v>
      </c>
      <c r="J174" s="325" t="s">
        <v>26</v>
      </c>
      <c r="K174" s="325" t="s">
        <v>26</v>
      </c>
      <c r="L174" s="325" t="s">
        <v>26</v>
      </c>
    </row>
    <row r="175" spans="1:12" ht="11.25" x14ac:dyDescent="0.2">
      <c r="A175" s="325">
        <v>1</v>
      </c>
      <c r="B175" s="24">
        <f>Input!A112</f>
        <v>380</v>
      </c>
      <c r="C175" s="25" t="str">
        <f>"DIRECT "&amp;+Input!B112</f>
        <v>DIRECT SERVICES</v>
      </c>
      <c r="D175" s="325"/>
      <c r="E175" s="3">
        <f>Classification!G175</f>
        <v>0</v>
      </c>
      <c r="F175" s="3">
        <v>0</v>
      </c>
      <c r="G175" s="3">
        <v>0</v>
      </c>
      <c r="H175" s="3">
        <v>0</v>
      </c>
      <c r="I175" s="3">
        <f>E175</f>
        <v>0</v>
      </c>
      <c r="J175" s="3">
        <v>0</v>
      </c>
      <c r="K175" s="3">
        <v>0</v>
      </c>
      <c r="L175" s="3">
        <v>0</v>
      </c>
    </row>
    <row r="176" spans="1:12" ht="11.25" x14ac:dyDescent="0.2">
      <c r="A176" s="325">
        <f t="shared" ref="A176:A205" si="32">A175+1</f>
        <v>2</v>
      </c>
      <c r="B176" s="24">
        <f>Input!A113</f>
        <v>381</v>
      </c>
      <c r="C176" s="25" t="str">
        <f>Input!B113</f>
        <v>METERS</v>
      </c>
      <c r="D176" s="325">
        <f>Input!C113</f>
        <v>16</v>
      </c>
      <c r="E176" s="3">
        <f>Classification!G176</f>
        <v>0</v>
      </c>
      <c r="F176" s="3">
        <f>ROUND((VLOOKUP($D176,'Alloc Table Comm'!$B$7:$T$56,13,FALSE)*$E176),0)</f>
        <v>0</v>
      </c>
      <c r="G176" s="3">
        <f>ROUND((VLOOKUP($D176,'Alloc Table Comm'!$B$7:$T$56,14,FALSE)*$E176),0)</f>
        <v>0</v>
      </c>
      <c r="H176" s="3">
        <f>ROUND((VLOOKUP($D176,'Alloc Table Comm'!$B$7:$T$56,15,FALSE)*$E176),0)</f>
        <v>0</v>
      </c>
      <c r="I176" s="3">
        <f>ROUND((VLOOKUP($D176,'Alloc Table Comm'!$B$7:$T$56,16,FALSE)*$E176),0)</f>
        <v>0</v>
      </c>
      <c r="J176" s="3">
        <f>ROUND((VLOOKUP($D176,'Alloc Table Comm'!$B$7:$T$56,17,FALSE)*$E176),0)</f>
        <v>0</v>
      </c>
      <c r="K176" s="3">
        <f>ROUND((VLOOKUP($D176,'Alloc Table Comm'!$B$7:$T$56,18,FALSE)*$E176),0)</f>
        <v>0</v>
      </c>
      <c r="L176" s="3">
        <f>ROUND((VLOOKUP($D176,'Alloc Table Comm'!$B$7:$T$56,19,FALSE)*$E176),0)</f>
        <v>0</v>
      </c>
    </row>
    <row r="177" spans="1:12" ht="11.25" x14ac:dyDescent="0.2">
      <c r="A177" s="325">
        <f t="shared" si="32"/>
        <v>3</v>
      </c>
      <c r="B177" s="24">
        <f>Input!A114</f>
        <v>382</v>
      </c>
      <c r="C177" s="25" t="str">
        <f>Input!B114</f>
        <v>METER INSTALLATIONS</v>
      </c>
      <c r="D177" s="325">
        <f>Input!C114</f>
        <v>16</v>
      </c>
      <c r="E177" s="3">
        <f>Classification!G177</f>
        <v>0</v>
      </c>
      <c r="F177" s="3">
        <f>ROUND((VLOOKUP($D177,'Alloc Table Comm'!$B$7:$T$56,13,FALSE)*$E177),0)</f>
        <v>0</v>
      </c>
      <c r="G177" s="3">
        <f>ROUND((VLOOKUP($D177,'Alloc Table Comm'!$B$7:$T$56,14,FALSE)*$E177),0)</f>
        <v>0</v>
      </c>
      <c r="H177" s="3">
        <f>ROUND((VLOOKUP($D177,'Alloc Table Comm'!$B$7:$T$56,15,FALSE)*$E177),0)</f>
        <v>0</v>
      </c>
      <c r="I177" s="3">
        <f>ROUND((VLOOKUP($D177,'Alloc Table Comm'!$B$7:$T$56,16,FALSE)*$E177),0)</f>
        <v>0</v>
      </c>
      <c r="J177" s="3">
        <f>ROUND((VLOOKUP($D177,'Alloc Table Comm'!$B$7:$T$56,17,FALSE)*$E177),0)</f>
        <v>0</v>
      </c>
      <c r="K177" s="3">
        <f>ROUND((VLOOKUP($D177,'Alloc Table Comm'!$B$7:$T$56,18,FALSE)*$E177),0)</f>
        <v>0</v>
      </c>
      <c r="L177" s="3">
        <f>ROUND((VLOOKUP($D177,'Alloc Table Comm'!$B$7:$T$56,19,FALSE)*$E177),0)</f>
        <v>0</v>
      </c>
    </row>
    <row r="178" spans="1:12" ht="11.25" x14ac:dyDescent="0.2">
      <c r="A178" s="325">
        <f t="shared" si="32"/>
        <v>4</v>
      </c>
      <c r="B178" s="24">
        <f>Input!A115</f>
        <v>383</v>
      </c>
      <c r="C178" s="25" t="str">
        <f>Input!B115</f>
        <v>HOUSE REGULATORS</v>
      </c>
      <c r="D178" s="325">
        <f>Input!C115</f>
        <v>16</v>
      </c>
      <c r="E178" s="3">
        <f>Classification!G178</f>
        <v>0</v>
      </c>
      <c r="F178" s="3">
        <f>ROUND((VLOOKUP($D178,'Alloc Table Comm'!$B$7:$T$56,13,FALSE)*$E178),0)</f>
        <v>0</v>
      </c>
      <c r="G178" s="3">
        <f>ROUND((VLOOKUP($D178,'Alloc Table Comm'!$B$7:$T$56,14,FALSE)*$E178),0)</f>
        <v>0</v>
      </c>
      <c r="H178" s="3">
        <f>ROUND((VLOOKUP($D178,'Alloc Table Comm'!$B$7:$T$56,15,FALSE)*$E178),0)</f>
        <v>0</v>
      </c>
      <c r="I178" s="3">
        <f>ROUND((VLOOKUP($D178,'Alloc Table Comm'!$B$7:$T$56,16,FALSE)*$E178),0)</f>
        <v>0</v>
      </c>
      <c r="J178" s="3">
        <f>ROUND((VLOOKUP($D178,'Alloc Table Comm'!$B$7:$T$56,17,FALSE)*$E178),0)</f>
        <v>0</v>
      </c>
      <c r="K178" s="3">
        <f>ROUND((VLOOKUP($D178,'Alloc Table Comm'!$B$7:$T$56,18,FALSE)*$E178),0)</f>
        <v>0</v>
      </c>
      <c r="L178" s="3">
        <f>ROUND((VLOOKUP($D178,'Alloc Table Comm'!$B$7:$T$56,19,FALSE)*$E178),0)</f>
        <v>0</v>
      </c>
    </row>
    <row r="179" spans="1:12" ht="11.25" x14ac:dyDescent="0.2">
      <c r="A179" s="325">
        <f t="shared" si="32"/>
        <v>5</v>
      </c>
      <c r="B179" s="24">
        <f>Input!A116</f>
        <v>384</v>
      </c>
      <c r="C179" s="25" t="str">
        <f>Input!B116</f>
        <v>HOUSE REG INSTALLATIONS</v>
      </c>
      <c r="D179" s="325">
        <f>Input!C116</f>
        <v>16</v>
      </c>
      <c r="E179" s="3">
        <f>Classification!G179</f>
        <v>0</v>
      </c>
      <c r="F179" s="3">
        <f>ROUND((VLOOKUP($D179,'Alloc Table Comm'!$B$7:$T$56,13,FALSE)*$E179),0)</f>
        <v>0</v>
      </c>
      <c r="G179" s="3">
        <f>ROUND((VLOOKUP($D179,'Alloc Table Comm'!$B$7:$T$56,14,FALSE)*$E179),0)</f>
        <v>0</v>
      </c>
      <c r="H179" s="3">
        <f>ROUND((VLOOKUP($D179,'Alloc Table Comm'!$B$7:$T$56,15,FALSE)*$E179),0)</f>
        <v>0</v>
      </c>
      <c r="I179" s="3">
        <f>ROUND((VLOOKUP($D179,'Alloc Table Comm'!$B$7:$T$56,16,FALSE)*$E179),0)</f>
        <v>0</v>
      </c>
      <c r="J179" s="3">
        <f>ROUND((VLOOKUP($D179,'Alloc Table Comm'!$B$7:$T$56,17,FALSE)*$E179),0)</f>
        <v>0</v>
      </c>
      <c r="K179" s="3">
        <f>ROUND((VLOOKUP($D179,'Alloc Table Comm'!$B$7:$T$56,18,FALSE)*$E179),0)</f>
        <v>0</v>
      </c>
      <c r="L179" s="3">
        <f>ROUND((VLOOKUP($D179,'Alloc Table Comm'!$B$7:$T$56,19,FALSE)*$E179),0)</f>
        <v>0</v>
      </c>
    </row>
    <row r="180" spans="1:12" ht="11.25" x14ac:dyDescent="0.2">
      <c r="A180" s="325">
        <f t="shared" si="32"/>
        <v>6</v>
      </c>
      <c r="B180" s="24">
        <f>Input!A117</f>
        <v>385</v>
      </c>
      <c r="C180" s="25" t="str">
        <f>Input!B117</f>
        <v>IND M&amp;R EQUIPMENT</v>
      </c>
      <c r="D180" s="325">
        <f>Input!C117</f>
        <v>17</v>
      </c>
      <c r="E180" s="3">
        <f>Classification!G180</f>
        <v>0</v>
      </c>
      <c r="F180" s="3">
        <f>ROUND((VLOOKUP($D180,'Alloc Table Comm'!$B$7:$T$56,13,FALSE)*$E180),0)</f>
        <v>0</v>
      </c>
      <c r="G180" s="3">
        <f>ROUND((VLOOKUP($D180,'Alloc Table Comm'!$B$7:$T$56,14,FALSE)*$E180),0)</f>
        <v>0</v>
      </c>
      <c r="H180" s="3">
        <f>ROUND((VLOOKUP($D180,'Alloc Table Comm'!$B$7:$T$56,15,FALSE)*$E180),0)</f>
        <v>0</v>
      </c>
      <c r="I180" s="3">
        <f>ROUND((VLOOKUP($D180,'Alloc Table Comm'!$B$7:$T$56,16,FALSE)*$E180),0)</f>
        <v>0</v>
      </c>
      <c r="J180" s="3">
        <f>ROUND((VLOOKUP($D180,'Alloc Table Comm'!$B$7:$T$56,17,FALSE)*$E180),0)</f>
        <v>0</v>
      </c>
      <c r="K180" s="3">
        <f>ROUND((VLOOKUP($D180,'Alloc Table Comm'!$B$7:$T$56,18,FALSE)*$E180),0)</f>
        <v>0</v>
      </c>
      <c r="L180" s="3">
        <f>ROUND((VLOOKUP($D180,'Alloc Table Comm'!$B$7:$T$56,19,FALSE)*$E180),0)</f>
        <v>0</v>
      </c>
    </row>
    <row r="181" spans="1:12" ht="11.25" x14ac:dyDescent="0.2">
      <c r="A181" s="325">
        <f t="shared" si="32"/>
        <v>7</v>
      </c>
      <c r="B181" s="24">
        <f>Input!A117</f>
        <v>385</v>
      </c>
      <c r="C181" s="25" t="str">
        <f>"DIRECT "&amp;+Input!B117</f>
        <v>DIRECT IND M&amp;R EQUIPMENT</v>
      </c>
      <c r="D181" s="325"/>
      <c r="E181" s="3">
        <f>Classification!G181</f>
        <v>0</v>
      </c>
      <c r="F181" s="3">
        <v>0</v>
      </c>
      <c r="G181" s="3">
        <v>0</v>
      </c>
      <c r="H181" s="3">
        <v>0</v>
      </c>
      <c r="I181" s="3">
        <f>E181</f>
        <v>0</v>
      </c>
      <c r="J181" s="3">
        <v>0</v>
      </c>
      <c r="K181" s="3">
        <v>0</v>
      </c>
      <c r="L181" s="3">
        <v>0</v>
      </c>
    </row>
    <row r="182" spans="1:12" ht="11.25" x14ac:dyDescent="0.2">
      <c r="A182" s="325">
        <f t="shared" si="32"/>
        <v>8</v>
      </c>
      <c r="B182" s="24">
        <f>Input!A118</f>
        <v>387.2</v>
      </c>
      <c r="C182" s="25" t="str">
        <f>Input!B118</f>
        <v>ODORIZATION</v>
      </c>
      <c r="D182" s="325" t="str">
        <f>VLOOKUP(Input!C118,'Alloc Table Comm'!$A$7:$B$27,2,FALSE)</f>
        <v>7COMM</v>
      </c>
      <c r="E182" s="3">
        <f>Classification!G182</f>
        <v>0</v>
      </c>
      <c r="F182" s="3">
        <f ca="1">ROUND((VLOOKUP($D182,'Alloc Table Comm'!$B$7:$T$56,13,FALSE)*$E182),0)</f>
        <v>0</v>
      </c>
      <c r="G182" s="3">
        <f ca="1">ROUND((VLOOKUP($D182,'Alloc Table Comm'!$B$7:$T$56,14,FALSE)*$E182),0)</f>
        <v>0</v>
      </c>
      <c r="H182" s="3">
        <f ca="1">ROUND((VLOOKUP($D182,'Alloc Table Comm'!$B$7:$T$56,15,FALSE)*$E182),0)</f>
        <v>0</v>
      </c>
      <c r="I182" s="3">
        <f ca="1">ROUND((VLOOKUP($D182,'Alloc Table Comm'!$B$7:$T$56,16,FALSE)*$E182),0)</f>
        <v>0</v>
      </c>
      <c r="J182" s="3">
        <f ca="1">ROUND((VLOOKUP($D182,'Alloc Table Comm'!$B$7:$T$56,17,FALSE)*$E182),0)</f>
        <v>0</v>
      </c>
      <c r="K182" s="3">
        <f ca="1">ROUND((VLOOKUP($D182,'Alloc Table Comm'!$B$7:$T$56,18,FALSE)*$E182),0)</f>
        <v>0</v>
      </c>
      <c r="L182" s="3">
        <f ca="1">ROUND((VLOOKUP($D182,'Alloc Table Comm'!$B$7:$T$56,19,FALSE)*$E182),0)</f>
        <v>0</v>
      </c>
    </row>
    <row r="183" spans="1:12" ht="11.25" x14ac:dyDescent="0.2">
      <c r="A183" s="325">
        <f t="shared" si="32"/>
        <v>9</v>
      </c>
      <c r="B183" s="24">
        <f>Input!A119</f>
        <v>387.41</v>
      </c>
      <c r="C183" s="25" t="str">
        <f>Input!B119</f>
        <v>TELEPHONE</v>
      </c>
      <c r="D183" s="325" t="str">
        <f>VLOOKUP(Input!C119,'Alloc Table Comm'!$A$7:$B$27,2,FALSE)</f>
        <v>7COMM</v>
      </c>
      <c r="E183" s="3">
        <f>Classification!G183</f>
        <v>213936</v>
      </c>
      <c r="F183" s="3">
        <f ca="1">ROUND((VLOOKUP($D183,'Alloc Table Comm'!$B$7:$T$56,13,FALSE)*$E183),0)</f>
        <v>83379</v>
      </c>
      <c r="G183" s="3">
        <f ca="1">ROUND((VLOOKUP($D183,'Alloc Table Comm'!$B$7:$T$56,14,FALSE)*$E183),0)</f>
        <v>56464</v>
      </c>
      <c r="H183" s="3">
        <f ca="1">ROUND((VLOOKUP($D183,'Alloc Table Comm'!$B$7:$T$56,15,FALSE)*$E183),0)</f>
        <v>122</v>
      </c>
      <c r="I183" s="3">
        <f ca="1">ROUND((VLOOKUP($D183,'Alloc Table Comm'!$B$7:$T$56,16,FALSE)*$E183),0)</f>
        <v>51</v>
      </c>
      <c r="J183" s="3">
        <f ca="1">ROUND((VLOOKUP($D183,'Alloc Table Comm'!$B$7:$T$56,17,FALSE)*$E183),0)</f>
        <v>73919</v>
      </c>
      <c r="K183" s="3">
        <f ca="1">ROUND((VLOOKUP($D183,'Alloc Table Comm'!$B$7:$T$56,18,FALSE)*$E183),0)</f>
        <v>0</v>
      </c>
      <c r="L183" s="3">
        <f ca="1">ROUND((VLOOKUP($D183,'Alloc Table Comm'!$B$7:$T$56,19,FALSE)*$E183),0)</f>
        <v>0</v>
      </c>
    </row>
    <row r="184" spans="1:12" ht="11.25" x14ac:dyDescent="0.2">
      <c r="A184" s="325">
        <f t="shared" si="32"/>
        <v>10</v>
      </c>
      <c r="B184" s="24">
        <f>Input!A120</f>
        <v>387.42</v>
      </c>
      <c r="C184" s="25" t="str">
        <f>Input!B120</f>
        <v>RADIO</v>
      </c>
      <c r="D184" s="325" t="str">
        <f>VLOOKUP(Input!C120,'Alloc Table Comm'!$A$7:$B$27,2,FALSE)</f>
        <v>7COMM</v>
      </c>
      <c r="E184" s="3">
        <f>Classification!G184</f>
        <v>231212</v>
      </c>
      <c r="F184" s="3">
        <f ca="1">ROUND((VLOOKUP($D184,'Alloc Table Comm'!$B$7:$T$56,13,FALSE)*$E184),0)</f>
        <v>90113</v>
      </c>
      <c r="G184" s="3">
        <f ca="1">ROUND((VLOOKUP($D184,'Alloc Table Comm'!$B$7:$T$56,14,FALSE)*$E184),0)</f>
        <v>61024</v>
      </c>
      <c r="H184" s="3">
        <f ca="1">ROUND((VLOOKUP($D184,'Alloc Table Comm'!$B$7:$T$56,15,FALSE)*$E184),0)</f>
        <v>132</v>
      </c>
      <c r="I184" s="3">
        <f ca="1">ROUND((VLOOKUP($D184,'Alloc Table Comm'!$B$7:$T$56,16,FALSE)*$E184),0)</f>
        <v>55</v>
      </c>
      <c r="J184" s="3">
        <f ca="1">ROUND((VLOOKUP($D184,'Alloc Table Comm'!$B$7:$T$56,17,FALSE)*$E184),0)</f>
        <v>79888</v>
      </c>
      <c r="K184" s="3">
        <f ca="1">ROUND((VLOOKUP($D184,'Alloc Table Comm'!$B$7:$T$56,18,FALSE)*$E184),0)</f>
        <v>0</v>
      </c>
      <c r="L184" s="3">
        <f ca="1">ROUND((VLOOKUP($D184,'Alloc Table Comm'!$B$7:$T$56,19,FALSE)*$E184),0)</f>
        <v>0</v>
      </c>
    </row>
    <row r="185" spans="1:12" ht="11.25" x14ac:dyDescent="0.2">
      <c r="A185" s="325">
        <f t="shared" si="32"/>
        <v>11</v>
      </c>
      <c r="B185" s="24">
        <f>Input!A121</f>
        <v>387.44</v>
      </c>
      <c r="C185" s="25" t="str">
        <f>Input!B121</f>
        <v>OTHER COMMUNICATION</v>
      </c>
      <c r="D185" s="325" t="str">
        <f>VLOOKUP(Input!C121,'Alloc Table Comm'!$A$7:$B$27,2,FALSE)</f>
        <v>7COMM</v>
      </c>
      <c r="E185" s="3">
        <f>Classification!G185</f>
        <v>38843</v>
      </c>
      <c r="F185" s="3">
        <f ca="1">ROUND((VLOOKUP($D185,'Alloc Table Comm'!$B$7:$T$56,13,FALSE)*$E185),0)</f>
        <v>15139</v>
      </c>
      <c r="G185" s="3">
        <f ca="1">ROUND((VLOOKUP($D185,'Alloc Table Comm'!$B$7:$T$56,14,FALSE)*$E185),0)</f>
        <v>10252</v>
      </c>
      <c r="H185" s="3">
        <f ca="1">ROUND((VLOOKUP($D185,'Alloc Table Comm'!$B$7:$T$56,15,FALSE)*$E185),0)</f>
        <v>22</v>
      </c>
      <c r="I185" s="3">
        <f ca="1">ROUND((VLOOKUP($D185,'Alloc Table Comm'!$B$7:$T$56,16,FALSE)*$E185),0)</f>
        <v>9</v>
      </c>
      <c r="J185" s="3">
        <f ca="1">ROUND((VLOOKUP($D185,'Alloc Table Comm'!$B$7:$T$56,17,FALSE)*$E185),0)</f>
        <v>13421</v>
      </c>
      <c r="K185" s="3">
        <f ca="1">ROUND((VLOOKUP($D185,'Alloc Table Comm'!$B$7:$T$56,18,FALSE)*$E185),0)</f>
        <v>0</v>
      </c>
      <c r="L185" s="3">
        <f ca="1">ROUND((VLOOKUP($D185,'Alloc Table Comm'!$B$7:$T$56,19,FALSE)*$E185),0)</f>
        <v>0</v>
      </c>
    </row>
    <row r="186" spans="1:12" ht="11.25" x14ac:dyDescent="0.2">
      <c r="A186" s="325">
        <f t="shared" si="32"/>
        <v>12</v>
      </c>
      <c r="B186" s="24">
        <f>Input!A122</f>
        <v>387.45</v>
      </c>
      <c r="C186" s="25" t="str">
        <f>Input!B122</f>
        <v>TELEMETERING</v>
      </c>
      <c r="D186" s="325" t="str">
        <f>VLOOKUP(Input!C122,'Alloc Table Comm'!$A$7:$B$27,2,FALSE)</f>
        <v>7COMM</v>
      </c>
      <c r="E186" s="3">
        <f>Classification!G186</f>
        <v>1098970</v>
      </c>
      <c r="F186" s="3">
        <f ca="1">ROUND((VLOOKUP($D186,'Alloc Table Comm'!$B$7:$T$56,13,FALSE)*$E186),0)</f>
        <v>428313</v>
      </c>
      <c r="G186" s="3">
        <f ca="1">ROUND((VLOOKUP($D186,'Alloc Table Comm'!$B$7:$T$56,14,FALSE)*$E186),0)</f>
        <v>290051</v>
      </c>
      <c r="H186" s="3">
        <f ca="1">ROUND((VLOOKUP($D186,'Alloc Table Comm'!$B$7:$T$56,15,FALSE)*$E186),0)</f>
        <v>626</v>
      </c>
      <c r="I186" s="3">
        <f ca="1">ROUND((VLOOKUP($D186,'Alloc Table Comm'!$B$7:$T$56,16,FALSE)*$E186),0)</f>
        <v>264</v>
      </c>
      <c r="J186" s="3">
        <f ca="1">ROUND((VLOOKUP($D186,'Alloc Table Comm'!$B$7:$T$56,17,FALSE)*$E186),0)</f>
        <v>379716</v>
      </c>
      <c r="K186" s="3">
        <f ca="1">ROUND((VLOOKUP($D186,'Alloc Table Comm'!$B$7:$T$56,18,FALSE)*$E186),0)</f>
        <v>0</v>
      </c>
      <c r="L186" s="3">
        <f ca="1">ROUND((VLOOKUP($D186,'Alloc Table Comm'!$B$7:$T$56,19,FALSE)*$E186),0)</f>
        <v>0</v>
      </c>
    </row>
    <row r="187" spans="1:12" ht="11.25" x14ac:dyDescent="0.2">
      <c r="A187" s="325">
        <f t="shared" si="32"/>
        <v>13</v>
      </c>
      <c r="B187" s="24">
        <f>Input!A123</f>
        <v>387.46</v>
      </c>
      <c r="C187" s="25" t="str">
        <f>Input!B123</f>
        <v>CIS</v>
      </c>
      <c r="D187" s="325" t="str">
        <f>VLOOKUP(Input!C123,'Alloc Table Comm'!$A$7:$B$27,2,FALSE)</f>
        <v>7COMM</v>
      </c>
      <c r="E187" s="26">
        <f>Classification!G187</f>
        <v>33044</v>
      </c>
      <c r="F187" s="26">
        <f ca="1">ROUND((VLOOKUP($D187,'Alloc Table Comm'!$B$7:$T$56,13,FALSE)*$E187),0)</f>
        <v>12879</v>
      </c>
      <c r="G187" s="26">
        <f ca="1">ROUND((VLOOKUP($D187,'Alloc Table Comm'!$B$7:$T$56,14,FALSE)*$E187),0)</f>
        <v>8721</v>
      </c>
      <c r="H187" s="26">
        <f ca="1">ROUND((VLOOKUP($D187,'Alloc Table Comm'!$B$7:$T$56,15,FALSE)*$E187),0)</f>
        <v>19</v>
      </c>
      <c r="I187" s="26">
        <f ca="1">ROUND((VLOOKUP($D187,'Alloc Table Comm'!$B$7:$T$56,16,FALSE)*$E187),0)</f>
        <v>8</v>
      </c>
      <c r="J187" s="26">
        <f ca="1">ROUND((VLOOKUP($D187,'Alloc Table Comm'!$B$7:$T$56,17,FALSE)*$E187),0)</f>
        <v>11417</v>
      </c>
      <c r="K187" s="26">
        <f ca="1">ROUND((VLOOKUP($D187,'Alloc Table Comm'!$B$7:$T$56,18,FALSE)*$E187),0)</f>
        <v>0</v>
      </c>
      <c r="L187" s="26">
        <f ca="1">ROUND((VLOOKUP($D187,'Alloc Table Comm'!$B$7:$T$56,19,FALSE)*$E187),0)</f>
        <v>0</v>
      </c>
    </row>
    <row r="188" spans="1:12" ht="11.25" x14ac:dyDescent="0.2">
      <c r="A188" s="325">
        <f t="shared" si="32"/>
        <v>14</v>
      </c>
      <c r="B188" s="3"/>
      <c r="C188" s="25" t="s">
        <v>84</v>
      </c>
      <c r="D188" s="325"/>
      <c r="E188" s="3">
        <f>SUM(Commodity!E149:E167)+SUM(E175:E187)</f>
        <v>123139355</v>
      </c>
      <c r="F188" s="3">
        <f ca="1">SUM(Commodity!F149:F167)+SUM(F175:F187)</f>
        <v>47992939</v>
      </c>
      <c r="G188" s="3">
        <f ca="1">SUM(Commodity!G149:G167)+SUM(G175:G187)</f>
        <v>32499662</v>
      </c>
      <c r="H188" s="3">
        <f ca="1">SUM(Commodity!H149:H167)+SUM(H175:H187)</f>
        <v>70173</v>
      </c>
      <c r="I188" s="3">
        <f ca="1">SUM(Commodity!I149:I167)+SUM(I175:I187)</f>
        <v>29962</v>
      </c>
      <c r="J188" s="3">
        <f ca="1">SUM(Commodity!J149:J167)+SUM(J175:J187)</f>
        <v>42546618</v>
      </c>
      <c r="K188" s="3">
        <f ca="1">SUM(Commodity!K149:K167)+SUM(K175:K187)</f>
        <v>0</v>
      </c>
      <c r="L188" s="3">
        <f ca="1">SUM(Commodity!L149:L167)+SUM(L175:L187)</f>
        <v>0</v>
      </c>
    </row>
    <row r="189" spans="1:12" ht="11.25" x14ac:dyDescent="0.2">
      <c r="A189" s="325">
        <f t="shared" si="32"/>
        <v>15</v>
      </c>
      <c r="B189" s="3"/>
      <c r="C189" s="24" t="str">
        <f>Input!A124</f>
        <v>GENERAL PLANT</v>
      </c>
      <c r="D189" s="325"/>
      <c r="E189" s="3"/>
      <c r="F189" s="3"/>
      <c r="G189" s="3"/>
      <c r="H189" s="3"/>
      <c r="I189" s="3"/>
      <c r="J189" s="3"/>
      <c r="K189" s="3"/>
      <c r="L189" s="3"/>
    </row>
    <row r="190" spans="1:12" ht="11.25" x14ac:dyDescent="0.2">
      <c r="A190" s="325">
        <f t="shared" si="32"/>
        <v>16</v>
      </c>
      <c r="B190" s="24">
        <f>Input!A125</f>
        <v>391.1</v>
      </c>
      <c r="C190" s="25" t="str">
        <f>Input!B125</f>
        <v>OFF FURN &amp; EQUIP - UNSPEC</v>
      </c>
      <c r="D190" s="325" t="str">
        <f>VLOOKUP(Input!C125,'Alloc Table Comm'!$A$7:$B$27,2,FALSE)</f>
        <v>7COMM</v>
      </c>
      <c r="E190" s="3">
        <f>Classification!G190</f>
        <v>213793</v>
      </c>
      <c r="F190" s="3">
        <f ca="1">ROUND((VLOOKUP($D190,'Alloc Table Comm'!$B$7:$T$56,13,FALSE)*$E190),0)</f>
        <v>83324</v>
      </c>
      <c r="G190" s="3">
        <f ca="1">ROUND((VLOOKUP($D190,'Alloc Table Comm'!$B$7:$T$56,14,FALSE)*$E190),0)</f>
        <v>56426</v>
      </c>
      <c r="H190" s="3">
        <f ca="1">ROUND((VLOOKUP($D190,'Alloc Table Comm'!$B$7:$T$56,15,FALSE)*$E190),0)</f>
        <v>122</v>
      </c>
      <c r="I190" s="3">
        <f ca="1">ROUND((VLOOKUP($D190,'Alloc Table Comm'!$B$7:$T$56,16,FALSE)*$E190),0)</f>
        <v>51</v>
      </c>
      <c r="J190" s="3">
        <f ca="1">ROUND((VLOOKUP($D190,'Alloc Table Comm'!$B$7:$T$56,17,FALSE)*$E190),0)</f>
        <v>73870</v>
      </c>
      <c r="K190" s="3">
        <f ca="1">ROUND((VLOOKUP($D190,'Alloc Table Comm'!$B$7:$T$56,18,FALSE)*$E190),0)</f>
        <v>0</v>
      </c>
      <c r="L190" s="3">
        <f ca="1">ROUND((VLOOKUP($D190,'Alloc Table Comm'!$B$7:$T$56,19,FALSE)*$E190),0)</f>
        <v>0</v>
      </c>
    </row>
    <row r="191" spans="1:12" ht="11.25" x14ac:dyDescent="0.2">
      <c r="A191" s="325">
        <f t="shared" si="32"/>
        <v>17</v>
      </c>
      <c r="B191" s="24">
        <f>Input!A126</f>
        <v>391.11</v>
      </c>
      <c r="C191" s="25" t="str">
        <f>Input!B126</f>
        <v>OFF FURN &amp; EQUIP - DATA HAND</v>
      </c>
      <c r="D191" s="325" t="str">
        <f>VLOOKUP(Input!C126,'Alloc Table Comm'!$A$7:$B$27,2,FALSE)</f>
        <v>7COMM</v>
      </c>
      <c r="E191" s="3">
        <f>Classification!G191</f>
        <v>5471</v>
      </c>
      <c r="F191" s="3">
        <f ca="1">ROUND((VLOOKUP($D191,'Alloc Table Comm'!$B$7:$T$56,13,FALSE)*$E191),0)</f>
        <v>2132</v>
      </c>
      <c r="G191" s="3">
        <f ca="1">ROUND((VLOOKUP($D191,'Alloc Table Comm'!$B$7:$T$56,14,FALSE)*$E191),0)</f>
        <v>1444</v>
      </c>
      <c r="H191" s="3">
        <f ca="1">ROUND((VLOOKUP($D191,'Alloc Table Comm'!$B$7:$T$56,15,FALSE)*$E191),0)</f>
        <v>3</v>
      </c>
      <c r="I191" s="3">
        <f ca="1">ROUND((VLOOKUP($D191,'Alloc Table Comm'!$B$7:$T$56,16,FALSE)*$E191),0)</f>
        <v>1</v>
      </c>
      <c r="J191" s="3">
        <f ca="1">ROUND((VLOOKUP($D191,'Alloc Table Comm'!$B$7:$T$56,17,FALSE)*$E191),0)</f>
        <v>1890</v>
      </c>
      <c r="K191" s="3">
        <f ca="1">ROUND((VLOOKUP($D191,'Alloc Table Comm'!$B$7:$T$56,18,FALSE)*$E191),0)</f>
        <v>0</v>
      </c>
      <c r="L191" s="3">
        <f ca="1">ROUND((VLOOKUP($D191,'Alloc Table Comm'!$B$7:$T$56,19,FALSE)*$E191),0)</f>
        <v>0</v>
      </c>
    </row>
    <row r="192" spans="1:12" ht="11.25" x14ac:dyDescent="0.2">
      <c r="A192" s="325">
        <f t="shared" si="32"/>
        <v>18</v>
      </c>
      <c r="B192" s="24">
        <f>Input!A127</f>
        <v>391.12</v>
      </c>
      <c r="C192" s="25" t="str">
        <f>Input!B127</f>
        <v>OFF FURN &amp; EQUIP - INFO SYSTEM</v>
      </c>
      <c r="D192" s="325" t="str">
        <f>VLOOKUP(Input!C127,'Alloc Table Comm'!$A$7:$B$27,2,FALSE)</f>
        <v>7COMM</v>
      </c>
      <c r="E192" s="3">
        <f>Classification!G192</f>
        <v>365677</v>
      </c>
      <c r="F192" s="3">
        <f ca="1">ROUND((VLOOKUP($D192,'Alloc Table Comm'!$B$7:$T$56,13,FALSE)*$E192),0)</f>
        <v>142519</v>
      </c>
      <c r="G192" s="3">
        <f ca="1">ROUND((VLOOKUP($D192,'Alloc Table Comm'!$B$7:$T$56,14,FALSE)*$E192),0)</f>
        <v>96513</v>
      </c>
      <c r="H192" s="3">
        <f ca="1">ROUND((VLOOKUP($D192,'Alloc Table Comm'!$B$7:$T$56,15,FALSE)*$E192),0)</f>
        <v>208</v>
      </c>
      <c r="I192" s="3">
        <f ca="1">ROUND((VLOOKUP($D192,'Alloc Table Comm'!$B$7:$T$56,16,FALSE)*$E192),0)</f>
        <v>88</v>
      </c>
      <c r="J192" s="3">
        <f ca="1">ROUND((VLOOKUP($D192,'Alloc Table Comm'!$B$7:$T$56,17,FALSE)*$E192),0)</f>
        <v>126349</v>
      </c>
      <c r="K192" s="3">
        <f ca="1">ROUND((VLOOKUP($D192,'Alloc Table Comm'!$B$7:$T$56,18,FALSE)*$E192),0)</f>
        <v>0</v>
      </c>
      <c r="L192" s="3">
        <f ca="1">ROUND((VLOOKUP($D192,'Alloc Table Comm'!$B$7:$T$56,19,FALSE)*$E192),0)</f>
        <v>0</v>
      </c>
    </row>
    <row r="193" spans="1:12" ht="11.25" x14ac:dyDescent="0.2">
      <c r="A193" s="325">
        <f t="shared" si="32"/>
        <v>19</v>
      </c>
      <c r="B193" s="24">
        <f>Input!A128</f>
        <v>392.2</v>
      </c>
      <c r="C193" s="25" t="str">
        <f>Input!B128</f>
        <v>TR EQ - TRAILER &gt; $1,000</v>
      </c>
      <c r="D193" s="325" t="str">
        <f>VLOOKUP(Input!C128,'Alloc Table Comm'!$A$7:$B$27,2,FALSE)</f>
        <v>7COMM</v>
      </c>
      <c r="E193" s="3">
        <f>Classification!G193</f>
        <v>27849</v>
      </c>
      <c r="F193" s="3">
        <f ca="1">ROUND((VLOOKUP($D193,'Alloc Table Comm'!$B$7:$T$56,13,FALSE)*$E193),0)</f>
        <v>10854</v>
      </c>
      <c r="G193" s="3">
        <f ca="1">ROUND((VLOOKUP($D193,'Alloc Table Comm'!$B$7:$T$56,14,FALSE)*$E193),0)</f>
        <v>7350</v>
      </c>
      <c r="H193" s="3">
        <f ca="1">ROUND((VLOOKUP($D193,'Alloc Table Comm'!$B$7:$T$56,15,FALSE)*$E193),0)</f>
        <v>16</v>
      </c>
      <c r="I193" s="3">
        <f ca="1">ROUND((VLOOKUP($D193,'Alloc Table Comm'!$B$7:$T$56,16,FALSE)*$E193),0)</f>
        <v>7</v>
      </c>
      <c r="J193" s="3">
        <f ca="1">ROUND((VLOOKUP($D193,'Alloc Table Comm'!$B$7:$T$56,17,FALSE)*$E193),0)</f>
        <v>9622</v>
      </c>
      <c r="K193" s="3">
        <f ca="1">ROUND((VLOOKUP($D193,'Alloc Table Comm'!$B$7:$T$56,18,FALSE)*$E193),0)</f>
        <v>0</v>
      </c>
      <c r="L193" s="3">
        <f ca="1">ROUND((VLOOKUP($D193,'Alloc Table Comm'!$B$7:$T$56,19,FALSE)*$E193),0)</f>
        <v>0</v>
      </c>
    </row>
    <row r="194" spans="1:12" ht="11.25" x14ac:dyDescent="0.2">
      <c r="A194" s="325">
        <f t="shared" si="32"/>
        <v>20</v>
      </c>
      <c r="B194" s="24">
        <f>Input!A129</f>
        <v>392.21</v>
      </c>
      <c r="C194" s="25" t="str">
        <f>Input!B129</f>
        <v>TR EQ - TRAILER &lt; $1,000</v>
      </c>
      <c r="D194" s="325" t="str">
        <f>VLOOKUP(Input!C129,'Alloc Table Comm'!$A$7:$B$27,2,FALSE)</f>
        <v>7COMM</v>
      </c>
      <c r="E194" s="3">
        <f>Classification!G194</f>
        <v>7113</v>
      </c>
      <c r="F194" s="3">
        <f ca="1">ROUND((VLOOKUP($D194,'Alloc Table Comm'!$B$7:$T$56,13,FALSE)*$E194),0)</f>
        <v>2772</v>
      </c>
      <c r="G194" s="3">
        <f ca="1">ROUND((VLOOKUP($D194,'Alloc Table Comm'!$B$7:$T$56,14,FALSE)*$E194),0)</f>
        <v>1877</v>
      </c>
      <c r="H194" s="3">
        <f ca="1">ROUND((VLOOKUP($D194,'Alloc Table Comm'!$B$7:$T$56,15,FALSE)*$E194),0)</f>
        <v>4</v>
      </c>
      <c r="I194" s="3">
        <f ca="1">ROUND((VLOOKUP($D194,'Alloc Table Comm'!$B$7:$T$56,16,FALSE)*$E194),0)</f>
        <v>2</v>
      </c>
      <c r="J194" s="3">
        <f ca="1">ROUND((VLOOKUP($D194,'Alloc Table Comm'!$B$7:$T$56,17,FALSE)*$E194),0)</f>
        <v>2458</v>
      </c>
      <c r="K194" s="3">
        <f ca="1">ROUND((VLOOKUP($D194,'Alloc Table Comm'!$B$7:$T$56,18,FALSE)*$E194),0)</f>
        <v>0</v>
      </c>
      <c r="L194" s="3">
        <f ca="1">ROUND((VLOOKUP($D194,'Alloc Table Comm'!$B$7:$T$56,19,FALSE)*$E194),0)</f>
        <v>0</v>
      </c>
    </row>
    <row r="195" spans="1:12" ht="11.25" x14ac:dyDescent="0.2">
      <c r="A195" s="325">
        <f t="shared" si="32"/>
        <v>21</v>
      </c>
      <c r="B195" s="24">
        <f>Input!A130</f>
        <v>394.1</v>
      </c>
      <c r="C195" s="25" t="str">
        <f>Input!B130</f>
        <v>TOOLS,SHOP, &amp; GAR EQ-GARAGE &amp; SERV</v>
      </c>
      <c r="D195" s="325" t="str">
        <f>VLOOKUP(Input!C130,'Alloc Table Comm'!$A$7:$B$27,2,FALSE)</f>
        <v>7COMM</v>
      </c>
      <c r="E195" s="3">
        <f>Classification!G195</f>
        <v>7048</v>
      </c>
      <c r="F195" s="3">
        <f ca="1">ROUND((VLOOKUP($D195,'Alloc Table Comm'!$B$7:$T$56,13,FALSE)*$E195),0)</f>
        <v>2747</v>
      </c>
      <c r="G195" s="3">
        <f ca="1">ROUND((VLOOKUP($D195,'Alloc Table Comm'!$B$7:$T$56,14,FALSE)*$E195),0)</f>
        <v>1860</v>
      </c>
      <c r="H195" s="3">
        <f ca="1">ROUND((VLOOKUP($D195,'Alloc Table Comm'!$B$7:$T$56,15,FALSE)*$E195),0)</f>
        <v>4</v>
      </c>
      <c r="I195" s="3">
        <f ca="1">ROUND((VLOOKUP($D195,'Alloc Table Comm'!$B$7:$T$56,16,FALSE)*$E195),0)</f>
        <v>2</v>
      </c>
      <c r="J195" s="3">
        <f ca="1">ROUND((VLOOKUP($D195,'Alloc Table Comm'!$B$7:$T$56,17,FALSE)*$E195),0)</f>
        <v>2435</v>
      </c>
      <c r="K195" s="3">
        <f ca="1">ROUND((VLOOKUP($D195,'Alloc Table Comm'!$B$7:$T$56,18,FALSE)*$E195),0)</f>
        <v>0</v>
      </c>
      <c r="L195" s="3">
        <f ca="1">ROUND((VLOOKUP($D195,'Alloc Table Comm'!$B$7:$T$56,19,FALSE)*$E195),0)</f>
        <v>0</v>
      </c>
    </row>
    <row r="196" spans="1:12" ht="11.25" x14ac:dyDescent="0.2">
      <c r="A196" s="325">
        <f t="shared" si="32"/>
        <v>22</v>
      </c>
      <c r="B196" s="24">
        <f>Input!A131</f>
        <v>394.13</v>
      </c>
      <c r="C196" s="25" t="str">
        <f>Input!B131</f>
        <v>TOOLS,SHOP, &amp; GAR EQ-UND TANK CLEANUP</v>
      </c>
      <c r="D196" s="325" t="str">
        <f>VLOOKUP(Input!C131,'Alloc Table Comm'!$A$7:$B$27,2,FALSE)</f>
        <v>7COMM</v>
      </c>
      <c r="E196" s="3">
        <f>Classification!G196</f>
        <v>0</v>
      </c>
      <c r="F196" s="3">
        <f ca="1">ROUND((VLOOKUP($D196,'Alloc Table Comm'!$B$7:$T$56,13,FALSE)*$E196),0)</f>
        <v>0</v>
      </c>
      <c r="G196" s="3">
        <f ca="1">ROUND((VLOOKUP($D196,'Alloc Table Comm'!$B$7:$T$56,14,FALSE)*$E196),0)</f>
        <v>0</v>
      </c>
      <c r="H196" s="3">
        <f ca="1">ROUND((VLOOKUP($D196,'Alloc Table Comm'!$B$7:$T$56,15,FALSE)*$E196),0)</f>
        <v>0</v>
      </c>
      <c r="I196" s="3">
        <f ca="1">ROUND((VLOOKUP($D196,'Alloc Table Comm'!$B$7:$T$56,16,FALSE)*$E196),0)</f>
        <v>0</v>
      </c>
      <c r="J196" s="3">
        <f ca="1">ROUND((VLOOKUP($D196,'Alloc Table Comm'!$B$7:$T$56,17,FALSE)*$E196),0)</f>
        <v>0</v>
      </c>
      <c r="K196" s="3">
        <f ca="1">ROUND((VLOOKUP($D196,'Alloc Table Comm'!$B$7:$T$56,18,FALSE)*$E196),0)</f>
        <v>0</v>
      </c>
      <c r="L196" s="3">
        <f ca="1">ROUND((VLOOKUP($D196,'Alloc Table Comm'!$B$7:$T$56,19,FALSE)*$E196),0)</f>
        <v>0</v>
      </c>
    </row>
    <row r="197" spans="1:12" ht="11.25" x14ac:dyDescent="0.2">
      <c r="A197" s="325">
        <f t="shared" si="32"/>
        <v>23</v>
      </c>
      <c r="B197" s="24">
        <f>Input!A132</f>
        <v>393</v>
      </c>
      <c r="C197" s="25" t="str">
        <f>Input!B132</f>
        <v>STORES EQUIPMENT</v>
      </c>
      <c r="D197" s="325" t="str">
        <f>VLOOKUP(Input!C132,'Alloc Table Comm'!$A$7:$B$27,2,FALSE)</f>
        <v>7COMM</v>
      </c>
      <c r="E197" s="3">
        <f>Classification!G197</f>
        <v>0</v>
      </c>
      <c r="F197" s="3">
        <f ca="1">ROUND((VLOOKUP($D197,'Alloc Table Comm'!$B$7:$T$56,13,FALSE)*$E197),0)</f>
        <v>0</v>
      </c>
      <c r="G197" s="3">
        <f ca="1">ROUND((VLOOKUP($D197,'Alloc Table Comm'!$B$7:$T$56,14,FALSE)*$E197),0)</f>
        <v>0</v>
      </c>
      <c r="H197" s="3">
        <f ca="1">ROUND((VLOOKUP($D197,'Alloc Table Comm'!$B$7:$T$56,15,FALSE)*$E197),0)</f>
        <v>0</v>
      </c>
      <c r="I197" s="3">
        <f ca="1">ROUND((VLOOKUP($D197,'Alloc Table Comm'!$B$7:$T$56,16,FALSE)*$E197),0)</f>
        <v>0</v>
      </c>
      <c r="J197" s="3">
        <f ca="1">ROUND((VLOOKUP($D197,'Alloc Table Comm'!$B$7:$T$56,17,FALSE)*$E197),0)</f>
        <v>0</v>
      </c>
      <c r="K197" s="3">
        <f ca="1">ROUND((VLOOKUP($D197,'Alloc Table Comm'!$B$7:$T$56,18,FALSE)*$E197),0)</f>
        <v>0</v>
      </c>
      <c r="L197" s="3">
        <f ca="1">ROUND((VLOOKUP($D197,'Alloc Table Comm'!$B$7:$T$56,19,FALSE)*$E197),0)</f>
        <v>0</v>
      </c>
    </row>
    <row r="198" spans="1:12" ht="11.25" x14ac:dyDescent="0.2">
      <c r="A198" s="325">
        <f t="shared" si="32"/>
        <v>24</v>
      </c>
      <c r="B198" s="24">
        <f>Input!A133</f>
        <v>394.2</v>
      </c>
      <c r="C198" s="25" t="str">
        <f>Input!B133</f>
        <v>SHOP EQUIPMENT</v>
      </c>
      <c r="D198" s="325" t="str">
        <f>VLOOKUP(Input!C133,'Alloc Table Comm'!$A$7:$B$27,2,FALSE)</f>
        <v>7COMM</v>
      </c>
      <c r="E198" s="3">
        <f>Classification!G198</f>
        <v>0</v>
      </c>
      <c r="F198" s="3">
        <f ca="1">ROUND((VLOOKUP($D198,'Alloc Table Comm'!$B$7:$T$56,13,FALSE)*$E198),0)</f>
        <v>0</v>
      </c>
      <c r="G198" s="3">
        <f ca="1">ROUND((VLOOKUP($D198,'Alloc Table Comm'!$B$7:$T$56,14,FALSE)*$E198),0)</f>
        <v>0</v>
      </c>
      <c r="H198" s="3">
        <f ca="1">ROUND((VLOOKUP($D198,'Alloc Table Comm'!$B$7:$T$56,15,FALSE)*$E198),0)</f>
        <v>0</v>
      </c>
      <c r="I198" s="3">
        <f ca="1">ROUND((VLOOKUP($D198,'Alloc Table Comm'!$B$7:$T$56,16,FALSE)*$E198),0)</f>
        <v>0</v>
      </c>
      <c r="J198" s="3">
        <f ca="1">ROUND((VLOOKUP($D198,'Alloc Table Comm'!$B$7:$T$56,17,FALSE)*$E198),0)</f>
        <v>0</v>
      </c>
      <c r="K198" s="3">
        <f ca="1">ROUND((VLOOKUP($D198,'Alloc Table Comm'!$B$7:$T$56,18,FALSE)*$E198),0)</f>
        <v>0</v>
      </c>
      <c r="L198" s="3">
        <f ca="1">ROUND((VLOOKUP($D198,'Alloc Table Comm'!$B$7:$T$56,19,FALSE)*$E198),0)</f>
        <v>0</v>
      </c>
    </row>
    <row r="199" spans="1:12" ht="11.25" x14ac:dyDescent="0.2">
      <c r="A199" s="325">
        <f t="shared" si="32"/>
        <v>25</v>
      </c>
      <c r="B199" s="24">
        <f>Input!A134</f>
        <v>394.3</v>
      </c>
      <c r="C199" s="25" t="str">
        <f>Input!B134</f>
        <v>TOOLS &amp; OTHER EQUIPMENT</v>
      </c>
      <c r="D199" s="325" t="str">
        <f>VLOOKUP(Input!C134,'Alloc Table Comm'!$A$7:$B$27,2,FALSE)</f>
        <v>7COMM</v>
      </c>
      <c r="E199" s="3">
        <f>Classification!G199</f>
        <v>947611</v>
      </c>
      <c r="F199" s="3">
        <f ca="1">ROUND((VLOOKUP($D199,'Alloc Table Comm'!$B$7:$T$56,13,FALSE)*$E199),0)</f>
        <v>369322</v>
      </c>
      <c r="G199" s="3">
        <f ca="1">ROUND((VLOOKUP($D199,'Alloc Table Comm'!$B$7:$T$56,14,FALSE)*$E199),0)</f>
        <v>250103</v>
      </c>
      <c r="H199" s="3">
        <f ca="1">ROUND((VLOOKUP($D199,'Alloc Table Comm'!$B$7:$T$56,15,FALSE)*$E199),0)</f>
        <v>540</v>
      </c>
      <c r="I199" s="3">
        <f ca="1">ROUND((VLOOKUP($D199,'Alloc Table Comm'!$B$7:$T$56,16,FALSE)*$E199),0)</f>
        <v>227</v>
      </c>
      <c r="J199" s="3">
        <f ca="1">ROUND((VLOOKUP($D199,'Alloc Table Comm'!$B$7:$T$56,17,FALSE)*$E199),0)</f>
        <v>327419</v>
      </c>
      <c r="K199" s="3">
        <f ca="1">ROUND((VLOOKUP($D199,'Alloc Table Comm'!$B$7:$T$56,18,FALSE)*$E199),0)</f>
        <v>0</v>
      </c>
      <c r="L199" s="3">
        <f ca="1">ROUND((VLOOKUP($D199,'Alloc Table Comm'!$B$7:$T$56,19,FALSE)*$E199),0)</f>
        <v>0</v>
      </c>
    </row>
    <row r="200" spans="1:12" ht="11.25" x14ac:dyDescent="0.2">
      <c r="A200" s="325">
        <f t="shared" si="32"/>
        <v>26</v>
      </c>
      <c r="B200" s="24">
        <f>Input!A135</f>
        <v>395</v>
      </c>
      <c r="C200" s="25" t="str">
        <f>Input!B135</f>
        <v>LABORATORY EQUIPMENT</v>
      </c>
      <c r="D200" s="325" t="str">
        <f>VLOOKUP(Input!C135,'Alloc Table Comm'!$A$7:$B$27,2,FALSE)</f>
        <v>7COMM</v>
      </c>
      <c r="E200" s="3">
        <f>Classification!G200</f>
        <v>2692</v>
      </c>
      <c r="F200" s="3">
        <f ca="1">ROUND((VLOOKUP($D200,'Alloc Table Comm'!$B$7:$T$56,13,FALSE)*$E200),0)</f>
        <v>1049</v>
      </c>
      <c r="G200" s="3">
        <f ca="1">ROUND((VLOOKUP($D200,'Alloc Table Comm'!$B$7:$T$56,14,FALSE)*$E200),0)</f>
        <v>710</v>
      </c>
      <c r="H200" s="3">
        <f ca="1">ROUND((VLOOKUP($D200,'Alloc Table Comm'!$B$7:$T$56,15,FALSE)*$E200),0)</f>
        <v>2</v>
      </c>
      <c r="I200" s="3">
        <f ca="1">ROUND((VLOOKUP($D200,'Alloc Table Comm'!$B$7:$T$56,16,FALSE)*$E200),0)</f>
        <v>1</v>
      </c>
      <c r="J200" s="3">
        <f ca="1">ROUND((VLOOKUP($D200,'Alloc Table Comm'!$B$7:$T$56,17,FALSE)*$E200),0)</f>
        <v>930</v>
      </c>
      <c r="K200" s="3">
        <f ca="1">ROUND((VLOOKUP($D200,'Alloc Table Comm'!$B$7:$T$56,18,FALSE)*$E200),0)</f>
        <v>0</v>
      </c>
      <c r="L200" s="3">
        <f ca="1">ROUND((VLOOKUP($D200,'Alloc Table Comm'!$B$7:$T$56,19,FALSE)*$E200),0)</f>
        <v>0</v>
      </c>
    </row>
    <row r="201" spans="1:12" ht="11.25" x14ac:dyDescent="0.2">
      <c r="A201" s="325">
        <f t="shared" si="32"/>
        <v>27</v>
      </c>
      <c r="B201" s="24">
        <f>Input!A136</f>
        <v>396</v>
      </c>
      <c r="C201" s="25" t="str">
        <f>Input!B136</f>
        <v>POWER OP EQUIP-GEN TOOLS</v>
      </c>
      <c r="D201" s="325" t="str">
        <f>VLOOKUP(Input!C136,'Alloc Table Comm'!$A$7:$B$27,2,FALSE)</f>
        <v>7COMM</v>
      </c>
      <c r="E201" s="3">
        <f>Classification!G201</f>
        <v>73603</v>
      </c>
      <c r="F201" s="3">
        <f ca="1">ROUND((VLOOKUP($D201,'Alloc Table Comm'!$B$7:$T$56,13,FALSE)*$E201),0)</f>
        <v>28686</v>
      </c>
      <c r="G201" s="3">
        <f ca="1">ROUND((VLOOKUP($D201,'Alloc Table Comm'!$B$7:$T$56,14,FALSE)*$E201),0)</f>
        <v>19426</v>
      </c>
      <c r="H201" s="3">
        <f ca="1">ROUND((VLOOKUP($D201,'Alloc Table Comm'!$B$7:$T$56,15,FALSE)*$E201),0)</f>
        <v>42</v>
      </c>
      <c r="I201" s="3">
        <f ca="1">ROUND((VLOOKUP($D201,'Alloc Table Comm'!$B$7:$T$56,16,FALSE)*$E201),0)</f>
        <v>18</v>
      </c>
      <c r="J201" s="3">
        <f ca="1">ROUND((VLOOKUP($D201,'Alloc Table Comm'!$B$7:$T$56,17,FALSE)*$E201),0)</f>
        <v>25431</v>
      </c>
      <c r="K201" s="3">
        <f ca="1">ROUND((VLOOKUP($D201,'Alloc Table Comm'!$B$7:$T$56,18,FALSE)*$E201),0)</f>
        <v>0</v>
      </c>
      <c r="L201" s="3">
        <f ca="1">ROUND((VLOOKUP($D201,'Alloc Table Comm'!$B$7:$T$56,19,FALSE)*$E201),0)</f>
        <v>0</v>
      </c>
    </row>
    <row r="202" spans="1:12" ht="11.25" x14ac:dyDescent="0.2">
      <c r="A202" s="325">
        <f t="shared" si="32"/>
        <v>28</v>
      </c>
      <c r="B202" s="24">
        <f>Input!A137</f>
        <v>397.5</v>
      </c>
      <c r="C202" s="25" t="str">
        <f>Input!B137</f>
        <v>COMMUNICATION EQUIP - TELEMETERING</v>
      </c>
      <c r="D202" s="325" t="str">
        <f>VLOOKUP(Input!C137,'Alloc Table Comm'!$A$7:$B$27,2,FALSE)</f>
        <v>7COMM</v>
      </c>
      <c r="E202" s="3">
        <f>Classification!G202</f>
        <v>0</v>
      </c>
      <c r="F202" s="3">
        <f ca="1">ROUND((VLOOKUP($D202,'Alloc Table Comm'!$B$7:$T$56,13,FALSE)*$E202),0)</f>
        <v>0</v>
      </c>
      <c r="G202" s="3">
        <f ca="1">ROUND((VLOOKUP($D202,'Alloc Table Comm'!$B$7:$T$56,14,FALSE)*$E202),0)</f>
        <v>0</v>
      </c>
      <c r="H202" s="3">
        <f ca="1">ROUND((VLOOKUP($D202,'Alloc Table Comm'!$B$7:$T$56,15,FALSE)*$E202),0)</f>
        <v>0</v>
      </c>
      <c r="I202" s="3">
        <f ca="1">ROUND((VLOOKUP($D202,'Alloc Table Comm'!$B$7:$T$56,16,FALSE)*$E202),0)</f>
        <v>0</v>
      </c>
      <c r="J202" s="3">
        <f ca="1">ROUND((VLOOKUP($D202,'Alloc Table Comm'!$B$7:$T$56,17,FALSE)*$E202),0)</f>
        <v>0</v>
      </c>
      <c r="K202" s="3">
        <f ca="1">ROUND((VLOOKUP($D202,'Alloc Table Comm'!$B$7:$T$56,18,FALSE)*$E202),0)</f>
        <v>0</v>
      </c>
      <c r="L202" s="3">
        <f ca="1">ROUND((VLOOKUP($D202,'Alloc Table Comm'!$B$7:$T$56,19,FALSE)*$E202),0)</f>
        <v>0</v>
      </c>
    </row>
    <row r="203" spans="1:12" ht="11.25" x14ac:dyDescent="0.2">
      <c r="A203" s="325">
        <f t="shared" si="32"/>
        <v>29</v>
      </c>
      <c r="B203" s="24">
        <f>Input!A138</f>
        <v>398</v>
      </c>
      <c r="C203" s="25" t="str">
        <f>Input!B138</f>
        <v>MISCELLANEOUS EQUIPMENT</v>
      </c>
      <c r="D203" s="325" t="str">
        <f>VLOOKUP(Input!C138,'Alloc Table Comm'!$A$7:$B$27,2,FALSE)</f>
        <v>7COMM</v>
      </c>
      <c r="E203" s="26">
        <f>Classification!G203</f>
        <v>85502</v>
      </c>
      <c r="F203" s="26">
        <f ca="1">ROUND((VLOOKUP($D203,'Alloc Table Comm'!$B$7:$T$56,13,FALSE)*$E203),0)</f>
        <v>33324</v>
      </c>
      <c r="G203" s="26">
        <f ca="1">ROUND((VLOOKUP($D203,'Alloc Table Comm'!$B$7:$T$56,14,FALSE)*$E203),0)</f>
        <v>22567</v>
      </c>
      <c r="H203" s="26">
        <f ca="1">ROUND((VLOOKUP($D203,'Alloc Table Comm'!$B$7:$T$56,15,FALSE)*$E203),0)</f>
        <v>49</v>
      </c>
      <c r="I203" s="26">
        <f ca="1">ROUND((VLOOKUP($D203,'Alloc Table Comm'!$B$7:$T$56,16,FALSE)*$E203),0)</f>
        <v>21</v>
      </c>
      <c r="J203" s="26">
        <f ca="1">ROUND((VLOOKUP($D203,'Alloc Table Comm'!$B$7:$T$56,17,FALSE)*$E203),0)</f>
        <v>29543</v>
      </c>
      <c r="K203" s="26">
        <f ca="1">ROUND((VLOOKUP($D203,'Alloc Table Comm'!$B$7:$T$56,18,FALSE)*$E203),0)</f>
        <v>0</v>
      </c>
      <c r="L203" s="26">
        <f ca="1">ROUND((VLOOKUP($D203,'Alloc Table Comm'!$B$7:$T$56,19,FALSE)*$E203),0)</f>
        <v>0</v>
      </c>
    </row>
    <row r="204" spans="1:12" ht="11.25" x14ac:dyDescent="0.2">
      <c r="A204" s="325">
        <f t="shared" si="32"/>
        <v>30</v>
      </c>
      <c r="B204" s="3"/>
      <c r="C204" s="25" t="s">
        <v>90</v>
      </c>
      <c r="D204" s="325"/>
      <c r="E204" s="26">
        <f t="shared" ref="E204:L204" si="33">SUM(E190:E203)</f>
        <v>1736359</v>
      </c>
      <c r="F204" s="26">
        <f t="shared" ca="1" si="33"/>
        <v>676729</v>
      </c>
      <c r="G204" s="26">
        <f t="shared" ca="1" si="33"/>
        <v>458276</v>
      </c>
      <c r="H204" s="26">
        <f t="shared" ca="1" si="33"/>
        <v>990</v>
      </c>
      <c r="I204" s="26">
        <f t="shared" ca="1" si="33"/>
        <v>418</v>
      </c>
      <c r="J204" s="26">
        <f t="shared" ca="1" si="33"/>
        <v>599947</v>
      </c>
      <c r="K204" s="26">
        <f t="shared" ca="1" si="33"/>
        <v>0</v>
      </c>
      <c r="L204" s="26">
        <f t="shared" ca="1" si="33"/>
        <v>0</v>
      </c>
    </row>
    <row r="205" spans="1:12" ht="11.25" x14ac:dyDescent="0.2">
      <c r="A205" s="325">
        <f t="shared" si="32"/>
        <v>31</v>
      </c>
      <c r="B205" s="3"/>
      <c r="C205" s="25" t="s">
        <v>93</v>
      </c>
      <c r="D205" s="325"/>
      <c r="E205" s="3">
        <f>Commodity!E138+Commodity!E145+E188+E204</f>
        <v>127322843</v>
      </c>
      <c r="F205" s="3">
        <f ca="1">Commodity!F138+Commodity!F145+F188+F204</f>
        <v>49623412</v>
      </c>
      <c r="G205" s="3">
        <f ca="1">Commodity!G138+Commodity!G145+G188+G204</f>
        <v>33603809</v>
      </c>
      <c r="H205" s="3">
        <f ca="1">Commodity!H138+Commodity!H145+H188+H204</f>
        <v>72557</v>
      </c>
      <c r="I205" s="3">
        <f ca="1">Commodity!I138+Commodity!I145+I188+I204</f>
        <v>30967</v>
      </c>
      <c r="J205" s="3">
        <f ca="1">Commodity!J138+Commodity!J145+J188+J204</f>
        <v>43992096</v>
      </c>
      <c r="K205" s="3">
        <f ca="1">Commodity!K138+Commodity!K145+K188+K204</f>
        <v>0</v>
      </c>
      <c r="L205" s="3">
        <f ca="1">Commodity!L138+Commodity!L145+L188+L204</f>
        <v>0</v>
      </c>
    </row>
    <row r="206" spans="1:12" ht="11.25" x14ac:dyDescent="0.2">
      <c r="A206" s="3" t="s">
        <v>818</v>
      </c>
      <c r="B206" s="3"/>
      <c r="C206" s="14"/>
      <c r="D206" s="325"/>
      <c r="E206" s="3"/>
      <c r="F206" s="325" t="str">
        <f>" "&amp;+Input!$B$1</f>
        <v xml:space="preserve"> COLUMBIA GAS OF KENTUCKY, INC.</v>
      </c>
      <c r="H206" s="3"/>
      <c r="I206" s="3"/>
      <c r="J206" s="3"/>
      <c r="K206" s="3"/>
      <c r="L206" s="32" t="str">
        <f>Input!$B$2</f>
        <v>ATTACHMENT CEN-2</v>
      </c>
    </row>
    <row r="207" spans="1:12" ht="11.25" x14ac:dyDescent="0.2">
      <c r="A207" s="3" t="str">
        <f>Input!$B$7</f>
        <v>DEMAND-COMMODITY</v>
      </c>
      <c r="B207" s="3"/>
      <c r="C207" s="3"/>
      <c r="D207" s="325"/>
      <c r="E207" s="3"/>
      <c r="F207" s="325" t="s">
        <v>158</v>
      </c>
      <c r="H207" s="3"/>
      <c r="I207" s="3"/>
      <c r="J207" s="3"/>
      <c r="K207" s="3"/>
      <c r="L207" s="32" t="str">
        <f>"PAGE 84 OF "&amp;FIXED(Input!$B$8,0,TRUE)</f>
        <v>PAGE 84 OF 129</v>
      </c>
    </row>
    <row r="208" spans="1:12" ht="11.25" x14ac:dyDescent="0.2">
      <c r="A208" s="17" t="str">
        <f>Input!$B$6</f>
        <v>FORECASTED TEST YEAR - ORIGINAL FILING</v>
      </c>
      <c r="B208" s="17"/>
      <c r="C208" s="17"/>
      <c r="D208" s="34"/>
      <c r="E208" s="18"/>
      <c r="F208" s="19" t="str">
        <f>"FOR THE TWELVE MONTHS ENDED "&amp;Input!$B$4</f>
        <v>FOR THE TWELVE MONTHS ENDED 12/31/2017</v>
      </c>
      <c r="G208" s="329"/>
      <c r="H208" s="17"/>
      <c r="I208" s="17"/>
      <c r="J208" s="17"/>
      <c r="K208" s="17"/>
      <c r="L208" s="183" t="str">
        <f>"WITNESS: "&amp;Input!$B$5</f>
        <v>WITNESS: C. NOTESTONE</v>
      </c>
    </row>
    <row r="209" spans="1:12" ht="11.25" x14ac:dyDescent="0.2">
      <c r="A209" s="325" t="s">
        <v>5</v>
      </c>
      <c r="B209" s="3" t="s">
        <v>6</v>
      </c>
      <c r="C209" s="3"/>
      <c r="D209" s="325" t="s">
        <v>7</v>
      </c>
      <c r="E209" s="325" t="s">
        <v>8</v>
      </c>
      <c r="F209" s="325"/>
      <c r="G209" s="325"/>
      <c r="H209" s="325"/>
      <c r="I209" s="325"/>
      <c r="J209" s="325"/>
      <c r="K209" s="325"/>
      <c r="L209" s="325"/>
    </row>
    <row r="210" spans="1:12" ht="11.25" x14ac:dyDescent="0.2">
      <c r="A210" s="341" t="s">
        <v>9</v>
      </c>
      <c r="B210" s="341" t="s">
        <v>9</v>
      </c>
      <c r="C210" s="34" t="str">
        <f>Commodity!C128</f>
        <v xml:space="preserve"> ACCOUNT TITLE</v>
      </c>
      <c r="D210" s="341" t="s">
        <v>10</v>
      </c>
      <c r="E210" s="341" t="s">
        <v>812</v>
      </c>
      <c r="F210" s="341" t="str">
        <f>"  "&amp;+Input!$C$12</f>
        <v xml:space="preserve">  GS-RESIDENTIAL</v>
      </c>
      <c r="G210" s="341" t="str">
        <f>Input!$C$13</f>
        <v>GS-OTHER</v>
      </c>
      <c r="H210" s="341" t="str">
        <f>Input!$C$14</f>
        <v>IUS</v>
      </c>
      <c r="I210" s="341" t="str">
        <f>Input!$C$15</f>
        <v>DS-ML</v>
      </c>
      <c r="J210" s="341" t="str">
        <f>Input!$C$16</f>
        <v>DS/IS</v>
      </c>
      <c r="K210" s="341" t="str">
        <f>Input!$C$17</f>
        <v>NOT USED</v>
      </c>
      <c r="L210" s="341" t="str">
        <f>Input!$C$18</f>
        <v>NOT USED</v>
      </c>
    </row>
    <row r="211" spans="1:12" ht="11.25" x14ac:dyDescent="0.2">
      <c r="A211" s="325"/>
      <c r="B211" s="342" t="s">
        <v>13</v>
      </c>
      <c r="C211" s="342" t="s">
        <v>14</v>
      </c>
      <c r="D211" s="325" t="s">
        <v>15</v>
      </c>
      <c r="E211" s="325" t="s">
        <v>16</v>
      </c>
      <c r="F211" s="325" t="s">
        <v>17</v>
      </c>
      <c r="G211" s="325" t="s">
        <v>18</v>
      </c>
      <c r="H211" s="325" t="s">
        <v>19</v>
      </c>
      <c r="I211" s="325" t="s">
        <v>20</v>
      </c>
      <c r="J211" s="325" t="s">
        <v>21</v>
      </c>
      <c r="K211" s="325" t="s">
        <v>22</v>
      </c>
      <c r="L211" s="325" t="s">
        <v>23</v>
      </c>
    </row>
    <row r="212" spans="1:12" ht="11.25" x14ac:dyDescent="0.2">
      <c r="A212" s="325"/>
      <c r="B212" s="3"/>
      <c r="C212" s="3"/>
      <c r="D212" s="325"/>
      <c r="E212" s="325" t="s">
        <v>26</v>
      </c>
      <c r="F212" s="325" t="s">
        <v>26</v>
      </c>
      <c r="G212" s="325" t="s">
        <v>26</v>
      </c>
      <c r="H212" s="325" t="s">
        <v>26</v>
      </c>
      <c r="I212" s="325" t="s">
        <v>26</v>
      </c>
      <c r="J212" s="325" t="s">
        <v>26</v>
      </c>
      <c r="K212" s="325" t="s">
        <v>26</v>
      </c>
      <c r="L212" s="325" t="s">
        <v>26</v>
      </c>
    </row>
    <row r="213" spans="1:12" ht="11.25" x14ac:dyDescent="0.2">
      <c r="A213" s="325">
        <v>1</v>
      </c>
      <c r="B213" s="3"/>
      <c r="C213" s="3" t="str">
        <f>Input!A145</f>
        <v>INTANGIBLE PLANT</v>
      </c>
      <c r="D213" s="325"/>
      <c r="E213" s="3"/>
      <c r="F213" s="3"/>
      <c r="G213" s="3"/>
      <c r="H213" s="3"/>
      <c r="I213" s="3"/>
      <c r="J213" s="3"/>
      <c r="K213" s="3"/>
      <c r="L213" s="3"/>
    </row>
    <row r="214" spans="1:12" ht="11.25" x14ac:dyDescent="0.2">
      <c r="A214" s="325"/>
      <c r="B214" s="3"/>
      <c r="C214" s="3"/>
      <c r="D214" s="325"/>
      <c r="E214" s="3"/>
      <c r="F214" s="3"/>
      <c r="G214" s="3"/>
      <c r="H214" s="3"/>
      <c r="I214" s="3"/>
      <c r="J214" s="3"/>
      <c r="K214" s="3"/>
      <c r="L214" s="3"/>
    </row>
    <row r="215" spans="1:12" ht="11.25" x14ac:dyDescent="0.2">
      <c r="A215" s="325">
        <f>A213+1</f>
        <v>2</v>
      </c>
      <c r="B215" s="24">
        <f>Input!A146</f>
        <v>301</v>
      </c>
      <c r="C215" s="3" t="str">
        <f>Input!B146</f>
        <v>ORGANIZATION</v>
      </c>
      <c r="D215" s="325" t="str">
        <f>VLOOKUP(Input!C146,'Alloc Table Comm'!$A$7:$B$27,2,FALSE)</f>
        <v>7COMM</v>
      </c>
      <c r="E215" s="3">
        <f>Classification!G215</f>
        <v>0</v>
      </c>
      <c r="F215" s="3">
        <f ca="1">ROUND((VLOOKUP($D215,'Alloc Table Comm'!$B$7:$T$56,13,FALSE)*$E215),0)</f>
        <v>0</v>
      </c>
      <c r="G215" s="3">
        <f ca="1">ROUND((VLOOKUP($D215,'Alloc Table Comm'!$B$7:$T$56,14,FALSE)*$E215),0)</f>
        <v>0</v>
      </c>
      <c r="H215" s="3">
        <f ca="1">ROUND((VLOOKUP($D215,'Alloc Table Comm'!$B$7:$T$56,15,FALSE)*$E215),0)</f>
        <v>0</v>
      </c>
      <c r="I215" s="3">
        <f ca="1">ROUND((VLOOKUP($D215,'Alloc Table Comm'!$B$7:$T$56,16,FALSE)*$E215),0)</f>
        <v>0</v>
      </c>
      <c r="J215" s="3">
        <f ca="1">ROUND((VLOOKUP($D215,'Alloc Table Comm'!$B$7:$T$56,17,FALSE)*$E215),0)</f>
        <v>0</v>
      </c>
      <c r="K215" s="3">
        <f ca="1">ROUND((VLOOKUP($D215,'Alloc Table Comm'!$B$7:$T$56,18,FALSE)*$E215),0)</f>
        <v>0</v>
      </c>
      <c r="L215" s="3">
        <f ca="1">ROUND((VLOOKUP($D215,'Alloc Table Comm'!$B$7:$T$56,19,FALSE)*$E215),0)</f>
        <v>0</v>
      </c>
    </row>
    <row r="216" spans="1:12" ht="11.25" x14ac:dyDescent="0.2">
      <c r="A216" s="325">
        <f>A215+1</f>
        <v>3</v>
      </c>
      <c r="B216" s="24">
        <f>Input!A147</f>
        <v>303</v>
      </c>
      <c r="C216" s="3" t="str">
        <f>Input!B147</f>
        <v>MISC. INTANGIBLE PLANT</v>
      </c>
      <c r="D216" s="325" t="str">
        <f>VLOOKUP(Input!C147,'Alloc Table Comm'!$A$7:$B$27,2,FALSE)</f>
        <v>7COMM</v>
      </c>
      <c r="E216" s="3">
        <f>Classification!G216</f>
        <v>14278</v>
      </c>
      <c r="F216" s="3">
        <f ca="1">ROUND((VLOOKUP($D216,'Alloc Table Comm'!$B$7:$T$56,13,FALSE)*$E216),0)</f>
        <v>5565</v>
      </c>
      <c r="G216" s="3">
        <f ca="1">ROUND((VLOOKUP($D216,'Alloc Table Comm'!$B$7:$T$56,14,FALSE)*$E216),0)</f>
        <v>3768</v>
      </c>
      <c r="H216" s="3">
        <f ca="1">ROUND((VLOOKUP($D216,'Alloc Table Comm'!$B$7:$T$56,15,FALSE)*$E216),0)</f>
        <v>8</v>
      </c>
      <c r="I216" s="3">
        <f ca="1">ROUND((VLOOKUP($D216,'Alloc Table Comm'!$B$7:$T$56,16,FALSE)*$E216),0)</f>
        <v>3</v>
      </c>
      <c r="J216" s="3">
        <f ca="1">ROUND((VLOOKUP($D216,'Alloc Table Comm'!$B$7:$T$56,17,FALSE)*$E216),0)</f>
        <v>4933</v>
      </c>
      <c r="K216" s="3">
        <f ca="1">ROUND((VLOOKUP($D216,'Alloc Table Comm'!$B$7:$T$56,18,FALSE)*$E216),0)</f>
        <v>0</v>
      </c>
      <c r="L216" s="3">
        <f ca="1">ROUND((VLOOKUP($D216,'Alloc Table Comm'!$B$7:$T$56,19,FALSE)*$E216),0)</f>
        <v>0</v>
      </c>
    </row>
    <row r="217" spans="1:12" ht="11.25" x14ac:dyDescent="0.2">
      <c r="A217" s="325">
        <f>A216+1</f>
        <v>4</v>
      </c>
      <c r="B217" s="24">
        <f>Input!A148</f>
        <v>303.10000000000002</v>
      </c>
      <c r="C217" s="3" t="str">
        <f>Input!B148</f>
        <v>DIS SOFTWARE</v>
      </c>
      <c r="D217" s="325" t="str">
        <f>VLOOKUP(Input!C148,'Alloc Table Comm'!$A$7:$B$27,2,FALSE)</f>
        <v>7COMM</v>
      </c>
      <c r="E217" s="3">
        <f>Classification!G217</f>
        <v>0</v>
      </c>
      <c r="F217" s="3">
        <f ca="1">ROUND((VLOOKUP($D217,'Alloc Table Comm'!$B$7:$T$56,13,FALSE)*$E217),0)</f>
        <v>0</v>
      </c>
      <c r="G217" s="3">
        <f ca="1">ROUND((VLOOKUP($D217,'Alloc Table Comm'!$B$7:$T$56,14,FALSE)*$E217),0)</f>
        <v>0</v>
      </c>
      <c r="H217" s="3">
        <f ca="1">ROUND((VLOOKUP($D217,'Alloc Table Comm'!$B$7:$T$56,15,FALSE)*$E217),0)</f>
        <v>0</v>
      </c>
      <c r="I217" s="3">
        <f ca="1">ROUND((VLOOKUP($D217,'Alloc Table Comm'!$B$7:$T$56,16,FALSE)*$E217),0)</f>
        <v>0</v>
      </c>
      <c r="J217" s="3">
        <f ca="1">ROUND((VLOOKUP($D217,'Alloc Table Comm'!$B$7:$T$56,17,FALSE)*$E217),0)</f>
        <v>0</v>
      </c>
      <c r="K217" s="3">
        <f ca="1">ROUND((VLOOKUP($D217,'Alloc Table Comm'!$B$7:$T$56,18,FALSE)*$E217),0)</f>
        <v>0</v>
      </c>
      <c r="L217" s="3">
        <f ca="1">ROUND((VLOOKUP($D217,'Alloc Table Comm'!$B$7:$T$56,19,FALSE)*$E217),0)</f>
        <v>0</v>
      </c>
    </row>
    <row r="218" spans="1:12" ht="11.25" x14ac:dyDescent="0.2">
      <c r="A218" s="325">
        <f>A217+1</f>
        <v>5</v>
      </c>
      <c r="B218" s="24">
        <f>Input!A149</f>
        <v>303.2</v>
      </c>
      <c r="C218" s="3" t="str">
        <f>Input!B149</f>
        <v>FARA SOFTWARE</v>
      </c>
      <c r="D218" s="325" t="str">
        <f>VLOOKUP(Input!C149,'Alloc Table Comm'!$A$7:$B$27,2,FALSE)</f>
        <v>7COMM</v>
      </c>
      <c r="E218" s="3">
        <f>Classification!G218</f>
        <v>0</v>
      </c>
      <c r="F218" s="3">
        <f ca="1">ROUND((VLOOKUP($D218,'Alloc Table Comm'!$B$7:$T$56,13,FALSE)*$E218),0)</f>
        <v>0</v>
      </c>
      <c r="G218" s="3">
        <f ca="1">ROUND((VLOOKUP($D218,'Alloc Table Comm'!$B$7:$T$56,14,FALSE)*$E218),0)</f>
        <v>0</v>
      </c>
      <c r="H218" s="3">
        <f ca="1">ROUND((VLOOKUP($D218,'Alloc Table Comm'!$B$7:$T$56,15,FALSE)*$E218),0)</f>
        <v>0</v>
      </c>
      <c r="I218" s="3">
        <f ca="1">ROUND((VLOOKUP($D218,'Alloc Table Comm'!$B$7:$T$56,16,FALSE)*$E218),0)</f>
        <v>0</v>
      </c>
      <c r="J218" s="3">
        <f ca="1">ROUND((VLOOKUP($D218,'Alloc Table Comm'!$B$7:$T$56,17,FALSE)*$E218),0)</f>
        <v>0</v>
      </c>
      <c r="K218" s="3">
        <f ca="1">ROUND((VLOOKUP($D218,'Alloc Table Comm'!$B$7:$T$56,18,FALSE)*$E218),0)</f>
        <v>0</v>
      </c>
      <c r="L218" s="3">
        <f ca="1">ROUND((VLOOKUP($D218,'Alloc Table Comm'!$B$7:$T$56,19,FALSE)*$E218),0)</f>
        <v>0</v>
      </c>
    </row>
    <row r="219" spans="1:12" ht="11.25" x14ac:dyDescent="0.2">
      <c r="A219" s="325">
        <f>A218+1</f>
        <v>6</v>
      </c>
      <c r="B219" s="24">
        <f>Input!A150</f>
        <v>303.3</v>
      </c>
      <c r="C219" s="3" t="str">
        <f>Input!B150</f>
        <v>OTHER SOFTWARE</v>
      </c>
      <c r="D219" s="325" t="str">
        <f>VLOOKUP(Input!C150,'Alloc Table Comm'!$A$7:$B$27,2,FALSE)</f>
        <v>7COMM</v>
      </c>
      <c r="E219" s="26">
        <f>Classification!G219</f>
        <v>995734</v>
      </c>
      <c r="F219" s="26">
        <f ca="1">ROUND((VLOOKUP($D219,'Alloc Table Comm'!$B$7:$T$56,13,FALSE)*$E219),0)</f>
        <v>388077</v>
      </c>
      <c r="G219" s="26">
        <f ca="1">ROUND((VLOOKUP($D219,'Alloc Table Comm'!$B$7:$T$56,14,FALSE)*$E219),0)</f>
        <v>262804</v>
      </c>
      <c r="H219" s="26">
        <f ca="1">ROUND((VLOOKUP($D219,'Alloc Table Comm'!$B$7:$T$56,15,FALSE)*$E219),0)</f>
        <v>568</v>
      </c>
      <c r="I219" s="26">
        <f ca="1">ROUND((VLOOKUP($D219,'Alloc Table Comm'!$B$7:$T$56,16,FALSE)*$E219),0)</f>
        <v>239</v>
      </c>
      <c r="J219" s="26">
        <f ca="1">ROUND((VLOOKUP($D219,'Alloc Table Comm'!$B$7:$T$56,17,FALSE)*$E219),0)</f>
        <v>344046</v>
      </c>
      <c r="K219" s="26">
        <f ca="1">ROUND((VLOOKUP($D219,'Alloc Table Comm'!$B$7:$T$56,18,FALSE)*$E219),0)</f>
        <v>0</v>
      </c>
      <c r="L219" s="26">
        <f ca="1">ROUND((VLOOKUP($D219,'Alloc Table Comm'!$B$7:$T$56,19,FALSE)*$E219),0)</f>
        <v>0</v>
      </c>
    </row>
    <row r="220" spans="1:12" ht="11.25" x14ac:dyDescent="0.2">
      <c r="A220" s="325">
        <f>A219+1</f>
        <v>7</v>
      </c>
      <c r="B220" s="3"/>
      <c r="C220" s="3" t="s">
        <v>159</v>
      </c>
      <c r="D220" s="325"/>
      <c r="E220" s="3">
        <f t="shared" ref="E220:L220" si="34">SUM(E215:E219)</f>
        <v>1010012</v>
      </c>
      <c r="F220" s="3">
        <f t="shared" ca="1" si="34"/>
        <v>393642</v>
      </c>
      <c r="G220" s="3">
        <f t="shared" ca="1" si="34"/>
        <v>266572</v>
      </c>
      <c r="H220" s="3">
        <f t="shared" ca="1" si="34"/>
        <v>576</v>
      </c>
      <c r="I220" s="3">
        <f t="shared" ca="1" si="34"/>
        <v>242</v>
      </c>
      <c r="J220" s="3">
        <f t="shared" ca="1" si="34"/>
        <v>348979</v>
      </c>
      <c r="K220" s="3">
        <f t="shared" ca="1" si="34"/>
        <v>0</v>
      </c>
      <c r="L220" s="3">
        <f t="shared" ca="1" si="34"/>
        <v>0</v>
      </c>
    </row>
    <row r="221" spans="1:12" ht="11.25" x14ac:dyDescent="0.2">
      <c r="A221" s="325"/>
      <c r="B221" s="24"/>
      <c r="C221" s="3"/>
      <c r="D221" s="325"/>
      <c r="E221" s="3"/>
      <c r="F221" s="3"/>
      <c r="G221" s="3"/>
      <c r="H221" s="3"/>
      <c r="I221" s="3"/>
      <c r="J221" s="3"/>
      <c r="K221" s="3"/>
      <c r="L221" s="3"/>
    </row>
    <row r="222" spans="1:12" ht="11.25" x14ac:dyDescent="0.2">
      <c r="A222" s="325">
        <f>A220+1</f>
        <v>8</v>
      </c>
      <c r="B222" s="3"/>
      <c r="C222" s="3" t="str">
        <f>Input!A151</f>
        <v>PRODUCTION PLANT</v>
      </c>
      <c r="D222" s="325"/>
      <c r="E222" s="3"/>
      <c r="F222" s="3"/>
      <c r="G222" s="3"/>
      <c r="H222" s="3"/>
      <c r="I222" s="3"/>
      <c r="J222" s="3"/>
      <c r="K222" s="3"/>
      <c r="L222" s="3"/>
    </row>
    <row r="223" spans="1:12" ht="11.25" x14ac:dyDescent="0.2">
      <c r="A223" s="325"/>
      <c r="B223" s="3"/>
      <c r="C223" s="3"/>
      <c r="D223" s="325"/>
      <c r="E223" s="3"/>
      <c r="F223" s="3"/>
      <c r="G223" s="3"/>
      <c r="H223" s="3"/>
      <c r="I223" s="3"/>
      <c r="J223" s="3"/>
      <c r="K223" s="3"/>
      <c r="L223" s="3"/>
    </row>
    <row r="224" spans="1:12" ht="11.25" x14ac:dyDescent="0.2">
      <c r="A224" s="325">
        <f>A222+1</f>
        <v>9</v>
      </c>
      <c r="B224" s="24">
        <f>Input!A152</f>
        <v>304.10000000000002</v>
      </c>
      <c r="C224" s="3" t="str">
        <f>Input!B152</f>
        <v>LAND</v>
      </c>
      <c r="D224" s="325">
        <f>Input!C152</f>
        <v>2</v>
      </c>
      <c r="E224" s="3">
        <f>Classification!G224</f>
        <v>0</v>
      </c>
      <c r="F224" s="3">
        <f>ROUND((VLOOKUP($D224,'Alloc Table Comm'!$B$7:$T$56,13,FALSE)*$E224),0)</f>
        <v>0</v>
      </c>
      <c r="G224" s="3">
        <f>ROUND((VLOOKUP($D224,'Alloc Table Comm'!$B$7:$T$56,14,FALSE)*$E224),0)</f>
        <v>0</v>
      </c>
      <c r="H224" s="3">
        <f>ROUND((VLOOKUP($D224,'Alloc Table Comm'!$B$7:$T$56,15,FALSE)*$E224),0)</f>
        <v>0</v>
      </c>
      <c r="I224" s="3">
        <f>ROUND((VLOOKUP($D224,'Alloc Table Comm'!$B$7:$T$56,16,FALSE)*$E224),0)</f>
        <v>0</v>
      </c>
      <c r="J224" s="3">
        <f>ROUND((VLOOKUP($D224,'Alloc Table Comm'!$B$7:$T$56,17,FALSE)*$E224),0)</f>
        <v>0</v>
      </c>
      <c r="K224" s="3">
        <f>ROUND((VLOOKUP($D224,'Alloc Table Comm'!$B$7:$T$56,18,FALSE)*$E224),0)</f>
        <v>0</v>
      </c>
      <c r="L224" s="3">
        <f>ROUND((VLOOKUP($D224,'Alloc Table Comm'!$B$7:$T$56,19,FALSE)*$E224),0)</f>
        <v>0</v>
      </c>
    </row>
    <row r="225" spans="1:12" ht="11.25" x14ac:dyDescent="0.2">
      <c r="A225" s="325">
        <f>A224+1</f>
        <v>10</v>
      </c>
      <c r="B225" s="24">
        <f>Input!A153</f>
        <v>305</v>
      </c>
      <c r="C225" s="3" t="str">
        <f>Input!B153</f>
        <v>STRUCTURES &amp; IMPROVEMENTS</v>
      </c>
      <c r="D225" s="325">
        <f>Input!C153</f>
        <v>2</v>
      </c>
      <c r="E225" s="3">
        <f>Classification!G225</f>
        <v>0</v>
      </c>
      <c r="F225" s="3">
        <f>ROUND((VLOOKUP($D225,'Alloc Table Comm'!$B$7:$T$56,13,FALSE)*$E225),0)</f>
        <v>0</v>
      </c>
      <c r="G225" s="3">
        <f>ROUND((VLOOKUP($D225,'Alloc Table Comm'!$B$7:$T$56,14,FALSE)*$E225),0)</f>
        <v>0</v>
      </c>
      <c r="H225" s="3">
        <f>ROUND((VLOOKUP($D225,'Alloc Table Comm'!$B$7:$T$56,15,FALSE)*$E225),0)</f>
        <v>0</v>
      </c>
      <c r="I225" s="3">
        <f>ROUND((VLOOKUP($D225,'Alloc Table Comm'!$B$7:$T$56,16,FALSE)*$E225),0)</f>
        <v>0</v>
      </c>
      <c r="J225" s="3">
        <f>ROUND((VLOOKUP($D225,'Alloc Table Comm'!$B$7:$T$56,17,FALSE)*$E225),0)</f>
        <v>0</v>
      </c>
      <c r="K225" s="3">
        <f>ROUND((VLOOKUP($D225,'Alloc Table Comm'!$B$7:$T$56,18,FALSE)*$E225),0)</f>
        <v>0</v>
      </c>
      <c r="L225" s="3">
        <f>ROUND((VLOOKUP($D225,'Alloc Table Comm'!$B$7:$T$56,19,FALSE)*$E225),0)</f>
        <v>0</v>
      </c>
    </row>
    <row r="226" spans="1:12" ht="11.25" x14ac:dyDescent="0.2">
      <c r="A226" s="325">
        <f>A225+1</f>
        <v>11</v>
      </c>
      <c r="B226" s="24">
        <f>Input!A154</f>
        <v>311</v>
      </c>
      <c r="C226" s="3" t="str">
        <f>Input!B154</f>
        <v>LIQUEFIED PETROLEUM GAS EQUIP</v>
      </c>
      <c r="D226" s="325">
        <f>Input!C154</f>
        <v>2</v>
      </c>
      <c r="E226" s="26">
        <f>Classification!G226</f>
        <v>0</v>
      </c>
      <c r="F226" s="26">
        <f>ROUND((VLOOKUP($D226,'Alloc Table Comm'!$B$7:$T$56,13,FALSE)*$E226),0)</f>
        <v>0</v>
      </c>
      <c r="G226" s="26">
        <f>ROUND((VLOOKUP($D226,'Alloc Table Comm'!$B$7:$T$56,14,FALSE)*$E226),0)</f>
        <v>0</v>
      </c>
      <c r="H226" s="26">
        <f>ROUND((VLOOKUP($D226,'Alloc Table Comm'!$B$7:$T$56,15,FALSE)*$E226),0)</f>
        <v>0</v>
      </c>
      <c r="I226" s="26">
        <f>ROUND((VLOOKUP($D226,'Alloc Table Comm'!$B$7:$T$56,16,FALSE)*$E226),0)</f>
        <v>0</v>
      </c>
      <c r="J226" s="26">
        <f>ROUND((VLOOKUP($D226,'Alloc Table Comm'!$B$7:$T$56,17,FALSE)*$E226),0)</f>
        <v>0</v>
      </c>
      <c r="K226" s="26">
        <f>ROUND((VLOOKUP($D226,'Alloc Table Comm'!$B$7:$T$56,18,FALSE)*$E226),0)</f>
        <v>0</v>
      </c>
      <c r="L226" s="26">
        <f>ROUND((VLOOKUP($D226,'Alloc Table Comm'!$B$7:$T$56,19,FALSE)*$E226),0)</f>
        <v>0</v>
      </c>
    </row>
    <row r="227" spans="1:12" ht="11.25" x14ac:dyDescent="0.2">
      <c r="A227" s="325">
        <f>A226+1</f>
        <v>12</v>
      </c>
      <c r="B227" s="24"/>
      <c r="C227" s="3" t="s">
        <v>160</v>
      </c>
      <c r="D227" s="325"/>
      <c r="E227" s="3">
        <f t="shared" ref="E227:L227" si="35">SUM(E224:E226)</f>
        <v>0</v>
      </c>
      <c r="F227" s="3">
        <f t="shared" si="35"/>
        <v>0</v>
      </c>
      <c r="G227" s="3">
        <f t="shared" si="35"/>
        <v>0</v>
      </c>
      <c r="H227" s="3">
        <f t="shared" si="35"/>
        <v>0</v>
      </c>
      <c r="I227" s="3">
        <f t="shared" si="35"/>
        <v>0</v>
      </c>
      <c r="J227" s="3">
        <f t="shared" si="35"/>
        <v>0</v>
      </c>
      <c r="K227" s="3">
        <f t="shared" si="35"/>
        <v>0</v>
      </c>
      <c r="L227" s="3">
        <f t="shared" si="35"/>
        <v>0</v>
      </c>
    </row>
    <row r="228" spans="1:12" ht="11.25" x14ac:dyDescent="0.2">
      <c r="A228" s="325"/>
      <c r="B228" s="24"/>
      <c r="C228" s="3"/>
      <c r="D228" s="325"/>
      <c r="E228" s="26"/>
      <c r="F228" s="26"/>
      <c r="G228" s="26"/>
      <c r="H228" s="26"/>
      <c r="I228" s="26"/>
      <c r="J228" s="26"/>
      <c r="K228" s="26"/>
      <c r="L228" s="26"/>
    </row>
    <row r="229" spans="1:12" ht="11.25" x14ac:dyDescent="0.2">
      <c r="A229" s="325">
        <f>A227+1</f>
        <v>13</v>
      </c>
      <c r="B229" s="3"/>
      <c r="C229" s="24" t="str">
        <f>Input!A155</f>
        <v>DISTRIBUTION PLANT</v>
      </c>
      <c r="D229" s="325"/>
      <c r="E229" s="26"/>
      <c r="F229" s="26"/>
      <c r="G229" s="26"/>
      <c r="H229" s="26"/>
      <c r="I229" s="26"/>
      <c r="J229" s="26"/>
      <c r="K229" s="26"/>
      <c r="L229" s="26"/>
    </row>
    <row r="230" spans="1:12" ht="11.25" x14ac:dyDescent="0.2">
      <c r="A230" s="325"/>
      <c r="B230" s="3"/>
      <c r="C230" s="3"/>
      <c r="D230" s="325"/>
      <c r="E230" s="3"/>
      <c r="F230" s="3"/>
      <c r="G230" s="3"/>
      <c r="H230" s="3"/>
      <c r="I230" s="3"/>
      <c r="J230" s="3"/>
      <c r="K230" s="3"/>
      <c r="L230" s="3"/>
    </row>
    <row r="231" spans="1:12" ht="11.25" x14ac:dyDescent="0.2">
      <c r="A231" s="325">
        <f>A229+1</f>
        <v>14</v>
      </c>
      <c r="B231" s="24">
        <f>Input!A156</f>
        <v>374.1</v>
      </c>
      <c r="C231" s="3" t="str">
        <f>Input!B156</f>
        <v>LAND - CITY GATE &amp; M/L IND M&amp;R</v>
      </c>
      <c r="D231" s="325">
        <f>Input!C156</f>
        <v>5</v>
      </c>
      <c r="E231" s="3">
        <f>Classification!G231</f>
        <v>0</v>
      </c>
      <c r="F231" s="3">
        <f>ROUND((VLOOKUP($D231,'Alloc Table Comm'!$B$7:$T$56,13,FALSE)*$E231),0)</f>
        <v>0</v>
      </c>
      <c r="G231" s="3">
        <f>ROUND((VLOOKUP($D231,'Alloc Table Comm'!$B$7:$T$56,14,FALSE)*$E231),0)</f>
        <v>0</v>
      </c>
      <c r="H231" s="3">
        <f>ROUND((VLOOKUP($D231,'Alloc Table Comm'!$B$7:$T$56,15,FALSE)*$E231),0)</f>
        <v>0</v>
      </c>
      <c r="I231" s="3">
        <f>ROUND((VLOOKUP($D231,'Alloc Table Comm'!$B$7:$T$56,16,FALSE)*$E231),0)</f>
        <v>0</v>
      </c>
      <c r="J231" s="3">
        <f>ROUND((VLOOKUP($D231,'Alloc Table Comm'!$B$7:$T$56,17,FALSE)*$E231),0)</f>
        <v>0</v>
      </c>
      <c r="K231" s="3">
        <f>ROUND((VLOOKUP($D231,'Alloc Table Comm'!$B$7:$T$56,18,FALSE)*$E231),0)</f>
        <v>0</v>
      </c>
      <c r="L231" s="3">
        <f>ROUND((VLOOKUP($D231,'Alloc Table Comm'!$B$7:$T$56,19,FALSE)*$E231),0)</f>
        <v>0</v>
      </c>
    </row>
    <row r="232" spans="1:12" ht="11.25" x14ac:dyDescent="0.2">
      <c r="A232" s="325">
        <f t="shared" ref="A232:A250" si="36">A231+1</f>
        <v>15</v>
      </c>
      <c r="B232" s="24">
        <f>Input!A157</f>
        <v>374.2</v>
      </c>
      <c r="C232" s="3" t="str">
        <f>Input!B157</f>
        <v>LAND - OTHER DISTRIBUTION</v>
      </c>
      <c r="D232" s="325">
        <f>Input!C157</f>
        <v>5</v>
      </c>
      <c r="E232" s="3">
        <f>Classification!G232</f>
        <v>-262</v>
      </c>
      <c r="F232" s="3">
        <f>ROUND((VLOOKUP($D232,'Alloc Table Comm'!$B$7:$T$56,13,FALSE)*$E232),0)</f>
        <v>-102</v>
      </c>
      <c r="G232" s="3">
        <f>ROUND((VLOOKUP($D232,'Alloc Table Comm'!$B$7:$T$56,14,FALSE)*$E232),0)</f>
        <v>-69</v>
      </c>
      <c r="H232" s="3">
        <f>ROUND((VLOOKUP($D232,'Alloc Table Comm'!$B$7:$T$56,15,FALSE)*$E232),0)</f>
        <v>0</v>
      </c>
      <c r="I232" s="3">
        <f>ROUND((VLOOKUP($D232,'Alloc Table Comm'!$B$7:$T$56,16,FALSE)*$E232),0)</f>
        <v>0</v>
      </c>
      <c r="J232" s="3">
        <f>ROUND((VLOOKUP($D232,'Alloc Table Comm'!$B$7:$T$56,17,FALSE)*$E232),0)</f>
        <v>-91</v>
      </c>
      <c r="K232" s="3">
        <f>ROUND((VLOOKUP($D232,'Alloc Table Comm'!$B$7:$T$56,18,FALSE)*$E232),0)</f>
        <v>0</v>
      </c>
      <c r="L232" s="3">
        <f>ROUND((VLOOKUP($D232,'Alloc Table Comm'!$B$7:$T$56,19,FALSE)*$E232),0)</f>
        <v>0</v>
      </c>
    </row>
    <row r="233" spans="1:12" ht="11.25" x14ac:dyDescent="0.2">
      <c r="A233" s="325">
        <f t="shared" si="36"/>
        <v>16</v>
      </c>
      <c r="B233" s="24">
        <f>Input!A158</f>
        <v>374.4</v>
      </c>
      <c r="C233" s="3" t="str">
        <f>Input!B158</f>
        <v>LAND RIGHTS - OTHER DISTRIBUTION</v>
      </c>
      <c r="D233" s="325">
        <f>Input!C158</f>
        <v>5</v>
      </c>
      <c r="E233" s="3">
        <f>Classification!G233</f>
        <v>92319</v>
      </c>
      <c r="F233" s="3">
        <f>ROUND((VLOOKUP($D233,'Alloc Table Comm'!$B$7:$T$56,13,FALSE)*$E233),0)</f>
        <v>35990</v>
      </c>
      <c r="G233" s="3">
        <f>ROUND((VLOOKUP($D233,'Alloc Table Comm'!$B$7:$T$56,14,FALSE)*$E233),0)</f>
        <v>24371</v>
      </c>
      <c r="H233" s="3">
        <f>ROUND((VLOOKUP($D233,'Alloc Table Comm'!$B$7:$T$56,15,FALSE)*$E233),0)</f>
        <v>53</v>
      </c>
      <c r="I233" s="3">
        <f>ROUND((VLOOKUP($D233,'Alloc Table Comm'!$B$7:$T$56,16,FALSE)*$E233),0)</f>
        <v>0</v>
      </c>
      <c r="J233" s="3">
        <f>ROUND((VLOOKUP($D233,'Alloc Table Comm'!$B$7:$T$56,17,FALSE)*$E233),0)</f>
        <v>31905</v>
      </c>
      <c r="K233" s="3">
        <f>ROUND((VLOOKUP($D233,'Alloc Table Comm'!$B$7:$T$56,18,FALSE)*$E233),0)</f>
        <v>0</v>
      </c>
      <c r="L233" s="3">
        <f>ROUND((VLOOKUP($D233,'Alloc Table Comm'!$B$7:$T$56,19,FALSE)*$E233),0)</f>
        <v>0</v>
      </c>
    </row>
    <row r="234" spans="1:12" ht="11.25" x14ac:dyDescent="0.2">
      <c r="A234" s="325">
        <f t="shared" si="36"/>
        <v>17</v>
      </c>
      <c r="B234" s="24">
        <f>Input!A159</f>
        <v>374.5</v>
      </c>
      <c r="C234" s="3" t="str">
        <f>Input!B159</f>
        <v>RIGHTS OF WAY</v>
      </c>
      <c r="D234" s="325">
        <f>Input!C159</f>
        <v>5</v>
      </c>
      <c r="E234" s="3">
        <f>Classification!G234</f>
        <v>471338</v>
      </c>
      <c r="F234" s="3">
        <f>ROUND((VLOOKUP($D234,'Alloc Table Comm'!$B$7:$T$56,13,FALSE)*$E234),0)</f>
        <v>183746</v>
      </c>
      <c r="G234" s="3">
        <f>ROUND((VLOOKUP($D234,'Alloc Table Comm'!$B$7:$T$56,14,FALSE)*$E234),0)</f>
        <v>124429</v>
      </c>
      <c r="H234" s="3">
        <f>ROUND((VLOOKUP($D234,'Alloc Table Comm'!$B$7:$T$56,15,FALSE)*$E234),0)</f>
        <v>269</v>
      </c>
      <c r="I234" s="3">
        <f>ROUND((VLOOKUP($D234,'Alloc Table Comm'!$B$7:$T$56,16,FALSE)*$E234),0)</f>
        <v>0</v>
      </c>
      <c r="J234" s="3">
        <f>ROUND((VLOOKUP($D234,'Alloc Table Comm'!$B$7:$T$56,17,FALSE)*$E234),0)</f>
        <v>162894</v>
      </c>
      <c r="K234" s="3">
        <f>ROUND((VLOOKUP($D234,'Alloc Table Comm'!$B$7:$T$56,18,FALSE)*$E234),0)</f>
        <v>0</v>
      </c>
      <c r="L234" s="3">
        <f>ROUND((VLOOKUP($D234,'Alloc Table Comm'!$B$7:$T$56,19,FALSE)*$E234),0)</f>
        <v>0</v>
      </c>
    </row>
    <row r="235" spans="1:12" ht="11.25" x14ac:dyDescent="0.2">
      <c r="A235" s="325">
        <f t="shared" si="36"/>
        <v>18</v>
      </c>
      <c r="B235" s="24">
        <f>Input!A160</f>
        <v>375.2</v>
      </c>
      <c r="C235" s="3" t="str">
        <f>Input!B160</f>
        <v>CITY GATE - MEAS &amp; REG STRUCTURES</v>
      </c>
      <c r="D235" s="325">
        <f>Input!C160</f>
        <v>5</v>
      </c>
      <c r="E235" s="3">
        <f>Classification!G235</f>
        <v>1032</v>
      </c>
      <c r="F235" s="3">
        <f>ROUND((VLOOKUP($D235,'Alloc Table Comm'!$B$7:$T$56,13,FALSE)*$E235),0)</f>
        <v>402</v>
      </c>
      <c r="G235" s="3">
        <f>ROUND((VLOOKUP($D235,'Alloc Table Comm'!$B$7:$T$56,14,FALSE)*$E235),0)</f>
        <v>272</v>
      </c>
      <c r="H235" s="3">
        <f>ROUND((VLOOKUP($D235,'Alloc Table Comm'!$B$7:$T$56,15,FALSE)*$E235),0)</f>
        <v>1</v>
      </c>
      <c r="I235" s="3">
        <f>ROUND((VLOOKUP($D235,'Alloc Table Comm'!$B$7:$T$56,16,FALSE)*$E235),0)</f>
        <v>0</v>
      </c>
      <c r="J235" s="3">
        <f>ROUND((VLOOKUP($D235,'Alloc Table Comm'!$B$7:$T$56,17,FALSE)*$E235),0)</f>
        <v>357</v>
      </c>
      <c r="K235" s="3">
        <f>ROUND((VLOOKUP($D235,'Alloc Table Comm'!$B$7:$T$56,18,FALSE)*$E235),0)</f>
        <v>0</v>
      </c>
      <c r="L235" s="3">
        <f>ROUND((VLOOKUP($D235,'Alloc Table Comm'!$B$7:$T$56,19,FALSE)*$E235),0)</f>
        <v>0</v>
      </c>
    </row>
    <row r="236" spans="1:12" ht="11.25" x14ac:dyDescent="0.2">
      <c r="A236" s="325">
        <f t="shared" si="36"/>
        <v>19</v>
      </c>
      <c r="B236" s="24">
        <f>Input!A161</f>
        <v>375.3</v>
      </c>
      <c r="C236" s="3" t="str">
        <f>Input!B161</f>
        <v>STRUC &amp; IMPROV-GENERAL M&amp;R</v>
      </c>
      <c r="D236" s="325">
        <f>Input!C161</f>
        <v>5</v>
      </c>
      <c r="E236" s="3">
        <f>Classification!G236</f>
        <v>-39</v>
      </c>
      <c r="F236" s="3">
        <f>ROUND((VLOOKUP($D236,'Alloc Table Comm'!$B$7:$T$56,13,FALSE)*$E236),0)</f>
        <v>-15</v>
      </c>
      <c r="G236" s="3">
        <f>ROUND((VLOOKUP($D236,'Alloc Table Comm'!$B$7:$T$56,14,FALSE)*$E236),0)</f>
        <v>-10</v>
      </c>
      <c r="H236" s="3">
        <f>ROUND((VLOOKUP($D236,'Alloc Table Comm'!$B$7:$T$56,15,FALSE)*$E236),0)</f>
        <v>0</v>
      </c>
      <c r="I236" s="3">
        <f>ROUND((VLOOKUP($D236,'Alloc Table Comm'!$B$7:$T$56,16,FALSE)*$E236),0)</f>
        <v>0</v>
      </c>
      <c r="J236" s="3">
        <f>ROUND((VLOOKUP($D236,'Alloc Table Comm'!$B$7:$T$56,17,FALSE)*$E236),0)</f>
        <v>-13</v>
      </c>
      <c r="K236" s="3">
        <f>ROUND((VLOOKUP($D236,'Alloc Table Comm'!$B$7:$T$56,18,FALSE)*$E236),0)</f>
        <v>0</v>
      </c>
      <c r="L236" s="3">
        <f>ROUND((VLOOKUP($D236,'Alloc Table Comm'!$B$7:$T$56,19,FALSE)*$E236),0)</f>
        <v>0</v>
      </c>
    </row>
    <row r="237" spans="1:12" ht="11.25" x14ac:dyDescent="0.2">
      <c r="A237" s="325">
        <f t="shared" si="36"/>
        <v>20</v>
      </c>
      <c r="B237" s="24">
        <f>Input!A162</f>
        <v>375.4</v>
      </c>
      <c r="C237" s="3" t="str">
        <f>Input!B162</f>
        <v>STRUC &amp; IMPROV-REGULATING</v>
      </c>
      <c r="D237" s="325">
        <f>Input!C162</f>
        <v>5</v>
      </c>
      <c r="E237" s="3">
        <f>Classification!G237</f>
        <v>248931</v>
      </c>
      <c r="F237" s="3">
        <f>ROUND((VLOOKUP($D237,'Alloc Table Comm'!$B$7:$T$56,13,FALSE)*$E237),0)</f>
        <v>97043</v>
      </c>
      <c r="G237" s="3">
        <f>ROUND((VLOOKUP($D237,'Alloc Table Comm'!$B$7:$T$56,14,FALSE)*$E237),0)</f>
        <v>65715</v>
      </c>
      <c r="H237" s="3">
        <f>ROUND((VLOOKUP($D237,'Alloc Table Comm'!$B$7:$T$56,15,FALSE)*$E237),0)</f>
        <v>142</v>
      </c>
      <c r="I237" s="3">
        <f>ROUND((VLOOKUP($D237,'Alloc Table Comm'!$B$7:$T$56,16,FALSE)*$E237),0)</f>
        <v>0</v>
      </c>
      <c r="J237" s="3">
        <f>ROUND((VLOOKUP($D237,'Alloc Table Comm'!$B$7:$T$56,17,FALSE)*$E237),0)</f>
        <v>86031</v>
      </c>
      <c r="K237" s="3">
        <f>ROUND((VLOOKUP($D237,'Alloc Table Comm'!$B$7:$T$56,18,FALSE)*$E237),0)</f>
        <v>0</v>
      </c>
      <c r="L237" s="3">
        <f>ROUND((VLOOKUP($D237,'Alloc Table Comm'!$B$7:$T$56,19,FALSE)*$E237),0)</f>
        <v>0</v>
      </c>
    </row>
    <row r="238" spans="1:12" ht="11.25" x14ac:dyDescent="0.2">
      <c r="A238" s="325">
        <f t="shared" si="36"/>
        <v>21</v>
      </c>
      <c r="B238" s="24">
        <f>B237</f>
        <v>375.4</v>
      </c>
      <c r="C238" s="3" t="str">
        <f>C156</f>
        <v>DIRECT STRUC &amp; IMPROV-REGULATING</v>
      </c>
      <c r="D238" s="325"/>
      <c r="E238" s="3">
        <f>Classification!G238</f>
        <v>1514</v>
      </c>
      <c r="F238" s="3">
        <v>0</v>
      </c>
      <c r="G238" s="3">
        <v>0</v>
      </c>
      <c r="H238" s="3">
        <v>0</v>
      </c>
      <c r="I238" s="3">
        <f>E238</f>
        <v>1514</v>
      </c>
      <c r="J238" s="3">
        <v>0</v>
      </c>
      <c r="K238" s="3">
        <v>0</v>
      </c>
      <c r="L238" s="3">
        <v>0</v>
      </c>
    </row>
    <row r="239" spans="1:12" ht="11.25" x14ac:dyDescent="0.2">
      <c r="A239" s="325">
        <f t="shared" si="36"/>
        <v>22</v>
      </c>
      <c r="B239" s="24">
        <f>Input!A163</f>
        <v>375.6</v>
      </c>
      <c r="C239" s="3" t="str">
        <f>Input!B163</f>
        <v>STRUC &amp; IMPROV-DIST. IND. M &amp; R</v>
      </c>
      <c r="D239" s="325">
        <f>Input!C163</f>
        <v>8</v>
      </c>
      <c r="E239" s="3">
        <f>Classification!G239</f>
        <v>0</v>
      </c>
      <c r="F239" s="3">
        <f>ROUND((VLOOKUP($D239,'Alloc Table Comm'!$B$7:$T$56,13,FALSE)*$E239),0)</f>
        <v>0</v>
      </c>
      <c r="G239" s="3">
        <f>ROUND((VLOOKUP($D239,'Alloc Table Comm'!$B$7:$T$56,14,FALSE)*$E239),0)</f>
        <v>0</v>
      </c>
      <c r="H239" s="3">
        <f>ROUND((VLOOKUP($D239,'Alloc Table Comm'!$B$7:$T$56,15,FALSE)*$E239),0)</f>
        <v>0</v>
      </c>
      <c r="I239" s="3">
        <f>ROUND((VLOOKUP($D239,'Alloc Table Comm'!$B$7:$T$56,16,FALSE)*$E239),0)</f>
        <v>0</v>
      </c>
      <c r="J239" s="3">
        <f>ROUND((VLOOKUP($D239,'Alloc Table Comm'!$B$7:$T$56,17,FALSE)*$E239),0)</f>
        <v>0</v>
      </c>
      <c r="K239" s="3">
        <f>ROUND((VLOOKUP($D239,'Alloc Table Comm'!$B$7:$T$56,18,FALSE)*$E239),0)</f>
        <v>0</v>
      </c>
      <c r="L239" s="3">
        <f>ROUND((VLOOKUP($D239,'Alloc Table Comm'!$B$7:$T$56,19,FALSE)*$E239),0)</f>
        <v>0</v>
      </c>
    </row>
    <row r="240" spans="1:12" ht="11.25" x14ac:dyDescent="0.2">
      <c r="A240" s="325">
        <f t="shared" si="36"/>
        <v>23</v>
      </c>
      <c r="B240" s="24">
        <f>Input!A164</f>
        <v>375.7</v>
      </c>
      <c r="C240" s="3" t="str">
        <f>Input!B164</f>
        <v>STRUC &amp; IMPROV-OTHER DIST. SYSTEM</v>
      </c>
      <c r="D240" s="325" t="str">
        <f>VLOOKUP(Input!C164,'Alloc Table Comm'!$A$7:$B$27,2,FALSE)</f>
        <v>7COMM</v>
      </c>
      <c r="E240" s="3">
        <f>Classification!G240</f>
        <v>979783</v>
      </c>
      <c r="F240" s="3">
        <f ca="1">ROUND((VLOOKUP($D240,'Alloc Table Comm'!$B$7:$T$56,13,FALSE)*$E240),0)</f>
        <v>381861</v>
      </c>
      <c r="G240" s="3">
        <f ca="1">ROUND((VLOOKUP($D240,'Alloc Table Comm'!$B$7:$T$56,14,FALSE)*$E240),0)</f>
        <v>258594</v>
      </c>
      <c r="H240" s="3">
        <f ca="1">ROUND((VLOOKUP($D240,'Alloc Table Comm'!$B$7:$T$56,15,FALSE)*$E240),0)</f>
        <v>558</v>
      </c>
      <c r="I240" s="3">
        <f ca="1">ROUND((VLOOKUP($D240,'Alloc Table Comm'!$B$7:$T$56,16,FALSE)*$E240),0)</f>
        <v>235</v>
      </c>
      <c r="J240" s="3">
        <f ca="1">ROUND((VLOOKUP($D240,'Alloc Table Comm'!$B$7:$T$56,17,FALSE)*$E240),0)</f>
        <v>338535</v>
      </c>
      <c r="K240" s="3">
        <f ca="1">ROUND((VLOOKUP($D240,'Alloc Table Comm'!$B$7:$T$56,18,FALSE)*$E240),0)</f>
        <v>0</v>
      </c>
      <c r="L240" s="3">
        <f ca="1">ROUND((VLOOKUP($D240,'Alloc Table Comm'!$B$7:$T$56,19,FALSE)*$E240),0)</f>
        <v>0</v>
      </c>
    </row>
    <row r="241" spans="1:12" ht="11.25" x14ac:dyDescent="0.2">
      <c r="A241" s="325">
        <f t="shared" si="36"/>
        <v>24</v>
      </c>
      <c r="B241" s="24">
        <f>Input!A165</f>
        <v>375.71</v>
      </c>
      <c r="C241" s="3" t="str">
        <f>Input!B165</f>
        <v>STRUCT &amp; IMPROV-OTHER DIST. SYSTEM-IMPROV</v>
      </c>
      <c r="D241" s="325" t="str">
        <f>VLOOKUP(Input!C165,'Alloc Table Comm'!$A$7:$B$27,2,FALSE)</f>
        <v>7COMM</v>
      </c>
      <c r="E241" s="3">
        <f>Classification!G241</f>
        <v>57926</v>
      </c>
      <c r="F241" s="3">
        <f ca="1">ROUND((VLOOKUP($D241,'Alloc Table Comm'!$B$7:$T$56,13,FALSE)*$E241),0)</f>
        <v>22576</v>
      </c>
      <c r="G241" s="3">
        <f ca="1">ROUND((VLOOKUP($D241,'Alloc Table Comm'!$B$7:$T$56,14,FALSE)*$E241),0)</f>
        <v>15288</v>
      </c>
      <c r="H241" s="3">
        <f ca="1">ROUND((VLOOKUP($D241,'Alloc Table Comm'!$B$7:$T$56,15,FALSE)*$E241),0)</f>
        <v>33</v>
      </c>
      <c r="I241" s="3">
        <f ca="1">ROUND((VLOOKUP($D241,'Alloc Table Comm'!$B$7:$T$56,16,FALSE)*$E241),0)</f>
        <v>14</v>
      </c>
      <c r="J241" s="3">
        <f ca="1">ROUND((VLOOKUP($D241,'Alloc Table Comm'!$B$7:$T$56,17,FALSE)*$E241),0)</f>
        <v>20015</v>
      </c>
      <c r="K241" s="3">
        <f ca="1">ROUND((VLOOKUP($D241,'Alloc Table Comm'!$B$7:$T$56,18,FALSE)*$E241),0)</f>
        <v>0</v>
      </c>
      <c r="L241" s="3">
        <f ca="1">ROUND((VLOOKUP($D241,'Alloc Table Comm'!$B$7:$T$56,19,FALSE)*$E241),0)</f>
        <v>0</v>
      </c>
    </row>
    <row r="242" spans="1:12" ht="11.25" x14ac:dyDescent="0.2">
      <c r="A242" s="325">
        <f t="shared" si="36"/>
        <v>25</v>
      </c>
      <c r="B242" s="24">
        <f>Input!A166</f>
        <v>375.8</v>
      </c>
      <c r="C242" s="3" t="str">
        <f>Input!B166</f>
        <v>STRUC &amp; IMPROV-COMMUNICATION</v>
      </c>
      <c r="D242" s="325">
        <f>Input!C166</f>
        <v>5</v>
      </c>
      <c r="E242" s="3">
        <f>Classification!G242</f>
        <v>0</v>
      </c>
      <c r="F242" s="3">
        <f>ROUND((VLOOKUP($D242,'Alloc Table Comm'!$B$7:$T$56,13,FALSE)*$E242),0)</f>
        <v>0</v>
      </c>
      <c r="G242" s="3">
        <f>ROUND((VLOOKUP($D242,'Alloc Table Comm'!$B$7:$T$56,14,FALSE)*$E242),0)</f>
        <v>0</v>
      </c>
      <c r="H242" s="3">
        <f>ROUND((VLOOKUP($D242,'Alloc Table Comm'!$B$7:$T$56,15,FALSE)*$E242),0)</f>
        <v>0</v>
      </c>
      <c r="I242" s="3">
        <f>ROUND((VLOOKUP($D242,'Alloc Table Comm'!$B$7:$T$56,16,FALSE)*$E242),0)</f>
        <v>0</v>
      </c>
      <c r="J242" s="3">
        <f>ROUND((VLOOKUP($D242,'Alloc Table Comm'!$B$7:$T$56,17,FALSE)*$E242),0)</f>
        <v>0</v>
      </c>
      <c r="K242" s="3">
        <f>ROUND((VLOOKUP($D242,'Alloc Table Comm'!$B$7:$T$56,18,FALSE)*$E242),0)</f>
        <v>0</v>
      </c>
      <c r="L242" s="3">
        <f>ROUND((VLOOKUP($D242,'Alloc Table Comm'!$B$7:$T$56,19,FALSE)*$E242),0)</f>
        <v>0</v>
      </c>
    </row>
    <row r="243" spans="1:12" ht="11.25" x14ac:dyDescent="0.2">
      <c r="A243" s="325">
        <f t="shared" si="36"/>
        <v>26</v>
      </c>
      <c r="B243" s="24">
        <f>Input!A167</f>
        <v>376</v>
      </c>
      <c r="C243" s="3" t="str">
        <f>Input!B167</f>
        <v>MAINS</v>
      </c>
      <c r="D243" s="325">
        <f>Input!C167</f>
        <v>5</v>
      </c>
      <c r="E243" s="3">
        <f>Classification!G243</f>
        <v>29408791</v>
      </c>
      <c r="F243" s="3">
        <f>ROUND((VLOOKUP($D243,'Alloc Table Comm'!$B$7:$T$56,13,FALSE)*$E243),0)</f>
        <v>11464723</v>
      </c>
      <c r="G243" s="3">
        <f>ROUND((VLOOKUP($D243,'Alloc Table Comm'!$B$7:$T$56,14,FALSE)*$E243),0)</f>
        <v>7763627</v>
      </c>
      <c r="H243" s="3">
        <f>ROUND((VLOOKUP($D243,'Alloc Table Comm'!$B$7:$T$56,15,FALSE)*$E243),0)</f>
        <v>16763</v>
      </c>
      <c r="I243" s="3">
        <f>ROUND((VLOOKUP($D243,'Alloc Table Comm'!$B$7:$T$56,16,FALSE)*$E243),0)</f>
        <v>0</v>
      </c>
      <c r="J243" s="3">
        <f>ROUND((VLOOKUP($D243,'Alloc Table Comm'!$B$7:$T$56,17,FALSE)*$E243),0)</f>
        <v>10163678</v>
      </c>
      <c r="K243" s="3">
        <f>ROUND((VLOOKUP($D243,'Alloc Table Comm'!$B$7:$T$56,18,FALSE)*$E243),0)</f>
        <v>0</v>
      </c>
      <c r="L243" s="3">
        <f>ROUND((VLOOKUP($D243,'Alloc Table Comm'!$B$7:$T$56,19,FALSE)*$E243),0)</f>
        <v>0</v>
      </c>
    </row>
    <row r="244" spans="1:12" ht="11.25" x14ac:dyDescent="0.2">
      <c r="A244" s="325">
        <f t="shared" si="36"/>
        <v>27</v>
      </c>
      <c r="B244" s="24">
        <f>Input!A167</f>
        <v>376</v>
      </c>
      <c r="C244" s="3" t="str">
        <f>"DIRECT "&amp;+Input!B167</f>
        <v>DIRECT MAINS</v>
      </c>
      <c r="D244" s="325"/>
      <c r="E244" s="3">
        <f>Classification!G244</f>
        <v>4352</v>
      </c>
      <c r="F244" s="3">
        <v>0</v>
      </c>
      <c r="G244" s="3">
        <v>0</v>
      </c>
      <c r="H244" s="3">
        <v>0</v>
      </c>
      <c r="I244" s="3">
        <f>E244</f>
        <v>4352</v>
      </c>
      <c r="J244" s="3">
        <v>0</v>
      </c>
      <c r="K244" s="3">
        <v>0</v>
      </c>
      <c r="L244" s="3">
        <v>0</v>
      </c>
    </row>
    <row r="245" spans="1:12" ht="11.25" x14ac:dyDescent="0.2">
      <c r="A245" s="325">
        <f t="shared" si="36"/>
        <v>28</v>
      </c>
      <c r="B245" s="24">
        <f>Input!A168</f>
        <v>378.1</v>
      </c>
      <c r="C245" s="3" t="str">
        <f>Input!B168</f>
        <v>M &amp; R GENERAL</v>
      </c>
      <c r="D245" s="325">
        <f>Input!C168</f>
        <v>5</v>
      </c>
      <c r="E245" s="3">
        <f>Classification!G245</f>
        <v>186036</v>
      </c>
      <c r="F245" s="3">
        <f>ROUND((VLOOKUP($D245,'Alloc Table Comm'!$B$7:$T$56,13,FALSE)*$E245),0)</f>
        <v>72524</v>
      </c>
      <c r="G245" s="3">
        <f>ROUND((VLOOKUP($D245,'Alloc Table Comm'!$B$7:$T$56,14,FALSE)*$E245),0)</f>
        <v>49112</v>
      </c>
      <c r="H245" s="3">
        <f>ROUND((VLOOKUP($D245,'Alloc Table Comm'!$B$7:$T$56,15,FALSE)*$E245),0)</f>
        <v>106</v>
      </c>
      <c r="I245" s="3">
        <f>ROUND((VLOOKUP($D245,'Alloc Table Comm'!$B$7:$T$56,16,FALSE)*$E245),0)</f>
        <v>0</v>
      </c>
      <c r="J245" s="3">
        <f>ROUND((VLOOKUP($D245,'Alloc Table Comm'!$B$7:$T$56,17,FALSE)*$E245),0)</f>
        <v>64294</v>
      </c>
      <c r="K245" s="3">
        <f>ROUND((VLOOKUP($D245,'Alloc Table Comm'!$B$7:$T$56,18,FALSE)*$E245),0)</f>
        <v>0</v>
      </c>
      <c r="L245" s="3">
        <f>ROUND((VLOOKUP($D245,'Alloc Table Comm'!$B$7:$T$56,19,FALSE)*$E245),0)</f>
        <v>0</v>
      </c>
    </row>
    <row r="246" spans="1:12" ht="11.25" x14ac:dyDescent="0.2">
      <c r="A246" s="325">
        <f t="shared" si="36"/>
        <v>29</v>
      </c>
      <c r="B246" s="24">
        <f>Input!A169</f>
        <v>378.2</v>
      </c>
      <c r="C246" s="3" t="str">
        <f>Input!B169</f>
        <v>M &amp; R GENERAL - REGULATING</v>
      </c>
      <c r="D246" s="325">
        <f>Input!C169</f>
        <v>5</v>
      </c>
      <c r="E246" s="3">
        <f>Classification!G246</f>
        <v>1726740</v>
      </c>
      <c r="F246" s="3">
        <f>ROUND((VLOOKUP($D246,'Alloc Table Comm'!$B$7:$T$56,13,FALSE)*$E246),0)</f>
        <v>673152</v>
      </c>
      <c r="G246" s="3">
        <f>ROUND((VLOOKUP($D246,'Alloc Table Comm'!$B$7:$T$56,14,FALSE)*$E246),0)</f>
        <v>455842</v>
      </c>
      <c r="H246" s="3">
        <f>ROUND((VLOOKUP($D246,'Alloc Table Comm'!$B$7:$T$56,15,FALSE)*$E246),0)</f>
        <v>984</v>
      </c>
      <c r="I246" s="3">
        <f>ROUND((VLOOKUP($D246,'Alloc Table Comm'!$B$7:$T$56,16,FALSE)*$E246),0)</f>
        <v>0</v>
      </c>
      <c r="J246" s="3">
        <f>ROUND((VLOOKUP($D246,'Alloc Table Comm'!$B$7:$T$56,17,FALSE)*$E246),0)</f>
        <v>596761</v>
      </c>
      <c r="K246" s="3">
        <f>ROUND((VLOOKUP($D246,'Alloc Table Comm'!$B$7:$T$56,18,FALSE)*$E246),0)</f>
        <v>0</v>
      </c>
      <c r="L246" s="3">
        <f>ROUND((VLOOKUP($D246,'Alloc Table Comm'!$B$7:$T$56,19,FALSE)*$E246),0)</f>
        <v>0</v>
      </c>
    </row>
    <row r="247" spans="1:12" ht="11.25" x14ac:dyDescent="0.2">
      <c r="A247" s="325">
        <f t="shared" si="36"/>
        <v>30</v>
      </c>
      <c r="B247" s="24">
        <f>Input!A170</f>
        <v>378.3</v>
      </c>
      <c r="C247" s="3" t="str">
        <f>Input!B170</f>
        <v>M &amp; R EQUIP - LOCAL GAS PURCHASES</v>
      </c>
      <c r="D247" s="325">
        <f>Input!C170</f>
        <v>5</v>
      </c>
      <c r="E247" s="3">
        <f>Classification!G247</f>
        <v>18317</v>
      </c>
      <c r="F247" s="3">
        <f>ROUND((VLOOKUP($D247,'Alloc Table Comm'!$B$7:$T$56,13,FALSE)*$E247),0)</f>
        <v>7141</v>
      </c>
      <c r="G247" s="3">
        <f>ROUND((VLOOKUP($D247,'Alloc Table Comm'!$B$7:$T$56,14,FALSE)*$E247),0)</f>
        <v>4836</v>
      </c>
      <c r="H247" s="3">
        <f>ROUND((VLOOKUP($D247,'Alloc Table Comm'!$B$7:$T$56,15,FALSE)*$E247),0)</f>
        <v>10</v>
      </c>
      <c r="I247" s="3">
        <f>ROUND((VLOOKUP($D247,'Alloc Table Comm'!$B$7:$T$56,16,FALSE)*$E247),0)</f>
        <v>0</v>
      </c>
      <c r="J247" s="3">
        <f>ROUND((VLOOKUP($D247,'Alloc Table Comm'!$B$7:$T$56,17,FALSE)*$E247),0)</f>
        <v>6330</v>
      </c>
      <c r="K247" s="3">
        <f>ROUND((VLOOKUP($D247,'Alloc Table Comm'!$B$7:$T$56,18,FALSE)*$E247),0)</f>
        <v>0</v>
      </c>
      <c r="L247" s="3">
        <f>ROUND((VLOOKUP($D247,'Alloc Table Comm'!$B$7:$T$56,19,FALSE)*$E247),0)</f>
        <v>0</v>
      </c>
    </row>
    <row r="248" spans="1:12" ht="11.25" x14ac:dyDescent="0.2">
      <c r="A248" s="325">
        <f t="shared" si="36"/>
        <v>31</v>
      </c>
      <c r="B248" s="24">
        <f>Input!A171</f>
        <v>379.1</v>
      </c>
      <c r="C248" s="3" t="str">
        <f>Input!B171</f>
        <v>STA EQUIP - CITY</v>
      </c>
      <c r="D248" s="325">
        <f>Input!C171</f>
        <v>5</v>
      </c>
      <c r="E248" s="3">
        <f>Classification!G248</f>
        <v>133866</v>
      </c>
      <c r="F248" s="3">
        <f>ROUND((VLOOKUP($D248,'Alloc Table Comm'!$B$7:$T$56,13,FALSE)*$E248),0)</f>
        <v>52186</v>
      </c>
      <c r="G248" s="3">
        <f>ROUND((VLOOKUP($D248,'Alloc Table Comm'!$B$7:$T$56,14,FALSE)*$E248),0)</f>
        <v>35339</v>
      </c>
      <c r="H248" s="3">
        <f>ROUND((VLOOKUP($D248,'Alloc Table Comm'!$B$7:$T$56,15,FALSE)*$E248),0)</f>
        <v>76</v>
      </c>
      <c r="I248" s="3">
        <f>ROUND((VLOOKUP($D248,'Alloc Table Comm'!$B$7:$T$56,16,FALSE)*$E248),0)</f>
        <v>0</v>
      </c>
      <c r="J248" s="3">
        <f>ROUND((VLOOKUP($D248,'Alloc Table Comm'!$B$7:$T$56,17,FALSE)*$E248),0)</f>
        <v>46264</v>
      </c>
      <c r="K248" s="3">
        <f>ROUND((VLOOKUP($D248,'Alloc Table Comm'!$B$7:$T$56,18,FALSE)*$E248),0)</f>
        <v>0</v>
      </c>
      <c r="L248" s="3">
        <f>ROUND((VLOOKUP($D248,'Alloc Table Comm'!$B$7:$T$56,19,FALSE)*$E248),0)</f>
        <v>0</v>
      </c>
    </row>
    <row r="249" spans="1:12" ht="11.25" x14ac:dyDescent="0.2">
      <c r="A249" s="325">
        <f t="shared" si="36"/>
        <v>32</v>
      </c>
      <c r="B249" s="24">
        <f>Input!A172</f>
        <v>380</v>
      </c>
      <c r="C249" s="3" t="str">
        <f>Input!B172</f>
        <v>SERVICES</v>
      </c>
      <c r="D249" s="325">
        <f>Input!C172</f>
        <v>15</v>
      </c>
      <c r="E249" s="3">
        <f>Classification!G249</f>
        <v>0</v>
      </c>
      <c r="F249" s="3">
        <f ca="1">ROUND((VLOOKUP($D249,'Alloc Table Comm'!$B$7:$T$56,13,FALSE)*$E249),0)</f>
        <v>0</v>
      </c>
      <c r="G249" s="3">
        <f ca="1">ROUND((VLOOKUP($D249,'Alloc Table Comm'!$B$7:$T$56,14,FALSE)*$E249),0)</f>
        <v>0</v>
      </c>
      <c r="H249" s="3">
        <f ca="1">ROUND((VLOOKUP($D249,'Alloc Table Comm'!$B$7:$T$56,15,FALSE)*$E249),0)</f>
        <v>0</v>
      </c>
      <c r="I249" s="3">
        <f ca="1">ROUND((VLOOKUP($D249,'Alloc Table Comm'!$B$7:$T$56,16,FALSE)*$E249),0)</f>
        <v>0</v>
      </c>
      <c r="J249" s="3">
        <f ca="1">ROUND((VLOOKUP($D249,'Alloc Table Comm'!$B$7:$T$56,17,FALSE)*$E249),0)</f>
        <v>0</v>
      </c>
      <c r="K249" s="3">
        <f ca="1">ROUND((VLOOKUP($D249,'Alloc Table Comm'!$B$7:$T$56,18,FALSE)*$E249),0)</f>
        <v>0</v>
      </c>
      <c r="L249" s="3">
        <f ca="1">ROUND((VLOOKUP($D249,'Alloc Table Comm'!$B$7:$T$56,19,FALSE)*$E249),0)</f>
        <v>0</v>
      </c>
    </row>
    <row r="250" spans="1:12" ht="11.25" x14ac:dyDescent="0.2">
      <c r="A250" s="325">
        <f t="shared" si="36"/>
        <v>33</v>
      </c>
      <c r="B250" s="24">
        <f>Input!A172</f>
        <v>380</v>
      </c>
      <c r="C250" s="3" t="str">
        <f>"DIRECT "&amp;+Input!B172</f>
        <v>DIRECT SERVICES</v>
      </c>
      <c r="D250" s="325"/>
      <c r="E250" s="3">
        <f>Classification!G250</f>
        <v>0</v>
      </c>
      <c r="F250" s="3">
        <v>0</v>
      </c>
      <c r="G250" s="3">
        <v>0</v>
      </c>
      <c r="H250" s="3">
        <v>0</v>
      </c>
      <c r="I250" s="3">
        <f>E250</f>
        <v>0</v>
      </c>
      <c r="J250" s="3">
        <v>0</v>
      </c>
      <c r="K250" s="3">
        <v>0</v>
      </c>
      <c r="L250" s="3">
        <v>0</v>
      </c>
    </row>
    <row r="251" spans="1:12" ht="11.25" x14ac:dyDescent="0.2">
      <c r="A251" s="3" t="s">
        <v>818</v>
      </c>
      <c r="B251" s="3"/>
      <c r="C251" s="14"/>
      <c r="D251" s="325"/>
      <c r="E251" s="3"/>
      <c r="F251" s="325" t="str">
        <f>""&amp;+Input!$B$1</f>
        <v>COLUMBIA GAS OF KENTUCKY, INC.</v>
      </c>
      <c r="H251" s="3"/>
      <c r="I251" s="3"/>
      <c r="J251" s="3"/>
      <c r="K251" s="3"/>
      <c r="L251" s="32" t="str">
        <f>Input!$B$2</f>
        <v>ATTACHMENT CEN-2</v>
      </c>
    </row>
    <row r="252" spans="1:12" ht="11.25" x14ac:dyDescent="0.2">
      <c r="A252" s="3" t="str">
        <f>Input!$B$7</f>
        <v>DEMAND-COMMODITY</v>
      </c>
      <c r="B252" s="3"/>
      <c r="C252" s="3"/>
      <c r="D252" s="325"/>
      <c r="E252" s="3"/>
      <c r="F252" s="325" t="s">
        <v>161</v>
      </c>
      <c r="H252" s="3"/>
      <c r="I252" s="3"/>
      <c r="J252" s="3"/>
      <c r="K252" s="3"/>
      <c r="L252" s="32" t="str">
        <f>"PAGE 85 OF "&amp;FIXED(Input!$B$8,0,TRUE)</f>
        <v>PAGE 85 OF 129</v>
      </c>
    </row>
    <row r="253" spans="1:12" ht="11.25" x14ac:dyDescent="0.2">
      <c r="A253" s="17" t="str">
        <f>Input!$B$6</f>
        <v>FORECASTED TEST YEAR - ORIGINAL FILING</v>
      </c>
      <c r="B253" s="17"/>
      <c r="C253" s="17"/>
      <c r="D253" s="34"/>
      <c r="E253" s="18"/>
      <c r="F253" s="19" t="str">
        <f>"FOR THE TWELVE MONTHS ENDED "&amp;Input!$B$4</f>
        <v>FOR THE TWELVE MONTHS ENDED 12/31/2017</v>
      </c>
      <c r="G253" s="329"/>
      <c r="H253" s="17"/>
      <c r="I253" s="17"/>
      <c r="J253" s="17"/>
      <c r="K253" s="17"/>
      <c r="L253" s="183" t="str">
        <f>"WITNESS: "&amp;Input!$B$5</f>
        <v>WITNESS: C. NOTESTONE</v>
      </c>
    </row>
    <row r="254" spans="1:12" ht="11.25" x14ac:dyDescent="0.2">
      <c r="A254" s="325" t="s">
        <v>5</v>
      </c>
      <c r="B254" s="3" t="s">
        <v>6</v>
      </c>
      <c r="C254" s="3"/>
      <c r="D254" s="325" t="s">
        <v>7</v>
      </c>
      <c r="E254" s="325" t="s">
        <v>8</v>
      </c>
      <c r="F254" s="325"/>
      <c r="G254" s="325"/>
      <c r="H254" s="325"/>
      <c r="I254" s="325"/>
      <c r="J254" s="325"/>
      <c r="K254" s="325"/>
      <c r="L254" s="325"/>
    </row>
    <row r="255" spans="1:12" ht="11.25" x14ac:dyDescent="0.2">
      <c r="A255" s="341" t="s">
        <v>9</v>
      </c>
      <c r="B255" s="341" t="s">
        <v>9</v>
      </c>
      <c r="C255" s="34" t="str">
        <f>Commodity!C128</f>
        <v xml:space="preserve"> ACCOUNT TITLE</v>
      </c>
      <c r="D255" s="341" t="s">
        <v>10</v>
      </c>
      <c r="E255" s="341" t="s">
        <v>812</v>
      </c>
      <c r="F255" s="341" t="str">
        <f>"  "&amp;+Input!$C$12</f>
        <v xml:space="preserve">  GS-RESIDENTIAL</v>
      </c>
      <c r="G255" s="341" t="str">
        <f>Input!$C$13</f>
        <v>GS-OTHER</v>
      </c>
      <c r="H255" s="341" t="str">
        <f>Input!$C$14</f>
        <v>IUS</v>
      </c>
      <c r="I255" s="341" t="str">
        <f>Input!$C$15</f>
        <v>DS-ML</v>
      </c>
      <c r="J255" s="341" t="str">
        <f>Input!$C$16</f>
        <v>DS/IS</v>
      </c>
      <c r="K255" s="341" t="str">
        <f>Input!$C$17</f>
        <v>NOT USED</v>
      </c>
      <c r="L255" s="341" t="str">
        <f>Input!$C$18</f>
        <v>NOT USED</v>
      </c>
    </row>
    <row r="256" spans="1:12" ht="11.25" x14ac:dyDescent="0.2">
      <c r="A256" s="325"/>
      <c r="B256" s="342" t="s">
        <v>13</v>
      </c>
      <c r="C256" s="342" t="s">
        <v>14</v>
      </c>
      <c r="D256" s="325" t="s">
        <v>15</v>
      </c>
      <c r="E256" s="325" t="s">
        <v>16</v>
      </c>
      <c r="F256" s="325" t="s">
        <v>17</v>
      </c>
      <c r="G256" s="325" t="s">
        <v>18</v>
      </c>
      <c r="H256" s="325" t="s">
        <v>19</v>
      </c>
      <c r="I256" s="325" t="s">
        <v>20</v>
      </c>
      <c r="J256" s="325" t="s">
        <v>21</v>
      </c>
      <c r="K256" s="325" t="s">
        <v>22</v>
      </c>
      <c r="L256" s="325" t="s">
        <v>23</v>
      </c>
    </row>
    <row r="257" spans="1:12" ht="11.25" x14ac:dyDescent="0.2">
      <c r="A257" s="325"/>
      <c r="B257" s="3"/>
      <c r="C257" s="3"/>
      <c r="D257" s="325"/>
      <c r="E257" s="325" t="s">
        <v>26</v>
      </c>
      <c r="F257" s="325" t="s">
        <v>26</v>
      </c>
      <c r="G257" s="325" t="s">
        <v>26</v>
      </c>
      <c r="H257" s="325" t="s">
        <v>26</v>
      </c>
      <c r="I257" s="325" t="s">
        <v>26</v>
      </c>
      <c r="J257" s="325" t="s">
        <v>26</v>
      </c>
      <c r="K257" s="325" t="s">
        <v>26</v>
      </c>
      <c r="L257" s="325" t="s">
        <v>26</v>
      </c>
    </row>
    <row r="258" spans="1:12" ht="11.25" x14ac:dyDescent="0.2">
      <c r="A258" s="325"/>
      <c r="B258" s="24"/>
      <c r="C258" s="36"/>
      <c r="D258" s="325"/>
      <c r="E258" s="3"/>
      <c r="F258" s="3"/>
      <c r="G258" s="3"/>
      <c r="H258" s="3"/>
      <c r="I258" s="3"/>
      <c r="J258" s="3"/>
      <c r="K258" s="3"/>
      <c r="L258" s="3"/>
    </row>
    <row r="259" spans="1:12" ht="11.25" x14ac:dyDescent="0.2">
      <c r="A259" s="325">
        <v>1</v>
      </c>
      <c r="B259" s="24">
        <f>Input!A173</f>
        <v>381</v>
      </c>
      <c r="C259" s="3" t="str">
        <f>Input!B173</f>
        <v>METERS</v>
      </c>
      <c r="D259" s="325">
        <f>Input!C173</f>
        <v>16</v>
      </c>
      <c r="E259" s="3">
        <f>Classification!G259</f>
        <v>0</v>
      </c>
      <c r="F259" s="3">
        <f>ROUND((VLOOKUP($D259,'Alloc Table Comm'!$B$7:$T$56,13,FALSE)*$E259),0)</f>
        <v>0</v>
      </c>
      <c r="G259" s="3">
        <f>ROUND((VLOOKUP($D259,'Alloc Table Comm'!$B$7:$T$56,14,FALSE)*$E259),0)</f>
        <v>0</v>
      </c>
      <c r="H259" s="3">
        <f>ROUND((VLOOKUP($D259,'Alloc Table Comm'!$B$7:$T$56,15,FALSE)*$E259),0)</f>
        <v>0</v>
      </c>
      <c r="I259" s="3">
        <f>ROUND((VLOOKUP($D259,'Alloc Table Comm'!$B$7:$T$56,16,FALSE)*$E259),0)</f>
        <v>0</v>
      </c>
      <c r="J259" s="3">
        <f>ROUND((VLOOKUP($D259,'Alloc Table Comm'!$B$7:$T$56,17,FALSE)*$E259),0)</f>
        <v>0</v>
      </c>
      <c r="K259" s="3">
        <f>ROUND((VLOOKUP($D259,'Alloc Table Comm'!$B$7:$T$56,18,FALSE)*$E259),0)</f>
        <v>0</v>
      </c>
      <c r="L259" s="3">
        <f>ROUND((VLOOKUP($D259,'Alloc Table Comm'!$B$7:$T$56,19,FALSE)*$E259),0)</f>
        <v>0</v>
      </c>
    </row>
    <row r="260" spans="1:12" ht="11.25" x14ac:dyDescent="0.2">
      <c r="A260" s="325">
        <f t="shared" ref="A260:A271" si="37">A259+1</f>
        <v>2</v>
      </c>
      <c r="B260" s="24">
        <f>Input!A174</f>
        <v>382</v>
      </c>
      <c r="C260" s="3" t="str">
        <f>Input!B174</f>
        <v>METER INSTALLATIONS</v>
      </c>
      <c r="D260" s="325">
        <f>Input!C174</f>
        <v>16</v>
      </c>
      <c r="E260" s="3">
        <f>Classification!G260</f>
        <v>0</v>
      </c>
      <c r="F260" s="3">
        <f>ROUND((VLOOKUP($D260,'Alloc Table Comm'!$B$7:$T$56,13,FALSE)*$E260),0)</f>
        <v>0</v>
      </c>
      <c r="G260" s="3">
        <f>ROUND((VLOOKUP($D260,'Alloc Table Comm'!$B$7:$T$56,14,FALSE)*$E260),0)</f>
        <v>0</v>
      </c>
      <c r="H260" s="3">
        <f>ROUND((VLOOKUP($D260,'Alloc Table Comm'!$B$7:$T$56,15,FALSE)*$E260),0)</f>
        <v>0</v>
      </c>
      <c r="I260" s="3">
        <f>ROUND((VLOOKUP($D260,'Alloc Table Comm'!$B$7:$T$56,16,FALSE)*$E260),0)</f>
        <v>0</v>
      </c>
      <c r="J260" s="3">
        <f>ROUND((VLOOKUP($D260,'Alloc Table Comm'!$B$7:$T$56,17,FALSE)*$E260),0)</f>
        <v>0</v>
      </c>
      <c r="K260" s="3">
        <f>ROUND((VLOOKUP($D260,'Alloc Table Comm'!$B$7:$T$56,18,FALSE)*$E260),0)</f>
        <v>0</v>
      </c>
      <c r="L260" s="3">
        <f>ROUND((VLOOKUP($D260,'Alloc Table Comm'!$B$7:$T$56,19,FALSE)*$E260),0)</f>
        <v>0</v>
      </c>
    </row>
    <row r="261" spans="1:12" ht="11.25" x14ac:dyDescent="0.2">
      <c r="A261" s="325">
        <f t="shared" si="37"/>
        <v>3</v>
      </c>
      <c r="B261" s="24">
        <f>Input!A175</f>
        <v>383</v>
      </c>
      <c r="C261" s="3" t="str">
        <f>Input!B175</f>
        <v>HOUSE REGULATORS</v>
      </c>
      <c r="D261" s="325">
        <f>Input!C175</f>
        <v>16</v>
      </c>
      <c r="E261" s="3">
        <f>Classification!G261</f>
        <v>0</v>
      </c>
      <c r="F261" s="3">
        <f>ROUND((VLOOKUP($D261,'Alloc Table Comm'!$B$7:$T$56,13,FALSE)*$E261),0)</f>
        <v>0</v>
      </c>
      <c r="G261" s="3">
        <f>ROUND((VLOOKUP($D261,'Alloc Table Comm'!$B$7:$T$56,14,FALSE)*$E261),0)</f>
        <v>0</v>
      </c>
      <c r="H261" s="3">
        <f>ROUND((VLOOKUP($D261,'Alloc Table Comm'!$B$7:$T$56,15,FALSE)*$E261),0)</f>
        <v>0</v>
      </c>
      <c r="I261" s="3">
        <f>ROUND((VLOOKUP($D261,'Alloc Table Comm'!$B$7:$T$56,16,FALSE)*$E261),0)</f>
        <v>0</v>
      </c>
      <c r="J261" s="3">
        <f>ROUND((VLOOKUP($D261,'Alloc Table Comm'!$B$7:$T$56,17,FALSE)*$E261),0)</f>
        <v>0</v>
      </c>
      <c r="K261" s="3">
        <f>ROUND((VLOOKUP($D261,'Alloc Table Comm'!$B$7:$T$56,18,FALSE)*$E261),0)</f>
        <v>0</v>
      </c>
      <c r="L261" s="3">
        <f>ROUND((VLOOKUP($D261,'Alloc Table Comm'!$B$7:$T$56,19,FALSE)*$E261),0)</f>
        <v>0</v>
      </c>
    </row>
    <row r="262" spans="1:12" ht="11.25" x14ac:dyDescent="0.2">
      <c r="A262" s="325">
        <f t="shared" si="37"/>
        <v>4</v>
      </c>
      <c r="B262" s="24">
        <f>Input!A176</f>
        <v>384</v>
      </c>
      <c r="C262" s="3" t="str">
        <f>Input!B176</f>
        <v>HOUSE REG INSTALLATIONS</v>
      </c>
      <c r="D262" s="325">
        <f>Input!C176</f>
        <v>16</v>
      </c>
      <c r="E262" s="3">
        <f>Classification!G262</f>
        <v>0</v>
      </c>
      <c r="F262" s="3">
        <f>ROUND((VLOOKUP($D262,'Alloc Table Comm'!$B$7:$T$56,13,FALSE)*$E262),0)</f>
        <v>0</v>
      </c>
      <c r="G262" s="3">
        <f>ROUND((VLOOKUP($D262,'Alloc Table Comm'!$B$7:$T$56,14,FALSE)*$E262),0)</f>
        <v>0</v>
      </c>
      <c r="H262" s="3">
        <f>ROUND((VLOOKUP($D262,'Alloc Table Comm'!$B$7:$T$56,15,FALSE)*$E262),0)</f>
        <v>0</v>
      </c>
      <c r="I262" s="3">
        <f>ROUND((VLOOKUP($D262,'Alloc Table Comm'!$B$7:$T$56,16,FALSE)*$E262),0)</f>
        <v>0</v>
      </c>
      <c r="J262" s="3">
        <f>ROUND((VLOOKUP($D262,'Alloc Table Comm'!$B$7:$T$56,17,FALSE)*$E262),0)</f>
        <v>0</v>
      </c>
      <c r="K262" s="3">
        <f>ROUND((VLOOKUP($D262,'Alloc Table Comm'!$B$7:$T$56,18,FALSE)*$E262),0)</f>
        <v>0</v>
      </c>
      <c r="L262" s="3">
        <f>ROUND((VLOOKUP($D262,'Alloc Table Comm'!$B$7:$T$56,19,FALSE)*$E262),0)</f>
        <v>0</v>
      </c>
    </row>
    <row r="263" spans="1:12" ht="11.25" x14ac:dyDescent="0.2">
      <c r="A263" s="325">
        <f t="shared" si="37"/>
        <v>5</v>
      </c>
      <c r="B263" s="24">
        <f>Input!A177</f>
        <v>385</v>
      </c>
      <c r="C263" s="3" t="str">
        <f>Input!B177</f>
        <v>IND M&amp;R EQUIPMENT</v>
      </c>
      <c r="D263" s="325">
        <f>Input!C177</f>
        <v>17</v>
      </c>
      <c r="E263" s="3">
        <f>Classification!G263</f>
        <v>0</v>
      </c>
      <c r="F263" s="3">
        <f>ROUND((VLOOKUP($D263,'Alloc Table Comm'!$B$7:$T$56,13,FALSE)*$E263),0)</f>
        <v>0</v>
      </c>
      <c r="G263" s="3">
        <f>ROUND((VLOOKUP($D263,'Alloc Table Comm'!$B$7:$T$56,14,FALSE)*$E263),0)</f>
        <v>0</v>
      </c>
      <c r="H263" s="3">
        <f>ROUND((VLOOKUP($D263,'Alloc Table Comm'!$B$7:$T$56,15,FALSE)*$E263),0)</f>
        <v>0</v>
      </c>
      <c r="I263" s="3">
        <f>ROUND((VLOOKUP($D263,'Alloc Table Comm'!$B$7:$T$56,16,FALSE)*$E263),0)</f>
        <v>0</v>
      </c>
      <c r="J263" s="3">
        <f>ROUND((VLOOKUP($D263,'Alloc Table Comm'!$B$7:$T$56,17,FALSE)*$E263),0)</f>
        <v>0</v>
      </c>
      <c r="K263" s="3">
        <f>ROUND((VLOOKUP($D263,'Alloc Table Comm'!$B$7:$T$56,18,FALSE)*$E263),0)</f>
        <v>0</v>
      </c>
      <c r="L263" s="3">
        <f>ROUND((VLOOKUP($D263,'Alloc Table Comm'!$B$7:$T$56,19,FALSE)*$E263),0)</f>
        <v>0</v>
      </c>
    </row>
    <row r="264" spans="1:12" ht="11.25" x14ac:dyDescent="0.2">
      <c r="A264" s="325">
        <f t="shared" si="37"/>
        <v>6</v>
      </c>
      <c r="B264" s="24">
        <f>Input!A177</f>
        <v>385</v>
      </c>
      <c r="C264" s="3" t="str">
        <f>"DIRECT "&amp;+Input!B177</f>
        <v>DIRECT IND M&amp;R EQUIPMENT</v>
      </c>
      <c r="D264" s="325"/>
      <c r="E264" s="3">
        <f>Classification!G264</f>
        <v>0</v>
      </c>
      <c r="F264" s="3">
        <v>0</v>
      </c>
      <c r="G264" s="3">
        <v>0</v>
      </c>
      <c r="H264" s="3">
        <v>0</v>
      </c>
      <c r="I264" s="3">
        <f>E264</f>
        <v>0</v>
      </c>
      <c r="J264" s="3">
        <v>0</v>
      </c>
      <c r="K264" s="3">
        <v>0</v>
      </c>
      <c r="L264" s="3">
        <v>0</v>
      </c>
    </row>
    <row r="265" spans="1:12" ht="11.25" x14ac:dyDescent="0.2">
      <c r="A265" s="325">
        <f t="shared" si="37"/>
        <v>7</v>
      </c>
      <c r="B265" s="24">
        <f>Input!A178</f>
        <v>387.2</v>
      </c>
      <c r="C265" s="3" t="str">
        <f>Input!B178</f>
        <v>ODORIZATION</v>
      </c>
      <c r="D265" s="325" t="str">
        <f>VLOOKUP(Input!C178,'Alloc Table Comm'!$A$7:$B$27,2,FALSE)</f>
        <v>7COMM</v>
      </c>
      <c r="E265" s="3">
        <f>Classification!G265</f>
        <v>-17420</v>
      </c>
      <c r="F265" s="3">
        <f ca="1">ROUND((VLOOKUP($D265,'Alloc Table Comm'!$B$7:$T$56,13,FALSE)*$E265),0)</f>
        <v>-6789</v>
      </c>
      <c r="G265" s="3">
        <f ca="1">ROUND((VLOOKUP($D265,'Alloc Table Comm'!$B$7:$T$56,14,FALSE)*$E265),0)</f>
        <v>-4598</v>
      </c>
      <c r="H265" s="3">
        <f ca="1">ROUND((VLOOKUP($D265,'Alloc Table Comm'!$B$7:$T$56,15,FALSE)*$E265),0)</f>
        <v>-10</v>
      </c>
      <c r="I265" s="3">
        <f ca="1">ROUND((VLOOKUP($D265,'Alloc Table Comm'!$B$7:$T$56,16,FALSE)*$E265),0)</f>
        <v>-4</v>
      </c>
      <c r="J265" s="3">
        <f ca="1">ROUND((VLOOKUP($D265,'Alloc Table Comm'!$B$7:$T$56,17,FALSE)*$E265),0)</f>
        <v>-6019</v>
      </c>
      <c r="K265" s="3">
        <f ca="1">ROUND((VLOOKUP($D265,'Alloc Table Comm'!$B$7:$T$56,18,FALSE)*$E265),0)</f>
        <v>0</v>
      </c>
      <c r="L265" s="3">
        <f ca="1">ROUND((VLOOKUP($D265,'Alloc Table Comm'!$B$7:$T$56,19,FALSE)*$E265),0)</f>
        <v>0</v>
      </c>
    </row>
    <row r="266" spans="1:12" ht="11.25" x14ac:dyDescent="0.2">
      <c r="A266" s="325">
        <f t="shared" si="37"/>
        <v>8</v>
      </c>
      <c r="B266" s="24">
        <f>Input!A179</f>
        <v>387.41</v>
      </c>
      <c r="C266" s="3" t="str">
        <f>Input!B179</f>
        <v>TELEPHONE</v>
      </c>
      <c r="D266" s="325" t="str">
        <f>VLOOKUP(Input!C179,'Alloc Table Comm'!$A$7:$B$27,2,FALSE)</f>
        <v>7COMM</v>
      </c>
      <c r="E266" s="3">
        <f>Classification!G266</f>
        <v>116252</v>
      </c>
      <c r="F266" s="3">
        <f ca="1">ROUND((VLOOKUP($D266,'Alloc Table Comm'!$B$7:$T$56,13,FALSE)*$E266),0)</f>
        <v>45308</v>
      </c>
      <c r="G266" s="3">
        <f ca="1">ROUND((VLOOKUP($D266,'Alloc Table Comm'!$B$7:$T$56,14,FALSE)*$E266),0)</f>
        <v>30682</v>
      </c>
      <c r="H266" s="3">
        <f ca="1">ROUND((VLOOKUP($D266,'Alloc Table Comm'!$B$7:$T$56,15,FALSE)*$E266),0)</f>
        <v>66</v>
      </c>
      <c r="I266" s="3">
        <f ca="1">ROUND((VLOOKUP($D266,'Alloc Table Comm'!$B$7:$T$56,16,FALSE)*$E266),0)</f>
        <v>28</v>
      </c>
      <c r="J266" s="3">
        <f ca="1">ROUND((VLOOKUP($D266,'Alloc Table Comm'!$B$7:$T$56,17,FALSE)*$E266),0)</f>
        <v>40167</v>
      </c>
      <c r="K266" s="3">
        <f ca="1">ROUND((VLOOKUP($D266,'Alloc Table Comm'!$B$7:$T$56,18,FALSE)*$E266),0)</f>
        <v>0</v>
      </c>
      <c r="L266" s="3">
        <f ca="1">ROUND((VLOOKUP($D266,'Alloc Table Comm'!$B$7:$T$56,19,FALSE)*$E266),0)</f>
        <v>0</v>
      </c>
    </row>
    <row r="267" spans="1:12" ht="11.25" x14ac:dyDescent="0.2">
      <c r="A267" s="325">
        <f t="shared" si="37"/>
        <v>9</v>
      </c>
      <c r="B267" s="24">
        <f>Input!A180</f>
        <v>387.42</v>
      </c>
      <c r="C267" s="3" t="str">
        <f>Input!B180</f>
        <v>RADIO</v>
      </c>
      <c r="D267" s="325" t="str">
        <f>VLOOKUP(Input!C180,'Alloc Table Comm'!$A$7:$B$27,2,FALSE)</f>
        <v>7COMM</v>
      </c>
      <c r="E267" s="3">
        <f>Classification!G267</f>
        <v>164984</v>
      </c>
      <c r="F267" s="3">
        <f ca="1">ROUND((VLOOKUP($D267,'Alloc Table Comm'!$B$7:$T$56,13,FALSE)*$E267),0)</f>
        <v>64301</v>
      </c>
      <c r="G267" s="3">
        <f ca="1">ROUND((VLOOKUP($D267,'Alloc Table Comm'!$B$7:$T$56,14,FALSE)*$E267),0)</f>
        <v>43544</v>
      </c>
      <c r="H267" s="3">
        <f ca="1">ROUND((VLOOKUP($D267,'Alloc Table Comm'!$B$7:$T$56,15,FALSE)*$E267),0)</f>
        <v>94</v>
      </c>
      <c r="I267" s="3">
        <f ca="1">ROUND((VLOOKUP($D267,'Alloc Table Comm'!$B$7:$T$56,16,FALSE)*$E267),0)</f>
        <v>40</v>
      </c>
      <c r="J267" s="3">
        <f ca="1">ROUND((VLOOKUP($D267,'Alloc Table Comm'!$B$7:$T$56,17,FALSE)*$E267),0)</f>
        <v>57005</v>
      </c>
      <c r="K267" s="3">
        <f ca="1">ROUND((VLOOKUP($D267,'Alloc Table Comm'!$B$7:$T$56,18,FALSE)*$E267),0)</f>
        <v>0</v>
      </c>
      <c r="L267" s="3">
        <f ca="1">ROUND((VLOOKUP($D267,'Alloc Table Comm'!$B$7:$T$56,19,FALSE)*$E267),0)</f>
        <v>0</v>
      </c>
    </row>
    <row r="268" spans="1:12" ht="11.25" x14ac:dyDescent="0.2">
      <c r="A268" s="325">
        <f t="shared" si="37"/>
        <v>10</v>
      </c>
      <c r="B268" s="24">
        <f>Input!A181</f>
        <v>387.44</v>
      </c>
      <c r="C268" s="3" t="str">
        <f>Input!B181</f>
        <v>OTHER COMMUNICATION</v>
      </c>
      <c r="D268" s="325" t="str">
        <f>VLOOKUP(Input!C181,'Alloc Table Comm'!$A$7:$B$27,2,FALSE)</f>
        <v>7COMM</v>
      </c>
      <c r="E268" s="3">
        <f>Classification!G268</f>
        <v>14727</v>
      </c>
      <c r="F268" s="3">
        <f ca="1">ROUND((VLOOKUP($D268,'Alloc Table Comm'!$B$7:$T$56,13,FALSE)*$E268),0)</f>
        <v>5740</v>
      </c>
      <c r="G268" s="3">
        <f ca="1">ROUND((VLOOKUP($D268,'Alloc Table Comm'!$B$7:$T$56,14,FALSE)*$E268),0)</f>
        <v>3887</v>
      </c>
      <c r="H268" s="3">
        <f ca="1">ROUND((VLOOKUP($D268,'Alloc Table Comm'!$B$7:$T$56,15,FALSE)*$E268),0)</f>
        <v>8</v>
      </c>
      <c r="I268" s="3">
        <f ca="1">ROUND((VLOOKUP($D268,'Alloc Table Comm'!$B$7:$T$56,16,FALSE)*$E268),0)</f>
        <v>4</v>
      </c>
      <c r="J268" s="3">
        <f ca="1">ROUND((VLOOKUP($D268,'Alloc Table Comm'!$B$7:$T$56,17,FALSE)*$E268),0)</f>
        <v>5088</v>
      </c>
      <c r="K268" s="3">
        <f ca="1">ROUND((VLOOKUP($D268,'Alloc Table Comm'!$B$7:$T$56,18,FALSE)*$E268),0)</f>
        <v>0</v>
      </c>
      <c r="L268" s="3">
        <f ca="1">ROUND((VLOOKUP($D268,'Alloc Table Comm'!$B$7:$T$56,19,FALSE)*$E268),0)</f>
        <v>0</v>
      </c>
    </row>
    <row r="269" spans="1:12" ht="11.25" x14ac:dyDescent="0.2">
      <c r="A269" s="325">
        <f t="shared" si="37"/>
        <v>11</v>
      </c>
      <c r="B269" s="24">
        <f>Input!A182</f>
        <v>387.45</v>
      </c>
      <c r="C269" s="3" t="str">
        <f>Input!B182</f>
        <v>TELEMETERING</v>
      </c>
      <c r="D269" s="325" t="str">
        <f>VLOOKUP(Input!C182,'Alloc Table Comm'!$A$7:$B$27,2,FALSE)</f>
        <v>7COMM</v>
      </c>
      <c r="E269" s="3">
        <f>Classification!G269</f>
        <v>153964</v>
      </c>
      <c r="F269" s="3">
        <f ca="1">ROUND((VLOOKUP($D269,'Alloc Table Comm'!$B$7:$T$56,13,FALSE)*$E269),0)</f>
        <v>60006</v>
      </c>
      <c r="G269" s="3">
        <f ca="1">ROUND((VLOOKUP($D269,'Alloc Table Comm'!$B$7:$T$56,14,FALSE)*$E269),0)</f>
        <v>40636</v>
      </c>
      <c r="H269" s="3">
        <f ca="1">ROUND((VLOOKUP($D269,'Alloc Table Comm'!$B$7:$T$56,15,FALSE)*$E269),0)</f>
        <v>88</v>
      </c>
      <c r="I269" s="3">
        <f ca="1">ROUND((VLOOKUP($D269,'Alloc Table Comm'!$B$7:$T$56,16,FALSE)*$E269),0)</f>
        <v>37</v>
      </c>
      <c r="J269" s="3">
        <f ca="1">ROUND((VLOOKUP($D269,'Alloc Table Comm'!$B$7:$T$56,17,FALSE)*$E269),0)</f>
        <v>53198</v>
      </c>
      <c r="K269" s="3">
        <f ca="1">ROUND((VLOOKUP($D269,'Alloc Table Comm'!$B$7:$T$56,18,FALSE)*$E269),0)</f>
        <v>0</v>
      </c>
      <c r="L269" s="3">
        <f ca="1">ROUND((VLOOKUP($D269,'Alloc Table Comm'!$B$7:$T$56,19,FALSE)*$E269),0)</f>
        <v>0</v>
      </c>
    </row>
    <row r="270" spans="1:12" ht="11.25" x14ac:dyDescent="0.2">
      <c r="A270" s="325">
        <f t="shared" si="37"/>
        <v>12</v>
      </c>
      <c r="B270" s="24">
        <f>Input!A183</f>
        <v>387.46</v>
      </c>
      <c r="C270" s="3" t="str">
        <f>Input!B183</f>
        <v>CIS</v>
      </c>
      <c r="D270" s="325" t="str">
        <f>VLOOKUP(Input!C183,'Alloc Table Comm'!$A$7:$B$27,2,FALSE)</f>
        <v>7COMM</v>
      </c>
      <c r="E270" s="26">
        <f>Classification!G270</f>
        <v>33251</v>
      </c>
      <c r="F270" s="26">
        <f ca="1">ROUND((VLOOKUP($D270,'Alloc Table Comm'!$B$7:$T$56,13,FALSE)*$E270),0)</f>
        <v>12959</v>
      </c>
      <c r="G270" s="26">
        <f ca="1">ROUND((VLOOKUP($D270,'Alloc Table Comm'!$B$7:$T$56,14,FALSE)*$E270),0)</f>
        <v>8776</v>
      </c>
      <c r="H270" s="26">
        <f ca="1">ROUND((VLOOKUP($D270,'Alloc Table Comm'!$B$7:$T$56,15,FALSE)*$E270),0)</f>
        <v>19</v>
      </c>
      <c r="I270" s="26">
        <f ca="1">ROUND((VLOOKUP($D270,'Alloc Table Comm'!$B$7:$T$56,16,FALSE)*$E270),0)</f>
        <v>8</v>
      </c>
      <c r="J270" s="26">
        <f ca="1">ROUND((VLOOKUP($D270,'Alloc Table Comm'!$B$7:$T$56,17,FALSE)*$E270),0)</f>
        <v>11489</v>
      </c>
      <c r="K270" s="26">
        <f ca="1">ROUND((VLOOKUP($D270,'Alloc Table Comm'!$B$7:$T$56,18,FALSE)*$E270),0)</f>
        <v>0</v>
      </c>
      <c r="L270" s="26">
        <f ca="1">ROUND((VLOOKUP($D270,'Alloc Table Comm'!$B$7:$T$56,19,FALSE)*$E270),0)</f>
        <v>0</v>
      </c>
    </row>
    <row r="271" spans="1:12" ht="11.25" x14ac:dyDescent="0.2">
      <c r="A271" s="325">
        <f t="shared" si="37"/>
        <v>13</v>
      </c>
      <c r="B271" s="3"/>
      <c r="C271" s="3" t="s">
        <v>84</v>
      </c>
      <c r="D271" s="325"/>
      <c r="E271" s="3">
        <f>SUM(Commodity!E231:E250)+SUM(E259:E270)</f>
        <v>33796402</v>
      </c>
      <c r="F271" s="3">
        <f ca="1">SUM(Commodity!F231:F250)+SUM(F259:F270)</f>
        <v>13172752</v>
      </c>
      <c r="G271" s="3">
        <f ca="1">SUM(Commodity!G231:G250)+SUM(G259:G270)</f>
        <v>8920273</v>
      </c>
      <c r="H271" s="3">
        <f ca="1">SUM(Commodity!H231:H250)+SUM(H259:H270)</f>
        <v>19260</v>
      </c>
      <c r="I271" s="3">
        <f ca="1">SUM(Commodity!I231:I250)+SUM(I259:I270)</f>
        <v>6228</v>
      </c>
      <c r="J271" s="3">
        <f ca="1">SUM(Commodity!J231:J250)+SUM(J259:J270)</f>
        <v>11677888</v>
      </c>
      <c r="K271" s="3">
        <f ca="1">SUM(Commodity!K231:K250)+SUM(K259:K270)</f>
        <v>0</v>
      </c>
      <c r="L271" s="3">
        <f ca="1">SUM(Commodity!L231:L250)+SUM(L259:L270)</f>
        <v>0</v>
      </c>
    </row>
    <row r="272" spans="1:12" ht="11.25" x14ac:dyDescent="0.2">
      <c r="A272" s="325"/>
      <c r="B272" s="3"/>
      <c r="C272" s="3"/>
      <c r="D272" s="325"/>
      <c r="E272" s="3"/>
      <c r="F272" s="3"/>
      <c r="G272" s="3"/>
      <c r="H272" s="3"/>
      <c r="I272" s="3"/>
      <c r="J272" s="3"/>
      <c r="K272" s="3"/>
      <c r="L272" s="3"/>
    </row>
    <row r="273" spans="1:12" ht="11.25" x14ac:dyDescent="0.2">
      <c r="A273" s="325">
        <f>A271+1</f>
        <v>14</v>
      </c>
      <c r="B273" s="3"/>
      <c r="C273" s="24" t="str">
        <f>Input!A186</f>
        <v>GENERAL PLANT</v>
      </c>
      <c r="D273" s="325"/>
      <c r="E273" s="3"/>
      <c r="F273" s="3"/>
      <c r="G273" s="3"/>
      <c r="H273" s="3"/>
      <c r="I273" s="3"/>
      <c r="J273" s="3"/>
      <c r="K273" s="3"/>
      <c r="L273" s="3"/>
    </row>
    <row r="274" spans="1:12" ht="11.25" x14ac:dyDescent="0.2">
      <c r="A274" s="325"/>
      <c r="B274" s="3"/>
      <c r="C274" s="3"/>
      <c r="D274" s="325"/>
      <c r="E274" s="3"/>
      <c r="F274" s="3"/>
      <c r="G274" s="3"/>
      <c r="H274" s="3"/>
      <c r="I274" s="3"/>
      <c r="J274" s="3"/>
      <c r="K274" s="3"/>
      <c r="L274" s="3"/>
    </row>
    <row r="275" spans="1:12" ht="11.25" x14ac:dyDescent="0.2">
      <c r="A275" s="325">
        <f>A273+1</f>
        <v>15</v>
      </c>
      <c r="B275" s="24">
        <f>Input!A187</f>
        <v>391.1</v>
      </c>
      <c r="C275" s="3" t="str">
        <f>Input!B187</f>
        <v>OFF FURN &amp; EQUIP - UNSPEC</v>
      </c>
      <c r="D275" s="325" t="str">
        <f>VLOOKUP(Input!C187,'Alloc Table Comm'!$A$7:$B$27,2,FALSE)</f>
        <v>7COMM</v>
      </c>
      <c r="E275" s="3">
        <f>Classification!G275</f>
        <v>-9667</v>
      </c>
      <c r="F275" s="3">
        <f ca="1">ROUND((VLOOKUP($D275,'Alloc Table Comm'!$B$7:$T$56,13,FALSE)*$E275),0)</f>
        <v>-3768</v>
      </c>
      <c r="G275" s="3">
        <f ca="1">ROUND((VLOOKUP($D275,'Alloc Table Comm'!$B$7:$T$56,14,FALSE)*$E275),0)</f>
        <v>-2551</v>
      </c>
      <c r="H275" s="3">
        <f ca="1">ROUND((VLOOKUP($D275,'Alloc Table Comm'!$B$7:$T$56,15,FALSE)*$E275),0)</f>
        <v>-6</v>
      </c>
      <c r="I275" s="3">
        <f ca="1">ROUND((VLOOKUP($D275,'Alloc Table Comm'!$B$7:$T$56,16,FALSE)*$E275),0)</f>
        <v>-2</v>
      </c>
      <c r="J275" s="3">
        <f ca="1">ROUND((VLOOKUP($D275,'Alloc Table Comm'!$B$7:$T$56,17,FALSE)*$E275),0)</f>
        <v>-3340</v>
      </c>
      <c r="K275" s="3">
        <f ca="1">ROUND((VLOOKUP($D275,'Alloc Table Comm'!$B$7:$T$56,18,FALSE)*$E275),0)</f>
        <v>0</v>
      </c>
      <c r="L275" s="3">
        <f ca="1">ROUND((VLOOKUP($D275,'Alloc Table Comm'!$B$7:$T$56,19,FALSE)*$E275),0)</f>
        <v>0</v>
      </c>
    </row>
    <row r="276" spans="1:12" ht="11.25" x14ac:dyDescent="0.2">
      <c r="A276" s="325">
        <f t="shared" ref="A276:A289" si="38">A275+1</f>
        <v>16</v>
      </c>
      <c r="B276" s="24">
        <f>Input!A188</f>
        <v>391.11</v>
      </c>
      <c r="C276" s="3" t="str">
        <f>Input!B188</f>
        <v>OFF FURN &amp; EQUIP - DATA HAND</v>
      </c>
      <c r="D276" s="325" t="str">
        <f>VLOOKUP(Input!C188,'Alloc Table Comm'!$A$7:$B$27,2,FALSE)</f>
        <v>7COMM</v>
      </c>
      <c r="E276" s="3">
        <f>Classification!G276</f>
        <v>-3302</v>
      </c>
      <c r="F276" s="3">
        <f ca="1">ROUND((VLOOKUP($D276,'Alloc Table Comm'!$B$7:$T$56,13,FALSE)*$E276),0)</f>
        <v>-1287</v>
      </c>
      <c r="G276" s="3">
        <f ca="1">ROUND((VLOOKUP($D276,'Alloc Table Comm'!$B$7:$T$56,14,FALSE)*$E276),0)</f>
        <v>-871</v>
      </c>
      <c r="H276" s="3">
        <f ca="1">ROUND((VLOOKUP($D276,'Alloc Table Comm'!$B$7:$T$56,15,FALSE)*$E276),0)</f>
        <v>-2</v>
      </c>
      <c r="I276" s="3">
        <f ca="1">ROUND((VLOOKUP($D276,'Alloc Table Comm'!$B$7:$T$56,16,FALSE)*$E276),0)</f>
        <v>-1</v>
      </c>
      <c r="J276" s="3">
        <f ca="1">ROUND((VLOOKUP($D276,'Alloc Table Comm'!$B$7:$T$56,17,FALSE)*$E276),0)</f>
        <v>-1141</v>
      </c>
      <c r="K276" s="3">
        <f ca="1">ROUND((VLOOKUP($D276,'Alloc Table Comm'!$B$7:$T$56,18,FALSE)*$E276),0)</f>
        <v>0</v>
      </c>
      <c r="L276" s="3">
        <f ca="1">ROUND((VLOOKUP($D276,'Alloc Table Comm'!$B$7:$T$56,19,FALSE)*$E276),0)</f>
        <v>0</v>
      </c>
    </row>
    <row r="277" spans="1:12" ht="11.25" x14ac:dyDescent="0.2">
      <c r="A277" s="325">
        <f t="shared" si="38"/>
        <v>17</v>
      </c>
      <c r="B277" s="24">
        <f>Input!A189</f>
        <v>391.12</v>
      </c>
      <c r="C277" s="3" t="str">
        <f>Input!B189</f>
        <v>OFF FURN &amp; EQUIP - INFO SYSTEM</v>
      </c>
      <c r="D277" s="325" t="str">
        <f>VLOOKUP(Input!C189,'Alloc Table Comm'!$A$7:$B$27,2,FALSE)</f>
        <v>7COMM</v>
      </c>
      <c r="E277" s="3">
        <f>Classification!G277</f>
        <v>218112</v>
      </c>
      <c r="F277" s="3">
        <f ca="1">ROUND((VLOOKUP($D277,'Alloc Table Comm'!$B$7:$T$56,13,FALSE)*$E277),0)</f>
        <v>85007</v>
      </c>
      <c r="G277" s="3">
        <f ca="1">ROUND((VLOOKUP($D277,'Alloc Table Comm'!$B$7:$T$56,14,FALSE)*$E277),0)</f>
        <v>57566</v>
      </c>
      <c r="H277" s="3">
        <f ca="1">ROUND((VLOOKUP($D277,'Alloc Table Comm'!$B$7:$T$56,15,FALSE)*$E277),0)</f>
        <v>124</v>
      </c>
      <c r="I277" s="3">
        <f ca="1">ROUND((VLOOKUP($D277,'Alloc Table Comm'!$B$7:$T$56,16,FALSE)*$E277),0)</f>
        <v>52</v>
      </c>
      <c r="J277" s="3">
        <f ca="1">ROUND((VLOOKUP($D277,'Alloc Table Comm'!$B$7:$T$56,17,FALSE)*$E277),0)</f>
        <v>75362</v>
      </c>
      <c r="K277" s="3">
        <f ca="1">ROUND((VLOOKUP($D277,'Alloc Table Comm'!$B$7:$T$56,18,FALSE)*$E277),0)</f>
        <v>0</v>
      </c>
      <c r="L277" s="3">
        <f ca="1">ROUND((VLOOKUP($D277,'Alloc Table Comm'!$B$7:$T$56,19,FALSE)*$E277),0)</f>
        <v>0</v>
      </c>
    </row>
    <row r="278" spans="1:12" ht="11.25" x14ac:dyDescent="0.2">
      <c r="A278" s="325">
        <f t="shared" si="38"/>
        <v>18</v>
      </c>
      <c r="B278" s="24">
        <f>Input!A190</f>
        <v>392.2</v>
      </c>
      <c r="C278" s="3" t="str">
        <f>Input!B190</f>
        <v>TR EQ - TRAILER &gt; $1,000</v>
      </c>
      <c r="D278" s="325" t="str">
        <f>VLOOKUP(Input!C190,'Alloc Table Comm'!$A$7:$B$27,2,FALSE)</f>
        <v>7COMM</v>
      </c>
      <c r="E278" s="3">
        <f>Classification!G278</f>
        <v>7861</v>
      </c>
      <c r="F278" s="3">
        <f ca="1">ROUND((VLOOKUP($D278,'Alloc Table Comm'!$B$7:$T$56,13,FALSE)*$E278),0)</f>
        <v>3064</v>
      </c>
      <c r="G278" s="3">
        <f ca="1">ROUND((VLOOKUP($D278,'Alloc Table Comm'!$B$7:$T$56,14,FALSE)*$E278),0)</f>
        <v>2075</v>
      </c>
      <c r="H278" s="3">
        <f ca="1">ROUND((VLOOKUP($D278,'Alloc Table Comm'!$B$7:$T$56,15,FALSE)*$E278),0)</f>
        <v>4</v>
      </c>
      <c r="I278" s="3">
        <f ca="1">ROUND((VLOOKUP($D278,'Alloc Table Comm'!$B$7:$T$56,16,FALSE)*$E278),0)</f>
        <v>2</v>
      </c>
      <c r="J278" s="3">
        <f ca="1">ROUND((VLOOKUP($D278,'Alloc Table Comm'!$B$7:$T$56,17,FALSE)*$E278),0)</f>
        <v>2716</v>
      </c>
      <c r="K278" s="3">
        <f ca="1">ROUND((VLOOKUP($D278,'Alloc Table Comm'!$B$7:$T$56,18,FALSE)*$E278),0)</f>
        <v>0</v>
      </c>
      <c r="L278" s="3">
        <f ca="1">ROUND((VLOOKUP($D278,'Alloc Table Comm'!$B$7:$T$56,19,FALSE)*$E278),0)</f>
        <v>0</v>
      </c>
    </row>
    <row r="279" spans="1:12" ht="11.25" x14ac:dyDescent="0.2">
      <c r="A279" s="325">
        <f t="shared" si="38"/>
        <v>19</v>
      </c>
      <c r="B279" s="24">
        <f>Input!A191</f>
        <v>392.21</v>
      </c>
      <c r="C279" s="3" t="str">
        <f>Input!B191</f>
        <v>TR EQ - TRAILER &lt; $1,000</v>
      </c>
      <c r="D279" s="325" t="str">
        <f>VLOOKUP(Input!C191,'Alloc Table Comm'!$A$7:$B$27,2,FALSE)</f>
        <v>7COMM</v>
      </c>
      <c r="E279" s="3">
        <f>Classification!G279</f>
        <v>1834</v>
      </c>
      <c r="F279" s="3">
        <f ca="1">ROUND((VLOOKUP($D279,'Alloc Table Comm'!$B$7:$T$56,13,FALSE)*$E279),0)</f>
        <v>715</v>
      </c>
      <c r="G279" s="3">
        <f ca="1">ROUND((VLOOKUP($D279,'Alloc Table Comm'!$B$7:$T$56,14,FALSE)*$E279),0)</f>
        <v>484</v>
      </c>
      <c r="H279" s="3">
        <f ca="1">ROUND((VLOOKUP($D279,'Alloc Table Comm'!$B$7:$T$56,15,FALSE)*$E279),0)</f>
        <v>1</v>
      </c>
      <c r="I279" s="3">
        <f ca="1">ROUND((VLOOKUP($D279,'Alloc Table Comm'!$B$7:$T$56,16,FALSE)*$E279),0)</f>
        <v>0</v>
      </c>
      <c r="J279" s="3">
        <f ca="1">ROUND((VLOOKUP($D279,'Alloc Table Comm'!$B$7:$T$56,17,FALSE)*$E279),0)</f>
        <v>634</v>
      </c>
      <c r="K279" s="3">
        <f ca="1">ROUND((VLOOKUP($D279,'Alloc Table Comm'!$B$7:$T$56,18,FALSE)*$E279),0)</f>
        <v>0</v>
      </c>
      <c r="L279" s="3">
        <f ca="1">ROUND((VLOOKUP($D279,'Alloc Table Comm'!$B$7:$T$56,19,FALSE)*$E279),0)</f>
        <v>0</v>
      </c>
    </row>
    <row r="280" spans="1:12" ht="11.25" x14ac:dyDescent="0.2">
      <c r="A280" s="325">
        <f t="shared" si="38"/>
        <v>20</v>
      </c>
      <c r="B280" s="24">
        <f>Input!A192</f>
        <v>394.1</v>
      </c>
      <c r="C280" s="3" t="str">
        <f>Input!B192</f>
        <v>TOOLS,SHOP, &amp; GAR EQ-GARAGE &amp; SERV</v>
      </c>
      <c r="D280" s="325" t="str">
        <f>VLOOKUP(Input!C192,'Alloc Table Comm'!$A$7:$B$27,2,FALSE)</f>
        <v>7COMM</v>
      </c>
      <c r="E280" s="3">
        <f>Classification!G280</f>
        <v>4389</v>
      </c>
      <c r="F280" s="3">
        <f ca="1">ROUND((VLOOKUP($D280,'Alloc Table Comm'!$B$7:$T$56,13,FALSE)*$E280),0)</f>
        <v>1711</v>
      </c>
      <c r="G280" s="3">
        <f ca="1">ROUND((VLOOKUP($D280,'Alloc Table Comm'!$B$7:$T$56,14,FALSE)*$E280),0)</f>
        <v>1158</v>
      </c>
      <c r="H280" s="3">
        <f ca="1">ROUND((VLOOKUP($D280,'Alloc Table Comm'!$B$7:$T$56,15,FALSE)*$E280),0)</f>
        <v>3</v>
      </c>
      <c r="I280" s="3">
        <f ca="1">ROUND((VLOOKUP($D280,'Alloc Table Comm'!$B$7:$T$56,16,FALSE)*$E280),0)</f>
        <v>1</v>
      </c>
      <c r="J280" s="3">
        <f ca="1">ROUND((VLOOKUP($D280,'Alloc Table Comm'!$B$7:$T$56,17,FALSE)*$E280),0)</f>
        <v>1516</v>
      </c>
      <c r="K280" s="3">
        <f ca="1">ROUND((VLOOKUP($D280,'Alloc Table Comm'!$B$7:$T$56,18,FALSE)*$E280),0)</f>
        <v>0</v>
      </c>
      <c r="L280" s="3">
        <f ca="1">ROUND((VLOOKUP($D280,'Alloc Table Comm'!$B$7:$T$56,19,FALSE)*$E280),0)</f>
        <v>0</v>
      </c>
    </row>
    <row r="281" spans="1:12" ht="11.25" x14ac:dyDescent="0.2">
      <c r="A281" s="325">
        <f t="shared" si="38"/>
        <v>21</v>
      </c>
      <c r="B281" s="24">
        <f>Input!A193</f>
        <v>394.13</v>
      </c>
      <c r="C281" s="3" t="str">
        <f>Input!B193</f>
        <v>TOOLS,SHOP, &amp; GAR EQ-UND TANK CLEANUP</v>
      </c>
      <c r="D281" s="325" t="str">
        <f>VLOOKUP(Input!C193,'Alloc Table Comm'!$A$7:$B$27,2,FALSE)</f>
        <v>7COMM</v>
      </c>
      <c r="E281" s="3">
        <f>Classification!G281</f>
        <v>11031</v>
      </c>
      <c r="F281" s="3">
        <f ca="1">ROUND((VLOOKUP($D281,'Alloc Table Comm'!$B$7:$T$56,13,FALSE)*$E281),0)</f>
        <v>4299</v>
      </c>
      <c r="G281" s="3">
        <f ca="1">ROUND((VLOOKUP($D281,'Alloc Table Comm'!$B$7:$T$56,14,FALSE)*$E281),0)</f>
        <v>2911</v>
      </c>
      <c r="H281" s="3">
        <f ca="1">ROUND((VLOOKUP($D281,'Alloc Table Comm'!$B$7:$T$56,15,FALSE)*$E281),0)</f>
        <v>6</v>
      </c>
      <c r="I281" s="3">
        <f ca="1">ROUND((VLOOKUP($D281,'Alloc Table Comm'!$B$7:$T$56,16,FALSE)*$E281),0)</f>
        <v>3</v>
      </c>
      <c r="J281" s="3">
        <f ca="1">ROUND((VLOOKUP($D281,'Alloc Table Comm'!$B$7:$T$56,17,FALSE)*$E281),0)</f>
        <v>3811</v>
      </c>
      <c r="K281" s="3">
        <f ca="1">ROUND((VLOOKUP($D281,'Alloc Table Comm'!$B$7:$T$56,18,FALSE)*$E281),0)</f>
        <v>0</v>
      </c>
      <c r="L281" s="3">
        <f ca="1">ROUND((VLOOKUP($D281,'Alloc Table Comm'!$B$7:$T$56,19,FALSE)*$E281),0)</f>
        <v>0</v>
      </c>
    </row>
    <row r="282" spans="1:12" ht="11.25" x14ac:dyDescent="0.2">
      <c r="A282" s="325">
        <f t="shared" si="38"/>
        <v>22</v>
      </c>
      <c r="B282" s="24">
        <f>Input!A194</f>
        <v>393</v>
      </c>
      <c r="C282" s="3" t="str">
        <f>Input!B194</f>
        <v>STORES EQUIPMENT</v>
      </c>
      <c r="D282" s="325" t="str">
        <f>VLOOKUP(Input!C194,'Alloc Table Comm'!$A$7:$B$27,2,FALSE)</f>
        <v>7COMM</v>
      </c>
      <c r="E282" s="3">
        <f>Classification!G282</f>
        <v>0</v>
      </c>
      <c r="F282" s="3">
        <f ca="1">ROUND((VLOOKUP($D282,'Alloc Table Comm'!$B$7:$T$56,13,FALSE)*$E282),0)</f>
        <v>0</v>
      </c>
      <c r="G282" s="3">
        <f ca="1">ROUND((VLOOKUP($D282,'Alloc Table Comm'!$B$7:$T$56,14,FALSE)*$E282),0)</f>
        <v>0</v>
      </c>
      <c r="H282" s="3">
        <f ca="1">ROUND((VLOOKUP($D282,'Alloc Table Comm'!$B$7:$T$56,15,FALSE)*$E282),0)</f>
        <v>0</v>
      </c>
      <c r="I282" s="3">
        <f ca="1">ROUND((VLOOKUP($D282,'Alloc Table Comm'!$B$7:$T$56,16,FALSE)*$E282),0)</f>
        <v>0</v>
      </c>
      <c r="J282" s="3">
        <f ca="1">ROUND((VLOOKUP($D282,'Alloc Table Comm'!$B$7:$T$56,17,FALSE)*$E282),0)</f>
        <v>0</v>
      </c>
      <c r="K282" s="3">
        <f ca="1">ROUND((VLOOKUP($D282,'Alloc Table Comm'!$B$7:$T$56,18,FALSE)*$E282),0)</f>
        <v>0</v>
      </c>
      <c r="L282" s="3">
        <f ca="1">ROUND((VLOOKUP($D282,'Alloc Table Comm'!$B$7:$T$56,19,FALSE)*$E282),0)</f>
        <v>0</v>
      </c>
    </row>
    <row r="283" spans="1:12" ht="11.25" x14ac:dyDescent="0.2">
      <c r="A283" s="325">
        <f t="shared" si="38"/>
        <v>23</v>
      </c>
      <c r="B283" s="24">
        <f>Input!A195</f>
        <v>394.2</v>
      </c>
      <c r="C283" s="3" t="str">
        <f>Input!B195</f>
        <v>SHOP EQUIPMENT</v>
      </c>
      <c r="D283" s="325" t="str">
        <f>VLOOKUP(Input!C195,'Alloc Table Comm'!$A$7:$B$27,2,FALSE)</f>
        <v>7COMM</v>
      </c>
      <c r="E283" s="3">
        <f>Classification!G283</f>
        <v>54</v>
      </c>
      <c r="F283" s="3">
        <f ca="1">ROUND((VLOOKUP($D283,'Alloc Table Comm'!$B$7:$T$56,13,FALSE)*$E283),0)</f>
        <v>21</v>
      </c>
      <c r="G283" s="3">
        <f ca="1">ROUND((VLOOKUP($D283,'Alloc Table Comm'!$B$7:$T$56,14,FALSE)*$E283),0)</f>
        <v>14</v>
      </c>
      <c r="H283" s="3">
        <f ca="1">ROUND((VLOOKUP($D283,'Alloc Table Comm'!$B$7:$T$56,15,FALSE)*$E283),0)</f>
        <v>0</v>
      </c>
      <c r="I283" s="3">
        <f ca="1">ROUND((VLOOKUP($D283,'Alloc Table Comm'!$B$7:$T$56,16,FALSE)*$E283),0)</f>
        <v>0</v>
      </c>
      <c r="J283" s="3">
        <f ca="1">ROUND((VLOOKUP($D283,'Alloc Table Comm'!$B$7:$T$56,17,FALSE)*$E283),0)</f>
        <v>19</v>
      </c>
      <c r="K283" s="3">
        <f ca="1">ROUND((VLOOKUP($D283,'Alloc Table Comm'!$B$7:$T$56,18,FALSE)*$E283),0)</f>
        <v>0</v>
      </c>
      <c r="L283" s="3">
        <f ca="1">ROUND((VLOOKUP($D283,'Alloc Table Comm'!$B$7:$T$56,19,FALSE)*$E283),0)</f>
        <v>0</v>
      </c>
    </row>
    <row r="284" spans="1:12" ht="11.25" x14ac:dyDescent="0.2">
      <c r="A284" s="325">
        <f t="shared" si="38"/>
        <v>24</v>
      </c>
      <c r="B284" s="24">
        <f>Input!A196</f>
        <v>394.3</v>
      </c>
      <c r="C284" s="3" t="str">
        <f>Input!B196</f>
        <v>TOOLS &amp; OTHER EQUIPMENT</v>
      </c>
      <c r="D284" s="325" t="str">
        <f>VLOOKUP(Input!C196,'Alloc Table Comm'!$A$7:$B$27,2,FALSE)</f>
        <v>7COMM</v>
      </c>
      <c r="E284" s="3">
        <f>Classification!G284</f>
        <v>387591</v>
      </c>
      <c r="F284" s="3">
        <f ca="1">ROUND((VLOOKUP($D284,'Alloc Table Comm'!$B$7:$T$56,13,FALSE)*$E284),0)</f>
        <v>151060</v>
      </c>
      <c r="G284" s="3">
        <f ca="1">ROUND((VLOOKUP($D284,'Alloc Table Comm'!$B$7:$T$56,14,FALSE)*$E284),0)</f>
        <v>102297</v>
      </c>
      <c r="H284" s="3">
        <f ca="1">ROUND((VLOOKUP($D284,'Alloc Table Comm'!$B$7:$T$56,15,FALSE)*$E284),0)</f>
        <v>221</v>
      </c>
      <c r="I284" s="3">
        <f ca="1">ROUND((VLOOKUP($D284,'Alloc Table Comm'!$B$7:$T$56,16,FALSE)*$E284),0)</f>
        <v>93</v>
      </c>
      <c r="J284" s="3">
        <f ca="1">ROUND((VLOOKUP($D284,'Alloc Table Comm'!$B$7:$T$56,17,FALSE)*$E284),0)</f>
        <v>133920</v>
      </c>
      <c r="K284" s="3">
        <f ca="1">ROUND((VLOOKUP($D284,'Alloc Table Comm'!$B$7:$T$56,18,FALSE)*$E284),0)</f>
        <v>0</v>
      </c>
      <c r="L284" s="3">
        <f ca="1">ROUND((VLOOKUP($D284,'Alloc Table Comm'!$B$7:$T$56,19,FALSE)*$E284),0)</f>
        <v>0</v>
      </c>
    </row>
    <row r="285" spans="1:12" ht="11.25" x14ac:dyDescent="0.2">
      <c r="A285" s="325">
        <f t="shared" si="38"/>
        <v>25</v>
      </c>
      <c r="B285" s="24">
        <f>Input!A197</f>
        <v>395</v>
      </c>
      <c r="C285" s="3" t="str">
        <f>Input!B197</f>
        <v>LABORATORY EQUIPMENT</v>
      </c>
      <c r="D285" s="325" t="str">
        <f>VLOOKUP(Input!C197,'Alloc Table Comm'!$A$7:$B$27,2,FALSE)</f>
        <v>7COMM</v>
      </c>
      <c r="E285" s="3">
        <f>Classification!G285</f>
        <v>2257</v>
      </c>
      <c r="F285" s="3">
        <f ca="1">ROUND((VLOOKUP($D285,'Alloc Table Comm'!$B$7:$T$56,13,FALSE)*$E285),0)</f>
        <v>880</v>
      </c>
      <c r="G285" s="3">
        <f ca="1">ROUND((VLOOKUP($D285,'Alloc Table Comm'!$B$7:$T$56,14,FALSE)*$E285),0)</f>
        <v>596</v>
      </c>
      <c r="H285" s="3">
        <f ca="1">ROUND((VLOOKUP($D285,'Alloc Table Comm'!$B$7:$T$56,15,FALSE)*$E285),0)</f>
        <v>1</v>
      </c>
      <c r="I285" s="3">
        <f ca="1">ROUND((VLOOKUP($D285,'Alloc Table Comm'!$B$7:$T$56,16,FALSE)*$E285),0)</f>
        <v>1</v>
      </c>
      <c r="J285" s="3">
        <f ca="1">ROUND((VLOOKUP($D285,'Alloc Table Comm'!$B$7:$T$56,17,FALSE)*$E285),0)</f>
        <v>780</v>
      </c>
      <c r="K285" s="3">
        <f ca="1">ROUND((VLOOKUP($D285,'Alloc Table Comm'!$B$7:$T$56,18,FALSE)*$E285),0)</f>
        <v>0</v>
      </c>
      <c r="L285" s="3">
        <f ca="1">ROUND((VLOOKUP($D285,'Alloc Table Comm'!$B$7:$T$56,19,FALSE)*$E285),0)</f>
        <v>0</v>
      </c>
    </row>
    <row r="286" spans="1:12" ht="11.25" x14ac:dyDescent="0.2">
      <c r="A286" s="325">
        <f t="shared" si="38"/>
        <v>26</v>
      </c>
      <c r="B286" s="24">
        <f>Input!A198</f>
        <v>396</v>
      </c>
      <c r="C286" s="3" t="str">
        <f>Input!B198</f>
        <v>POWER OP EQUIP-GEN TOOLS</v>
      </c>
      <c r="D286" s="325" t="str">
        <f>VLOOKUP(Input!C198,'Alloc Table Comm'!$A$7:$B$27,2,FALSE)</f>
        <v>7COMM</v>
      </c>
      <c r="E286" s="3">
        <f>Classification!G286</f>
        <v>58908</v>
      </c>
      <c r="F286" s="3">
        <f ca="1">ROUND((VLOOKUP($D286,'Alloc Table Comm'!$B$7:$T$56,13,FALSE)*$E286),0)</f>
        <v>22959</v>
      </c>
      <c r="G286" s="3">
        <f ca="1">ROUND((VLOOKUP($D286,'Alloc Table Comm'!$B$7:$T$56,14,FALSE)*$E286),0)</f>
        <v>15548</v>
      </c>
      <c r="H286" s="3">
        <f ca="1">ROUND((VLOOKUP($D286,'Alloc Table Comm'!$B$7:$T$56,15,FALSE)*$E286),0)</f>
        <v>34</v>
      </c>
      <c r="I286" s="3">
        <f ca="1">ROUND((VLOOKUP($D286,'Alloc Table Comm'!$B$7:$T$56,16,FALSE)*$E286),0)</f>
        <v>14</v>
      </c>
      <c r="J286" s="3">
        <f ca="1">ROUND((VLOOKUP($D286,'Alloc Table Comm'!$B$7:$T$56,17,FALSE)*$E286),0)</f>
        <v>20354</v>
      </c>
      <c r="K286" s="3">
        <f ca="1">ROUND((VLOOKUP($D286,'Alloc Table Comm'!$B$7:$T$56,18,FALSE)*$E286),0)</f>
        <v>0</v>
      </c>
      <c r="L286" s="3">
        <f ca="1">ROUND((VLOOKUP($D286,'Alloc Table Comm'!$B$7:$T$56,19,FALSE)*$E286),0)</f>
        <v>0</v>
      </c>
    </row>
    <row r="287" spans="1:12" ht="11.25" x14ac:dyDescent="0.2">
      <c r="A287" s="325">
        <f t="shared" si="38"/>
        <v>27</v>
      </c>
      <c r="B287" s="24"/>
      <c r="C287" s="3" t="str">
        <f>Input!B199</f>
        <v>RETIREMENT WORK IN PROGRESS</v>
      </c>
      <c r="D287" s="325" t="str">
        <f>VLOOKUP(Input!C199,'Alloc Table Comm'!$A$7:$B$27,2,FALSE)</f>
        <v>7COMM</v>
      </c>
      <c r="E287" s="3">
        <f>Classification!G287</f>
        <v>0</v>
      </c>
      <c r="F287" s="3">
        <f ca="1">ROUND((VLOOKUP($D287,'Alloc Table Comm'!$B$7:$T$56,13,FALSE)*$E287),0)</f>
        <v>0</v>
      </c>
      <c r="G287" s="3">
        <f ca="1">ROUND((VLOOKUP($D287,'Alloc Table Comm'!$B$7:$T$56,14,FALSE)*$E287),0)</f>
        <v>0</v>
      </c>
      <c r="H287" s="3">
        <f ca="1">ROUND((VLOOKUP($D287,'Alloc Table Comm'!$B$7:$T$56,15,FALSE)*$E287),0)</f>
        <v>0</v>
      </c>
      <c r="I287" s="3">
        <f ca="1">ROUND((VLOOKUP($D287,'Alloc Table Comm'!$B$7:$T$56,16,FALSE)*$E287),0)</f>
        <v>0</v>
      </c>
      <c r="J287" s="3">
        <f ca="1">ROUND((VLOOKUP($D287,'Alloc Table Comm'!$B$7:$T$56,17,FALSE)*$E287),0)</f>
        <v>0</v>
      </c>
      <c r="K287" s="3">
        <f ca="1">ROUND((VLOOKUP($D287,'Alloc Table Comm'!$B$7:$T$56,18,FALSE)*$E287),0)</f>
        <v>0</v>
      </c>
      <c r="L287" s="3">
        <f ca="1">ROUND((VLOOKUP($D287,'Alloc Table Comm'!$B$7:$T$56,19,FALSE)*$E287),0)</f>
        <v>0</v>
      </c>
    </row>
    <row r="288" spans="1:12" ht="11.25" x14ac:dyDescent="0.2">
      <c r="A288" s="325">
        <f t="shared" si="38"/>
        <v>28</v>
      </c>
      <c r="B288" s="24">
        <f>Input!A200</f>
        <v>398</v>
      </c>
      <c r="C288" s="3" t="str">
        <f>Input!B200</f>
        <v>MISCELLANEOUS EQUIPMENT</v>
      </c>
      <c r="D288" s="325" t="str">
        <f>VLOOKUP(Input!C200,'Alloc Table Comm'!$A$7:$B$27,2,FALSE)</f>
        <v>7COMM</v>
      </c>
      <c r="E288" s="26">
        <f>Classification!G288</f>
        <v>3517</v>
      </c>
      <c r="F288" s="26">
        <f ca="1">ROUND((VLOOKUP($D288,'Alloc Table Comm'!$B$7:$T$56,13,FALSE)*$E288),0)</f>
        <v>1371</v>
      </c>
      <c r="G288" s="26">
        <f ca="1">ROUND((VLOOKUP($D288,'Alloc Table Comm'!$B$7:$T$56,14,FALSE)*$E288),0)</f>
        <v>928</v>
      </c>
      <c r="H288" s="26">
        <f ca="1">ROUND((VLOOKUP($D288,'Alloc Table Comm'!$B$7:$T$56,15,FALSE)*$E288),0)</f>
        <v>2</v>
      </c>
      <c r="I288" s="26">
        <f ca="1">ROUND((VLOOKUP($D288,'Alloc Table Comm'!$B$7:$T$56,16,FALSE)*$E288),0)</f>
        <v>1</v>
      </c>
      <c r="J288" s="26">
        <f ca="1">ROUND((VLOOKUP($D288,'Alloc Table Comm'!$B$7:$T$56,17,FALSE)*$E288),0)</f>
        <v>1215</v>
      </c>
      <c r="K288" s="26">
        <f ca="1">ROUND((VLOOKUP($D288,'Alloc Table Comm'!$B$7:$T$56,18,FALSE)*$E288),0)</f>
        <v>0</v>
      </c>
      <c r="L288" s="26">
        <f ca="1">ROUND((VLOOKUP($D288,'Alloc Table Comm'!$B$7:$T$56,19,FALSE)*$E288),0)</f>
        <v>0</v>
      </c>
    </row>
    <row r="289" spans="1:12" ht="11.25" x14ac:dyDescent="0.2">
      <c r="A289" s="325">
        <f t="shared" si="38"/>
        <v>29</v>
      </c>
      <c r="B289" s="24"/>
      <c r="C289" s="25" t="s">
        <v>90</v>
      </c>
      <c r="D289" s="325"/>
      <c r="E289" s="26">
        <f t="shared" ref="E289:L289" si="39">SUM(E275:E288)</f>
        <v>682585</v>
      </c>
      <c r="F289" s="26">
        <f t="shared" ca="1" si="39"/>
        <v>266032</v>
      </c>
      <c r="G289" s="26">
        <f t="shared" ca="1" si="39"/>
        <v>180155</v>
      </c>
      <c r="H289" s="26">
        <f t="shared" ca="1" si="39"/>
        <v>388</v>
      </c>
      <c r="I289" s="26">
        <f t="shared" ca="1" si="39"/>
        <v>164</v>
      </c>
      <c r="J289" s="26">
        <f t="shared" ca="1" si="39"/>
        <v>235846</v>
      </c>
      <c r="K289" s="26">
        <f t="shared" ca="1" si="39"/>
        <v>0</v>
      </c>
      <c r="L289" s="26">
        <f t="shared" ca="1" si="39"/>
        <v>0</v>
      </c>
    </row>
    <row r="290" spans="1:12" ht="11.25" x14ac:dyDescent="0.2">
      <c r="A290" s="325"/>
      <c r="B290" s="24"/>
      <c r="C290" s="3"/>
      <c r="D290" s="325"/>
      <c r="E290" s="3"/>
      <c r="F290" s="3"/>
      <c r="G290" s="3"/>
      <c r="H290" s="3"/>
      <c r="I290" s="3"/>
      <c r="J290" s="3"/>
      <c r="K290" s="3"/>
      <c r="L290" s="3"/>
    </row>
    <row r="291" spans="1:12" ht="11.25" x14ac:dyDescent="0.2">
      <c r="A291" s="325">
        <f>A289+1</f>
        <v>30</v>
      </c>
      <c r="B291" s="3"/>
      <c r="C291" s="25" t="s">
        <v>162</v>
      </c>
      <c r="D291" s="325"/>
      <c r="E291" s="3">
        <f>Commodity!E220+Commodity!E227+E271+E289</f>
        <v>35488999</v>
      </c>
      <c r="F291" s="3">
        <f ca="1">Commodity!F220+Commodity!F227+F271+F289</f>
        <v>13832426</v>
      </c>
      <c r="G291" s="3">
        <f ca="1">Commodity!G220+Commodity!G227+G271+G289</f>
        <v>9367000</v>
      </c>
      <c r="H291" s="3">
        <f ca="1">Commodity!H220+Commodity!H227+H271+H289</f>
        <v>20224</v>
      </c>
      <c r="I291" s="3">
        <f ca="1">Commodity!I220+Commodity!I227+I271+I289</f>
        <v>6634</v>
      </c>
      <c r="J291" s="3">
        <f ca="1">Commodity!J220+Commodity!J227+J271+J289</f>
        <v>12262713</v>
      </c>
      <c r="K291" s="3">
        <f ca="1">Commodity!K220+Commodity!K227+K271+K289</f>
        <v>0</v>
      </c>
      <c r="L291" s="3">
        <f ca="1">Commodity!L220+Commodity!L227+L271+L289</f>
        <v>0</v>
      </c>
    </row>
    <row r="292" spans="1:12" ht="11.25" x14ac:dyDescent="0.2">
      <c r="A292" s="3" t="s">
        <v>818</v>
      </c>
      <c r="B292" s="3"/>
      <c r="C292" s="14"/>
      <c r="D292" s="325"/>
      <c r="E292" s="3"/>
      <c r="F292" s="325" t="str">
        <f>" "&amp;+Input!$B$1</f>
        <v xml:space="preserve"> COLUMBIA GAS OF KENTUCKY, INC.</v>
      </c>
      <c r="H292" s="3"/>
      <c r="I292" s="3"/>
      <c r="J292" s="3"/>
      <c r="K292" s="3"/>
      <c r="L292" s="32" t="str">
        <f>Input!$B$2</f>
        <v>ATTACHMENT CEN-2</v>
      </c>
    </row>
    <row r="293" spans="1:12" ht="11.25" x14ac:dyDescent="0.2">
      <c r="A293" s="3" t="str">
        <f>Input!$B$7</f>
        <v>DEMAND-COMMODITY</v>
      </c>
      <c r="B293" s="3"/>
      <c r="C293" s="3"/>
      <c r="D293" s="325"/>
      <c r="E293" s="3"/>
      <c r="F293" s="325" t="s">
        <v>165</v>
      </c>
      <c r="H293" s="3"/>
      <c r="I293" s="3"/>
      <c r="J293" s="3"/>
      <c r="K293" s="3"/>
      <c r="L293" s="32" t="str">
        <f>"PAGE 86 OF "&amp;FIXED(Input!$B$8,0,TRUE)</f>
        <v>PAGE 86 OF 129</v>
      </c>
    </row>
    <row r="294" spans="1:12" ht="11.25" x14ac:dyDescent="0.2">
      <c r="A294" s="17" t="str">
        <f>Input!$B$6</f>
        <v>FORECASTED TEST YEAR - ORIGINAL FILING</v>
      </c>
      <c r="B294" s="17"/>
      <c r="C294" s="17"/>
      <c r="D294" s="34"/>
      <c r="E294" s="18"/>
      <c r="F294" s="19" t="str">
        <f>"FOR THE TWELVE MONTHS ENDED "&amp;Input!$B$4</f>
        <v>FOR THE TWELVE MONTHS ENDED 12/31/2017</v>
      </c>
      <c r="G294" s="329"/>
      <c r="H294" s="17"/>
      <c r="I294" s="17"/>
      <c r="J294" s="17"/>
      <c r="K294" s="17"/>
      <c r="L294" s="183" t="str">
        <f>"WITNESS: "&amp;Input!$B$5</f>
        <v>WITNESS: C. NOTESTONE</v>
      </c>
    </row>
    <row r="295" spans="1:12" ht="11.25" x14ac:dyDescent="0.2">
      <c r="A295" s="325" t="s">
        <v>5</v>
      </c>
      <c r="B295" s="3" t="s">
        <v>6</v>
      </c>
      <c r="C295" s="3"/>
      <c r="D295" s="325" t="s">
        <v>7</v>
      </c>
      <c r="E295" s="325" t="s">
        <v>8</v>
      </c>
      <c r="F295" s="3"/>
      <c r="G295" s="3"/>
      <c r="H295" s="3"/>
      <c r="I295" s="3"/>
      <c r="J295" s="3"/>
      <c r="K295" s="3"/>
      <c r="L295" s="3"/>
    </row>
    <row r="296" spans="1:12" ht="11.25" x14ac:dyDescent="0.2">
      <c r="A296" s="341" t="s">
        <v>9</v>
      </c>
      <c r="B296" s="341" t="s">
        <v>9</v>
      </c>
      <c r="C296" s="34" t="str">
        <f>Commodity!C128</f>
        <v xml:space="preserve"> ACCOUNT TITLE</v>
      </c>
      <c r="D296" s="341" t="s">
        <v>10</v>
      </c>
      <c r="E296" s="341" t="s">
        <v>812</v>
      </c>
      <c r="F296" s="341" t="str">
        <f>"  "&amp;+Input!$C$12</f>
        <v xml:space="preserve">  GS-RESIDENTIAL</v>
      </c>
      <c r="G296" s="341" t="str">
        <f>Input!$C$13</f>
        <v>GS-OTHER</v>
      </c>
      <c r="H296" s="341" t="str">
        <f>Input!$C$14</f>
        <v>IUS</v>
      </c>
      <c r="I296" s="341" t="str">
        <f>Input!$C$15</f>
        <v>DS-ML</v>
      </c>
      <c r="J296" s="341" t="str">
        <f>Input!$C$16</f>
        <v>DS/IS</v>
      </c>
      <c r="K296" s="341" t="str">
        <f>Input!$C$17</f>
        <v>NOT USED</v>
      </c>
      <c r="L296" s="341" t="str">
        <f>Input!$C$18</f>
        <v>NOT USED</v>
      </c>
    </row>
    <row r="297" spans="1:12" ht="11.25" x14ac:dyDescent="0.2">
      <c r="A297" s="3"/>
      <c r="B297" s="342" t="s">
        <v>13</v>
      </c>
      <c r="C297" s="342" t="s">
        <v>14</v>
      </c>
      <c r="D297" s="325" t="s">
        <v>15</v>
      </c>
      <c r="E297" s="325" t="s">
        <v>16</v>
      </c>
      <c r="F297" s="325" t="s">
        <v>17</v>
      </c>
      <c r="G297" s="325" t="s">
        <v>18</v>
      </c>
      <c r="H297" s="325" t="s">
        <v>19</v>
      </c>
      <c r="I297" s="325" t="s">
        <v>20</v>
      </c>
      <c r="J297" s="325" t="s">
        <v>21</v>
      </c>
      <c r="K297" s="325" t="s">
        <v>22</v>
      </c>
      <c r="L297" s="325" t="s">
        <v>23</v>
      </c>
    </row>
    <row r="298" spans="1:12" ht="11.25" x14ac:dyDescent="0.2">
      <c r="A298" s="3"/>
      <c r="B298" s="3"/>
      <c r="C298" s="3"/>
      <c r="D298" s="325"/>
      <c r="E298" s="325" t="s">
        <v>26</v>
      </c>
      <c r="F298" s="325" t="s">
        <v>26</v>
      </c>
      <c r="G298" s="325" t="s">
        <v>26</v>
      </c>
      <c r="H298" s="325" t="s">
        <v>26</v>
      </c>
      <c r="I298" s="325" t="s">
        <v>26</v>
      </c>
      <c r="J298" s="325" t="s">
        <v>26</v>
      </c>
      <c r="K298" s="325" t="s">
        <v>26</v>
      </c>
      <c r="L298" s="325" t="s">
        <v>26</v>
      </c>
    </row>
    <row r="299" spans="1:12" ht="11.25" x14ac:dyDescent="0.2">
      <c r="A299" s="3"/>
      <c r="B299" s="3"/>
      <c r="C299" s="3" t="str">
        <f>Input!A209</f>
        <v>INTANGIBLE PLANT</v>
      </c>
      <c r="D299" s="325"/>
      <c r="E299" s="3"/>
      <c r="F299" s="3"/>
      <c r="G299" s="3"/>
      <c r="H299" s="3"/>
      <c r="I299" s="3"/>
      <c r="J299" s="3"/>
      <c r="K299" s="3"/>
      <c r="L299" s="3"/>
    </row>
    <row r="300" spans="1:12" ht="11.25" x14ac:dyDescent="0.2">
      <c r="A300" s="3"/>
      <c r="B300" s="3"/>
      <c r="C300" s="3"/>
      <c r="D300" s="325"/>
      <c r="E300" s="3"/>
      <c r="F300" s="3"/>
      <c r="G300" s="3"/>
      <c r="H300" s="3"/>
      <c r="I300" s="3"/>
      <c r="J300" s="3"/>
      <c r="K300" s="3"/>
      <c r="L300" s="3"/>
    </row>
    <row r="301" spans="1:12" ht="11.25" x14ac:dyDescent="0.2">
      <c r="A301" s="3">
        <v>1</v>
      </c>
      <c r="B301" s="24">
        <f>Input!A210</f>
        <v>301</v>
      </c>
      <c r="C301" s="3" t="str">
        <f>Input!B210</f>
        <v>ORGANIZATION</v>
      </c>
      <c r="D301" s="325" t="str">
        <f>D215</f>
        <v>7COMM</v>
      </c>
      <c r="E301" s="3">
        <f>Classification!G301</f>
        <v>0</v>
      </c>
      <c r="F301" s="3">
        <f ca="1">ROUND((VLOOKUP($D301,'Alloc Table Comm'!$B$7:$T$56,13,FALSE)*$E301),0)</f>
        <v>0</v>
      </c>
      <c r="G301" s="3">
        <f ca="1">ROUND((VLOOKUP($D301,'Alloc Table Comm'!$B$7:$T$56,14,FALSE)*$E301),0)</f>
        <v>0</v>
      </c>
      <c r="H301" s="3">
        <f ca="1">ROUND((VLOOKUP($D301,'Alloc Table Comm'!$B$7:$T$56,15,FALSE)*$E301),0)</f>
        <v>0</v>
      </c>
      <c r="I301" s="3">
        <f ca="1">ROUND((VLOOKUP($D301,'Alloc Table Comm'!$B$7:$T$56,16,FALSE)*$E301),0)</f>
        <v>0</v>
      </c>
      <c r="J301" s="3">
        <f ca="1">ROUND((VLOOKUP($D301,'Alloc Table Comm'!$B$7:$T$56,17,FALSE)*$E301),0)</f>
        <v>0</v>
      </c>
      <c r="K301" s="3">
        <f ca="1">ROUND((VLOOKUP($D301,'Alloc Table Comm'!$B$7:$T$56,18,FALSE)*$E301),0)</f>
        <v>0</v>
      </c>
      <c r="L301" s="3">
        <f ca="1">ROUND((VLOOKUP($D301,'Alloc Table Comm'!$B$7:$T$56,19,FALSE)*$E301),0)</f>
        <v>0</v>
      </c>
    </row>
    <row r="302" spans="1:12" ht="11.25" x14ac:dyDescent="0.2">
      <c r="A302" s="3">
        <f>A301+1</f>
        <v>2</v>
      </c>
      <c r="B302" s="24">
        <f>Input!A211</f>
        <v>303</v>
      </c>
      <c r="C302" s="3" t="str">
        <f>Input!B211</f>
        <v>MISC. INTANGIBLE PLANT</v>
      </c>
      <c r="D302" s="325" t="str">
        <f t="shared" ref="D302:D305" si="40">D216</f>
        <v>7COMM</v>
      </c>
      <c r="E302" s="3">
        <f>Classification!G302</f>
        <v>721</v>
      </c>
      <c r="F302" s="3">
        <f ca="1">ROUND((VLOOKUP($D302,'Alloc Table Comm'!$B$7:$T$56,13,FALSE)*$E302),0)</f>
        <v>281</v>
      </c>
      <c r="G302" s="3">
        <f ca="1">ROUND((VLOOKUP($D302,'Alloc Table Comm'!$B$7:$T$56,14,FALSE)*$E302),0)</f>
        <v>190</v>
      </c>
      <c r="H302" s="3">
        <f ca="1">ROUND((VLOOKUP($D302,'Alloc Table Comm'!$B$7:$T$56,15,FALSE)*$E302),0)</f>
        <v>0</v>
      </c>
      <c r="I302" s="3">
        <f ca="1">ROUND((VLOOKUP($D302,'Alloc Table Comm'!$B$7:$T$56,16,FALSE)*$E302),0)</f>
        <v>0</v>
      </c>
      <c r="J302" s="3">
        <f ca="1">ROUND((VLOOKUP($D302,'Alloc Table Comm'!$B$7:$T$56,17,FALSE)*$E302),0)</f>
        <v>249</v>
      </c>
      <c r="K302" s="3">
        <f ca="1">ROUND((VLOOKUP($D302,'Alloc Table Comm'!$B$7:$T$56,18,FALSE)*$E302),0)</f>
        <v>0</v>
      </c>
      <c r="L302" s="3">
        <f ca="1">ROUND((VLOOKUP($D302,'Alloc Table Comm'!$B$7:$T$56,19,FALSE)*$E302),0)</f>
        <v>0</v>
      </c>
    </row>
    <row r="303" spans="1:12" ht="11.25" x14ac:dyDescent="0.2">
      <c r="A303" s="3">
        <f>A302+1</f>
        <v>3</v>
      </c>
      <c r="B303" s="24">
        <f>Input!A212</f>
        <v>303.10000000000002</v>
      </c>
      <c r="C303" s="3" t="str">
        <f>Input!B212</f>
        <v>DIS SOFTWARE</v>
      </c>
      <c r="D303" s="325" t="str">
        <f t="shared" si="40"/>
        <v>7COMM</v>
      </c>
      <c r="E303" s="3">
        <f>Classification!G303</f>
        <v>0</v>
      </c>
      <c r="F303" s="3">
        <f ca="1">ROUND((VLOOKUP($D303,'Alloc Table Comm'!$B$7:$T$56,13,FALSE)*$E303),0)</f>
        <v>0</v>
      </c>
      <c r="G303" s="3">
        <f ca="1">ROUND((VLOOKUP($D303,'Alloc Table Comm'!$B$7:$T$56,14,FALSE)*$E303),0)</f>
        <v>0</v>
      </c>
      <c r="H303" s="3">
        <f ca="1">ROUND((VLOOKUP($D303,'Alloc Table Comm'!$B$7:$T$56,15,FALSE)*$E303),0)</f>
        <v>0</v>
      </c>
      <c r="I303" s="3">
        <f ca="1">ROUND((VLOOKUP($D303,'Alloc Table Comm'!$B$7:$T$56,16,FALSE)*$E303),0)</f>
        <v>0</v>
      </c>
      <c r="J303" s="3">
        <f ca="1">ROUND((VLOOKUP($D303,'Alloc Table Comm'!$B$7:$T$56,17,FALSE)*$E303),0)</f>
        <v>0</v>
      </c>
      <c r="K303" s="3">
        <f ca="1">ROUND((VLOOKUP($D303,'Alloc Table Comm'!$B$7:$T$56,18,FALSE)*$E303),0)</f>
        <v>0</v>
      </c>
      <c r="L303" s="3">
        <f ca="1">ROUND((VLOOKUP($D303,'Alloc Table Comm'!$B$7:$T$56,19,FALSE)*$E303),0)</f>
        <v>0</v>
      </c>
    </row>
    <row r="304" spans="1:12" ht="11.25" x14ac:dyDescent="0.2">
      <c r="A304" s="3">
        <f>A303+1</f>
        <v>4</v>
      </c>
      <c r="B304" s="24">
        <f>Input!A213</f>
        <v>303.2</v>
      </c>
      <c r="C304" s="3" t="str">
        <f>Input!B213</f>
        <v>FARA SOFTWARE</v>
      </c>
      <c r="D304" s="325" t="str">
        <f t="shared" si="40"/>
        <v>7COMM</v>
      </c>
      <c r="E304" s="3">
        <f>Classification!G304</f>
        <v>0</v>
      </c>
      <c r="F304" s="3">
        <f ca="1">ROUND((VLOOKUP($D304,'Alloc Table Comm'!$B$7:$T$56,13,FALSE)*$E304),0)</f>
        <v>0</v>
      </c>
      <c r="G304" s="3">
        <f ca="1">ROUND((VLOOKUP($D304,'Alloc Table Comm'!$B$7:$T$56,14,FALSE)*$E304),0)</f>
        <v>0</v>
      </c>
      <c r="H304" s="3">
        <f ca="1">ROUND((VLOOKUP($D304,'Alloc Table Comm'!$B$7:$T$56,15,FALSE)*$E304),0)</f>
        <v>0</v>
      </c>
      <c r="I304" s="3">
        <f ca="1">ROUND((VLOOKUP($D304,'Alloc Table Comm'!$B$7:$T$56,16,FALSE)*$E304),0)</f>
        <v>0</v>
      </c>
      <c r="J304" s="3">
        <f ca="1">ROUND((VLOOKUP($D304,'Alloc Table Comm'!$B$7:$T$56,17,FALSE)*$E304),0)</f>
        <v>0</v>
      </c>
      <c r="K304" s="3">
        <f ca="1">ROUND((VLOOKUP($D304,'Alloc Table Comm'!$B$7:$T$56,18,FALSE)*$E304),0)</f>
        <v>0</v>
      </c>
      <c r="L304" s="3">
        <f ca="1">ROUND((VLOOKUP($D304,'Alloc Table Comm'!$B$7:$T$56,19,FALSE)*$E304),0)</f>
        <v>0</v>
      </c>
    </row>
    <row r="305" spans="1:12" ht="11.25" x14ac:dyDescent="0.2">
      <c r="A305" s="3">
        <f>A304+1</f>
        <v>5</v>
      </c>
      <c r="B305" s="24">
        <f>Input!A214</f>
        <v>303.3</v>
      </c>
      <c r="C305" s="3" t="str">
        <f>Input!B214</f>
        <v>OTHER SOFTWARE</v>
      </c>
      <c r="D305" s="325" t="str">
        <f t="shared" si="40"/>
        <v>7COMM</v>
      </c>
      <c r="E305" s="26">
        <f>Classification!G305</f>
        <v>369741</v>
      </c>
      <c r="F305" s="26">
        <f ca="1">ROUND((VLOOKUP($D305,'Alloc Table Comm'!$B$7:$T$56,13,FALSE)*$E305),0)</f>
        <v>144103</v>
      </c>
      <c r="G305" s="26">
        <f ca="1">ROUND((VLOOKUP($D305,'Alloc Table Comm'!$B$7:$T$56,14,FALSE)*$E305),0)</f>
        <v>97586</v>
      </c>
      <c r="H305" s="26">
        <f ca="1">ROUND((VLOOKUP($D305,'Alloc Table Comm'!$B$7:$T$56,15,FALSE)*$E305),0)</f>
        <v>211</v>
      </c>
      <c r="I305" s="26">
        <f ca="1">ROUND((VLOOKUP($D305,'Alloc Table Comm'!$B$7:$T$56,16,FALSE)*$E305),0)</f>
        <v>89</v>
      </c>
      <c r="J305" s="26">
        <f ca="1">ROUND((VLOOKUP($D305,'Alloc Table Comm'!$B$7:$T$56,17,FALSE)*$E305),0)</f>
        <v>127753</v>
      </c>
      <c r="K305" s="26">
        <f ca="1">ROUND((VLOOKUP($D305,'Alloc Table Comm'!$B$7:$T$56,18,FALSE)*$E305),0)</f>
        <v>0</v>
      </c>
      <c r="L305" s="26">
        <f ca="1">ROUND((VLOOKUP($D305,'Alloc Table Comm'!$B$7:$T$56,19,FALSE)*$E305),0)</f>
        <v>0</v>
      </c>
    </row>
    <row r="306" spans="1:12" ht="11.25" x14ac:dyDescent="0.2">
      <c r="A306" s="3">
        <f>A305+1</f>
        <v>6</v>
      </c>
      <c r="B306" s="24"/>
      <c r="C306" s="3" t="s">
        <v>159</v>
      </c>
      <c r="D306" s="325"/>
      <c r="E306" s="3">
        <f t="shared" ref="E306:L306" si="41">SUM(E301:E305)</f>
        <v>370462</v>
      </c>
      <c r="F306" s="3">
        <f t="shared" ca="1" si="41"/>
        <v>144384</v>
      </c>
      <c r="G306" s="3">
        <f t="shared" ca="1" si="41"/>
        <v>97776</v>
      </c>
      <c r="H306" s="3">
        <f t="shared" ca="1" si="41"/>
        <v>211</v>
      </c>
      <c r="I306" s="3">
        <f t="shared" ca="1" si="41"/>
        <v>89</v>
      </c>
      <c r="J306" s="3">
        <f t="shared" ca="1" si="41"/>
        <v>128002</v>
      </c>
      <c r="K306" s="3">
        <f t="shared" ca="1" si="41"/>
        <v>0</v>
      </c>
      <c r="L306" s="3">
        <f t="shared" ca="1" si="41"/>
        <v>0</v>
      </c>
    </row>
    <row r="307" spans="1:12" ht="11.25" x14ac:dyDescent="0.2">
      <c r="A307" s="3"/>
      <c r="B307" s="3"/>
      <c r="C307" s="3"/>
      <c r="D307" s="325"/>
      <c r="E307" s="3"/>
      <c r="F307" s="3"/>
      <c r="G307" s="3"/>
      <c r="H307" s="3"/>
      <c r="I307" s="3"/>
      <c r="J307" s="3"/>
      <c r="K307" s="3"/>
      <c r="L307" s="3"/>
    </row>
    <row r="308" spans="1:12" ht="11.25" x14ac:dyDescent="0.2">
      <c r="A308" s="3">
        <f>A306+1</f>
        <v>7</v>
      </c>
      <c r="B308" s="3"/>
      <c r="C308" s="24" t="str">
        <f>Input!A215</f>
        <v>PRODUCTION PLANT</v>
      </c>
      <c r="D308" s="325"/>
      <c r="E308" s="3"/>
      <c r="F308" s="3"/>
      <c r="G308" s="3"/>
      <c r="H308" s="3"/>
      <c r="I308" s="3"/>
      <c r="J308" s="3"/>
      <c r="K308" s="3"/>
      <c r="L308" s="3"/>
    </row>
    <row r="309" spans="1:12" ht="11.25" x14ac:dyDescent="0.2">
      <c r="A309" s="3"/>
      <c r="B309" s="3"/>
      <c r="C309" s="3"/>
      <c r="D309" s="325"/>
      <c r="E309" s="3"/>
      <c r="F309" s="3"/>
      <c r="G309" s="3"/>
      <c r="H309" s="3"/>
      <c r="I309" s="3"/>
      <c r="J309" s="3"/>
      <c r="K309" s="3"/>
      <c r="L309" s="3"/>
    </row>
    <row r="310" spans="1:12" ht="11.25" x14ac:dyDescent="0.2">
      <c r="A310" s="3">
        <f>A308+1</f>
        <v>8</v>
      </c>
      <c r="B310" s="24">
        <f>Input!A216</f>
        <v>304.10000000000002</v>
      </c>
      <c r="C310" s="24" t="str">
        <f>Input!B216</f>
        <v>LAND</v>
      </c>
      <c r="D310" s="249">
        <f>Input!C216</f>
        <v>2</v>
      </c>
      <c r="E310" s="3">
        <f>Classification!G310</f>
        <v>0</v>
      </c>
      <c r="F310" s="3">
        <f>ROUND((VLOOKUP($D310,'Alloc Table Comm'!$B$7:$T$56,13,FALSE)*$E310),0)</f>
        <v>0</v>
      </c>
      <c r="G310" s="3">
        <f>ROUND((VLOOKUP($D310,'Alloc Table Comm'!$B$7:$T$56,14,FALSE)*$E310),0)</f>
        <v>0</v>
      </c>
      <c r="H310" s="3">
        <f>ROUND((VLOOKUP($D310,'Alloc Table Comm'!$B$7:$T$56,15,FALSE)*$E310),0)</f>
        <v>0</v>
      </c>
      <c r="I310" s="3">
        <f>ROUND((VLOOKUP($D310,'Alloc Table Comm'!$B$7:$T$56,16,FALSE)*$E310),0)</f>
        <v>0</v>
      </c>
      <c r="J310" s="3">
        <f>ROUND((VLOOKUP($D310,'Alloc Table Comm'!$B$7:$T$56,17,FALSE)*$E310),0)</f>
        <v>0</v>
      </c>
      <c r="K310" s="3">
        <f>ROUND((VLOOKUP($D310,'Alloc Table Comm'!$B$7:$T$56,18,FALSE)*$E310),0)</f>
        <v>0</v>
      </c>
      <c r="L310" s="3">
        <f>ROUND((VLOOKUP($D310,'Alloc Table Comm'!$B$7:$T$56,19,FALSE)*$E310),0)</f>
        <v>0</v>
      </c>
    </row>
    <row r="311" spans="1:12" ht="11.25" x14ac:dyDescent="0.2">
      <c r="A311" s="3">
        <f>A310+1</f>
        <v>9</v>
      </c>
      <c r="B311" s="24">
        <f>Input!A217</f>
        <v>305</v>
      </c>
      <c r="C311" s="24" t="str">
        <f>Input!B217</f>
        <v>STRUCTURES &amp; IMPROVEMENTS</v>
      </c>
      <c r="D311" s="249">
        <f>Input!C217</f>
        <v>2</v>
      </c>
      <c r="E311" s="3">
        <f>Classification!G311</f>
        <v>0</v>
      </c>
      <c r="F311" s="3">
        <f>ROUND((VLOOKUP($D311,'Alloc Table Comm'!$B$7:$T$56,13,FALSE)*$E311),0)</f>
        <v>0</v>
      </c>
      <c r="G311" s="3">
        <f>ROUND((VLOOKUP($D311,'Alloc Table Comm'!$B$7:$T$56,14,FALSE)*$E311),0)</f>
        <v>0</v>
      </c>
      <c r="H311" s="3">
        <f>ROUND((VLOOKUP($D311,'Alloc Table Comm'!$B$7:$T$56,15,FALSE)*$E311),0)</f>
        <v>0</v>
      </c>
      <c r="I311" s="3">
        <f>ROUND((VLOOKUP($D311,'Alloc Table Comm'!$B$7:$T$56,16,FALSE)*$E311),0)</f>
        <v>0</v>
      </c>
      <c r="J311" s="3">
        <f>ROUND((VLOOKUP($D311,'Alloc Table Comm'!$B$7:$T$56,17,FALSE)*$E311),0)</f>
        <v>0</v>
      </c>
      <c r="K311" s="3">
        <f>ROUND((VLOOKUP($D311,'Alloc Table Comm'!$B$7:$T$56,18,FALSE)*$E311),0)</f>
        <v>0</v>
      </c>
      <c r="L311" s="3">
        <f>ROUND((VLOOKUP($D311,'Alloc Table Comm'!$B$7:$T$56,19,FALSE)*$E311),0)</f>
        <v>0</v>
      </c>
    </row>
    <row r="312" spans="1:12" ht="11.25" x14ac:dyDescent="0.2">
      <c r="A312" s="3">
        <f>A311+1</f>
        <v>10</v>
      </c>
      <c r="B312" s="24">
        <f>Input!A218</f>
        <v>311</v>
      </c>
      <c r="C312" s="24" t="str">
        <f>Input!B218</f>
        <v>LIQUEFIED PETROLEUM GAS EQUIP</v>
      </c>
      <c r="D312" s="249">
        <f>Input!C218</f>
        <v>2</v>
      </c>
      <c r="E312" s="26">
        <f>Classification!G312</f>
        <v>0</v>
      </c>
      <c r="F312" s="26">
        <f>ROUND((VLOOKUP($D312,'Alloc Table Comm'!$B$7:$T$56,13,FALSE)*$E312),0)</f>
        <v>0</v>
      </c>
      <c r="G312" s="26">
        <f>ROUND((VLOOKUP($D312,'Alloc Table Comm'!$B$7:$T$56,14,FALSE)*$E312),0)</f>
        <v>0</v>
      </c>
      <c r="H312" s="26">
        <f>ROUND((VLOOKUP($D312,'Alloc Table Comm'!$B$7:$T$56,15,FALSE)*$E312),0)</f>
        <v>0</v>
      </c>
      <c r="I312" s="26">
        <f>ROUND((VLOOKUP($D312,'Alloc Table Comm'!$B$7:$T$56,16,FALSE)*$E312),0)</f>
        <v>0</v>
      </c>
      <c r="J312" s="26">
        <f>ROUND((VLOOKUP($D312,'Alloc Table Comm'!$B$7:$T$56,17,FALSE)*$E312),0)</f>
        <v>0</v>
      </c>
      <c r="K312" s="26">
        <f>ROUND((VLOOKUP($D312,'Alloc Table Comm'!$B$7:$T$56,18,FALSE)*$E312),0)</f>
        <v>0</v>
      </c>
      <c r="L312" s="26">
        <f>ROUND((VLOOKUP($D312,'Alloc Table Comm'!$B$7:$T$56,19,FALSE)*$E312),0)</f>
        <v>0</v>
      </c>
    </row>
    <row r="313" spans="1:12" ht="11.25" x14ac:dyDescent="0.2">
      <c r="A313" s="3">
        <f>A312+1</f>
        <v>11</v>
      </c>
      <c r="B313" s="24"/>
      <c r="C313" s="3" t="s">
        <v>160</v>
      </c>
      <c r="D313" s="325"/>
      <c r="E313" s="3">
        <f t="shared" ref="E313:L313" si="42">SUM(E310:E312)</f>
        <v>0</v>
      </c>
      <c r="F313" s="3">
        <f t="shared" si="42"/>
        <v>0</v>
      </c>
      <c r="G313" s="3">
        <f t="shared" si="42"/>
        <v>0</v>
      </c>
      <c r="H313" s="3">
        <f t="shared" si="42"/>
        <v>0</v>
      </c>
      <c r="I313" s="3">
        <f t="shared" si="42"/>
        <v>0</v>
      </c>
      <c r="J313" s="3">
        <f t="shared" si="42"/>
        <v>0</v>
      </c>
      <c r="K313" s="3">
        <f t="shared" si="42"/>
        <v>0</v>
      </c>
      <c r="L313" s="3">
        <f t="shared" si="42"/>
        <v>0</v>
      </c>
    </row>
    <row r="314" spans="1:12" ht="11.25" x14ac:dyDescent="0.2">
      <c r="A314" s="3"/>
      <c r="B314" s="3"/>
      <c r="C314" s="3"/>
      <c r="D314" s="325"/>
      <c r="E314" s="3"/>
      <c r="F314" s="3"/>
      <c r="G314" s="3"/>
      <c r="H314" s="3"/>
      <c r="I314" s="3"/>
      <c r="J314" s="3"/>
      <c r="K314" s="3"/>
      <c r="L314" s="3"/>
    </row>
    <row r="315" spans="1:12" ht="11.25" x14ac:dyDescent="0.2">
      <c r="A315" s="3">
        <f>A313+1</f>
        <v>12</v>
      </c>
      <c r="B315" s="3"/>
      <c r="C315" s="3" t="str">
        <f>Input!A219</f>
        <v>DISTRIBUTION PLANT</v>
      </c>
      <c r="D315" s="325"/>
      <c r="E315" s="3"/>
      <c r="F315" s="3"/>
      <c r="G315" s="3"/>
      <c r="H315" s="3"/>
      <c r="I315" s="3"/>
      <c r="J315" s="3"/>
      <c r="K315" s="3"/>
      <c r="L315" s="3"/>
    </row>
    <row r="316" spans="1:12" ht="11.25" x14ac:dyDescent="0.2">
      <c r="A316" s="3"/>
      <c r="B316" s="3"/>
      <c r="C316" s="3"/>
      <c r="D316" s="325"/>
      <c r="E316" s="3"/>
      <c r="F316" s="3"/>
      <c r="G316" s="3"/>
      <c r="H316" s="3"/>
      <c r="I316" s="3"/>
      <c r="J316" s="3"/>
      <c r="K316" s="3"/>
      <c r="L316" s="3"/>
    </row>
    <row r="317" spans="1:12" ht="11.25" x14ac:dyDescent="0.2">
      <c r="A317" s="3">
        <f>A315+1</f>
        <v>13</v>
      </c>
      <c r="B317" s="24">
        <f>Input!A220</f>
        <v>374.1</v>
      </c>
      <c r="C317" s="3" t="str">
        <f>Input!B220</f>
        <v>LAND - CITY GATE &amp; M/L IND M&amp;R</v>
      </c>
      <c r="D317" s="325">
        <f>Input!C220</f>
        <v>5</v>
      </c>
      <c r="E317" s="3">
        <f>Classification!G317</f>
        <v>0</v>
      </c>
      <c r="F317" s="3">
        <f>ROUND((VLOOKUP($D317,'Alloc Table Comm'!$B$7:$T$56,13,FALSE)*$E317),0)</f>
        <v>0</v>
      </c>
      <c r="G317" s="3">
        <f>ROUND((VLOOKUP($D317,'Alloc Table Comm'!$B$7:$T$56,14,FALSE)*$E317),0)</f>
        <v>0</v>
      </c>
      <c r="H317" s="3">
        <f>ROUND((VLOOKUP($D317,'Alloc Table Comm'!$B$7:$T$56,15,FALSE)*$E317),0)</f>
        <v>0</v>
      </c>
      <c r="I317" s="3">
        <f>ROUND((VLOOKUP($D317,'Alloc Table Comm'!$B$7:$T$56,16,FALSE)*$E317),0)</f>
        <v>0</v>
      </c>
      <c r="J317" s="3">
        <f>ROUND((VLOOKUP($D317,'Alloc Table Comm'!$B$7:$T$56,17,FALSE)*$E317),0)</f>
        <v>0</v>
      </c>
      <c r="K317" s="3">
        <f>ROUND((VLOOKUP($D317,'Alloc Table Comm'!$B$7:$T$56,18,FALSE)*$E317),0)</f>
        <v>0</v>
      </c>
      <c r="L317" s="3">
        <f>ROUND((VLOOKUP($D317,'Alloc Table Comm'!$B$7:$T$56,19,FALSE)*$E317),0)</f>
        <v>0</v>
      </c>
    </row>
    <row r="318" spans="1:12" ht="11.25" x14ac:dyDescent="0.2">
      <c r="A318" s="3">
        <f t="shared" ref="A318:A336" si="43">A317+1</f>
        <v>14</v>
      </c>
      <c r="B318" s="24">
        <f>Input!A221</f>
        <v>374.2</v>
      </c>
      <c r="C318" s="3" t="str">
        <f>Input!B221</f>
        <v>LAND - OTHER DISTRIBUTION</v>
      </c>
      <c r="D318" s="325">
        <f>Input!C221</f>
        <v>5</v>
      </c>
      <c r="E318" s="3">
        <f>Classification!G318</f>
        <v>0</v>
      </c>
      <c r="F318" s="3">
        <f>ROUND((VLOOKUP($D318,'Alloc Table Comm'!$B$7:$T$56,13,FALSE)*$E318),0)</f>
        <v>0</v>
      </c>
      <c r="G318" s="3">
        <f>ROUND((VLOOKUP($D318,'Alloc Table Comm'!$B$7:$T$56,14,FALSE)*$E318),0)</f>
        <v>0</v>
      </c>
      <c r="H318" s="3">
        <f>ROUND((VLOOKUP($D318,'Alloc Table Comm'!$B$7:$T$56,15,FALSE)*$E318),0)</f>
        <v>0</v>
      </c>
      <c r="I318" s="3">
        <f>ROUND((VLOOKUP($D318,'Alloc Table Comm'!$B$7:$T$56,16,FALSE)*$E318),0)</f>
        <v>0</v>
      </c>
      <c r="J318" s="3">
        <f>ROUND((VLOOKUP($D318,'Alloc Table Comm'!$B$7:$T$56,17,FALSE)*$E318),0)</f>
        <v>0</v>
      </c>
      <c r="K318" s="3">
        <f>ROUND((VLOOKUP($D318,'Alloc Table Comm'!$B$7:$T$56,18,FALSE)*$E318),0)</f>
        <v>0</v>
      </c>
      <c r="L318" s="3">
        <f>ROUND((VLOOKUP($D318,'Alloc Table Comm'!$B$7:$T$56,19,FALSE)*$E318),0)</f>
        <v>0</v>
      </c>
    </row>
    <row r="319" spans="1:12" ht="11.25" x14ac:dyDescent="0.2">
      <c r="A319" s="3">
        <f t="shared" si="43"/>
        <v>15</v>
      </c>
      <c r="B319" s="24">
        <f>Input!A222</f>
        <v>374.4</v>
      </c>
      <c r="C319" s="3" t="str">
        <f>Input!B222</f>
        <v>LAND RIGHTS - OTHER DISTRIBUTION</v>
      </c>
      <c r="D319" s="325">
        <f>Input!C222</f>
        <v>5</v>
      </c>
      <c r="E319" s="3">
        <f>Classification!G319</f>
        <v>5754</v>
      </c>
      <c r="F319" s="3">
        <f>ROUND((VLOOKUP($D319,'Alloc Table Comm'!$B$7:$T$56,13,FALSE)*$E319),0)</f>
        <v>2243</v>
      </c>
      <c r="G319" s="3">
        <f>ROUND((VLOOKUP($D319,'Alloc Table Comm'!$B$7:$T$56,14,FALSE)*$E319),0)</f>
        <v>1519</v>
      </c>
      <c r="H319" s="3">
        <f>ROUND((VLOOKUP($D319,'Alloc Table Comm'!$B$7:$T$56,15,FALSE)*$E319),0)</f>
        <v>3</v>
      </c>
      <c r="I319" s="3">
        <f>ROUND((VLOOKUP($D319,'Alloc Table Comm'!$B$7:$T$56,16,FALSE)*$E319),0)</f>
        <v>0</v>
      </c>
      <c r="J319" s="3">
        <f>ROUND((VLOOKUP($D319,'Alloc Table Comm'!$B$7:$T$56,17,FALSE)*$E319),0)</f>
        <v>1989</v>
      </c>
      <c r="K319" s="3">
        <f>ROUND((VLOOKUP($D319,'Alloc Table Comm'!$B$7:$T$56,18,FALSE)*$E319),0)</f>
        <v>0</v>
      </c>
      <c r="L319" s="3">
        <f>ROUND((VLOOKUP($D319,'Alloc Table Comm'!$B$7:$T$56,19,FALSE)*$E319),0)</f>
        <v>0</v>
      </c>
    </row>
    <row r="320" spans="1:12" ht="11.25" x14ac:dyDescent="0.2">
      <c r="A320" s="3">
        <f t="shared" si="43"/>
        <v>16</v>
      </c>
      <c r="B320" s="24">
        <f>Input!A223</f>
        <v>374.5</v>
      </c>
      <c r="C320" s="3" t="str">
        <f>Input!B223</f>
        <v>RIGHTS OF WAY</v>
      </c>
      <c r="D320" s="325">
        <f>Input!C223</f>
        <v>5</v>
      </c>
      <c r="E320" s="3">
        <f>Classification!G320</f>
        <v>17608</v>
      </c>
      <c r="F320" s="3">
        <f>ROUND((VLOOKUP($D320,'Alloc Table Comm'!$B$7:$T$56,13,FALSE)*$E320),0)</f>
        <v>6864</v>
      </c>
      <c r="G320" s="3">
        <f>ROUND((VLOOKUP($D320,'Alloc Table Comm'!$B$7:$T$56,14,FALSE)*$E320),0)</f>
        <v>4648</v>
      </c>
      <c r="H320" s="3">
        <f>ROUND((VLOOKUP($D320,'Alloc Table Comm'!$B$7:$T$56,15,FALSE)*$E320),0)</f>
        <v>10</v>
      </c>
      <c r="I320" s="3">
        <f>ROUND((VLOOKUP($D320,'Alloc Table Comm'!$B$7:$T$56,16,FALSE)*$E320),0)</f>
        <v>0</v>
      </c>
      <c r="J320" s="3">
        <f>ROUND((VLOOKUP($D320,'Alloc Table Comm'!$B$7:$T$56,17,FALSE)*$E320),0)</f>
        <v>6085</v>
      </c>
      <c r="K320" s="3">
        <f>ROUND((VLOOKUP($D320,'Alloc Table Comm'!$B$7:$T$56,18,FALSE)*$E320),0)</f>
        <v>0</v>
      </c>
      <c r="L320" s="3">
        <f>ROUND((VLOOKUP($D320,'Alloc Table Comm'!$B$7:$T$56,19,FALSE)*$E320),0)</f>
        <v>0</v>
      </c>
    </row>
    <row r="321" spans="1:12" ht="11.25" x14ac:dyDescent="0.2">
      <c r="A321" s="3">
        <f t="shared" si="43"/>
        <v>17</v>
      </c>
      <c r="B321" s="24">
        <f>Input!A224</f>
        <v>375.2</v>
      </c>
      <c r="C321" s="3" t="str">
        <f>Input!B224</f>
        <v>CITY GATE - MEAS &amp; REG STRUCTURES</v>
      </c>
      <c r="D321" s="325">
        <f>Input!C224</f>
        <v>5</v>
      </c>
      <c r="E321" s="3">
        <f>Classification!G321</f>
        <v>36</v>
      </c>
      <c r="F321" s="3">
        <f>ROUND((VLOOKUP($D321,'Alloc Table Comm'!$B$7:$T$56,13,FALSE)*$E321),0)</f>
        <v>14</v>
      </c>
      <c r="G321" s="3">
        <f>ROUND((VLOOKUP($D321,'Alloc Table Comm'!$B$7:$T$56,14,FALSE)*$E321),0)</f>
        <v>10</v>
      </c>
      <c r="H321" s="3">
        <f>ROUND((VLOOKUP($D321,'Alloc Table Comm'!$B$7:$T$56,15,FALSE)*$E321),0)</f>
        <v>0</v>
      </c>
      <c r="I321" s="3">
        <f>ROUND((VLOOKUP($D321,'Alloc Table Comm'!$B$7:$T$56,16,FALSE)*$E321),0)</f>
        <v>0</v>
      </c>
      <c r="J321" s="3">
        <f>ROUND((VLOOKUP($D321,'Alloc Table Comm'!$B$7:$T$56,17,FALSE)*$E321),0)</f>
        <v>12</v>
      </c>
      <c r="K321" s="3">
        <f>ROUND((VLOOKUP($D321,'Alloc Table Comm'!$B$7:$T$56,18,FALSE)*$E321),0)</f>
        <v>0</v>
      </c>
      <c r="L321" s="3">
        <f>ROUND((VLOOKUP($D321,'Alloc Table Comm'!$B$7:$T$56,19,FALSE)*$E321),0)</f>
        <v>0</v>
      </c>
    </row>
    <row r="322" spans="1:12" ht="11.25" x14ac:dyDescent="0.2">
      <c r="A322" s="3">
        <f t="shared" si="43"/>
        <v>18</v>
      </c>
      <c r="B322" s="24">
        <f>Input!A225</f>
        <v>375.3</v>
      </c>
      <c r="C322" s="3" t="str">
        <f>Input!B225</f>
        <v>STRUC &amp; IMPROV-GENERAL M&amp;R</v>
      </c>
      <c r="D322" s="325">
        <f>Input!C225</f>
        <v>5</v>
      </c>
      <c r="E322" s="3">
        <f>Classification!G322</f>
        <v>0</v>
      </c>
      <c r="F322" s="3">
        <f>ROUND((VLOOKUP($D322,'Alloc Table Comm'!$B$7:$T$56,13,FALSE)*$E322),0)</f>
        <v>0</v>
      </c>
      <c r="G322" s="3">
        <f>ROUND((VLOOKUP($D322,'Alloc Table Comm'!$B$7:$T$56,14,FALSE)*$E322),0)</f>
        <v>0</v>
      </c>
      <c r="H322" s="3">
        <f>ROUND((VLOOKUP($D322,'Alloc Table Comm'!$B$7:$T$56,15,FALSE)*$E322),0)</f>
        <v>0</v>
      </c>
      <c r="I322" s="3">
        <f>ROUND((VLOOKUP($D322,'Alloc Table Comm'!$B$7:$T$56,16,FALSE)*$E322),0)</f>
        <v>0</v>
      </c>
      <c r="J322" s="3">
        <f>ROUND((VLOOKUP($D322,'Alloc Table Comm'!$B$7:$T$56,17,FALSE)*$E322),0)</f>
        <v>0</v>
      </c>
      <c r="K322" s="3">
        <f>ROUND((VLOOKUP($D322,'Alloc Table Comm'!$B$7:$T$56,18,FALSE)*$E322),0)</f>
        <v>0</v>
      </c>
      <c r="L322" s="3">
        <f>ROUND((VLOOKUP($D322,'Alloc Table Comm'!$B$7:$T$56,19,FALSE)*$E322),0)</f>
        <v>0</v>
      </c>
    </row>
    <row r="323" spans="1:12" ht="11.25" x14ac:dyDescent="0.2">
      <c r="A323" s="3">
        <f t="shared" si="43"/>
        <v>19</v>
      </c>
      <c r="B323" s="24">
        <f>Input!A226</f>
        <v>375.4</v>
      </c>
      <c r="C323" s="3" t="str">
        <f>Input!B226</f>
        <v>STRUC &amp; IMPROV-REGULATING</v>
      </c>
      <c r="D323" s="325">
        <f>Input!C226</f>
        <v>5</v>
      </c>
      <c r="E323" s="3">
        <f>Classification!G323</f>
        <v>34944</v>
      </c>
      <c r="F323" s="3">
        <f>ROUND((VLOOKUP($D323,'Alloc Table Comm'!$B$7:$T$56,13,FALSE)*$E323),0)</f>
        <v>13623</v>
      </c>
      <c r="G323" s="3">
        <f>ROUND((VLOOKUP($D323,'Alloc Table Comm'!$B$7:$T$56,14,FALSE)*$E323),0)</f>
        <v>9225</v>
      </c>
      <c r="H323" s="3">
        <f>ROUND((VLOOKUP($D323,'Alloc Table Comm'!$B$7:$T$56,15,FALSE)*$E323),0)</f>
        <v>20</v>
      </c>
      <c r="I323" s="3">
        <f>ROUND((VLOOKUP($D323,'Alloc Table Comm'!$B$7:$T$56,16,FALSE)*$E323),0)</f>
        <v>0</v>
      </c>
      <c r="J323" s="3">
        <f>ROUND((VLOOKUP($D323,'Alloc Table Comm'!$B$7:$T$56,17,FALSE)*$E323),0)</f>
        <v>12077</v>
      </c>
      <c r="K323" s="3">
        <f>ROUND((VLOOKUP($D323,'Alloc Table Comm'!$B$7:$T$56,18,FALSE)*$E323),0)</f>
        <v>0</v>
      </c>
      <c r="L323" s="3">
        <f>ROUND((VLOOKUP($D323,'Alloc Table Comm'!$B$7:$T$56,19,FALSE)*$E323),0)</f>
        <v>0</v>
      </c>
    </row>
    <row r="324" spans="1:12" ht="11.25" x14ac:dyDescent="0.2">
      <c r="A324" s="3">
        <f t="shared" si="43"/>
        <v>20</v>
      </c>
      <c r="B324" s="24">
        <f>B323</f>
        <v>375.4</v>
      </c>
      <c r="C324" s="3" t="str">
        <f>"DIRECT "&amp;C323</f>
        <v>DIRECT STRUC &amp; IMPROV-REGULATING</v>
      </c>
      <c r="D324" s="325"/>
      <c r="E324" s="3">
        <f>Classification!G324</f>
        <v>372</v>
      </c>
      <c r="F324" s="3">
        <v>0</v>
      </c>
      <c r="G324" s="3">
        <v>0</v>
      </c>
      <c r="H324" s="3">
        <v>0</v>
      </c>
      <c r="I324" s="3">
        <f>E324</f>
        <v>372</v>
      </c>
      <c r="J324" s="3">
        <v>0</v>
      </c>
      <c r="K324" s="3">
        <v>0</v>
      </c>
      <c r="L324" s="3">
        <v>0</v>
      </c>
    </row>
    <row r="325" spans="1:12" ht="11.25" x14ac:dyDescent="0.2">
      <c r="A325" s="3">
        <f t="shared" si="43"/>
        <v>21</v>
      </c>
      <c r="B325" s="24">
        <f>Input!A227</f>
        <v>375.6</v>
      </c>
      <c r="C325" s="3" t="str">
        <f>Input!B227</f>
        <v>STRUC &amp; IMPROV-DIST. IND. M &amp; R</v>
      </c>
      <c r="D325" s="325">
        <f>Input!C227</f>
        <v>8</v>
      </c>
      <c r="E325" s="3">
        <f>Classification!G325</f>
        <v>0</v>
      </c>
      <c r="F325" s="3">
        <f>ROUND((VLOOKUP($D325,'Alloc Table Comm'!$B$7:$T$56,13,FALSE)*$E325),0)</f>
        <v>0</v>
      </c>
      <c r="G325" s="3">
        <f>ROUND((VLOOKUP($D325,'Alloc Table Comm'!$B$7:$T$56,14,FALSE)*$E325),0)</f>
        <v>0</v>
      </c>
      <c r="H325" s="3">
        <f>ROUND((VLOOKUP($D325,'Alloc Table Comm'!$B$7:$T$56,15,FALSE)*$E325),0)</f>
        <v>0</v>
      </c>
      <c r="I325" s="3">
        <f>ROUND((VLOOKUP($D325,'Alloc Table Comm'!$B$7:$T$56,16,FALSE)*$E325),0)</f>
        <v>0</v>
      </c>
      <c r="J325" s="3">
        <f>ROUND((VLOOKUP($D325,'Alloc Table Comm'!$B$7:$T$56,17,FALSE)*$E325),0)</f>
        <v>0</v>
      </c>
      <c r="K325" s="3">
        <f>ROUND((VLOOKUP($D325,'Alloc Table Comm'!$B$7:$T$56,18,FALSE)*$E325),0)</f>
        <v>0</v>
      </c>
      <c r="L325" s="3">
        <f>ROUND((VLOOKUP($D325,'Alloc Table Comm'!$B$7:$T$56,19,FALSE)*$E325),0)</f>
        <v>0</v>
      </c>
    </row>
    <row r="326" spans="1:12" ht="11.25" x14ac:dyDescent="0.2">
      <c r="A326" s="3">
        <f t="shared" si="43"/>
        <v>22</v>
      </c>
      <c r="B326" s="24">
        <f>Input!A228</f>
        <v>375.7</v>
      </c>
      <c r="C326" s="3" t="str">
        <f>Input!B228</f>
        <v>STRUC &amp; IMPROV-OTHER DIST. SYSTEM</v>
      </c>
      <c r="D326" s="325" t="str">
        <f>D240</f>
        <v>7COMM</v>
      </c>
      <c r="E326" s="3">
        <f>Classification!G326</f>
        <v>54004</v>
      </c>
      <c r="F326" s="3">
        <f ca="1">ROUND((VLOOKUP($D326,'Alloc Table Comm'!$B$7:$T$56,13,FALSE)*$E326),0)</f>
        <v>21048</v>
      </c>
      <c r="G326" s="3">
        <f ca="1">ROUND((VLOOKUP($D326,'Alloc Table Comm'!$B$7:$T$56,14,FALSE)*$E326),0)</f>
        <v>14253</v>
      </c>
      <c r="H326" s="3">
        <f ca="1">ROUND((VLOOKUP($D326,'Alloc Table Comm'!$B$7:$T$56,15,FALSE)*$E326),0)</f>
        <v>31</v>
      </c>
      <c r="I326" s="3">
        <f ca="1">ROUND((VLOOKUP($D326,'Alloc Table Comm'!$B$7:$T$56,16,FALSE)*$E326),0)</f>
        <v>13</v>
      </c>
      <c r="J326" s="3">
        <f ca="1">ROUND((VLOOKUP($D326,'Alloc Table Comm'!$B$7:$T$56,17,FALSE)*$E326),0)</f>
        <v>18659</v>
      </c>
      <c r="K326" s="3">
        <f ca="1">ROUND((VLOOKUP($D326,'Alloc Table Comm'!$B$7:$T$56,18,FALSE)*$E326),0)</f>
        <v>0</v>
      </c>
      <c r="L326" s="3">
        <f ca="1">ROUND((VLOOKUP($D326,'Alloc Table Comm'!$B$7:$T$56,19,FALSE)*$E326),0)</f>
        <v>0</v>
      </c>
    </row>
    <row r="327" spans="1:12" ht="11.25" x14ac:dyDescent="0.2">
      <c r="A327" s="3">
        <f t="shared" si="43"/>
        <v>23</v>
      </c>
      <c r="B327" s="24">
        <f>Input!A229</f>
        <v>375.71</v>
      </c>
      <c r="C327" s="3" t="str">
        <f>Input!B229</f>
        <v>STRUCT &amp; IMPROV-OTHER DIST. SYSTEM-IMPROV</v>
      </c>
      <c r="D327" s="325" t="str">
        <f>D241</f>
        <v>7COMM</v>
      </c>
      <c r="E327" s="3">
        <f>Classification!G327</f>
        <v>9609</v>
      </c>
      <c r="F327" s="3">
        <f ca="1">ROUND((VLOOKUP($D327,'Alloc Table Comm'!$B$7:$T$56,13,FALSE)*$E327),0)</f>
        <v>3745</v>
      </c>
      <c r="G327" s="3">
        <f ca="1">ROUND((VLOOKUP($D327,'Alloc Table Comm'!$B$7:$T$56,14,FALSE)*$E327),0)</f>
        <v>2536</v>
      </c>
      <c r="H327" s="3">
        <f ca="1">ROUND((VLOOKUP($D327,'Alloc Table Comm'!$B$7:$T$56,15,FALSE)*$E327),0)</f>
        <v>5</v>
      </c>
      <c r="I327" s="3">
        <f ca="1">ROUND((VLOOKUP($D327,'Alloc Table Comm'!$B$7:$T$56,16,FALSE)*$E327),0)</f>
        <v>2</v>
      </c>
      <c r="J327" s="3">
        <f ca="1">ROUND((VLOOKUP($D327,'Alloc Table Comm'!$B$7:$T$56,17,FALSE)*$E327),0)</f>
        <v>3320</v>
      </c>
      <c r="K327" s="3">
        <f ca="1">ROUND((VLOOKUP($D327,'Alloc Table Comm'!$B$7:$T$56,18,FALSE)*$E327),0)</f>
        <v>0</v>
      </c>
      <c r="L327" s="3">
        <f ca="1">ROUND((VLOOKUP($D327,'Alloc Table Comm'!$B$7:$T$56,19,FALSE)*$E327),0)</f>
        <v>0</v>
      </c>
    </row>
    <row r="328" spans="1:12" ht="11.25" x14ac:dyDescent="0.2">
      <c r="A328" s="3">
        <f t="shared" si="43"/>
        <v>24</v>
      </c>
      <c r="B328" s="24">
        <f>Input!A230</f>
        <v>375.8</v>
      </c>
      <c r="C328" s="3" t="str">
        <f>Input!B230</f>
        <v>STRUC &amp; IMPROV-COMMUNICATION</v>
      </c>
      <c r="D328" s="325">
        <f>Input!C230</f>
        <v>5</v>
      </c>
      <c r="E328" s="3">
        <f>Classification!G328</f>
        <v>0</v>
      </c>
      <c r="F328" s="3">
        <f>ROUND((VLOOKUP($D328,'Alloc Table Comm'!$B$7:$T$56,13,FALSE)*$E328),0)</f>
        <v>0</v>
      </c>
      <c r="G328" s="3">
        <f>ROUND((VLOOKUP($D328,'Alloc Table Comm'!$B$7:$T$56,14,FALSE)*$E328),0)</f>
        <v>0</v>
      </c>
      <c r="H328" s="3">
        <f>ROUND((VLOOKUP($D328,'Alloc Table Comm'!$B$7:$T$56,15,FALSE)*$E328),0)</f>
        <v>0</v>
      </c>
      <c r="I328" s="3">
        <f>ROUND((VLOOKUP($D328,'Alloc Table Comm'!$B$7:$T$56,16,FALSE)*$E328),0)</f>
        <v>0</v>
      </c>
      <c r="J328" s="3">
        <f>ROUND((VLOOKUP($D328,'Alloc Table Comm'!$B$7:$T$56,17,FALSE)*$E328),0)</f>
        <v>0</v>
      </c>
      <c r="K328" s="3">
        <f>ROUND((VLOOKUP($D328,'Alloc Table Comm'!$B$7:$T$56,18,FALSE)*$E328),0)</f>
        <v>0</v>
      </c>
      <c r="L328" s="3">
        <f>ROUND((VLOOKUP($D328,'Alloc Table Comm'!$B$7:$T$56,19,FALSE)*$E328),0)</f>
        <v>0</v>
      </c>
    </row>
    <row r="329" spans="1:12" ht="11.25" x14ac:dyDescent="0.2">
      <c r="A329" s="3">
        <f t="shared" si="43"/>
        <v>25</v>
      </c>
      <c r="B329" s="24">
        <f>Input!A231</f>
        <v>376</v>
      </c>
      <c r="C329" s="3" t="str">
        <f>Input!B231</f>
        <v>MAINS</v>
      </c>
      <c r="D329" s="325">
        <f>Input!C231</f>
        <v>5</v>
      </c>
      <c r="E329" s="3">
        <f>Classification!G329</f>
        <v>2543807</v>
      </c>
      <c r="F329" s="3">
        <f>ROUND((VLOOKUP($D329,'Alloc Table Comm'!$B$7:$T$56,13,FALSE)*$E329),0)</f>
        <v>991678</v>
      </c>
      <c r="G329" s="3">
        <f>ROUND((VLOOKUP($D329,'Alloc Table Comm'!$B$7:$T$56,14,FALSE)*$E329),0)</f>
        <v>671540</v>
      </c>
      <c r="H329" s="3">
        <f>ROUND((VLOOKUP($D329,'Alloc Table Comm'!$B$7:$T$56,15,FALSE)*$E329),0)</f>
        <v>1450</v>
      </c>
      <c r="I329" s="3">
        <f>ROUND((VLOOKUP($D329,'Alloc Table Comm'!$B$7:$T$56,16,FALSE)*$E329),0)</f>
        <v>0</v>
      </c>
      <c r="J329" s="3">
        <f>ROUND((VLOOKUP($D329,'Alloc Table Comm'!$B$7:$T$56,17,FALSE)*$E329),0)</f>
        <v>879140</v>
      </c>
      <c r="K329" s="3">
        <f>ROUND((VLOOKUP($D329,'Alloc Table Comm'!$B$7:$T$56,18,FALSE)*$E329),0)</f>
        <v>0</v>
      </c>
      <c r="L329" s="3">
        <f>ROUND((VLOOKUP($D329,'Alloc Table Comm'!$B$7:$T$56,19,FALSE)*$E329),0)</f>
        <v>0</v>
      </c>
    </row>
    <row r="330" spans="1:12" ht="11.25" x14ac:dyDescent="0.2">
      <c r="A330" s="3">
        <f t="shared" si="43"/>
        <v>26</v>
      </c>
      <c r="B330" s="24">
        <f>Input!A231</f>
        <v>376</v>
      </c>
      <c r="C330" s="3" t="str">
        <f>"DIRECT "&amp;+Input!B231</f>
        <v>DIRECT MAINS</v>
      </c>
      <c r="D330" s="325"/>
      <c r="E330" s="3">
        <f>Classification!G330</f>
        <v>75</v>
      </c>
      <c r="F330" s="3">
        <v>0</v>
      </c>
      <c r="G330" s="3">
        <v>0</v>
      </c>
      <c r="H330" s="3">
        <v>0</v>
      </c>
      <c r="I330" s="3">
        <f>E330</f>
        <v>75</v>
      </c>
      <c r="J330" s="3">
        <v>0</v>
      </c>
      <c r="K330" s="3">
        <v>0</v>
      </c>
      <c r="L330" s="3">
        <v>0</v>
      </c>
    </row>
    <row r="331" spans="1:12" ht="11.25" x14ac:dyDescent="0.2">
      <c r="A331" s="3">
        <f t="shared" si="43"/>
        <v>27</v>
      </c>
      <c r="B331" s="24">
        <f>Input!A232</f>
        <v>378.1</v>
      </c>
      <c r="C331" s="3" t="str">
        <f>Input!B232</f>
        <v>M &amp; R GENERAL</v>
      </c>
      <c r="D331" s="325">
        <f>Input!C232</f>
        <v>5</v>
      </c>
      <c r="E331" s="3">
        <f>Classification!G331</f>
        <v>8610</v>
      </c>
      <c r="F331" s="3">
        <f>ROUND((VLOOKUP($D331,'Alloc Table Comm'!$B$7:$T$56,13,FALSE)*$E331),0)</f>
        <v>3357</v>
      </c>
      <c r="G331" s="3">
        <f>ROUND((VLOOKUP($D331,'Alloc Table Comm'!$B$7:$T$56,14,FALSE)*$E331),0)</f>
        <v>2273</v>
      </c>
      <c r="H331" s="3">
        <f>ROUND((VLOOKUP($D331,'Alloc Table Comm'!$B$7:$T$56,15,FALSE)*$E331),0)</f>
        <v>5</v>
      </c>
      <c r="I331" s="3">
        <f>ROUND((VLOOKUP($D331,'Alloc Table Comm'!$B$7:$T$56,16,FALSE)*$E331),0)</f>
        <v>0</v>
      </c>
      <c r="J331" s="3">
        <f>ROUND((VLOOKUP($D331,'Alloc Table Comm'!$B$7:$T$56,17,FALSE)*$E331),0)</f>
        <v>2976</v>
      </c>
      <c r="K331" s="3">
        <f>ROUND((VLOOKUP($D331,'Alloc Table Comm'!$B$7:$T$56,18,FALSE)*$E331),0)</f>
        <v>0</v>
      </c>
      <c r="L331" s="3">
        <f>ROUND((VLOOKUP($D331,'Alloc Table Comm'!$B$7:$T$56,19,FALSE)*$E331),0)</f>
        <v>0</v>
      </c>
    </row>
    <row r="332" spans="1:12" ht="11.25" x14ac:dyDescent="0.2">
      <c r="A332" s="3">
        <f t="shared" si="43"/>
        <v>28</v>
      </c>
      <c r="B332" s="24">
        <f>Input!A233</f>
        <v>378.2</v>
      </c>
      <c r="C332" s="3" t="str">
        <f>Input!B233</f>
        <v>M &amp; R GENERAL - REGULATING</v>
      </c>
      <c r="D332" s="325">
        <f>Input!C233</f>
        <v>5</v>
      </c>
      <c r="E332" s="3">
        <f>Classification!G332</f>
        <v>152200</v>
      </c>
      <c r="F332" s="3">
        <f>ROUND((VLOOKUP($D332,'Alloc Table Comm'!$B$7:$T$56,13,FALSE)*$E332),0)</f>
        <v>59334</v>
      </c>
      <c r="G332" s="3">
        <f>ROUND((VLOOKUP($D332,'Alloc Table Comm'!$B$7:$T$56,14,FALSE)*$E332),0)</f>
        <v>40179</v>
      </c>
      <c r="H332" s="3">
        <f>ROUND((VLOOKUP($D332,'Alloc Table Comm'!$B$7:$T$56,15,FALSE)*$E332),0)</f>
        <v>87</v>
      </c>
      <c r="I332" s="3">
        <f>ROUND((VLOOKUP($D332,'Alloc Table Comm'!$B$7:$T$56,16,FALSE)*$E332),0)</f>
        <v>0</v>
      </c>
      <c r="J332" s="3">
        <f>ROUND((VLOOKUP($D332,'Alloc Table Comm'!$B$7:$T$56,17,FALSE)*$E332),0)</f>
        <v>52600</v>
      </c>
      <c r="K332" s="3">
        <f>ROUND((VLOOKUP($D332,'Alloc Table Comm'!$B$7:$T$56,18,FALSE)*$E332),0)</f>
        <v>0</v>
      </c>
      <c r="L332" s="3">
        <f>ROUND((VLOOKUP($D332,'Alloc Table Comm'!$B$7:$T$56,19,FALSE)*$E332),0)</f>
        <v>0</v>
      </c>
    </row>
    <row r="333" spans="1:12" ht="11.25" x14ac:dyDescent="0.2">
      <c r="A333" s="3">
        <f t="shared" si="43"/>
        <v>29</v>
      </c>
      <c r="B333" s="24">
        <f>Input!A234</f>
        <v>378.3</v>
      </c>
      <c r="C333" s="3" t="str">
        <f>Input!B234</f>
        <v>M &amp; R EQUIP - LOCAL GAS PURCHASES</v>
      </c>
      <c r="D333" s="325">
        <f>Input!C234</f>
        <v>5</v>
      </c>
      <c r="E333" s="3">
        <f>Classification!G333</f>
        <v>756</v>
      </c>
      <c r="F333" s="3">
        <f>ROUND((VLOOKUP($D333,'Alloc Table Comm'!$B$7:$T$56,13,FALSE)*$E333),0)</f>
        <v>295</v>
      </c>
      <c r="G333" s="3">
        <f>ROUND((VLOOKUP($D333,'Alloc Table Comm'!$B$7:$T$56,14,FALSE)*$E333),0)</f>
        <v>200</v>
      </c>
      <c r="H333" s="3">
        <f>ROUND((VLOOKUP($D333,'Alloc Table Comm'!$B$7:$T$56,15,FALSE)*$E333),0)</f>
        <v>0</v>
      </c>
      <c r="I333" s="3">
        <f>ROUND((VLOOKUP($D333,'Alloc Table Comm'!$B$7:$T$56,16,FALSE)*$E333),0)</f>
        <v>0</v>
      </c>
      <c r="J333" s="3">
        <f>ROUND((VLOOKUP($D333,'Alloc Table Comm'!$B$7:$T$56,17,FALSE)*$E333),0)</f>
        <v>261</v>
      </c>
      <c r="K333" s="3">
        <f>ROUND((VLOOKUP($D333,'Alloc Table Comm'!$B$7:$T$56,18,FALSE)*$E333),0)</f>
        <v>0</v>
      </c>
      <c r="L333" s="3">
        <f>ROUND((VLOOKUP($D333,'Alloc Table Comm'!$B$7:$T$56,19,FALSE)*$E333),0)</f>
        <v>0</v>
      </c>
    </row>
    <row r="334" spans="1:12" ht="11.25" x14ac:dyDescent="0.2">
      <c r="A334" s="3">
        <f t="shared" si="43"/>
        <v>30</v>
      </c>
      <c r="B334" s="24">
        <f>Input!A235</f>
        <v>379.1</v>
      </c>
      <c r="C334" s="3" t="str">
        <f>Input!B235</f>
        <v>STA EQUIP - CITY</v>
      </c>
      <c r="D334" s="325">
        <f>Input!C235</f>
        <v>5</v>
      </c>
      <c r="E334" s="3">
        <f>Classification!G334</f>
        <v>0</v>
      </c>
      <c r="F334" s="3">
        <f>ROUND((VLOOKUP($D334,'Alloc Table Comm'!$B$7:$T$56,13,FALSE)*$E334),0)</f>
        <v>0</v>
      </c>
      <c r="G334" s="3">
        <f>ROUND((VLOOKUP($D334,'Alloc Table Comm'!$B$7:$T$56,14,FALSE)*$E334),0)</f>
        <v>0</v>
      </c>
      <c r="H334" s="3">
        <f>ROUND((VLOOKUP($D334,'Alloc Table Comm'!$B$7:$T$56,15,FALSE)*$E334),0)</f>
        <v>0</v>
      </c>
      <c r="I334" s="3">
        <f>ROUND((VLOOKUP($D334,'Alloc Table Comm'!$B$7:$T$56,16,FALSE)*$E334),0)</f>
        <v>0</v>
      </c>
      <c r="J334" s="3">
        <f>ROUND((VLOOKUP($D334,'Alloc Table Comm'!$B$7:$T$56,17,FALSE)*$E334),0)</f>
        <v>0</v>
      </c>
      <c r="K334" s="3">
        <f>ROUND((VLOOKUP($D334,'Alloc Table Comm'!$B$7:$T$56,18,FALSE)*$E334),0)</f>
        <v>0</v>
      </c>
      <c r="L334" s="3">
        <f>ROUND((VLOOKUP($D334,'Alloc Table Comm'!$B$7:$T$56,19,FALSE)*$E334),0)</f>
        <v>0</v>
      </c>
    </row>
    <row r="335" spans="1:12" ht="11.25" x14ac:dyDescent="0.2">
      <c r="A335" s="3">
        <f t="shared" si="43"/>
        <v>31</v>
      </c>
      <c r="B335" s="24">
        <f>Input!A236</f>
        <v>380</v>
      </c>
      <c r="C335" s="3" t="str">
        <f>Input!B236</f>
        <v>SERVICES</v>
      </c>
      <c r="D335" s="325">
        <f>Input!C236</f>
        <v>15</v>
      </c>
      <c r="E335" s="3">
        <f>Classification!G335</f>
        <v>0</v>
      </c>
      <c r="F335" s="3">
        <f ca="1">ROUND((VLOOKUP($D335,'Alloc Table Comm'!$B$7:$T$56,13,FALSE)*$E335),0)</f>
        <v>0</v>
      </c>
      <c r="G335" s="3">
        <f ca="1">ROUND((VLOOKUP($D335,'Alloc Table Comm'!$B$7:$T$56,14,FALSE)*$E335),0)</f>
        <v>0</v>
      </c>
      <c r="H335" s="3">
        <f ca="1">ROUND((VLOOKUP($D335,'Alloc Table Comm'!$B$7:$T$56,15,FALSE)*$E335),0)</f>
        <v>0</v>
      </c>
      <c r="I335" s="3">
        <f ca="1">ROUND((VLOOKUP($D335,'Alloc Table Comm'!$B$7:$T$56,16,FALSE)*$E335),0)</f>
        <v>0</v>
      </c>
      <c r="J335" s="3">
        <f ca="1">ROUND((VLOOKUP($D335,'Alloc Table Comm'!$B$7:$T$56,17,FALSE)*$E335),0)</f>
        <v>0</v>
      </c>
      <c r="K335" s="3">
        <f ca="1">ROUND((VLOOKUP($D335,'Alloc Table Comm'!$B$7:$T$56,18,FALSE)*$E335),0)</f>
        <v>0</v>
      </c>
      <c r="L335" s="3">
        <f ca="1">ROUND((VLOOKUP($D335,'Alloc Table Comm'!$B$7:$T$56,19,FALSE)*$E335),0)</f>
        <v>0</v>
      </c>
    </row>
    <row r="336" spans="1:12" ht="11.25" x14ac:dyDescent="0.2">
      <c r="A336" s="3">
        <f t="shared" si="43"/>
        <v>32</v>
      </c>
      <c r="B336" s="24">
        <f>Input!A236</f>
        <v>380</v>
      </c>
      <c r="C336" s="3" t="s">
        <v>815</v>
      </c>
      <c r="D336" s="325"/>
      <c r="E336" s="3">
        <f>Classification!G336</f>
        <v>0</v>
      </c>
      <c r="F336" s="3">
        <v>0</v>
      </c>
      <c r="G336" s="3">
        <v>0</v>
      </c>
      <c r="H336" s="3">
        <v>0</v>
      </c>
      <c r="I336" s="3">
        <f>E336</f>
        <v>0</v>
      </c>
      <c r="J336" s="3">
        <v>0</v>
      </c>
      <c r="K336" s="3">
        <v>0</v>
      </c>
      <c r="L336" s="3">
        <v>0</v>
      </c>
    </row>
    <row r="337" spans="1:12" ht="11.25" x14ac:dyDescent="0.2">
      <c r="A337" s="3" t="s">
        <v>818</v>
      </c>
      <c r="B337" s="3"/>
      <c r="C337" s="14"/>
      <c r="D337" s="325"/>
      <c r="E337" s="15"/>
      <c r="F337" s="325" t="str">
        <f>""&amp;+Input!$B$1</f>
        <v>COLUMBIA GAS OF KENTUCKY, INC.</v>
      </c>
      <c r="H337" s="3"/>
      <c r="I337" s="3"/>
      <c r="J337" s="3"/>
      <c r="K337" s="3"/>
      <c r="L337" s="32" t="str">
        <f>Input!$B$2</f>
        <v>ATTACHMENT CEN-2</v>
      </c>
    </row>
    <row r="338" spans="1:12" ht="11.25" x14ac:dyDescent="0.2">
      <c r="A338" s="3" t="str">
        <f>Input!$B$7</f>
        <v>DEMAND-COMMODITY</v>
      </c>
      <c r="B338" s="3"/>
      <c r="C338" s="3"/>
      <c r="D338" s="325"/>
      <c r="E338" s="3"/>
      <c r="F338" s="325" t="s">
        <v>579</v>
      </c>
      <c r="H338" s="3"/>
      <c r="I338" s="3"/>
      <c r="J338" s="3"/>
      <c r="K338" s="3"/>
      <c r="L338" s="32" t="str">
        <f>"PAGE 87 OF "&amp;FIXED(Input!$B$8,0,TRUE)</f>
        <v>PAGE 87 OF 129</v>
      </c>
    </row>
    <row r="339" spans="1:12" ht="11.25" x14ac:dyDescent="0.2">
      <c r="A339" s="17" t="str">
        <f>Input!$B$6</f>
        <v>FORECASTED TEST YEAR - ORIGINAL FILING</v>
      </c>
      <c r="B339" s="17"/>
      <c r="C339" s="17"/>
      <c r="D339" s="34"/>
      <c r="E339" s="17"/>
      <c r="F339" s="19" t="str">
        <f>"FOR THE TWELVE MONTHS ENDED "&amp;Input!$B$4</f>
        <v>FOR THE TWELVE MONTHS ENDED 12/31/2017</v>
      </c>
      <c r="G339" s="329"/>
      <c r="H339" s="17"/>
      <c r="I339" s="17"/>
      <c r="J339" s="17"/>
      <c r="K339" s="17"/>
      <c r="L339" s="183" t="str">
        <f>"WITNESS: "&amp;Input!$B$5</f>
        <v>WITNESS: C. NOTESTONE</v>
      </c>
    </row>
    <row r="340" spans="1:12" ht="11.25" x14ac:dyDescent="0.2">
      <c r="A340" s="325" t="s">
        <v>5</v>
      </c>
      <c r="B340" s="3" t="s">
        <v>6</v>
      </c>
      <c r="C340" s="3"/>
      <c r="D340" s="325" t="s">
        <v>7</v>
      </c>
      <c r="E340" s="325" t="s">
        <v>8</v>
      </c>
      <c r="F340" s="3"/>
      <c r="G340" s="3"/>
      <c r="H340" s="3"/>
      <c r="I340" s="3"/>
      <c r="J340" s="3"/>
      <c r="K340" s="3"/>
      <c r="L340" s="3"/>
    </row>
    <row r="341" spans="1:12" ht="11.25" x14ac:dyDescent="0.2">
      <c r="A341" s="341" t="s">
        <v>9</v>
      </c>
      <c r="B341" s="341" t="s">
        <v>9</v>
      </c>
      <c r="C341" s="34" t="str">
        <f>Commodity!C128</f>
        <v xml:space="preserve"> ACCOUNT TITLE</v>
      </c>
      <c r="D341" s="341" t="s">
        <v>10</v>
      </c>
      <c r="E341" s="341" t="s">
        <v>812</v>
      </c>
      <c r="F341" s="341" t="str">
        <f>"  "&amp;+Input!$C$12</f>
        <v xml:space="preserve">  GS-RESIDENTIAL</v>
      </c>
      <c r="G341" s="341" t="str">
        <f>Input!$C$13</f>
        <v>GS-OTHER</v>
      </c>
      <c r="H341" s="341" t="str">
        <f>Input!$C$14</f>
        <v>IUS</v>
      </c>
      <c r="I341" s="341" t="str">
        <f>Input!$C$15</f>
        <v>DS-ML</v>
      </c>
      <c r="J341" s="341" t="str">
        <f>Input!$C$16</f>
        <v>DS/IS</v>
      </c>
      <c r="K341" s="341" t="str">
        <f>Input!$C$17</f>
        <v>NOT USED</v>
      </c>
      <c r="L341" s="341" t="str">
        <f>Input!$C$18</f>
        <v>NOT USED</v>
      </c>
    </row>
    <row r="342" spans="1:12" ht="11.25" x14ac:dyDescent="0.2">
      <c r="A342" s="3"/>
      <c r="B342" s="342" t="s">
        <v>13</v>
      </c>
      <c r="C342" s="342" t="s">
        <v>14</v>
      </c>
      <c r="D342" s="325" t="s">
        <v>15</v>
      </c>
      <c r="E342" s="325" t="s">
        <v>16</v>
      </c>
      <c r="F342" s="325" t="s">
        <v>17</v>
      </c>
      <c r="G342" s="325" t="s">
        <v>18</v>
      </c>
      <c r="H342" s="325" t="s">
        <v>19</v>
      </c>
      <c r="I342" s="325" t="s">
        <v>20</v>
      </c>
      <c r="J342" s="325" t="s">
        <v>21</v>
      </c>
      <c r="K342" s="325" t="s">
        <v>22</v>
      </c>
      <c r="L342" s="325" t="s">
        <v>23</v>
      </c>
    </row>
    <row r="343" spans="1:12" ht="11.25" x14ac:dyDescent="0.2">
      <c r="A343" s="3"/>
      <c r="B343" s="3"/>
      <c r="C343" s="3"/>
      <c r="D343" s="325"/>
      <c r="E343" s="325" t="s">
        <v>26</v>
      </c>
      <c r="F343" s="325" t="s">
        <v>26</v>
      </c>
      <c r="G343" s="325" t="s">
        <v>26</v>
      </c>
      <c r="H343" s="325" t="s">
        <v>26</v>
      </c>
      <c r="I343" s="325" t="s">
        <v>26</v>
      </c>
      <c r="J343" s="325" t="s">
        <v>26</v>
      </c>
      <c r="K343" s="325" t="s">
        <v>26</v>
      </c>
      <c r="L343" s="325" t="s">
        <v>26</v>
      </c>
    </row>
    <row r="344" spans="1:12" ht="11.25" x14ac:dyDescent="0.2">
      <c r="A344" s="3">
        <v>1</v>
      </c>
      <c r="B344" s="24">
        <f>Input!A237</f>
        <v>381</v>
      </c>
      <c r="C344" s="3" t="str">
        <f>Input!B237</f>
        <v>METERS</v>
      </c>
      <c r="D344" s="325">
        <f>Input!C237</f>
        <v>16</v>
      </c>
      <c r="E344" s="3">
        <f>Classification!G344</f>
        <v>0</v>
      </c>
      <c r="F344" s="3">
        <f>ROUND((VLOOKUP($D344,'Alloc Table Comm'!$B$7:$T$56,13,FALSE)*$E344),0)</f>
        <v>0</v>
      </c>
      <c r="G344" s="3">
        <f>ROUND((VLOOKUP($D344,'Alloc Table Comm'!$B$7:$T$56,14,FALSE)*$E344),0)</f>
        <v>0</v>
      </c>
      <c r="H344" s="3">
        <f>ROUND((VLOOKUP($D344,'Alloc Table Comm'!$B$7:$T$56,15,FALSE)*$E344),0)</f>
        <v>0</v>
      </c>
      <c r="I344" s="3">
        <f>ROUND((VLOOKUP($D344,'Alloc Table Comm'!$B$7:$T$56,16,FALSE)*$E344),0)</f>
        <v>0</v>
      </c>
      <c r="J344" s="3">
        <f>ROUND((VLOOKUP($D344,'Alloc Table Comm'!$B$7:$T$56,17,FALSE)*$E344),0)</f>
        <v>0</v>
      </c>
      <c r="K344" s="3">
        <f>ROUND((VLOOKUP($D344,'Alloc Table Comm'!$B$7:$T$56,18,FALSE)*$E344),0)</f>
        <v>0</v>
      </c>
      <c r="L344" s="3">
        <f>ROUND((VLOOKUP($D344,'Alloc Table Comm'!$B$7:$T$56,19,FALSE)*$E344),0)</f>
        <v>0</v>
      </c>
    </row>
    <row r="345" spans="1:12" ht="11.25" x14ac:dyDescent="0.2">
      <c r="A345" s="3">
        <f t="shared" ref="A345:A356" si="44">A344+1</f>
        <v>2</v>
      </c>
      <c r="B345" s="24">
        <f>Input!A238</f>
        <v>382</v>
      </c>
      <c r="C345" s="3" t="str">
        <f>Input!B238</f>
        <v>METER INSTALLATIONS</v>
      </c>
      <c r="D345" s="325">
        <f>Input!C238</f>
        <v>16</v>
      </c>
      <c r="E345" s="3">
        <f>Classification!G345</f>
        <v>0</v>
      </c>
      <c r="F345" s="3">
        <f>ROUND((VLOOKUP($D345,'Alloc Table Comm'!$B$7:$T$56,13,FALSE)*$E345),0)</f>
        <v>0</v>
      </c>
      <c r="G345" s="3">
        <f>ROUND((VLOOKUP($D345,'Alloc Table Comm'!$B$7:$T$56,14,FALSE)*$E345),0)</f>
        <v>0</v>
      </c>
      <c r="H345" s="3">
        <f>ROUND((VLOOKUP($D345,'Alloc Table Comm'!$B$7:$T$56,15,FALSE)*$E345),0)</f>
        <v>0</v>
      </c>
      <c r="I345" s="3">
        <f>ROUND((VLOOKUP($D345,'Alloc Table Comm'!$B$7:$T$56,16,FALSE)*$E345),0)</f>
        <v>0</v>
      </c>
      <c r="J345" s="3">
        <f>ROUND((VLOOKUP($D345,'Alloc Table Comm'!$B$7:$T$56,17,FALSE)*$E345),0)</f>
        <v>0</v>
      </c>
      <c r="K345" s="3">
        <f>ROUND((VLOOKUP($D345,'Alloc Table Comm'!$B$7:$T$56,18,FALSE)*$E345),0)</f>
        <v>0</v>
      </c>
      <c r="L345" s="3">
        <f>ROUND((VLOOKUP($D345,'Alloc Table Comm'!$B$7:$T$56,19,FALSE)*$E345),0)</f>
        <v>0</v>
      </c>
    </row>
    <row r="346" spans="1:12" ht="11.25" x14ac:dyDescent="0.2">
      <c r="A346" s="3">
        <f t="shared" si="44"/>
        <v>3</v>
      </c>
      <c r="B346" s="24">
        <f>Input!A239</f>
        <v>383</v>
      </c>
      <c r="C346" s="3" t="str">
        <f>Input!B239</f>
        <v>HOUSE REGULATORS</v>
      </c>
      <c r="D346" s="325">
        <f>Input!C239</f>
        <v>16</v>
      </c>
      <c r="E346" s="3">
        <f>Classification!G346</f>
        <v>0</v>
      </c>
      <c r="F346" s="3">
        <f>ROUND((VLOOKUP($D346,'Alloc Table Comm'!$B$7:$T$56,13,FALSE)*$E346),0)</f>
        <v>0</v>
      </c>
      <c r="G346" s="3">
        <f>ROUND((VLOOKUP($D346,'Alloc Table Comm'!$B$7:$T$56,14,FALSE)*$E346),0)</f>
        <v>0</v>
      </c>
      <c r="H346" s="3">
        <f>ROUND((VLOOKUP($D346,'Alloc Table Comm'!$B$7:$T$56,15,FALSE)*$E346),0)</f>
        <v>0</v>
      </c>
      <c r="I346" s="3">
        <f>ROUND((VLOOKUP($D346,'Alloc Table Comm'!$B$7:$T$56,16,FALSE)*$E346),0)</f>
        <v>0</v>
      </c>
      <c r="J346" s="3">
        <f>ROUND((VLOOKUP($D346,'Alloc Table Comm'!$B$7:$T$56,17,FALSE)*$E346),0)</f>
        <v>0</v>
      </c>
      <c r="K346" s="3">
        <f>ROUND((VLOOKUP($D346,'Alloc Table Comm'!$B$7:$T$56,18,FALSE)*$E346),0)</f>
        <v>0</v>
      </c>
      <c r="L346" s="3">
        <f>ROUND((VLOOKUP($D346,'Alloc Table Comm'!$B$7:$T$56,19,FALSE)*$E346),0)</f>
        <v>0</v>
      </c>
    </row>
    <row r="347" spans="1:12" ht="11.25" x14ac:dyDescent="0.2">
      <c r="A347" s="3">
        <f t="shared" si="44"/>
        <v>4</v>
      </c>
      <c r="B347" s="24">
        <f>Input!A240</f>
        <v>384</v>
      </c>
      <c r="C347" s="3" t="str">
        <f>Input!B240</f>
        <v>HOUSE REG INSTALLATIONS</v>
      </c>
      <c r="D347" s="325">
        <f>Input!C240</f>
        <v>16</v>
      </c>
      <c r="E347" s="3">
        <f>Classification!G347</f>
        <v>0</v>
      </c>
      <c r="F347" s="3">
        <f>ROUND((VLOOKUP($D347,'Alloc Table Comm'!$B$7:$T$56,13,FALSE)*$E347),0)</f>
        <v>0</v>
      </c>
      <c r="G347" s="3">
        <f>ROUND((VLOOKUP($D347,'Alloc Table Comm'!$B$7:$T$56,14,FALSE)*$E347),0)</f>
        <v>0</v>
      </c>
      <c r="H347" s="3">
        <f>ROUND((VLOOKUP($D347,'Alloc Table Comm'!$B$7:$T$56,15,FALSE)*$E347),0)</f>
        <v>0</v>
      </c>
      <c r="I347" s="3">
        <f>ROUND((VLOOKUP($D347,'Alloc Table Comm'!$B$7:$T$56,16,FALSE)*$E347),0)</f>
        <v>0</v>
      </c>
      <c r="J347" s="3">
        <f>ROUND((VLOOKUP($D347,'Alloc Table Comm'!$B$7:$T$56,17,FALSE)*$E347),0)</f>
        <v>0</v>
      </c>
      <c r="K347" s="3">
        <f>ROUND((VLOOKUP($D347,'Alloc Table Comm'!$B$7:$T$56,18,FALSE)*$E347),0)</f>
        <v>0</v>
      </c>
      <c r="L347" s="3">
        <f>ROUND((VLOOKUP($D347,'Alloc Table Comm'!$B$7:$T$56,19,FALSE)*$E347),0)</f>
        <v>0</v>
      </c>
    </row>
    <row r="348" spans="1:12" ht="11.25" x14ac:dyDescent="0.2">
      <c r="A348" s="3">
        <f t="shared" si="44"/>
        <v>5</v>
      </c>
      <c r="B348" s="24">
        <f>Input!A241</f>
        <v>385</v>
      </c>
      <c r="C348" s="3" t="str">
        <f>Input!B241</f>
        <v>IND M&amp;R EQUIPMENT</v>
      </c>
      <c r="D348" s="325">
        <f>Input!C241</f>
        <v>17</v>
      </c>
      <c r="E348" s="3">
        <f>Classification!G348</f>
        <v>0</v>
      </c>
      <c r="F348" s="3">
        <f>ROUND((VLOOKUP($D348,'Alloc Table Comm'!$B$7:$T$56,13,FALSE)*$E348),0)</f>
        <v>0</v>
      </c>
      <c r="G348" s="3">
        <f>ROUND((VLOOKUP($D348,'Alloc Table Comm'!$B$7:$T$56,14,FALSE)*$E348),0)</f>
        <v>0</v>
      </c>
      <c r="H348" s="3">
        <f>ROUND((VLOOKUP($D348,'Alloc Table Comm'!$B$7:$T$56,15,FALSE)*$E348),0)</f>
        <v>0</v>
      </c>
      <c r="I348" s="3">
        <f>ROUND((VLOOKUP($D348,'Alloc Table Comm'!$B$7:$T$56,16,FALSE)*$E348),0)</f>
        <v>0</v>
      </c>
      <c r="J348" s="3">
        <f>ROUND((VLOOKUP($D348,'Alloc Table Comm'!$B$7:$T$56,17,FALSE)*$E348),0)</f>
        <v>0</v>
      </c>
      <c r="K348" s="3">
        <f>ROUND((VLOOKUP($D348,'Alloc Table Comm'!$B$7:$T$56,18,FALSE)*$E348),0)</f>
        <v>0</v>
      </c>
      <c r="L348" s="3">
        <f>ROUND((VLOOKUP($D348,'Alloc Table Comm'!$B$7:$T$56,19,FALSE)*$E348),0)</f>
        <v>0</v>
      </c>
    </row>
    <row r="349" spans="1:12" ht="11.25" x14ac:dyDescent="0.2">
      <c r="A349" s="3">
        <f t="shared" si="44"/>
        <v>6</v>
      </c>
      <c r="B349" s="24">
        <f>'Total Co'!B349</f>
        <v>385</v>
      </c>
      <c r="C349" s="24" t="str">
        <f>'Total Co'!C349</f>
        <v>DIRECT IND M&amp;R EQUIPMENT</v>
      </c>
      <c r="D349" s="325"/>
      <c r="E349" s="3">
        <f>Classification!G349</f>
        <v>0</v>
      </c>
      <c r="F349" s="3">
        <v>0</v>
      </c>
      <c r="G349" s="3">
        <v>0</v>
      </c>
      <c r="H349" s="3">
        <v>0</v>
      </c>
      <c r="I349" s="3">
        <f>E349</f>
        <v>0</v>
      </c>
      <c r="J349" s="3">
        <v>0</v>
      </c>
      <c r="K349" s="3">
        <v>0</v>
      </c>
      <c r="L349" s="3">
        <v>0</v>
      </c>
    </row>
    <row r="350" spans="1:12" ht="11.25" x14ac:dyDescent="0.2">
      <c r="A350" s="3">
        <f t="shared" si="44"/>
        <v>7</v>
      </c>
      <c r="B350" s="24">
        <f>Input!A242</f>
        <v>387.2</v>
      </c>
      <c r="C350" s="3" t="str">
        <f>Input!B242</f>
        <v>ODORIZATION</v>
      </c>
      <c r="D350" s="325" t="str">
        <f>D265</f>
        <v>7COMM</v>
      </c>
      <c r="E350" s="3">
        <f>Classification!G350</f>
        <v>0</v>
      </c>
      <c r="F350" s="3">
        <f ca="1">ROUND((VLOOKUP($D350,'Alloc Table Comm'!$B$7:$T$56,13,FALSE)*$E350),0)</f>
        <v>0</v>
      </c>
      <c r="G350" s="3">
        <f ca="1">ROUND((VLOOKUP($D350,'Alloc Table Comm'!$B$7:$T$56,14,FALSE)*$E350),0)</f>
        <v>0</v>
      </c>
      <c r="H350" s="3">
        <f ca="1">ROUND((VLOOKUP($D350,'Alloc Table Comm'!$B$7:$T$56,15,FALSE)*$E350),0)</f>
        <v>0</v>
      </c>
      <c r="I350" s="3">
        <f ca="1">ROUND((VLOOKUP($D350,'Alloc Table Comm'!$B$7:$T$56,16,FALSE)*$E350),0)</f>
        <v>0</v>
      </c>
      <c r="J350" s="3">
        <f ca="1">ROUND((VLOOKUP($D350,'Alloc Table Comm'!$B$7:$T$56,17,FALSE)*$E350),0)</f>
        <v>0</v>
      </c>
      <c r="K350" s="3">
        <f ca="1">ROUND((VLOOKUP($D350,'Alloc Table Comm'!$B$7:$T$56,18,FALSE)*$E350),0)</f>
        <v>0</v>
      </c>
      <c r="L350" s="3">
        <f ca="1">ROUND((VLOOKUP($D350,'Alloc Table Comm'!$B$7:$T$56,19,FALSE)*$E350),0)</f>
        <v>0</v>
      </c>
    </row>
    <row r="351" spans="1:12" ht="11.25" x14ac:dyDescent="0.2">
      <c r="A351" s="3">
        <f t="shared" si="44"/>
        <v>8</v>
      </c>
      <c r="B351" s="24">
        <f>Input!A243</f>
        <v>387.41</v>
      </c>
      <c r="C351" s="3" t="str">
        <f>Input!B243</f>
        <v>TELEPHONE</v>
      </c>
      <c r="D351" s="325" t="str">
        <f t="shared" ref="D351:D355" si="45">D266</f>
        <v>7COMM</v>
      </c>
      <c r="E351" s="3">
        <f>Classification!G351</f>
        <v>8001</v>
      </c>
      <c r="F351" s="3">
        <f ca="1">ROUND((VLOOKUP($D351,'Alloc Table Comm'!$B$7:$T$56,13,FALSE)*$E351),0)</f>
        <v>3118</v>
      </c>
      <c r="G351" s="3">
        <f ca="1">ROUND((VLOOKUP($D351,'Alloc Table Comm'!$B$7:$T$56,14,FALSE)*$E351),0)</f>
        <v>2112</v>
      </c>
      <c r="H351" s="3">
        <f ca="1">ROUND((VLOOKUP($D351,'Alloc Table Comm'!$B$7:$T$56,15,FALSE)*$E351),0)</f>
        <v>5</v>
      </c>
      <c r="I351" s="3">
        <f ca="1">ROUND((VLOOKUP($D351,'Alloc Table Comm'!$B$7:$T$56,16,FALSE)*$E351),0)</f>
        <v>2</v>
      </c>
      <c r="J351" s="3">
        <f ca="1">ROUND((VLOOKUP($D351,'Alloc Table Comm'!$B$7:$T$56,17,FALSE)*$E351),0)</f>
        <v>2765</v>
      </c>
      <c r="K351" s="3">
        <f ca="1">ROUND((VLOOKUP($D351,'Alloc Table Comm'!$B$7:$T$56,18,FALSE)*$E351),0)</f>
        <v>0</v>
      </c>
      <c r="L351" s="3">
        <f ca="1">ROUND((VLOOKUP($D351,'Alloc Table Comm'!$B$7:$T$56,19,FALSE)*$E351),0)</f>
        <v>0</v>
      </c>
    </row>
    <row r="352" spans="1:12" ht="11.25" x14ac:dyDescent="0.2">
      <c r="A352" s="3">
        <f t="shared" si="44"/>
        <v>9</v>
      </c>
      <c r="B352" s="24">
        <f>Input!A244</f>
        <v>387.42</v>
      </c>
      <c r="C352" s="3" t="str">
        <f>Input!B244</f>
        <v>RADIO</v>
      </c>
      <c r="D352" s="325" t="str">
        <f t="shared" si="45"/>
        <v>7COMM</v>
      </c>
      <c r="E352" s="3">
        <f>Classification!G352</f>
        <v>8646</v>
      </c>
      <c r="F352" s="3">
        <f ca="1">ROUND((VLOOKUP($D352,'Alloc Table Comm'!$B$7:$T$56,13,FALSE)*$E352),0)</f>
        <v>3370</v>
      </c>
      <c r="G352" s="3">
        <f ca="1">ROUND((VLOOKUP($D352,'Alloc Table Comm'!$B$7:$T$56,14,FALSE)*$E352),0)</f>
        <v>2282</v>
      </c>
      <c r="H352" s="3">
        <f ca="1">ROUND((VLOOKUP($D352,'Alloc Table Comm'!$B$7:$T$56,15,FALSE)*$E352),0)</f>
        <v>5</v>
      </c>
      <c r="I352" s="3">
        <f ca="1">ROUND((VLOOKUP($D352,'Alloc Table Comm'!$B$7:$T$56,16,FALSE)*$E352),0)</f>
        <v>2</v>
      </c>
      <c r="J352" s="3">
        <f ca="1">ROUND((VLOOKUP($D352,'Alloc Table Comm'!$B$7:$T$56,17,FALSE)*$E352),0)</f>
        <v>2987</v>
      </c>
      <c r="K352" s="3">
        <f ca="1">ROUND((VLOOKUP($D352,'Alloc Table Comm'!$B$7:$T$56,18,FALSE)*$E352),0)</f>
        <v>0</v>
      </c>
      <c r="L352" s="3">
        <f ca="1">ROUND((VLOOKUP($D352,'Alloc Table Comm'!$B$7:$T$56,19,FALSE)*$E352),0)</f>
        <v>0</v>
      </c>
    </row>
    <row r="353" spans="1:12" ht="11.25" x14ac:dyDescent="0.2">
      <c r="A353" s="3">
        <f t="shared" si="44"/>
        <v>10</v>
      </c>
      <c r="B353" s="24">
        <f>Input!A245</f>
        <v>387.44</v>
      </c>
      <c r="C353" s="3" t="str">
        <f>Input!B245</f>
        <v>OTHER COMMUNICATION</v>
      </c>
      <c r="D353" s="325" t="str">
        <f t="shared" si="45"/>
        <v>7COMM</v>
      </c>
      <c r="E353" s="3">
        <f>Classification!G353</f>
        <v>1451</v>
      </c>
      <c r="F353" s="3">
        <f ca="1">ROUND((VLOOKUP($D353,'Alloc Table Comm'!$B$7:$T$56,13,FALSE)*$E353),0)</f>
        <v>566</v>
      </c>
      <c r="G353" s="3">
        <f ca="1">ROUND((VLOOKUP($D353,'Alloc Table Comm'!$B$7:$T$56,14,FALSE)*$E353),0)</f>
        <v>383</v>
      </c>
      <c r="H353" s="3">
        <f ca="1">ROUND((VLOOKUP($D353,'Alloc Table Comm'!$B$7:$T$56,15,FALSE)*$E353),0)</f>
        <v>1</v>
      </c>
      <c r="I353" s="3">
        <f ca="1">ROUND((VLOOKUP($D353,'Alloc Table Comm'!$B$7:$T$56,16,FALSE)*$E353),0)</f>
        <v>0</v>
      </c>
      <c r="J353" s="3">
        <f ca="1">ROUND((VLOOKUP($D353,'Alloc Table Comm'!$B$7:$T$56,17,FALSE)*$E353),0)</f>
        <v>501</v>
      </c>
      <c r="K353" s="3">
        <f ca="1">ROUND((VLOOKUP($D353,'Alloc Table Comm'!$B$7:$T$56,18,FALSE)*$E353),0)</f>
        <v>0</v>
      </c>
      <c r="L353" s="3">
        <f ca="1">ROUND((VLOOKUP($D353,'Alloc Table Comm'!$B$7:$T$56,19,FALSE)*$E353),0)</f>
        <v>0</v>
      </c>
    </row>
    <row r="354" spans="1:12" ht="11.25" x14ac:dyDescent="0.2">
      <c r="A354" s="3">
        <f t="shared" si="44"/>
        <v>11</v>
      </c>
      <c r="B354" s="24">
        <f>Input!A246</f>
        <v>387.45</v>
      </c>
      <c r="C354" s="3" t="str">
        <f>Input!B246</f>
        <v>TELEMETERING</v>
      </c>
      <c r="D354" s="325" t="str">
        <f t="shared" si="45"/>
        <v>7COMM</v>
      </c>
      <c r="E354" s="3">
        <f>Classification!G354</f>
        <v>40949</v>
      </c>
      <c r="F354" s="3">
        <f ca="1">ROUND((VLOOKUP($D354,'Alloc Table Comm'!$B$7:$T$56,13,FALSE)*$E354),0)</f>
        <v>15959</v>
      </c>
      <c r="G354" s="3">
        <f ca="1">ROUND((VLOOKUP($D354,'Alloc Table Comm'!$B$7:$T$56,14,FALSE)*$E354),0)</f>
        <v>10808</v>
      </c>
      <c r="H354" s="3">
        <f ca="1">ROUND((VLOOKUP($D354,'Alloc Table Comm'!$B$7:$T$56,15,FALSE)*$E354),0)</f>
        <v>23</v>
      </c>
      <c r="I354" s="3">
        <f ca="1">ROUND((VLOOKUP($D354,'Alloc Table Comm'!$B$7:$T$56,16,FALSE)*$E354),0)</f>
        <v>10</v>
      </c>
      <c r="J354" s="3">
        <f ca="1">ROUND((VLOOKUP($D354,'Alloc Table Comm'!$B$7:$T$56,17,FALSE)*$E354),0)</f>
        <v>14149</v>
      </c>
      <c r="K354" s="3">
        <f ca="1">ROUND((VLOOKUP($D354,'Alloc Table Comm'!$B$7:$T$56,18,FALSE)*$E354),0)</f>
        <v>0</v>
      </c>
      <c r="L354" s="3">
        <f ca="1">ROUND((VLOOKUP($D354,'Alloc Table Comm'!$B$7:$T$56,19,FALSE)*$E354),0)</f>
        <v>0</v>
      </c>
    </row>
    <row r="355" spans="1:12" ht="11.25" x14ac:dyDescent="0.2">
      <c r="A355" s="3">
        <f t="shared" si="44"/>
        <v>12</v>
      </c>
      <c r="B355" s="24">
        <f>Input!A247</f>
        <v>387.46</v>
      </c>
      <c r="C355" s="3" t="str">
        <f>Input!B247</f>
        <v>CIS</v>
      </c>
      <c r="D355" s="325" t="str">
        <f t="shared" si="45"/>
        <v>7COMM</v>
      </c>
      <c r="E355" s="26">
        <f>Classification!G355</f>
        <v>1235</v>
      </c>
      <c r="F355" s="26">
        <f ca="1">ROUND((VLOOKUP($D355,'Alloc Table Comm'!$B$7:$T$56,13,FALSE)*$E355),0)</f>
        <v>481</v>
      </c>
      <c r="G355" s="26">
        <f ca="1">ROUND((VLOOKUP($D355,'Alloc Table Comm'!$B$7:$T$56,14,FALSE)*$E355),0)</f>
        <v>326</v>
      </c>
      <c r="H355" s="26">
        <f ca="1">ROUND((VLOOKUP($D355,'Alloc Table Comm'!$B$7:$T$56,15,FALSE)*$E355),0)</f>
        <v>1</v>
      </c>
      <c r="I355" s="26">
        <f ca="1">ROUND((VLOOKUP($D355,'Alloc Table Comm'!$B$7:$T$56,16,FALSE)*$E355),0)</f>
        <v>0</v>
      </c>
      <c r="J355" s="26">
        <f ca="1">ROUND((VLOOKUP($D355,'Alloc Table Comm'!$B$7:$T$56,17,FALSE)*$E355),0)</f>
        <v>427</v>
      </c>
      <c r="K355" s="26">
        <f ca="1">ROUND((VLOOKUP($D355,'Alloc Table Comm'!$B$7:$T$56,18,FALSE)*$E355),0)</f>
        <v>0</v>
      </c>
      <c r="L355" s="26">
        <f ca="1">ROUND((VLOOKUP($D355,'Alloc Table Comm'!$B$7:$T$56,19,FALSE)*$E355),0)</f>
        <v>0</v>
      </c>
    </row>
    <row r="356" spans="1:12" ht="11.25" x14ac:dyDescent="0.2">
      <c r="A356" s="3">
        <f t="shared" si="44"/>
        <v>13</v>
      </c>
      <c r="B356" s="3"/>
      <c r="C356" s="3" t="s">
        <v>84</v>
      </c>
      <c r="D356" s="325"/>
      <c r="E356" s="3">
        <f>SUM(Commodity!E317:E336)+SUM(E344:E355)</f>
        <v>2888057</v>
      </c>
      <c r="F356" s="3">
        <f ca="1">SUM(Commodity!F317:F336)+SUM(F344:F355)</f>
        <v>1125695</v>
      </c>
      <c r="G356" s="3">
        <f ca="1">SUM(Commodity!G317:G336)+SUM(G344:G355)</f>
        <v>762294</v>
      </c>
      <c r="H356" s="3">
        <f ca="1">SUM(Commodity!H317:H336)+SUM(H344:H355)</f>
        <v>1646</v>
      </c>
      <c r="I356" s="3">
        <f ca="1">SUM(Commodity!I317:I336)+SUM(I344:I355)</f>
        <v>476</v>
      </c>
      <c r="J356" s="3">
        <f ca="1">SUM(Commodity!J317:J336)+SUM(J344:J355)</f>
        <v>997948</v>
      </c>
      <c r="K356" s="3">
        <f ca="1">SUM(Commodity!K317:K336)+SUM(K344:K355)</f>
        <v>0</v>
      </c>
      <c r="L356" s="3">
        <f ca="1">SUM(Commodity!L317:L336)+SUM(L344:L355)</f>
        <v>0</v>
      </c>
    </row>
    <row r="357" spans="1:12" ht="11.25" x14ac:dyDescent="0.2">
      <c r="A357" s="3"/>
      <c r="B357" s="3"/>
      <c r="C357" s="3"/>
      <c r="D357" s="325"/>
      <c r="E357" s="3"/>
      <c r="F357" s="3"/>
      <c r="G357" s="3"/>
      <c r="H357" s="3"/>
      <c r="I357" s="3"/>
      <c r="J357" s="3"/>
      <c r="K357" s="3"/>
      <c r="L357" s="3"/>
    </row>
    <row r="358" spans="1:12" ht="11.25" x14ac:dyDescent="0.2">
      <c r="A358" s="3">
        <f>A356+1</f>
        <v>14</v>
      </c>
      <c r="B358" s="3"/>
      <c r="C358" s="24" t="str">
        <f>Input!A248</f>
        <v>GENERAL PLANT</v>
      </c>
      <c r="D358" s="325"/>
      <c r="E358" s="3"/>
      <c r="F358" s="3"/>
      <c r="G358" s="3"/>
      <c r="H358" s="3"/>
      <c r="I358" s="3"/>
      <c r="J358" s="3"/>
      <c r="K358" s="3"/>
      <c r="L358" s="3"/>
    </row>
    <row r="359" spans="1:12" ht="11.25" x14ac:dyDescent="0.2">
      <c r="A359" s="3"/>
      <c r="B359" s="3"/>
      <c r="C359" s="3"/>
      <c r="D359" s="325"/>
      <c r="E359" s="3"/>
      <c r="F359" s="3"/>
      <c r="G359" s="3"/>
      <c r="H359" s="3"/>
      <c r="I359" s="3"/>
      <c r="J359" s="3"/>
      <c r="K359" s="3"/>
      <c r="L359" s="3"/>
    </row>
    <row r="360" spans="1:12" ht="11.25" x14ac:dyDescent="0.2">
      <c r="A360" s="3">
        <f>A358+1</f>
        <v>15</v>
      </c>
      <c r="B360" s="24">
        <f>Input!A249</f>
        <v>391.1</v>
      </c>
      <c r="C360" s="3" t="str">
        <f>Input!B249</f>
        <v>OFF FURN &amp; EQUIP - UNSPEC</v>
      </c>
      <c r="D360" s="325" t="str">
        <f t="shared" ref="D360:D372" si="46">D275</f>
        <v>7COMM</v>
      </c>
      <c r="E360" s="3">
        <f>Classification!G360</f>
        <v>10631</v>
      </c>
      <c r="F360" s="3">
        <f ca="1">ROUND((VLOOKUP($D360,'Alloc Table Comm'!$B$7:$T$56,13,FALSE)*$E360),0)</f>
        <v>4143</v>
      </c>
      <c r="G360" s="3">
        <f ca="1">ROUND((VLOOKUP($D360,'Alloc Table Comm'!$B$7:$T$56,14,FALSE)*$E360),0)</f>
        <v>2806</v>
      </c>
      <c r="H360" s="3">
        <f ca="1">ROUND((VLOOKUP($D360,'Alloc Table Comm'!$B$7:$T$56,15,FALSE)*$E360),0)</f>
        <v>6</v>
      </c>
      <c r="I360" s="3">
        <f ca="1">ROUND((VLOOKUP($D360,'Alloc Table Comm'!$B$7:$T$56,16,FALSE)*$E360),0)</f>
        <v>3</v>
      </c>
      <c r="J360" s="3">
        <f ca="1">ROUND((VLOOKUP($D360,'Alloc Table Comm'!$B$7:$T$56,17,FALSE)*$E360),0)</f>
        <v>3673</v>
      </c>
      <c r="K360" s="3">
        <f ca="1">ROUND((VLOOKUP($D360,'Alloc Table Comm'!$B$7:$T$56,18,FALSE)*$E360),0)</f>
        <v>0</v>
      </c>
      <c r="L360" s="3">
        <f ca="1">ROUND((VLOOKUP($D360,'Alloc Table Comm'!$B$7:$T$56,19,FALSE)*$E360),0)</f>
        <v>0</v>
      </c>
    </row>
    <row r="361" spans="1:12" ht="11.25" x14ac:dyDescent="0.2">
      <c r="A361" s="3">
        <f t="shared" ref="A361:A373" si="47">A360+1</f>
        <v>16</v>
      </c>
      <c r="B361" s="24">
        <f>Input!A250</f>
        <v>391.11</v>
      </c>
      <c r="C361" s="3" t="str">
        <f>Input!B250</f>
        <v>OFF FURN &amp; EQUIP - DATA HAND</v>
      </c>
      <c r="D361" s="325" t="str">
        <f t="shared" si="46"/>
        <v>7COMM</v>
      </c>
      <c r="E361" s="3">
        <f>Classification!G361</f>
        <v>366</v>
      </c>
      <c r="F361" s="3">
        <f ca="1">ROUND((VLOOKUP($D361,'Alloc Table Comm'!$B$7:$T$56,13,FALSE)*$E361),0)</f>
        <v>143</v>
      </c>
      <c r="G361" s="3">
        <f ca="1">ROUND((VLOOKUP($D361,'Alloc Table Comm'!$B$7:$T$56,14,FALSE)*$E361),0)</f>
        <v>97</v>
      </c>
      <c r="H361" s="3">
        <f ca="1">ROUND((VLOOKUP($D361,'Alloc Table Comm'!$B$7:$T$56,15,FALSE)*$E361),0)</f>
        <v>0</v>
      </c>
      <c r="I361" s="3">
        <f ca="1">ROUND((VLOOKUP($D361,'Alloc Table Comm'!$B$7:$T$56,16,FALSE)*$E361),0)</f>
        <v>0</v>
      </c>
      <c r="J361" s="3">
        <f ca="1">ROUND((VLOOKUP($D361,'Alloc Table Comm'!$B$7:$T$56,17,FALSE)*$E361),0)</f>
        <v>126</v>
      </c>
      <c r="K361" s="3">
        <f ca="1">ROUND((VLOOKUP($D361,'Alloc Table Comm'!$B$7:$T$56,18,FALSE)*$E361),0)</f>
        <v>0</v>
      </c>
      <c r="L361" s="3">
        <f ca="1">ROUND((VLOOKUP($D361,'Alloc Table Comm'!$B$7:$T$56,19,FALSE)*$E361),0)</f>
        <v>0</v>
      </c>
    </row>
    <row r="362" spans="1:12" ht="11.25" x14ac:dyDescent="0.2">
      <c r="A362" s="3">
        <f t="shared" si="47"/>
        <v>17</v>
      </c>
      <c r="B362" s="24">
        <f>Input!A251</f>
        <v>391.12</v>
      </c>
      <c r="C362" s="3" t="str">
        <f>Input!B251</f>
        <v>OFF FURN &amp; EQUIP - INFO SYSTEM</v>
      </c>
      <c r="D362" s="325" t="str">
        <f t="shared" si="46"/>
        <v>7COMM</v>
      </c>
      <c r="E362" s="3">
        <f>Classification!G362</f>
        <v>73679</v>
      </c>
      <c r="F362" s="3">
        <f ca="1">ROUND((VLOOKUP($D362,'Alloc Table Comm'!$B$7:$T$56,13,FALSE)*$E362),0)</f>
        <v>28716</v>
      </c>
      <c r="G362" s="3">
        <f ca="1">ROUND((VLOOKUP($D362,'Alloc Table Comm'!$B$7:$T$56,14,FALSE)*$E362),0)</f>
        <v>19446</v>
      </c>
      <c r="H362" s="3">
        <f ca="1">ROUND((VLOOKUP($D362,'Alloc Table Comm'!$B$7:$T$56,15,FALSE)*$E362),0)</f>
        <v>42</v>
      </c>
      <c r="I362" s="3">
        <f ca="1">ROUND((VLOOKUP($D362,'Alloc Table Comm'!$B$7:$T$56,16,FALSE)*$E362),0)</f>
        <v>18</v>
      </c>
      <c r="J362" s="3">
        <f ca="1">ROUND((VLOOKUP($D362,'Alloc Table Comm'!$B$7:$T$56,17,FALSE)*$E362),0)</f>
        <v>25458</v>
      </c>
      <c r="K362" s="3">
        <f ca="1">ROUND((VLOOKUP($D362,'Alloc Table Comm'!$B$7:$T$56,18,FALSE)*$E362),0)</f>
        <v>0</v>
      </c>
      <c r="L362" s="3">
        <f ca="1">ROUND((VLOOKUP($D362,'Alloc Table Comm'!$B$7:$T$56,19,FALSE)*$E362),0)</f>
        <v>0</v>
      </c>
    </row>
    <row r="363" spans="1:12" ht="11.25" x14ac:dyDescent="0.2">
      <c r="A363" s="3">
        <f t="shared" si="47"/>
        <v>18</v>
      </c>
      <c r="B363" s="24">
        <f>Input!A252</f>
        <v>392.2</v>
      </c>
      <c r="C363" s="3" t="str">
        <f>Input!B252</f>
        <v>TR EQ - TRAILER &gt; $1,000</v>
      </c>
      <c r="D363" s="325" t="str">
        <f t="shared" si="46"/>
        <v>7COMM</v>
      </c>
      <c r="E363" s="3">
        <f>Classification!G363</f>
        <v>2547</v>
      </c>
      <c r="F363" s="3">
        <f ca="1">ROUND((VLOOKUP($D363,'Alloc Table Comm'!$B$7:$T$56,13,FALSE)*$E363),0)</f>
        <v>993</v>
      </c>
      <c r="G363" s="3">
        <f ca="1">ROUND((VLOOKUP($D363,'Alloc Table Comm'!$B$7:$T$56,14,FALSE)*$E363),0)</f>
        <v>672</v>
      </c>
      <c r="H363" s="3">
        <f ca="1">ROUND((VLOOKUP($D363,'Alloc Table Comm'!$B$7:$T$56,15,FALSE)*$E363),0)</f>
        <v>1</v>
      </c>
      <c r="I363" s="3">
        <f ca="1">ROUND((VLOOKUP($D363,'Alloc Table Comm'!$B$7:$T$56,16,FALSE)*$E363),0)</f>
        <v>1</v>
      </c>
      <c r="J363" s="3">
        <f ca="1">ROUND((VLOOKUP($D363,'Alloc Table Comm'!$B$7:$T$56,17,FALSE)*$E363),0)</f>
        <v>880</v>
      </c>
      <c r="K363" s="3">
        <f ca="1">ROUND((VLOOKUP($D363,'Alloc Table Comm'!$B$7:$T$56,18,FALSE)*$E363),0)</f>
        <v>0</v>
      </c>
      <c r="L363" s="3">
        <f ca="1">ROUND((VLOOKUP($D363,'Alloc Table Comm'!$B$7:$T$56,19,FALSE)*$E363),0)</f>
        <v>0</v>
      </c>
    </row>
    <row r="364" spans="1:12" ht="11.25" x14ac:dyDescent="0.2">
      <c r="A364" s="3">
        <f t="shared" si="47"/>
        <v>19</v>
      </c>
      <c r="B364" s="24">
        <f>Input!A253</f>
        <v>392.21</v>
      </c>
      <c r="C364" s="3" t="str">
        <f>Input!B253</f>
        <v>TR EQ - TRAILER &lt; $1,000</v>
      </c>
      <c r="D364" s="325" t="str">
        <f t="shared" si="46"/>
        <v>7COMM</v>
      </c>
      <c r="E364" s="3">
        <f>Classification!G364</f>
        <v>652</v>
      </c>
      <c r="F364" s="3">
        <f ca="1">ROUND((VLOOKUP($D364,'Alloc Table Comm'!$B$7:$T$56,13,FALSE)*$E364),0)</f>
        <v>254</v>
      </c>
      <c r="G364" s="3">
        <f ca="1">ROUND((VLOOKUP($D364,'Alloc Table Comm'!$B$7:$T$56,14,FALSE)*$E364),0)</f>
        <v>172</v>
      </c>
      <c r="H364" s="3">
        <f ca="1">ROUND((VLOOKUP($D364,'Alloc Table Comm'!$B$7:$T$56,15,FALSE)*$E364),0)</f>
        <v>0</v>
      </c>
      <c r="I364" s="3">
        <f ca="1">ROUND((VLOOKUP($D364,'Alloc Table Comm'!$B$7:$T$56,16,FALSE)*$E364),0)</f>
        <v>0</v>
      </c>
      <c r="J364" s="3">
        <f ca="1">ROUND((VLOOKUP($D364,'Alloc Table Comm'!$B$7:$T$56,17,FALSE)*$E364),0)</f>
        <v>225</v>
      </c>
      <c r="K364" s="3">
        <f ca="1">ROUND((VLOOKUP($D364,'Alloc Table Comm'!$B$7:$T$56,18,FALSE)*$E364),0)</f>
        <v>0</v>
      </c>
      <c r="L364" s="3">
        <f ca="1">ROUND((VLOOKUP($D364,'Alloc Table Comm'!$B$7:$T$56,19,FALSE)*$E364),0)</f>
        <v>0</v>
      </c>
    </row>
    <row r="365" spans="1:12" ht="11.25" x14ac:dyDescent="0.2">
      <c r="A365" s="3">
        <f t="shared" si="47"/>
        <v>20</v>
      </c>
      <c r="B365" s="24">
        <f>Input!A254</f>
        <v>394.1</v>
      </c>
      <c r="C365" s="3" t="str">
        <f>Input!B254</f>
        <v>TOOLS,SHOP, &amp; GAR EQ-GARAGE &amp; SERV</v>
      </c>
      <c r="D365" s="325" t="str">
        <f t="shared" si="46"/>
        <v>7COMM</v>
      </c>
      <c r="E365" s="3">
        <f>Classification!G365</f>
        <v>283</v>
      </c>
      <c r="F365" s="3">
        <f ca="1">ROUND((VLOOKUP($D365,'Alloc Table Comm'!$B$7:$T$56,13,FALSE)*$E365),0)</f>
        <v>110</v>
      </c>
      <c r="G365" s="3">
        <f ca="1">ROUND((VLOOKUP($D365,'Alloc Table Comm'!$B$7:$T$56,14,FALSE)*$E365),0)</f>
        <v>75</v>
      </c>
      <c r="H365" s="3">
        <f ca="1">ROUND((VLOOKUP($D365,'Alloc Table Comm'!$B$7:$T$56,15,FALSE)*$E365),0)</f>
        <v>0</v>
      </c>
      <c r="I365" s="3">
        <f ca="1">ROUND((VLOOKUP($D365,'Alloc Table Comm'!$B$7:$T$56,16,FALSE)*$E365),0)</f>
        <v>0</v>
      </c>
      <c r="J365" s="3">
        <f ca="1">ROUND((VLOOKUP($D365,'Alloc Table Comm'!$B$7:$T$56,17,FALSE)*$E365),0)</f>
        <v>98</v>
      </c>
      <c r="K365" s="3">
        <f ca="1">ROUND((VLOOKUP($D365,'Alloc Table Comm'!$B$7:$T$56,18,FALSE)*$E365),0)</f>
        <v>0</v>
      </c>
      <c r="L365" s="3">
        <f ca="1">ROUND((VLOOKUP($D365,'Alloc Table Comm'!$B$7:$T$56,19,FALSE)*$E365),0)</f>
        <v>0</v>
      </c>
    </row>
    <row r="366" spans="1:12" ht="11.25" x14ac:dyDescent="0.2">
      <c r="A366" s="3">
        <f t="shared" si="47"/>
        <v>21</v>
      </c>
      <c r="B366" s="24">
        <f>Input!A255</f>
        <v>394.13</v>
      </c>
      <c r="C366" s="3" t="str">
        <f>Input!B255</f>
        <v>TOOLS,SHOP, &amp; GAR EQ-UND TANK CLEANUP</v>
      </c>
      <c r="D366" s="325" t="str">
        <f t="shared" si="46"/>
        <v>7COMM</v>
      </c>
      <c r="E366" s="3">
        <f>Classification!G366</f>
        <v>0</v>
      </c>
      <c r="F366" s="3">
        <f ca="1">ROUND((VLOOKUP($D366,'Alloc Table Comm'!$B$7:$T$56,13,FALSE)*$E366),0)</f>
        <v>0</v>
      </c>
      <c r="G366" s="3">
        <f ca="1">ROUND((VLOOKUP($D366,'Alloc Table Comm'!$B$7:$T$56,14,FALSE)*$E366),0)</f>
        <v>0</v>
      </c>
      <c r="H366" s="3">
        <f ca="1">ROUND((VLOOKUP($D366,'Alloc Table Comm'!$B$7:$T$56,15,FALSE)*$E366),0)</f>
        <v>0</v>
      </c>
      <c r="I366" s="3">
        <f ca="1">ROUND((VLOOKUP($D366,'Alloc Table Comm'!$B$7:$T$56,16,FALSE)*$E366),0)</f>
        <v>0</v>
      </c>
      <c r="J366" s="3">
        <f ca="1">ROUND((VLOOKUP($D366,'Alloc Table Comm'!$B$7:$T$56,17,FALSE)*$E366),0)</f>
        <v>0</v>
      </c>
      <c r="K366" s="3">
        <f ca="1">ROUND((VLOOKUP($D366,'Alloc Table Comm'!$B$7:$T$56,18,FALSE)*$E366),0)</f>
        <v>0</v>
      </c>
      <c r="L366" s="3">
        <f ca="1">ROUND((VLOOKUP($D366,'Alloc Table Comm'!$B$7:$T$56,19,FALSE)*$E366),0)</f>
        <v>0</v>
      </c>
    </row>
    <row r="367" spans="1:12" ht="11.25" x14ac:dyDescent="0.2">
      <c r="A367" s="3">
        <f t="shared" si="47"/>
        <v>22</v>
      </c>
      <c r="B367" s="24">
        <f>Input!A256</f>
        <v>393</v>
      </c>
      <c r="C367" s="3" t="str">
        <f>Input!B256</f>
        <v>STORES EQUIPMENT</v>
      </c>
      <c r="D367" s="325" t="str">
        <f t="shared" si="46"/>
        <v>7COMM</v>
      </c>
      <c r="E367" s="3">
        <f>Classification!G367</f>
        <v>0</v>
      </c>
      <c r="F367" s="3">
        <f ca="1">ROUND((VLOOKUP($D367,'Alloc Table Comm'!$B$7:$T$56,13,FALSE)*$E367),0)</f>
        <v>0</v>
      </c>
      <c r="G367" s="3">
        <f ca="1">ROUND((VLOOKUP($D367,'Alloc Table Comm'!$B$7:$T$56,14,FALSE)*$E367),0)</f>
        <v>0</v>
      </c>
      <c r="H367" s="3">
        <f ca="1">ROUND((VLOOKUP($D367,'Alloc Table Comm'!$B$7:$T$56,15,FALSE)*$E367),0)</f>
        <v>0</v>
      </c>
      <c r="I367" s="3">
        <f ca="1">ROUND((VLOOKUP($D367,'Alloc Table Comm'!$B$7:$T$56,16,FALSE)*$E367),0)</f>
        <v>0</v>
      </c>
      <c r="J367" s="3">
        <f ca="1">ROUND((VLOOKUP($D367,'Alloc Table Comm'!$B$7:$T$56,17,FALSE)*$E367),0)</f>
        <v>0</v>
      </c>
      <c r="K367" s="3">
        <f ca="1">ROUND((VLOOKUP($D367,'Alloc Table Comm'!$B$7:$T$56,18,FALSE)*$E367),0)</f>
        <v>0</v>
      </c>
      <c r="L367" s="3">
        <f ca="1">ROUND((VLOOKUP($D367,'Alloc Table Comm'!$B$7:$T$56,19,FALSE)*$E367),0)</f>
        <v>0</v>
      </c>
    </row>
    <row r="368" spans="1:12" ht="11.25" x14ac:dyDescent="0.2">
      <c r="A368" s="3">
        <f t="shared" si="47"/>
        <v>23</v>
      </c>
      <c r="B368" s="24">
        <f>Input!A257</f>
        <v>394.2</v>
      </c>
      <c r="C368" s="3" t="str">
        <f>Input!B257</f>
        <v>SHOP EQUIPMENT</v>
      </c>
      <c r="D368" s="325" t="str">
        <f t="shared" si="46"/>
        <v>7COMM</v>
      </c>
      <c r="E368" s="3">
        <f>Classification!G368</f>
        <v>0</v>
      </c>
      <c r="F368" s="3">
        <f ca="1">ROUND((VLOOKUP($D368,'Alloc Table Comm'!$B$7:$T$56,13,FALSE)*$E368),0)</f>
        <v>0</v>
      </c>
      <c r="G368" s="3">
        <f ca="1">ROUND((VLOOKUP($D368,'Alloc Table Comm'!$B$7:$T$56,14,FALSE)*$E368),0)</f>
        <v>0</v>
      </c>
      <c r="H368" s="3">
        <f ca="1">ROUND((VLOOKUP($D368,'Alloc Table Comm'!$B$7:$T$56,15,FALSE)*$E368),0)</f>
        <v>0</v>
      </c>
      <c r="I368" s="3">
        <f ca="1">ROUND((VLOOKUP($D368,'Alloc Table Comm'!$B$7:$T$56,16,FALSE)*$E368),0)</f>
        <v>0</v>
      </c>
      <c r="J368" s="3">
        <f ca="1">ROUND((VLOOKUP($D368,'Alloc Table Comm'!$B$7:$T$56,17,FALSE)*$E368),0)</f>
        <v>0</v>
      </c>
      <c r="K368" s="3">
        <f ca="1">ROUND((VLOOKUP($D368,'Alloc Table Comm'!$B$7:$T$56,18,FALSE)*$E368),0)</f>
        <v>0</v>
      </c>
      <c r="L368" s="3">
        <f ca="1">ROUND((VLOOKUP($D368,'Alloc Table Comm'!$B$7:$T$56,19,FALSE)*$E368),0)</f>
        <v>0</v>
      </c>
    </row>
    <row r="369" spans="1:12" ht="11.25" x14ac:dyDescent="0.2">
      <c r="A369" s="3">
        <f t="shared" si="47"/>
        <v>24</v>
      </c>
      <c r="B369" s="24">
        <f>Input!A258</f>
        <v>394.3</v>
      </c>
      <c r="C369" s="3" t="str">
        <f>Input!B258</f>
        <v>TOOLS &amp; OTHER EQUIPMENT</v>
      </c>
      <c r="D369" s="325" t="str">
        <f t="shared" si="46"/>
        <v>7COMM</v>
      </c>
      <c r="E369" s="3">
        <f>Classification!G369</f>
        <v>37700</v>
      </c>
      <c r="F369" s="3">
        <f ca="1">ROUND((VLOOKUP($D369,'Alloc Table Comm'!$B$7:$T$56,13,FALSE)*$E369),0)</f>
        <v>14693</v>
      </c>
      <c r="G369" s="3">
        <f ca="1">ROUND((VLOOKUP($D369,'Alloc Table Comm'!$B$7:$T$56,14,FALSE)*$E369),0)</f>
        <v>9950</v>
      </c>
      <c r="H369" s="3">
        <f ca="1">ROUND((VLOOKUP($D369,'Alloc Table Comm'!$B$7:$T$56,15,FALSE)*$E369),0)</f>
        <v>21</v>
      </c>
      <c r="I369" s="3">
        <f ca="1">ROUND((VLOOKUP($D369,'Alloc Table Comm'!$B$7:$T$56,16,FALSE)*$E369),0)</f>
        <v>9</v>
      </c>
      <c r="J369" s="3">
        <f ca="1">ROUND((VLOOKUP($D369,'Alloc Table Comm'!$B$7:$T$56,17,FALSE)*$E369),0)</f>
        <v>13026</v>
      </c>
      <c r="K369" s="3">
        <f ca="1">ROUND((VLOOKUP($D369,'Alloc Table Comm'!$B$7:$T$56,18,FALSE)*$E369),0)</f>
        <v>0</v>
      </c>
      <c r="L369" s="3">
        <f ca="1">ROUND((VLOOKUP($D369,'Alloc Table Comm'!$B$7:$T$56,19,FALSE)*$E369),0)</f>
        <v>0</v>
      </c>
    </row>
    <row r="370" spans="1:12" ht="11.25" x14ac:dyDescent="0.2">
      <c r="A370" s="3">
        <f t="shared" si="47"/>
        <v>25</v>
      </c>
      <c r="B370" s="24">
        <f>Input!A259</f>
        <v>395</v>
      </c>
      <c r="C370" s="3" t="str">
        <f>Input!B259</f>
        <v>LABORATORY EQUIPMENT</v>
      </c>
      <c r="D370" s="325" t="str">
        <f t="shared" si="46"/>
        <v>7COMM</v>
      </c>
      <c r="E370" s="3">
        <f>Classification!G370</f>
        <v>136</v>
      </c>
      <c r="F370" s="3">
        <f ca="1">ROUND((VLOOKUP($D370,'Alloc Table Comm'!$B$7:$T$56,13,FALSE)*$E370),0)</f>
        <v>53</v>
      </c>
      <c r="G370" s="3">
        <f ca="1">ROUND((VLOOKUP($D370,'Alloc Table Comm'!$B$7:$T$56,14,FALSE)*$E370),0)</f>
        <v>36</v>
      </c>
      <c r="H370" s="3">
        <f ca="1">ROUND((VLOOKUP($D370,'Alloc Table Comm'!$B$7:$T$56,15,FALSE)*$E370),0)</f>
        <v>0</v>
      </c>
      <c r="I370" s="3">
        <f ca="1">ROUND((VLOOKUP($D370,'Alloc Table Comm'!$B$7:$T$56,16,FALSE)*$E370),0)</f>
        <v>0</v>
      </c>
      <c r="J370" s="3">
        <f ca="1">ROUND((VLOOKUP($D370,'Alloc Table Comm'!$B$7:$T$56,17,FALSE)*$E370),0)</f>
        <v>47</v>
      </c>
      <c r="K370" s="3">
        <f ca="1">ROUND((VLOOKUP($D370,'Alloc Table Comm'!$B$7:$T$56,18,FALSE)*$E370),0)</f>
        <v>0</v>
      </c>
      <c r="L370" s="3">
        <f ca="1">ROUND((VLOOKUP($D370,'Alloc Table Comm'!$B$7:$T$56,19,FALSE)*$E370),0)</f>
        <v>0</v>
      </c>
    </row>
    <row r="371" spans="1:12" ht="11.25" x14ac:dyDescent="0.2">
      <c r="A371" s="3">
        <f t="shared" si="47"/>
        <v>26</v>
      </c>
      <c r="B371" s="24">
        <f>Input!A260</f>
        <v>396</v>
      </c>
      <c r="C371" s="3" t="str">
        <f>Input!B260</f>
        <v>POWER OP EQUIP-GEN TOOLS</v>
      </c>
      <c r="D371" s="325" t="str">
        <f t="shared" si="46"/>
        <v>7COMM</v>
      </c>
      <c r="E371" s="3">
        <f>Classification!G371</f>
        <v>1905</v>
      </c>
      <c r="F371" s="3">
        <f ca="1">ROUND((VLOOKUP($D371,'Alloc Table Comm'!$B$7:$T$56,13,FALSE)*$E371),0)</f>
        <v>742</v>
      </c>
      <c r="G371" s="3">
        <f ca="1">ROUND((VLOOKUP($D371,'Alloc Table Comm'!$B$7:$T$56,14,FALSE)*$E371),0)</f>
        <v>503</v>
      </c>
      <c r="H371" s="3">
        <f ca="1">ROUND((VLOOKUP($D371,'Alloc Table Comm'!$B$7:$T$56,15,FALSE)*$E371),0)</f>
        <v>1</v>
      </c>
      <c r="I371" s="3">
        <f ca="1">ROUND((VLOOKUP($D371,'Alloc Table Comm'!$B$7:$T$56,16,FALSE)*$E371),0)</f>
        <v>0</v>
      </c>
      <c r="J371" s="3">
        <f ca="1">ROUND((VLOOKUP($D371,'Alloc Table Comm'!$B$7:$T$56,17,FALSE)*$E371),0)</f>
        <v>658</v>
      </c>
      <c r="K371" s="3">
        <f ca="1">ROUND((VLOOKUP($D371,'Alloc Table Comm'!$B$7:$T$56,18,FALSE)*$E371),0)</f>
        <v>0</v>
      </c>
      <c r="L371" s="3">
        <f ca="1">ROUND((VLOOKUP($D371,'Alloc Table Comm'!$B$7:$T$56,19,FALSE)*$E371),0)</f>
        <v>0</v>
      </c>
    </row>
    <row r="372" spans="1:12" ht="11.25" x14ac:dyDescent="0.2">
      <c r="A372" s="3">
        <f t="shared" si="47"/>
        <v>27</v>
      </c>
      <c r="B372" s="24">
        <f>Input!A262</f>
        <v>398</v>
      </c>
      <c r="C372" s="3" t="str">
        <f>Input!B262</f>
        <v>MISCELLANEOUS EQUIPMENT</v>
      </c>
      <c r="D372" s="325" t="str">
        <f t="shared" si="46"/>
        <v>7COMM</v>
      </c>
      <c r="E372" s="26">
        <f>Classification!G372</f>
        <v>5700</v>
      </c>
      <c r="F372" s="26">
        <f ca="1">ROUND((VLOOKUP($D372,'Alloc Table Comm'!$B$7:$T$56,13,FALSE)*$E372),0)</f>
        <v>2222</v>
      </c>
      <c r="G372" s="26">
        <f ca="1">ROUND((VLOOKUP($D372,'Alloc Table Comm'!$B$7:$T$56,14,FALSE)*$E372),0)</f>
        <v>1504</v>
      </c>
      <c r="H372" s="26">
        <f ca="1">ROUND((VLOOKUP($D372,'Alloc Table Comm'!$B$7:$T$56,15,FALSE)*$E372),0)</f>
        <v>3</v>
      </c>
      <c r="I372" s="26">
        <f ca="1">ROUND((VLOOKUP($D372,'Alloc Table Comm'!$B$7:$T$56,16,FALSE)*$E372),0)</f>
        <v>1</v>
      </c>
      <c r="J372" s="26">
        <f ca="1">ROUND((VLOOKUP($D372,'Alloc Table Comm'!$B$7:$T$56,17,FALSE)*$E372),0)</f>
        <v>1969</v>
      </c>
      <c r="K372" s="26">
        <f ca="1">ROUND((VLOOKUP($D372,'Alloc Table Comm'!$B$7:$T$56,18,FALSE)*$E372),0)</f>
        <v>0</v>
      </c>
      <c r="L372" s="26">
        <f ca="1">ROUND((VLOOKUP($D372,'Alloc Table Comm'!$B$7:$T$56,19,FALSE)*$E372),0)</f>
        <v>0</v>
      </c>
    </row>
    <row r="373" spans="1:12" ht="11.25" x14ac:dyDescent="0.2">
      <c r="A373" s="3">
        <f t="shared" si="47"/>
        <v>28</v>
      </c>
      <c r="B373" s="3"/>
      <c r="C373" s="3" t="s">
        <v>90</v>
      </c>
      <c r="D373" s="325"/>
      <c r="E373" s="3">
        <f t="shared" ref="E373:L373" si="48">SUM(E360:E372)</f>
        <v>133599</v>
      </c>
      <c r="F373" s="3">
        <f t="shared" ca="1" si="48"/>
        <v>52069</v>
      </c>
      <c r="G373" s="3">
        <f t="shared" ca="1" si="48"/>
        <v>35261</v>
      </c>
      <c r="H373" s="3">
        <f t="shared" ca="1" si="48"/>
        <v>74</v>
      </c>
      <c r="I373" s="3">
        <f t="shared" ca="1" si="48"/>
        <v>32</v>
      </c>
      <c r="J373" s="3">
        <f t="shared" ca="1" si="48"/>
        <v>46160</v>
      </c>
      <c r="K373" s="3">
        <f t="shared" ca="1" si="48"/>
        <v>0</v>
      </c>
      <c r="L373" s="3">
        <f t="shared" ca="1" si="48"/>
        <v>0</v>
      </c>
    </row>
    <row r="374" spans="1:12" ht="11.25" x14ac:dyDescent="0.2">
      <c r="A374" s="3"/>
      <c r="B374" s="3"/>
      <c r="C374" s="3"/>
      <c r="D374" s="325"/>
      <c r="E374" s="3"/>
      <c r="F374" s="3"/>
      <c r="G374" s="3"/>
      <c r="H374" s="3"/>
      <c r="I374" s="3"/>
      <c r="J374" s="3"/>
      <c r="K374" s="3"/>
      <c r="L374" s="3"/>
    </row>
    <row r="375" spans="1:12" ht="11.25" x14ac:dyDescent="0.2">
      <c r="A375" s="3">
        <f>A373+1</f>
        <v>29</v>
      </c>
      <c r="B375" s="3"/>
      <c r="C375" s="25" t="s">
        <v>166</v>
      </c>
      <c r="D375" s="325"/>
      <c r="E375" s="3">
        <f>Commodity!E306+Commodity!E313+E356+E373</f>
        <v>3392118</v>
      </c>
      <c r="F375" s="3">
        <f ca="1">Commodity!F306+Commodity!F313+F356+F373</f>
        <v>1322148</v>
      </c>
      <c r="G375" s="3">
        <f ca="1">Commodity!G306+Commodity!G313+G356+G373</f>
        <v>895331</v>
      </c>
      <c r="H375" s="3">
        <f ca="1">Commodity!H306+Commodity!H313+H356+H373</f>
        <v>1931</v>
      </c>
      <c r="I375" s="3">
        <f ca="1">Commodity!I306+Commodity!I313+I356+I373</f>
        <v>597</v>
      </c>
      <c r="J375" s="3">
        <f ca="1">Commodity!J306+Commodity!J313+J356+J373</f>
        <v>1172110</v>
      </c>
      <c r="K375" s="3">
        <f ca="1">Commodity!K306+Commodity!K313+K356+K373</f>
        <v>0</v>
      </c>
      <c r="L375" s="3">
        <f ca="1">Commodity!L306+Commodity!L313+L356+L373</f>
        <v>0</v>
      </c>
    </row>
    <row r="376" spans="1:12" ht="11.25" x14ac:dyDescent="0.2">
      <c r="A376" s="3" t="s">
        <v>818</v>
      </c>
      <c r="B376" s="3"/>
      <c r="C376" s="3"/>
      <c r="D376" s="325"/>
      <c r="E376" s="3"/>
      <c r="F376" s="325" t="str">
        <f>""&amp;+Input!$B$1</f>
        <v>COLUMBIA GAS OF KENTUCKY, INC.</v>
      </c>
      <c r="H376" s="3"/>
      <c r="I376" s="3"/>
      <c r="J376" s="3"/>
      <c r="K376" s="3"/>
      <c r="L376" s="32" t="str">
        <f>Input!$B$2</f>
        <v>ATTACHMENT CEN-2</v>
      </c>
    </row>
    <row r="377" spans="1:12" ht="11.25" x14ac:dyDescent="0.2">
      <c r="A377" s="3" t="str">
        <f>Input!$B$7</f>
        <v>DEMAND-COMMODITY</v>
      </c>
      <c r="B377" s="3"/>
      <c r="C377" s="3"/>
      <c r="D377" s="325"/>
      <c r="E377" s="3"/>
      <c r="F377" s="325" t="s">
        <v>57</v>
      </c>
      <c r="H377" s="3"/>
      <c r="I377" s="3"/>
      <c r="J377" s="3"/>
      <c r="K377" s="3"/>
      <c r="L377" s="32" t="str">
        <f>"PAGE 88 OF "&amp;FIXED(Input!$B$8,0,TRUE)</f>
        <v>PAGE 88 OF 129</v>
      </c>
    </row>
    <row r="378" spans="1:12" ht="11.25" x14ac:dyDescent="0.2">
      <c r="A378" s="17" t="str">
        <f>Input!$B$6</f>
        <v>FORECASTED TEST YEAR - ORIGINAL FILING</v>
      </c>
      <c r="B378" s="17"/>
      <c r="C378" s="17"/>
      <c r="D378" s="34"/>
      <c r="E378" s="18"/>
      <c r="F378" s="19" t="str">
        <f>"FOR THE TWELVE MONTHS ENDED "&amp;Input!$B$4</f>
        <v>FOR THE TWELVE MONTHS ENDED 12/31/2017</v>
      </c>
      <c r="G378" s="329"/>
      <c r="H378" s="17"/>
      <c r="I378" s="17"/>
      <c r="J378" s="17"/>
      <c r="K378" s="17"/>
      <c r="L378" s="183" t="str">
        <f>"WITNESS: "&amp;Input!$B$5</f>
        <v>WITNESS: C. NOTESTONE</v>
      </c>
    </row>
    <row r="379" spans="1:12" ht="11.25" x14ac:dyDescent="0.2">
      <c r="A379" s="325" t="s">
        <v>5</v>
      </c>
      <c r="B379" s="3" t="s">
        <v>6</v>
      </c>
      <c r="C379" s="3"/>
      <c r="D379" s="325" t="s">
        <v>7</v>
      </c>
      <c r="E379" s="325" t="s">
        <v>8</v>
      </c>
      <c r="F379" s="3"/>
      <c r="G379" s="3"/>
      <c r="H379" s="3"/>
      <c r="I379" s="3"/>
      <c r="J379" s="3"/>
      <c r="K379" s="3"/>
      <c r="L379" s="3"/>
    </row>
    <row r="380" spans="1:12" ht="11.25" x14ac:dyDescent="0.2">
      <c r="A380" s="341" t="s">
        <v>9</v>
      </c>
      <c r="B380" s="341" t="s">
        <v>9</v>
      </c>
      <c r="C380" s="34" t="str">
        <f>Commodity!C128</f>
        <v xml:space="preserve"> ACCOUNT TITLE</v>
      </c>
      <c r="D380" s="341" t="s">
        <v>10</v>
      </c>
      <c r="E380" s="341" t="s">
        <v>812</v>
      </c>
      <c r="F380" s="341" t="str">
        <f>"  "&amp;+Input!$C$12</f>
        <v xml:space="preserve">  GS-RESIDENTIAL</v>
      </c>
      <c r="G380" s="341" t="str">
        <f>Input!$C$13</f>
        <v>GS-OTHER</v>
      </c>
      <c r="H380" s="341" t="str">
        <f>Input!$C$14</f>
        <v>IUS</v>
      </c>
      <c r="I380" s="341" t="str">
        <f>Input!$C$15</f>
        <v>DS-ML</v>
      </c>
      <c r="J380" s="341" t="str">
        <f>Input!$C$16</f>
        <v>DS/IS</v>
      </c>
      <c r="K380" s="341" t="str">
        <f>Input!$C$17</f>
        <v>NOT USED</v>
      </c>
      <c r="L380" s="341" t="str">
        <f>Input!$C$18</f>
        <v>NOT USED</v>
      </c>
    </row>
    <row r="381" spans="1:12" ht="11.25" x14ac:dyDescent="0.2">
      <c r="A381" s="3"/>
      <c r="B381" s="342" t="s">
        <v>13</v>
      </c>
      <c r="C381" s="342" t="s">
        <v>14</v>
      </c>
      <c r="D381" s="325" t="s">
        <v>15</v>
      </c>
      <c r="E381" s="325" t="s">
        <v>16</v>
      </c>
      <c r="F381" s="325" t="s">
        <v>17</v>
      </c>
      <c r="G381" s="325" t="s">
        <v>18</v>
      </c>
      <c r="H381" s="325" t="s">
        <v>19</v>
      </c>
      <c r="I381" s="325" t="s">
        <v>20</v>
      </c>
      <c r="J381" s="325" t="s">
        <v>21</v>
      </c>
      <c r="K381" s="325" t="s">
        <v>22</v>
      </c>
      <c r="L381" s="325" t="s">
        <v>23</v>
      </c>
    </row>
    <row r="382" spans="1:12" ht="11.25" x14ac:dyDescent="0.2">
      <c r="A382" s="3"/>
      <c r="B382" s="3"/>
      <c r="C382" s="3"/>
      <c r="D382" s="325"/>
      <c r="E382" s="325" t="s">
        <v>26</v>
      </c>
      <c r="F382" s="325" t="s">
        <v>26</v>
      </c>
      <c r="G382" s="325" t="s">
        <v>26</v>
      </c>
      <c r="H382" s="325" t="s">
        <v>26</v>
      </c>
      <c r="I382" s="325" t="s">
        <v>26</v>
      </c>
      <c r="J382" s="325" t="s">
        <v>26</v>
      </c>
      <c r="K382" s="325" t="s">
        <v>26</v>
      </c>
      <c r="L382" s="325" t="s">
        <v>26</v>
      </c>
    </row>
    <row r="383" spans="1:12" ht="11.25" x14ac:dyDescent="0.2">
      <c r="A383" s="3">
        <v>1</v>
      </c>
      <c r="B383" s="3" t="s">
        <v>27</v>
      </c>
      <c r="C383" s="3"/>
      <c r="D383" s="325"/>
      <c r="E383" s="3"/>
      <c r="F383" s="3"/>
      <c r="G383" s="3"/>
      <c r="H383" s="3"/>
      <c r="I383" s="3"/>
      <c r="J383" s="3"/>
      <c r="K383" s="3"/>
      <c r="L383" s="3"/>
    </row>
    <row r="384" spans="1:12" ht="11.25" x14ac:dyDescent="0.2">
      <c r="A384" s="3"/>
      <c r="B384" s="3"/>
      <c r="C384" s="3"/>
      <c r="D384" s="118"/>
      <c r="E384" s="1"/>
      <c r="F384" s="1"/>
      <c r="G384" s="1"/>
      <c r="H384" s="1"/>
      <c r="I384" s="1"/>
      <c r="J384" s="1"/>
      <c r="K384" s="1"/>
      <c r="L384" s="1"/>
    </row>
    <row r="385" spans="1:12" ht="11.25" x14ac:dyDescent="0.2">
      <c r="A385" s="3">
        <f>A383+1</f>
        <v>2</v>
      </c>
      <c r="B385" s="24" t="str">
        <f>Input!A273</f>
        <v>480.00</v>
      </c>
      <c r="C385" s="24" t="s">
        <v>169</v>
      </c>
      <c r="D385" s="118"/>
      <c r="E385" s="1">
        <f ca="1">SUM(F385:L385)</f>
        <v>22106059.589999996</v>
      </c>
      <c r="F385" s="1">
        <f ca="1">ROUND((Input!E273-Input!E325)*'Revenue Req'!E27,0)+Input!E325</f>
        <v>22106059.589999996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</row>
    <row r="386" spans="1:12" ht="11.25" x14ac:dyDescent="0.2">
      <c r="A386" s="3">
        <f>A385+1</f>
        <v>3</v>
      </c>
      <c r="B386" s="24" t="str">
        <f>Input!A274</f>
        <v>481.10</v>
      </c>
      <c r="C386" s="24" t="s">
        <v>171</v>
      </c>
      <c r="D386" s="118"/>
      <c r="E386" s="1">
        <f ca="1">SUM(F386:L386)</f>
        <v>9742948</v>
      </c>
      <c r="F386" s="1">
        <v>0</v>
      </c>
      <c r="G386" s="1">
        <f ca="1">ROUND((Input!$F274-Input!$F$325*(Input!$F274/(Input!$F$274+Input!$F$275)))*'Revenue Req'!$E$27,0)+ROUND(Input!$F$325*(Input!F274/(Input!$F$274+Input!$F$275)),0)</f>
        <v>9742948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</row>
    <row r="387" spans="1:12" ht="11.25" x14ac:dyDescent="0.2">
      <c r="A387" s="3">
        <f>A386+1</f>
        <v>4</v>
      </c>
      <c r="B387" s="24" t="str">
        <f>Input!A275</f>
        <v>481.20</v>
      </c>
      <c r="C387" s="24" t="s">
        <v>173</v>
      </c>
      <c r="D387" s="118"/>
      <c r="E387" s="116">
        <f ca="1">SUM(F387:L387)</f>
        <v>772515.56</v>
      </c>
      <c r="F387" s="116">
        <v>0</v>
      </c>
      <c r="G387" s="116">
        <f ca="1">ROUND((Input!$F275-Input!$F$325*(Input!$F275/(Input!$F$274+Input!$F$275)))*'Revenue Req'!$E$27,0)+ROUND(Input!$F$325*(Input!F275/(Input!$F$274+Input!$F$275)),0)</f>
        <v>742231</v>
      </c>
      <c r="H387" s="116">
        <f ca="1">ROUND((Input!G276-Input!G325)*'Revenue Req'!E27,0)+Input!G325</f>
        <v>30284.560000000001</v>
      </c>
      <c r="I387" s="116">
        <v>0</v>
      </c>
      <c r="J387" s="116">
        <v>0</v>
      </c>
      <c r="K387" s="116">
        <v>0</v>
      </c>
      <c r="L387" s="116">
        <v>0</v>
      </c>
    </row>
    <row r="388" spans="1:12" ht="11.25" x14ac:dyDescent="0.2">
      <c r="A388" s="3">
        <f>A387+1</f>
        <v>5</v>
      </c>
      <c r="B388" s="3"/>
      <c r="C388" s="24" t="s">
        <v>239</v>
      </c>
      <c r="D388" s="118"/>
      <c r="E388" s="1">
        <f t="shared" ref="E388:L388" ca="1" si="49">SUM(E385:E387)</f>
        <v>32621523.149999995</v>
      </c>
      <c r="F388" s="1">
        <f t="shared" ca="1" si="49"/>
        <v>22106059.589999996</v>
      </c>
      <c r="G388" s="1">
        <f t="shared" ca="1" si="49"/>
        <v>10485179</v>
      </c>
      <c r="H388" s="1">
        <f t="shared" ca="1" si="49"/>
        <v>30284.560000000001</v>
      </c>
      <c r="I388" s="1">
        <f t="shared" si="49"/>
        <v>0</v>
      </c>
      <c r="J388" s="1">
        <f t="shared" si="49"/>
        <v>0</v>
      </c>
      <c r="K388" s="1">
        <f t="shared" si="49"/>
        <v>0</v>
      </c>
      <c r="L388" s="1">
        <f t="shared" si="49"/>
        <v>0</v>
      </c>
    </row>
    <row r="389" spans="1:12" ht="11.25" x14ac:dyDescent="0.2">
      <c r="A389" s="3"/>
      <c r="B389" s="3"/>
      <c r="C389" s="3"/>
      <c r="D389" s="118"/>
      <c r="E389" s="1"/>
      <c r="F389" s="1"/>
      <c r="G389" s="1"/>
      <c r="H389" s="1"/>
      <c r="I389" s="1"/>
      <c r="J389" s="1"/>
      <c r="K389" s="1"/>
      <c r="L389" s="1"/>
    </row>
    <row r="390" spans="1:12" ht="11.25" x14ac:dyDescent="0.2">
      <c r="A390" s="3">
        <f>A388+1</f>
        <v>6</v>
      </c>
      <c r="B390" s="24" t="str">
        <f>Input!A277</f>
        <v>487.00</v>
      </c>
      <c r="C390" s="24" t="str">
        <f>Input!B277</f>
        <v>FORFEITED DISCOUNTS</v>
      </c>
      <c r="D390" s="118"/>
      <c r="E390" s="1">
        <f ca="1">SUM(F390:L390)</f>
        <v>109434</v>
      </c>
      <c r="F390" s="1">
        <f ca="1">ROUND(Input!E277*'Revenue Req'!E27,0)</f>
        <v>70651</v>
      </c>
      <c r="G390" s="1">
        <f ca="1">ROUND(Input!F277*'Revenue Req'!F27,0)</f>
        <v>38783</v>
      </c>
      <c r="H390" s="1">
        <f>ROUND(Input!G277*'Revenue Req'!G27,0)</f>
        <v>0</v>
      </c>
      <c r="I390" s="1">
        <f>ROUND(Input!H277*'Revenue Req'!H27,0)</f>
        <v>0</v>
      </c>
      <c r="J390" s="1">
        <f>ROUND(Input!I277*'Revenue Req'!I27,0)</f>
        <v>0</v>
      </c>
      <c r="K390" s="1">
        <v>0</v>
      </c>
      <c r="L390" s="1">
        <v>0</v>
      </c>
    </row>
    <row r="391" spans="1:12" ht="11.25" x14ac:dyDescent="0.2">
      <c r="A391" s="3">
        <f>A390+1</f>
        <v>7</v>
      </c>
      <c r="B391" s="24" t="str">
        <f>Input!A278</f>
        <v>488.00</v>
      </c>
      <c r="C391" s="24" t="str">
        <f>Input!B278</f>
        <v>MISC. SERVICE REVENUE</v>
      </c>
      <c r="D391" s="118">
        <f>Input!C278</f>
        <v>6</v>
      </c>
      <c r="E391" s="1">
        <f>Classification!G391</f>
        <v>0</v>
      </c>
      <c r="F391" s="1">
        <f>ROUND((VLOOKUP($D391,'Alloc Table Comm'!$B$7:$T$56,13,FALSE)*$E391),0)</f>
        <v>0</v>
      </c>
      <c r="G391" s="1">
        <f>ROUND((VLOOKUP($D391,'Alloc Table Comm'!$B$7:$T$56,14,FALSE)*$E391),0)</f>
        <v>0</v>
      </c>
      <c r="H391" s="1">
        <f>ROUND((VLOOKUP($D391,'Alloc Table Comm'!$B$7:$T$56,15,FALSE)*$E391),0)</f>
        <v>0</v>
      </c>
      <c r="I391" s="1">
        <f>ROUND((VLOOKUP($D391,'Alloc Table Comm'!$B$7:$T$56,16,FALSE)*$E391),0)</f>
        <v>0</v>
      </c>
      <c r="J391" s="1">
        <f>ROUND((VLOOKUP($D391,'Alloc Table Comm'!$B$7:$T$56,17,FALSE)*$E391),0)</f>
        <v>0</v>
      </c>
      <c r="K391" s="1">
        <f>ROUND((VLOOKUP($D391,'Alloc Table Comm'!$B$7:$T$56,18,FALSE)*$E391),0)</f>
        <v>0</v>
      </c>
      <c r="L391" s="1">
        <f>ROUND((VLOOKUP($D391,'Alloc Table Comm'!$B$7:$T$56,19,FALSE)*$E391),0)</f>
        <v>0</v>
      </c>
    </row>
    <row r="392" spans="1:12" ht="11.25" x14ac:dyDescent="0.2">
      <c r="A392" s="3">
        <f>A391+1</f>
        <v>8</v>
      </c>
      <c r="B392" s="24" t="str">
        <f>Input!A279</f>
        <v>489.00</v>
      </c>
      <c r="C392" s="24" t="str">
        <f>Input!B279</f>
        <v>REVENUE FROM TRANSPORTATION - GS - Residential</v>
      </c>
      <c r="D392" s="118"/>
      <c r="E392" s="1">
        <f ca="1">SUM(F392:L392)</f>
        <v>5042664</v>
      </c>
      <c r="F392" s="1">
        <f ca="1">ROUND(Input!E279*'Revenue Req'!E27,0)</f>
        <v>2087890</v>
      </c>
      <c r="G392" s="1">
        <f ca="1">ROUND(Input!F280*'Revenue Req'!E27,0)</f>
        <v>1512744</v>
      </c>
      <c r="H392" s="1">
        <v>0</v>
      </c>
      <c r="I392" s="1">
        <f ca="1">ROUND(Input!H281*'Revenue Req'!E27,0)</f>
        <v>110813</v>
      </c>
      <c r="J392" s="1">
        <f ca="1">ROUND(Input!I282*'Revenue Req'!E27,0)</f>
        <v>1331217</v>
      </c>
      <c r="K392" s="1">
        <v>0</v>
      </c>
      <c r="L392" s="1">
        <v>0</v>
      </c>
    </row>
    <row r="393" spans="1:12" ht="11.25" x14ac:dyDescent="0.2">
      <c r="A393" s="3">
        <f>A392+1</f>
        <v>9</v>
      </c>
      <c r="B393" s="24">
        <f>Input!A283</f>
        <v>495</v>
      </c>
      <c r="C393" s="24" t="str">
        <f>Input!B283</f>
        <v>OTHER</v>
      </c>
      <c r="D393" s="118">
        <f>Input!C283</f>
        <v>6</v>
      </c>
      <c r="E393" s="116">
        <f>Classification!G393</f>
        <v>0</v>
      </c>
      <c r="F393" s="116">
        <f>ROUND((VLOOKUP($D393,'Alloc Table Comm'!$B$7:$T$56,13,FALSE)*$E393),0)</f>
        <v>0</v>
      </c>
      <c r="G393" s="116">
        <f>ROUND((VLOOKUP($D393,'Alloc Table Comm'!$B$7:$T$56,14,FALSE)*$E393),0)</f>
        <v>0</v>
      </c>
      <c r="H393" s="116">
        <f>ROUND((VLOOKUP($D393,'Alloc Table Comm'!$B$7:$T$56,15,FALSE)*$E393),0)</f>
        <v>0</v>
      </c>
      <c r="I393" s="116">
        <f>ROUND((VLOOKUP($D393,'Alloc Table Comm'!$B$7:$T$56,16,FALSE)*$E393),0)</f>
        <v>0</v>
      </c>
      <c r="J393" s="116">
        <f>ROUND((VLOOKUP($D393,'Alloc Table Comm'!$B$7:$T$56,17,FALSE)*$E393),0)</f>
        <v>0</v>
      </c>
      <c r="K393" s="116">
        <f>ROUND((VLOOKUP($D393,'Alloc Table Comm'!$B$7:$T$56,18,FALSE)*$E393),0)</f>
        <v>0</v>
      </c>
      <c r="L393" s="116">
        <f>ROUND((VLOOKUP($D393,'Alloc Table Comm'!$B$7:$T$56,19,FALSE)*$E393),0)</f>
        <v>0</v>
      </c>
    </row>
    <row r="394" spans="1:12" ht="11.25" x14ac:dyDescent="0.2">
      <c r="A394" s="3">
        <f>A393+1</f>
        <v>10</v>
      </c>
      <c r="B394" s="3"/>
      <c r="C394" s="3" t="s">
        <v>253</v>
      </c>
      <c r="D394" s="118"/>
      <c r="E394" s="116">
        <f t="shared" ref="E394:L394" ca="1" si="50">SUM(E390:E393)</f>
        <v>5152098</v>
      </c>
      <c r="F394" s="116">
        <f t="shared" ca="1" si="50"/>
        <v>2158541</v>
      </c>
      <c r="G394" s="116">
        <f t="shared" ca="1" si="50"/>
        <v>1551527</v>
      </c>
      <c r="H394" s="116">
        <f t="shared" si="50"/>
        <v>0</v>
      </c>
      <c r="I394" s="116">
        <f t="shared" ca="1" si="50"/>
        <v>110813</v>
      </c>
      <c r="J394" s="116">
        <f t="shared" ca="1" si="50"/>
        <v>1331217</v>
      </c>
      <c r="K394" s="116">
        <f t="shared" si="50"/>
        <v>0</v>
      </c>
      <c r="L394" s="116">
        <f t="shared" si="50"/>
        <v>0</v>
      </c>
    </row>
    <row r="395" spans="1:12" ht="11.25" x14ac:dyDescent="0.2">
      <c r="A395" s="3"/>
      <c r="B395" s="3"/>
      <c r="C395" s="3"/>
      <c r="D395" s="325"/>
      <c r="E395" s="3"/>
      <c r="F395" s="3"/>
      <c r="G395" s="3"/>
      <c r="H395" s="3"/>
      <c r="I395" s="3"/>
      <c r="J395" s="3"/>
      <c r="K395" s="3"/>
      <c r="L395" s="3"/>
    </row>
    <row r="396" spans="1:12" ht="11.25" x14ac:dyDescent="0.2">
      <c r="A396" s="3">
        <f>A394+1</f>
        <v>11</v>
      </c>
      <c r="B396" s="3"/>
      <c r="C396" s="3" t="s">
        <v>256</v>
      </c>
      <c r="D396" s="325"/>
      <c r="E396" s="3">
        <f t="shared" ref="E396:L396" ca="1" si="51">E388+E394</f>
        <v>37773621.149999991</v>
      </c>
      <c r="F396" s="3">
        <f t="shared" ca="1" si="51"/>
        <v>24264600.589999996</v>
      </c>
      <c r="G396" s="3">
        <f t="shared" ca="1" si="51"/>
        <v>12036706</v>
      </c>
      <c r="H396" s="3">
        <f t="shared" ca="1" si="51"/>
        <v>30284.560000000001</v>
      </c>
      <c r="I396" s="3">
        <f t="shared" ca="1" si="51"/>
        <v>110813</v>
      </c>
      <c r="J396" s="3">
        <f t="shared" ca="1" si="51"/>
        <v>1331217</v>
      </c>
      <c r="K396" s="3">
        <f t="shared" si="51"/>
        <v>0</v>
      </c>
      <c r="L396" s="3">
        <f t="shared" si="51"/>
        <v>0</v>
      </c>
    </row>
    <row r="397" spans="1:12" ht="11.25" x14ac:dyDescent="0.2">
      <c r="A397" s="3" t="s">
        <v>818</v>
      </c>
      <c r="B397" s="3"/>
      <c r="C397" s="3"/>
      <c r="D397" s="325"/>
      <c r="E397" s="3"/>
      <c r="F397" s="325" t="str">
        <f>" "&amp;+Input!$B$1</f>
        <v xml:space="preserve"> COLUMBIA GAS OF KENTUCKY, INC.</v>
      </c>
      <c r="H397" s="3"/>
      <c r="I397" s="3"/>
      <c r="J397" s="3"/>
      <c r="K397" s="3"/>
      <c r="L397" s="32" t="str">
        <f>Input!$B$2</f>
        <v>ATTACHMENT CEN-2</v>
      </c>
    </row>
    <row r="398" spans="1:12" ht="11.25" x14ac:dyDescent="0.2">
      <c r="A398" s="3" t="str">
        <f>Input!$B$7</f>
        <v>DEMAND-COMMODITY</v>
      </c>
      <c r="B398" s="3"/>
      <c r="C398" s="3"/>
      <c r="D398" s="325"/>
      <c r="E398" s="3"/>
      <c r="F398" s="325" t="s">
        <v>60</v>
      </c>
      <c r="H398" s="3"/>
      <c r="I398" s="3"/>
      <c r="J398" s="3"/>
      <c r="K398" s="3"/>
      <c r="L398" s="32" t="str">
        <f>"PAGE 89 OF "&amp;FIXED(Input!$B$8,0,TRUE)</f>
        <v>PAGE 89 OF 129</v>
      </c>
    </row>
    <row r="399" spans="1:12" ht="11.25" x14ac:dyDescent="0.2">
      <c r="A399" s="17" t="str">
        <f>Input!$B$6</f>
        <v>FORECASTED TEST YEAR - ORIGINAL FILING</v>
      </c>
      <c r="B399" s="17"/>
      <c r="C399" s="17"/>
      <c r="D399" s="34"/>
      <c r="E399" s="18"/>
      <c r="F399" s="19" t="str">
        <f>"FOR THE TWELVE MONTHS ENDED "&amp;Input!$B$4</f>
        <v>FOR THE TWELVE MONTHS ENDED 12/31/2017</v>
      </c>
      <c r="G399" s="329"/>
      <c r="H399" s="17"/>
      <c r="I399" s="17"/>
      <c r="J399" s="17"/>
      <c r="K399" s="17"/>
      <c r="L399" s="183" t="str">
        <f>"WITNESS: "&amp;Input!$B$5</f>
        <v>WITNESS: C. NOTESTONE</v>
      </c>
    </row>
    <row r="400" spans="1:12" ht="11.25" x14ac:dyDescent="0.2">
      <c r="A400" s="325" t="s">
        <v>5</v>
      </c>
      <c r="B400" s="3" t="s">
        <v>6</v>
      </c>
      <c r="C400" s="3"/>
      <c r="D400" s="325" t="s">
        <v>7</v>
      </c>
      <c r="E400" s="325" t="s">
        <v>8</v>
      </c>
      <c r="F400" s="3"/>
      <c r="G400" s="3"/>
      <c r="H400" s="3"/>
      <c r="I400" s="3"/>
      <c r="J400" s="3"/>
      <c r="K400" s="3"/>
      <c r="L400" s="3"/>
    </row>
    <row r="401" spans="1:12" ht="11.25" x14ac:dyDescent="0.2">
      <c r="A401" s="341" t="s">
        <v>9</v>
      </c>
      <c r="B401" s="341" t="s">
        <v>9</v>
      </c>
      <c r="C401" s="34" t="str">
        <f>Commodity!C128</f>
        <v xml:space="preserve"> ACCOUNT TITLE</v>
      </c>
      <c r="D401" s="341" t="s">
        <v>10</v>
      </c>
      <c r="E401" s="341" t="s">
        <v>812</v>
      </c>
      <c r="F401" s="341" t="str">
        <f>"  "&amp;+Input!$C$12</f>
        <v xml:space="preserve">  GS-RESIDENTIAL</v>
      </c>
      <c r="G401" s="341" t="str">
        <f>Input!$C$13</f>
        <v>GS-OTHER</v>
      </c>
      <c r="H401" s="341" t="str">
        <f>Input!$C$14</f>
        <v>IUS</v>
      </c>
      <c r="I401" s="341" t="str">
        <f>Input!$C$15</f>
        <v>DS-ML</v>
      </c>
      <c r="J401" s="341" t="str">
        <f>Input!$C$16</f>
        <v>DS/IS</v>
      </c>
      <c r="K401" s="341" t="str">
        <f>Input!$C$17</f>
        <v>NOT USED</v>
      </c>
      <c r="L401" s="341" t="str">
        <f>Input!$C$18</f>
        <v>NOT USED</v>
      </c>
    </row>
    <row r="402" spans="1:12" ht="11.25" x14ac:dyDescent="0.2">
      <c r="A402" s="3"/>
      <c r="B402" s="342" t="s">
        <v>13</v>
      </c>
      <c r="C402" s="342" t="s">
        <v>14</v>
      </c>
      <c r="D402" s="325" t="s">
        <v>15</v>
      </c>
      <c r="E402" s="325" t="s">
        <v>16</v>
      </c>
      <c r="F402" s="325" t="s">
        <v>17</v>
      </c>
      <c r="G402" s="325" t="s">
        <v>18</v>
      </c>
      <c r="H402" s="325" t="s">
        <v>19</v>
      </c>
      <c r="I402" s="325" t="s">
        <v>20</v>
      </c>
      <c r="J402" s="325" t="s">
        <v>21</v>
      </c>
      <c r="K402" s="325" t="s">
        <v>22</v>
      </c>
      <c r="L402" s="325" t="s">
        <v>23</v>
      </c>
    </row>
    <row r="403" spans="1:12" ht="11.25" x14ac:dyDescent="0.2">
      <c r="A403" s="3"/>
      <c r="B403" s="3"/>
      <c r="C403" s="3"/>
      <c r="D403" s="325"/>
      <c r="E403" s="325" t="s">
        <v>26</v>
      </c>
      <c r="F403" s="325" t="s">
        <v>26</v>
      </c>
      <c r="G403" s="325" t="s">
        <v>26</v>
      </c>
      <c r="H403" s="325" t="s">
        <v>26</v>
      </c>
      <c r="I403" s="325" t="s">
        <v>26</v>
      </c>
      <c r="J403" s="325" t="s">
        <v>26</v>
      </c>
      <c r="K403" s="325" t="s">
        <v>26</v>
      </c>
      <c r="L403" s="325" t="s">
        <v>26</v>
      </c>
    </row>
    <row r="404" spans="1:12" ht="11.25" x14ac:dyDescent="0.2">
      <c r="A404" s="3">
        <v>1</v>
      </c>
      <c r="B404" s="3" t="s">
        <v>263</v>
      </c>
      <c r="C404" s="3"/>
      <c r="D404" s="325"/>
      <c r="E404" s="3"/>
      <c r="F404" s="3"/>
      <c r="G404" s="3"/>
      <c r="H404" s="3"/>
      <c r="I404" s="3"/>
      <c r="J404" s="3"/>
      <c r="K404" s="3"/>
      <c r="L404" s="3"/>
    </row>
    <row r="405" spans="1:12" ht="11.25" x14ac:dyDescent="0.2">
      <c r="A405" s="3"/>
      <c r="B405" s="3"/>
      <c r="C405" s="3"/>
      <c r="D405" s="325"/>
      <c r="E405" s="3"/>
      <c r="F405" s="3"/>
      <c r="G405" s="3"/>
      <c r="H405" s="3"/>
      <c r="I405" s="3"/>
      <c r="J405" s="3"/>
      <c r="K405" s="3"/>
      <c r="L405" s="3"/>
    </row>
    <row r="406" spans="1:12" ht="11.25" x14ac:dyDescent="0.2">
      <c r="A406" s="3">
        <f>A404+1</f>
        <v>2</v>
      </c>
      <c r="B406" s="3"/>
      <c r="C406" s="3" t="s">
        <v>266</v>
      </c>
      <c r="D406" s="325"/>
      <c r="E406" s="3"/>
      <c r="F406" s="3"/>
      <c r="G406" s="3"/>
      <c r="H406" s="3"/>
      <c r="I406" s="3"/>
      <c r="J406" s="3"/>
      <c r="K406" s="3"/>
      <c r="L406" s="3"/>
    </row>
    <row r="407" spans="1:12" ht="11.25" x14ac:dyDescent="0.2">
      <c r="A407" s="3"/>
      <c r="B407" s="3"/>
      <c r="C407" s="3"/>
      <c r="D407" s="325"/>
      <c r="E407" s="3"/>
      <c r="F407" s="3"/>
      <c r="G407" s="3"/>
      <c r="H407" s="3"/>
      <c r="I407" s="3"/>
      <c r="J407" s="3"/>
      <c r="K407" s="3"/>
      <c r="L407" s="3"/>
    </row>
    <row r="408" spans="1:12" ht="11.25" x14ac:dyDescent="0.2">
      <c r="A408" s="3">
        <f>A406+1</f>
        <v>3</v>
      </c>
      <c r="B408" s="24" t="str">
        <f>Input!A317</f>
        <v>717</v>
      </c>
      <c r="C408" s="24" t="str">
        <f>Input!B317</f>
        <v>LIQUE PETRO GAS EXP - LABOR</v>
      </c>
      <c r="D408" s="325">
        <f>Input!C317</f>
        <v>2</v>
      </c>
      <c r="E408" s="3">
        <f>Classification!G408</f>
        <v>0</v>
      </c>
      <c r="F408" s="3">
        <f>ROUND((VLOOKUP($D408,'Alloc Table Comm'!$B$7:$T$56,13,FALSE)*$E408),0)</f>
        <v>0</v>
      </c>
      <c r="G408" s="3">
        <f>ROUND((VLOOKUP($D408,'Alloc Table Comm'!$B$7:$T$56,14,FALSE)*$E408),0)</f>
        <v>0</v>
      </c>
      <c r="H408" s="3">
        <f>ROUND((VLOOKUP($D408,'Alloc Table Comm'!$B$7:$T$56,15,FALSE)*$E408),0)</f>
        <v>0</v>
      </c>
      <c r="I408" s="3">
        <f>ROUND((VLOOKUP($D408,'Alloc Table Comm'!$B$7:$T$56,16,FALSE)*$E408),0)</f>
        <v>0</v>
      </c>
      <c r="J408" s="3">
        <f>ROUND((VLOOKUP($D408,'Alloc Table Comm'!$B$7:$T$56,17,FALSE)*$E408),0)</f>
        <v>0</v>
      </c>
      <c r="K408" s="3">
        <f>ROUND((VLOOKUP($D408,'Alloc Table Comm'!$B$7:$T$56,18,FALSE)*$E408),0)</f>
        <v>0</v>
      </c>
      <c r="L408" s="3">
        <f>ROUND((VLOOKUP($D408,'Alloc Table Comm'!$B$7:$T$56,19,FALSE)*$E408),0)</f>
        <v>0</v>
      </c>
    </row>
    <row r="409" spans="1:12" ht="11.25" x14ac:dyDescent="0.2">
      <c r="A409" s="3">
        <f>A408+1</f>
        <v>4</v>
      </c>
      <c r="B409" s="24" t="str">
        <f>Input!A318</f>
        <v>717</v>
      </c>
      <c r="C409" s="24" t="str">
        <f>Input!B318</f>
        <v>LIQUE PETRO GAS EXP - M&amp;E</v>
      </c>
      <c r="D409" s="325">
        <f>Input!C318</f>
        <v>2</v>
      </c>
      <c r="E409" s="3">
        <f>Classification!G409</f>
        <v>0</v>
      </c>
      <c r="F409" s="3">
        <f>ROUND((VLOOKUP($D409,'Alloc Table Comm'!$B$7:$T$56,13,FALSE)*$E409),0)</f>
        <v>0</v>
      </c>
      <c r="G409" s="3">
        <f>ROUND((VLOOKUP($D409,'Alloc Table Comm'!$B$7:$T$56,14,FALSE)*$E409),0)</f>
        <v>0</v>
      </c>
      <c r="H409" s="3">
        <f>ROUND((VLOOKUP($D409,'Alloc Table Comm'!$B$7:$T$56,15,FALSE)*$E409),0)</f>
        <v>0</v>
      </c>
      <c r="I409" s="3">
        <f>ROUND((VLOOKUP($D409,'Alloc Table Comm'!$B$7:$T$56,16,FALSE)*$E409),0)</f>
        <v>0</v>
      </c>
      <c r="J409" s="3">
        <f>ROUND((VLOOKUP($D409,'Alloc Table Comm'!$B$7:$T$56,17,FALSE)*$E409),0)</f>
        <v>0</v>
      </c>
      <c r="K409" s="3">
        <f>ROUND((VLOOKUP($D409,'Alloc Table Comm'!$B$7:$T$56,18,FALSE)*$E409),0)</f>
        <v>0</v>
      </c>
      <c r="L409" s="3">
        <f>ROUND((VLOOKUP($D409,'Alloc Table Comm'!$B$7:$T$56,19,FALSE)*$E409),0)</f>
        <v>0</v>
      </c>
    </row>
    <row r="410" spans="1:12" ht="11.25" x14ac:dyDescent="0.2">
      <c r="A410" s="3">
        <f>A409+1</f>
        <v>5</v>
      </c>
      <c r="B410" s="24" t="str">
        <f>Input!A319</f>
        <v>723</v>
      </c>
      <c r="C410" s="24" t="str">
        <f>Input!B319</f>
        <v>LIQUIFIED PETROLEUM GAS PROCESS</v>
      </c>
      <c r="D410" s="325">
        <f>Input!C319</f>
        <v>2</v>
      </c>
      <c r="E410" s="3">
        <f>Classification!G410</f>
        <v>0</v>
      </c>
      <c r="F410" s="3">
        <f>ROUND((VLOOKUP($D410,'Alloc Table Comm'!$B$7:$T$56,13,FALSE)*$E410),0)</f>
        <v>0</v>
      </c>
      <c r="G410" s="3">
        <f>ROUND((VLOOKUP($D410,'Alloc Table Comm'!$B$7:$T$56,14,FALSE)*$E410),0)</f>
        <v>0</v>
      </c>
      <c r="H410" s="3">
        <f>ROUND((VLOOKUP($D410,'Alloc Table Comm'!$B$7:$T$56,15,FALSE)*$E410),0)</f>
        <v>0</v>
      </c>
      <c r="I410" s="3">
        <f>ROUND((VLOOKUP($D410,'Alloc Table Comm'!$B$7:$T$56,16,FALSE)*$E410),0)</f>
        <v>0</v>
      </c>
      <c r="J410" s="3">
        <f>ROUND((VLOOKUP($D410,'Alloc Table Comm'!$B$7:$T$56,17,FALSE)*$E410),0)</f>
        <v>0</v>
      </c>
      <c r="K410" s="3">
        <f>ROUND((VLOOKUP($D410,'Alloc Table Comm'!$B$7:$T$56,18,FALSE)*$E410),0)</f>
        <v>0</v>
      </c>
      <c r="L410" s="3">
        <f>ROUND((VLOOKUP($D410,'Alloc Table Comm'!$B$7:$T$56,19,FALSE)*$E410),0)</f>
        <v>0</v>
      </c>
    </row>
    <row r="411" spans="1:12" ht="11.25" x14ac:dyDescent="0.2">
      <c r="A411" s="3">
        <f>A410+1</f>
        <v>6</v>
      </c>
      <c r="B411" s="24" t="str">
        <f>Input!A320</f>
        <v>728</v>
      </c>
      <c r="C411" s="24" t="str">
        <f>Input!B320</f>
        <v xml:space="preserve">LIQUIFIED PETROLEUM GAS </v>
      </c>
      <c r="D411" s="325">
        <f>Input!C320</f>
        <v>2</v>
      </c>
      <c r="E411" s="26">
        <f>Classification!G411</f>
        <v>0</v>
      </c>
      <c r="F411" s="26">
        <f>ROUND((VLOOKUP($D411,'Alloc Table Comm'!$B$7:$T$56,13,FALSE)*$E411),0)</f>
        <v>0</v>
      </c>
      <c r="G411" s="26">
        <f>ROUND((VLOOKUP($D411,'Alloc Table Comm'!$B$7:$T$56,14,FALSE)*$E411),0)</f>
        <v>0</v>
      </c>
      <c r="H411" s="26">
        <f>ROUND((VLOOKUP($D411,'Alloc Table Comm'!$B$7:$T$56,15,FALSE)*$E411),0)</f>
        <v>0</v>
      </c>
      <c r="I411" s="26">
        <f>ROUND((VLOOKUP($D411,'Alloc Table Comm'!$B$7:$T$56,16,FALSE)*$E411),0)</f>
        <v>0</v>
      </c>
      <c r="J411" s="26">
        <f>ROUND((VLOOKUP($D411,'Alloc Table Comm'!$B$7:$T$56,17,FALSE)*$E411),0)</f>
        <v>0</v>
      </c>
      <c r="K411" s="26">
        <f>ROUND((VLOOKUP($D411,'Alloc Table Comm'!$B$7:$T$56,18,FALSE)*$E411),0)</f>
        <v>0</v>
      </c>
      <c r="L411" s="26">
        <f>ROUND((VLOOKUP($D411,'Alloc Table Comm'!$B$7:$T$56,19,FALSE)*$E411),0)</f>
        <v>0</v>
      </c>
    </row>
    <row r="412" spans="1:12" ht="11.25" x14ac:dyDescent="0.2">
      <c r="A412" s="3">
        <f>A411+1</f>
        <v>7</v>
      </c>
      <c r="B412" s="3"/>
      <c r="C412" s="3" t="s">
        <v>271</v>
      </c>
      <c r="D412" s="325"/>
      <c r="E412" s="3">
        <f t="shared" ref="E412:L412" si="52">SUM(E408:E411)</f>
        <v>0</v>
      </c>
      <c r="F412" s="3">
        <f t="shared" si="52"/>
        <v>0</v>
      </c>
      <c r="G412" s="3">
        <f t="shared" si="52"/>
        <v>0</v>
      </c>
      <c r="H412" s="3">
        <f t="shared" si="52"/>
        <v>0</v>
      </c>
      <c r="I412" s="3">
        <f t="shared" si="52"/>
        <v>0</v>
      </c>
      <c r="J412" s="3">
        <f t="shared" si="52"/>
        <v>0</v>
      </c>
      <c r="K412" s="3">
        <f t="shared" si="52"/>
        <v>0</v>
      </c>
      <c r="L412" s="3">
        <f t="shared" si="52"/>
        <v>0</v>
      </c>
    </row>
    <row r="413" spans="1:12" ht="11.25" x14ac:dyDescent="0.2">
      <c r="A413" s="3"/>
      <c r="B413" s="3"/>
      <c r="C413" s="3"/>
      <c r="D413" s="325"/>
      <c r="E413" s="3"/>
      <c r="F413" s="3"/>
      <c r="G413" s="3"/>
      <c r="H413" s="3"/>
      <c r="I413" s="3"/>
      <c r="J413" s="3"/>
      <c r="K413" s="3"/>
      <c r="L413" s="3"/>
    </row>
    <row r="414" spans="1:12" ht="11.25" x14ac:dyDescent="0.2">
      <c r="A414" s="3">
        <f>A412+1</f>
        <v>8</v>
      </c>
      <c r="B414" s="3"/>
      <c r="C414" s="3" t="s">
        <v>272</v>
      </c>
      <c r="D414" s="325"/>
      <c r="E414" s="3"/>
      <c r="F414" s="3"/>
      <c r="G414" s="3"/>
      <c r="H414" s="3"/>
      <c r="I414" s="3"/>
      <c r="J414" s="3"/>
      <c r="K414" s="3"/>
      <c r="L414" s="3"/>
    </row>
    <row r="415" spans="1:12" ht="11.25" x14ac:dyDescent="0.2">
      <c r="A415" s="3"/>
      <c r="B415" s="3"/>
      <c r="C415" s="3"/>
      <c r="D415" s="325"/>
      <c r="E415" s="3"/>
      <c r="F415" s="3"/>
      <c r="G415" s="3"/>
      <c r="H415" s="3"/>
      <c r="I415" s="3"/>
      <c r="J415" s="3"/>
      <c r="K415" s="3"/>
      <c r="L415" s="3"/>
    </row>
    <row r="416" spans="1:12" ht="11.25" x14ac:dyDescent="0.2">
      <c r="A416" s="3">
        <f>A414+1</f>
        <v>9</v>
      </c>
      <c r="B416" s="24" t="str">
        <f>Input!A321</f>
        <v>741</v>
      </c>
      <c r="C416" s="24" t="str">
        <f>Input!B321</f>
        <v>STRUCTURES &amp; IMPROV - LABOR</v>
      </c>
      <c r="D416" s="325">
        <f>Input!C321</f>
        <v>2</v>
      </c>
      <c r="E416" s="3">
        <f>Classification!G416</f>
        <v>0</v>
      </c>
      <c r="F416" s="3">
        <f>ROUND((VLOOKUP($D416,'Alloc Table Comm'!$B$7:$T$56,13,FALSE)*$E416),0)</f>
        <v>0</v>
      </c>
      <c r="G416" s="3">
        <f>ROUND((VLOOKUP($D416,'Alloc Table Comm'!$B$7:$T$56,14,FALSE)*$E416),0)</f>
        <v>0</v>
      </c>
      <c r="H416" s="3">
        <f>ROUND((VLOOKUP($D416,'Alloc Table Comm'!$B$7:$T$56,15,FALSE)*$E416),0)</f>
        <v>0</v>
      </c>
      <c r="I416" s="3">
        <f>ROUND((VLOOKUP($D416,'Alloc Table Comm'!$B$7:$T$56,16,FALSE)*$E416),0)</f>
        <v>0</v>
      </c>
      <c r="J416" s="3">
        <f>ROUND((VLOOKUP($D416,'Alloc Table Comm'!$B$7:$T$56,17,FALSE)*$E416),0)</f>
        <v>0</v>
      </c>
      <c r="K416" s="3">
        <f>ROUND((VLOOKUP($D416,'Alloc Table Comm'!$B$7:$T$56,18,FALSE)*$E416),0)</f>
        <v>0</v>
      </c>
      <c r="L416" s="3">
        <f>ROUND((VLOOKUP($D416,'Alloc Table Comm'!$B$7:$T$56,19,FALSE)*$E416),0)</f>
        <v>0</v>
      </c>
    </row>
    <row r="417" spans="1:12" ht="11.25" x14ac:dyDescent="0.2">
      <c r="A417" s="3">
        <f>A416+1</f>
        <v>10</v>
      </c>
      <c r="B417" s="24" t="str">
        <f>Input!A322</f>
        <v>741</v>
      </c>
      <c r="C417" s="24" t="str">
        <f>Input!B322</f>
        <v>STRUCTURES &amp; IMPROV - M&amp;E</v>
      </c>
      <c r="D417" s="325">
        <f>Input!C322</f>
        <v>2</v>
      </c>
      <c r="E417" s="3">
        <f>Classification!G417</f>
        <v>0</v>
      </c>
      <c r="F417" s="3">
        <f>ROUND((VLOOKUP($D417,'Alloc Table Comm'!$B$7:$T$56,13,FALSE)*$E417),0)</f>
        <v>0</v>
      </c>
      <c r="G417" s="3">
        <f>ROUND((VLOOKUP($D417,'Alloc Table Comm'!$B$7:$T$56,14,FALSE)*$E417),0)</f>
        <v>0</v>
      </c>
      <c r="H417" s="3">
        <f>ROUND((VLOOKUP($D417,'Alloc Table Comm'!$B$7:$T$56,15,FALSE)*$E417),0)</f>
        <v>0</v>
      </c>
      <c r="I417" s="3">
        <f>ROUND((VLOOKUP($D417,'Alloc Table Comm'!$B$7:$T$56,16,FALSE)*$E417),0)</f>
        <v>0</v>
      </c>
      <c r="J417" s="3">
        <f>ROUND((VLOOKUP($D417,'Alloc Table Comm'!$B$7:$T$56,17,FALSE)*$E417),0)</f>
        <v>0</v>
      </c>
      <c r="K417" s="3">
        <f>ROUND((VLOOKUP($D417,'Alloc Table Comm'!$B$7:$T$56,18,FALSE)*$E417),0)</f>
        <v>0</v>
      </c>
      <c r="L417" s="3">
        <f>ROUND((VLOOKUP($D417,'Alloc Table Comm'!$B$7:$T$56,19,FALSE)*$E417),0)</f>
        <v>0</v>
      </c>
    </row>
    <row r="418" spans="1:12" ht="11.25" x14ac:dyDescent="0.2">
      <c r="A418" s="3">
        <f>A417+1</f>
        <v>11</v>
      </c>
      <c r="B418" s="24" t="str">
        <f>Input!A323</f>
        <v>742</v>
      </c>
      <c r="C418" s="24" t="str">
        <f>Input!B323</f>
        <v>PRODUCTION EQUIPMENT - LABOR</v>
      </c>
      <c r="D418" s="325">
        <f>Input!C323</f>
        <v>2</v>
      </c>
      <c r="E418" s="3">
        <f>Classification!G418</f>
        <v>0</v>
      </c>
      <c r="F418" s="3">
        <f>ROUND((VLOOKUP($D418,'Alloc Table Comm'!$B$7:$T$56,13,FALSE)*$E418),0)</f>
        <v>0</v>
      </c>
      <c r="G418" s="3">
        <f>ROUND((VLOOKUP($D418,'Alloc Table Comm'!$B$7:$T$56,14,FALSE)*$E418),0)</f>
        <v>0</v>
      </c>
      <c r="H418" s="3">
        <f>ROUND((VLOOKUP($D418,'Alloc Table Comm'!$B$7:$T$56,15,FALSE)*$E418),0)</f>
        <v>0</v>
      </c>
      <c r="I418" s="3">
        <f>ROUND((VLOOKUP($D418,'Alloc Table Comm'!$B$7:$T$56,16,FALSE)*$E418),0)</f>
        <v>0</v>
      </c>
      <c r="J418" s="3">
        <f>ROUND((VLOOKUP($D418,'Alloc Table Comm'!$B$7:$T$56,17,FALSE)*$E418),0)</f>
        <v>0</v>
      </c>
      <c r="K418" s="3">
        <f>ROUND((VLOOKUP($D418,'Alloc Table Comm'!$B$7:$T$56,18,FALSE)*$E418),0)</f>
        <v>0</v>
      </c>
      <c r="L418" s="3">
        <f>ROUND((VLOOKUP($D418,'Alloc Table Comm'!$B$7:$T$56,19,FALSE)*$E418),0)</f>
        <v>0</v>
      </c>
    </row>
    <row r="419" spans="1:12" ht="11.25" x14ac:dyDescent="0.2">
      <c r="A419" s="3">
        <f>A418+1</f>
        <v>12</v>
      </c>
      <c r="B419" s="24" t="str">
        <f>Input!A324</f>
        <v>742</v>
      </c>
      <c r="C419" s="24" t="str">
        <f>Input!B324</f>
        <v>PRODUCTION EQUIPMENT - M&amp;E</v>
      </c>
      <c r="D419" s="325">
        <f>Input!C324</f>
        <v>2</v>
      </c>
      <c r="E419" s="26">
        <f>Classification!G419</f>
        <v>0</v>
      </c>
      <c r="F419" s="26">
        <f>ROUND((VLOOKUP($D419,'Alloc Table Comm'!$B$7:$T$56,13,FALSE)*$E419),0)</f>
        <v>0</v>
      </c>
      <c r="G419" s="26">
        <f>ROUND((VLOOKUP($D419,'Alloc Table Comm'!$B$7:$T$56,14,FALSE)*$E419),0)</f>
        <v>0</v>
      </c>
      <c r="H419" s="26">
        <f>ROUND((VLOOKUP($D419,'Alloc Table Comm'!$B$7:$T$56,15,FALSE)*$E419),0)</f>
        <v>0</v>
      </c>
      <c r="I419" s="26">
        <f>ROUND((VLOOKUP($D419,'Alloc Table Comm'!$B$7:$T$56,16,FALSE)*$E419),0)</f>
        <v>0</v>
      </c>
      <c r="J419" s="26">
        <f>ROUND((VLOOKUP($D419,'Alloc Table Comm'!$B$7:$T$56,17,FALSE)*$E419),0)</f>
        <v>0</v>
      </c>
      <c r="K419" s="26">
        <f>ROUND((VLOOKUP($D419,'Alloc Table Comm'!$B$7:$T$56,18,FALSE)*$E419),0)</f>
        <v>0</v>
      </c>
      <c r="L419" s="26">
        <f>ROUND((VLOOKUP($D419,'Alloc Table Comm'!$B$7:$T$56,19,FALSE)*$E419),0)</f>
        <v>0</v>
      </c>
    </row>
    <row r="420" spans="1:12" ht="11.25" x14ac:dyDescent="0.2">
      <c r="A420" s="3">
        <f>A419+1</f>
        <v>13</v>
      </c>
      <c r="B420" s="3"/>
      <c r="C420" s="3" t="s">
        <v>273</v>
      </c>
      <c r="D420" s="325"/>
      <c r="E420" s="26">
        <f t="shared" ref="E420:L420" si="53">SUM(E416:E419)</f>
        <v>0</v>
      </c>
      <c r="F420" s="26">
        <f t="shared" si="53"/>
        <v>0</v>
      </c>
      <c r="G420" s="26">
        <f t="shared" si="53"/>
        <v>0</v>
      </c>
      <c r="H420" s="26">
        <f t="shared" si="53"/>
        <v>0</v>
      </c>
      <c r="I420" s="26">
        <f t="shared" si="53"/>
        <v>0</v>
      </c>
      <c r="J420" s="26">
        <f t="shared" si="53"/>
        <v>0</v>
      </c>
      <c r="K420" s="26">
        <f t="shared" si="53"/>
        <v>0</v>
      </c>
      <c r="L420" s="26">
        <f t="shared" si="53"/>
        <v>0</v>
      </c>
    </row>
    <row r="421" spans="1:12" ht="11.25" x14ac:dyDescent="0.2">
      <c r="A421" s="3"/>
      <c r="B421" s="3"/>
      <c r="C421" s="3"/>
      <c r="D421" s="325"/>
      <c r="E421" s="3"/>
      <c r="F421" s="3"/>
      <c r="G421" s="3"/>
      <c r="H421" s="3"/>
      <c r="I421" s="3"/>
      <c r="J421" s="3"/>
      <c r="K421" s="3"/>
      <c r="L421" s="3"/>
    </row>
    <row r="422" spans="1:12" ht="11.25" x14ac:dyDescent="0.2">
      <c r="A422" s="3">
        <f>A420+1</f>
        <v>14</v>
      </c>
      <c r="B422" s="3"/>
      <c r="C422" s="3" t="s">
        <v>274</v>
      </c>
      <c r="D422" s="325"/>
      <c r="E422" s="3">
        <f t="shared" ref="E422:L422" si="54">E412+E420</f>
        <v>0</v>
      </c>
      <c r="F422" s="3">
        <f t="shared" si="54"/>
        <v>0</v>
      </c>
      <c r="G422" s="3">
        <f t="shared" si="54"/>
        <v>0</v>
      </c>
      <c r="H422" s="3">
        <f t="shared" si="54"/>
        <v>0</v>
      </c>
      <c r="I422" s="3">
        <f t="shared" si="54"/>
        <v>0</v>
      </c>
      <c r="J422" s="3">
        <f t="shared" si="54"/>
        <v>0</v>
      </c>
      <c r="K422" s="3">
        <f t="shared" si="54"/>
        <v>0</v>
      </c>
      <c r="L422" s="3">
        <f t="shared" si="54"/>
        <v>0</v>
      </c>
    </row>
    <row r="423" spans="1:12" ht="11.25" x14ac:dyDescent="0.2">
      <c r="A423" s="3"/>
      <c r="B423" s="3"/>
      <c r="C423" s="3"/>
      <c r="D423" s="325"/>
      <c r="E423" s="3"/>
      <c r="F423" s="3"/>
      <c r="G423" s="3"/>
      <c r="H423" s="3"/>
      <c r="I423" s="3"/>
      <c r="J423" s="3"/>
      <c r="K423" s="3"/>
      <c r="L423" s="3"/>
    </row>
    <row r="424" spans="1:12" ht="11.25" x14ac:dyDescent="0.2">
      <c r="A424" s="3">
        <f>A422+1</f>
        <v>15</v>
      </c>
      <c r="B424" s="3"/>
      <c r="C424" s="3" t="s">
        <v>275</v>
      </c>
      <c r="D424" s="325"/>
      <c r="E424" s="3"/>
      <c r="F424" s="3"/>
      <c r="G424" s="3"/>
      <c r="H424" s="3"/>
      <c r="I424" s="3"/>
      <c r="J424" s="3"/>
      <c r="K424" s="3"/>
      <c r="L424" s="3"/>
    </row>
    <row r="425" spans="1:12" ht="11.25" x14ac:dyDescent="0.2">
      <c r="A425" s="3"/>
      <c r="B425" s="3"/>
      <c r="C425" s="3"/>
      <c r="D425" s="325"/>
      <c r="E425" s="3"/>
      <c r="F425" s="3"/>
      <c r="G425" s="3"/>
      <c r="H425" s="3"/>
      <c r="I425" s="3"/>
      <c r="J425" s="3"/>
      <c r="K425" s="3"/>
      <c r="L425" s="3"/>
    </row>
    <row r="426" spans="1:12" ht="11.25" x14ac:dyDescent="0.2">
      <c r="A426" s="3">
        <f>A424+1</f>
        <v>16</v>
      </c>
      <c r="B426" s="24" t="s">
        <v>276</v>
      </c>
      <c r="C426" s="3"/>
      <c r="D426" s="325"/>
      <c r="E426" s="3"/>
      <c r="F426" s="3"/>
      <c r="G426" s="3"/>
      <c r="H426" s="3"/>
      <c r="I426" s="3"/>
      <c r="J426" s="3"/>
      <c r="K426" s="3"/>
      <c r="L426" s="3"/>
    </row>
    <row r="427" spans="1:12" ht="11.25" x14ac:dyDescent="0.2">
      <c r="A427" s="3">
        <f>A426+1</f>
        <v>17</v>
      </c>
      <c r="B427" s="3" t="s">
        <v>277</v>
      </c>
      <c r="C427" s="3" t="str">
        <f>Input!B325</f>
        <v>COST OF GAS @ CITY GATE</v>
      </c>
      <c r="D427" s="325"/>
      <c r="E427" s="3">
        <f>SUM(F427:L427)</f>
        <v>21475950.109999996</v>
      </c>
      <c r="F427" s="3">
        <f>Input!E557</f>
        <v>13807094.589999998</v>
      </c>
      <c r="G427" s="3">
        <f>Input!F557</f>
        <v>7643846.9600000009</v>
      </c>
      <c r="H427" s="3">
        <f>Input!G557</f>
        <v>25008.560000000001</v>
      </c>
      <c r="I427" s="3">
        <f>Input!H557</f>
        <v>0</v>
      </c>
      <c r="J427" s="3">
        <f>Input!I557</f>
        <v>0</v>
      </c>
      <c r="K427" s="3">
        <f>Input!J555</f>
        <v>0</v>
      </c>
      <c r="L427" s="3">
        <f>Input!K555</f>
        <v>0</v>
      </c>
    </row>
    <row r="428" spans="1:12" ht="11.25" x14ac:dyDescent="0.2">
      <c r="A428" s="3">
        <f>A427+1</f>
        <v>18</v>
      </c>
      <c r="B428" s="24" t="str">
        <f>Input!A326</f>
        <v>807</v>
      </c>
      <c r="C428" s="3" t="str">
        <f>Input!B326</f>
        <v>OTHER PURCHASED GAS - LABOR</v>
      </c>
      <c r="D428" s="325">
        <f>Input!C326</f>
        <v>9</v>
      </c>
      <c r="E428" s="3">
        <f>Classification!G428</f>
        <v>0</v>
      </c>
      <c r="F428" s="3">
        <f>ROUND((VLOOKUP($D428,'Alloc Table Comm'!$B$7:$T$56,13,FALSE)*$E428),0)</f>
        <v>0</v>
      </c>
      <c r="G428" s="3">
        <f>ROUND((VLOOKUP($D428,'Alloc Table Comm'!$B$7:$T$56,14,FALSE)*$E428),0)</f>
        <v>0</v>
      </c>
      <c r="H428" s="3">
        <f>ROUND((VLOOKUP($D428,'Alloc Table Comm'!$B$7:$T$56,15,FALSE)*$E428),0)</f>
        <v>0</v>
      </c>
      <c r="I428" s="3">
        <f>ROUND((VLOOKUP($D428,'Alloc Table Comm'!$B$7:$T$56,16,FALSE)*$E428),0)</f>
        <v>0</v>
      </c>
      <c r="J428" s="3">
        <f>ROUND((VLOOKUP($D428,'Alloc Table Comm'!$B$7:$T$56,17,FALSE)*$E428),0)</f>
        <v>0</v>
      </c>
      <c r="K428" s="3">
        <f>ROUND((VLOOKUP($D428,'Alloc Table Comm'!$B$7:$T$56,18,FALSE)*$E428),0)</f>
        <v>0</v>
      </c>
      <c r="L428" s="3">
        <f>ROUND((VLOOKUP($D428,'Alloc Table Comm'!$B$7:$T$56,19,FALSE)*$E428),0)</f>
        <v>0</v>
      </c>
    </row>
    <row r="429" spans="1:12" ht="11.25" x14ac:dyDescent="0.2">
      <c r="A429" s="3">
        <f>A428+1</f>
        <v>19</v>
      </c>
      <c r="B429" s="24" t="str">
        <f>Input!A327</f>
        <v>807</v>
      </c>
      <c r="C429" s="3" t="str">
        <f>Input!B327</f>
        <v xml:space="preserve">OTHER PURCHASED GAS - M &amp; E </v>
      </c>
      <c r="D429" s="325">
        <f>Input!C327</f>
        <v>9</v>
      </c>
      <c r="E429" s="3">
        <f>Classification!G429</f>
        <v>341557</v>
      </c>
      <c r="F429" s="3">
        <f>ROUND((VLOOKUP($D429,'Alloc Table Comm'!$B$7:$T$56,13,FALSE)*$E429),0)</f>
        <v>219590</v>
      </c>
      <c r="G429" s="3">
        <f>ROUND((VLOOKUP($D429,'Alloc Table Comm'!$B$7:$T$56,14,FALSE)*$E429),0)</f>
        <v>121570</v>
      </c>
      <c r="H429" s="3">
        <f>ROUND((VLOOKUP($D429,'Alloc Table Comm'!$B$7:$T$56,15,FALSE)*$E429),0)</f>
        <v>396</v>
      </c>
      <c r="I429" s="3">
        <f>ROUND((VLOOKUP($D429,'Alloc Table Comm'!$B$7:$T$56,16,FALSE)*$E429),0)</f>
        <v>0</v>
      </c>
      <c r="J429" s="3">
        <f>ROUND((VLOOKUP($D429,'Alloc Table Comm'!$B$7:$T$56,17,FALSE)*$E429),0)</f>
        <v>0</v>
      </c>
      <c r="K429" s="3">
        <f>ROUND((VLOOKUP($D429,'Alloc Table Comm'!$B$7:$T$56,18,FALSE)*$E429),0)</f>
        <v>0</v>
      </c>
      <c r="L429" s="3">
        <f>ROUND((VLOOKUP($D429,'Alloc Table Comm'!$B$7:$T$56,19,FALSE)*$E429),0)</f>
        <v>0</v>
      </c>
    </row>
    <row r="430" spans="1:12" ht="11.25" x14ac:dyDescent="0.2">
      <c r="A430" s="3">
        <f>A429+1</f>
        <v>20</v>
      </c>
      <c r="B430" s="3" t="str">
        <f>Input!A328</f>
        <v>812</v>
      </c>
      <c r="C430" s="3" t="str">
        <f>Input!B328</f>
        <v>GAS USED IN OPERATIONS</v>
      </c>
      <c r="D430" s="325">
        <f>Input!C328</f>
        <v>9</v>
      </c>
      <c r="E430" s="26">
        <f>Classification!G430</f>
        <v>0</v>
      </c>
      <c r="F430" s="26">
        <f>ROUND((VLOOKUP($D430,'Alloc Table Comm'!$B$7:$T$56,13,FALSE)*$E430),0)</f>
        <v>0</v>
      </c>
      <c r="G430" s="26">
        <f>ROUND((VLOOKUP($D430,'Alloc Table Comm'!$B$7:$T$56,14,FALSE)*$E430),0)</f>
        <v>0</v>
      </c>
      <c r="H430" s="26">
        <f>ROUND((VLOOKUP($D430,'Alloc Table Comm'!$B$7:$T$56,15,FALSE)*$E430),0)</f>
        <v>0</v>
      </c>
      <c r="I430" s="26">
        <f>ROUND((VLOOKUP($D430,'Alloc Table Comm'!$B$7:$T$56,16,FALSE)*$E430),0)</f>
        <v>0</v>
      </c>
      <c r="J430" s="26">
        <f>ROUND((VLOOKUP($D430,'Alloc Table Comm'!$B$7:$T$56,17,FALSE)*$E430),0)</f>
        <v>0</v>
      </c>
      <c r="K430" s="26">
        <f>ROUND((VLOOKUP($D430,'Alloc Table Comm'!$B$7:$T$56,18,FALSE)*$E430),0)</f>
        <v>0</v>
      </c>
      <c r="L430" s="26">
        <f>ROUND((VLOOKUP($D430,'Alloc Table Comm'!$B$7:$T$56,19,FALSE)*$E430),0)</f>
        <v>0</v>
      </c>
    </row>
    <row r="431" spans="1:12" ht="11.25" x14ac:dyDescent="0.2">
      <c r="A431" s="3">
        <f>A430+1</f>
        <v>21</v>
      </c>
      <c r="B431" s="3"/>
      <c r="C431" s="3" t="s">
        <v>278</v>
      </c>
      <c r="D431" s="325"/>
      <c r="E431" s="26">
        <f t="shared" ref="E431:L431" si="55">SUM(E427:E430)</f>
        <v>21817507.109999996</v>
      </c>
      <c r="F431" s="26">
        <f t="shared" si="55"/>
        <v>14026684.589999998</v>
      </c>
      <c r="G431" s="26">
        <f t="shared" si="55"/>
        <v>7765416.9600000009</v>
      </c>
      <c r="H431" s="26">
        <f t="shared" si="55"/>
        <v>25404.560000000001</v>
      </c>
      <c r="I431" s="26">
        <f t="shared" si="55"/>
        <v>0</v>
      </c>
      <c r="J431" s="26">
        <f t="shared" si="55"/>
        <v>0</v>
      </c>
      <c r="K431" s="26">
        <f t="shared" si="55"/>
        <v>0</v>
      </c>
      <c r="L431" s="26">
        <f t="shared" si="55"/>
        <v>0</v>
      </c>
    </row>
    <row r="432" spans="1:12" ht="11.25" x14ac:dyDescent="0.2">
      <c r="A432" s="3"/>
      <c r="B432" s="3"/>
      <c r="C432" s="3"/>
      <c r="D432" s="325"/>
      <c r="E432" s="3"/>
      <c r="F432" s="3"/>
      <c r="G432" s="3"/>
      <c r="H432" s="3"/>
      <c r="I432" s="3"/>
      <c r="J432" s="3"/>
      <c r="K432" s="3"/>
      <c r="L432" s="3"/>
    </row>
    <row r="433" spans="1:12" ht="11.25" x14ac:dyDescent="0.2">
      <c r="A433" s="3">
        <f>A431+1</f>
        <v>22</v>
      </c>
      <c r="B433" s="3"/>
      <c r="C433" s="3" t="s">
        <v>279</v>
      </c>
      <c r="D433" s="325"/>
      <c r="E433" s="3">
        <f t="shared" ref="E433:L433" si="56">E422+E431</f>
        <v>21817507.109999996</v>
      </c>
      <c r="F433" s="3">
        <f t="shared" si="56"/>
        <v>14026684.589999998</v>
      </c>
      <c r="G433" s="3">
        <f t="shared" si="56"/>
        <v>7765416.9600000009</v>
      </c>
      <c r="H433" s="3">
        <f t="shared" si="56"/>
        <v>25404.560000000001</v>
      </c>
      <c r="I433" s="3">
        <f t="shared" si="56"/>
        <v>0</v>
      </c>
      <c r="J433" s="3">
        <f t="shared" si="56"/>
        <v>0</v>
      </c>
      <c r="K433" s="3">
        <f t="shared" si="56"/>
        <v>0</v>
      </c>
      <c r="L433" s="3">
        <f t="shared" si="56"/>
        <v>0</v>
      </c>
    </row>
    <row r="434" spans="1:12" ht="11.25" x14ac:dyDescent="0.2">
      <c r="A434" s="3" t="s">
        <v>818</v>
      </c>
      <c r="B434" s="3"/>
      <c r="C434" s="3"/>
      <c r="D434" s="325"/>
      <c r="E434" s="3"/>
      <c r="F434" s="325" t="str">
        <f>""&amp;+Input!$B$1</f>
        <v>COLUMBIA GAS OF KENTUCKY, INC.</v>
      </c>
      <c r="H434" s="3"/>
      <c r="I434" s="3"/>
      <c r="J434" s="3"/>
      <c r="K434" s="3"/>
      <c r="L434" s="32" t="str">
        <f>Input!$B$2</f>
        <v>ATTACHMENT CEN-2</v>
      </c>
    </row>
    <row r="435" spans="1:12" ht="11.25" x14ac:dyDescent="0.2">
      <c r="A435" s="3" t="str">
        <f>Input!$B$7</f>
        <v>DEMAND-COMMODITY</v>
      </c>
      <c r="B435" s="3"/>
      <c r="C435" s="3"/>
      <c r="D435" s="325"/>
      <c r="E435" s="3"/>
      <c r="F435" s="325" t="s">
        <v>568</v>
      </c>
      <c r="H435" s="3"/>
      <c r="I435" s="3"/>
      <c r="J435" s="3"/>
      <c r="K435" s="3"/>
      <c r="L435" s="32" t="str">
        <f>"PAGE 90 OF "&amp;FIXED(Input!$B$8,0,TRUE)</f>
        <v>PAGE 90 OF 129</v>
      </c>
    </row>
    <row r="436" spans="1:12" ht="11.25" x14ac:dyDescent="0.2">
      <c r="A436" s="17" t="str">
        <f>Input!$B$6</f>
        <v>FORECASTED TEST YEAR - ORIGINAL FILING</v>
      </c>
      <c r="B436" s="17"/>
      <c r="C436" s="17"/>
      <c r="D436" s="34"/>
      <c r="E436" s="18"/>
      <c r="F436" s="19" t="str">
        <f>"FOR THE TWELVE MONTHS ENDED "&amp;Input!$B$4</f>
        <v>FOR THE TWELVE MONTHS ENDED 12/31/2017</v>
      </c>
      <c r="G436" s="329"/>
      <c r="H436" s="17"/>
      <c r="I436" s="17"/>
      <c r="J436" s="17"/>
      <c r="K436" s="17"/>
      <c r="L436" s="183" t="str">
        <f>"WITNESS: "&amp;Input!$B$5</f>
        <v>WITNESS: C. NOTESTONE</v>
      </c>
    </row>
    <row r="437" spans="1:12" ht="11.25" x14ac:dyDescent="0.2">
      <c r="A437" s="325" t="s">
        <v>5</v>
      </c>
      <c r="B437" s="3" t="s">
        <v>6</v>
      </c>
      <c r="C437" s="3"/>
      <c r="D437" s="325" t="s">
        <v>7</v>
      </c>
      <c r="E437" s="325" t="s">
        <v>8</v>
      </c>
      <c r="F437" s="3"/>
      <c r="G437" s="3"/>
      <c r="H437" s="3"/>
      <c r="I437" s="3"/>
      <c r="J437" s="3"/>
      <c r="K437" s="3"/>
      <c r="L437" s="3"/>
    </row>
    <row r="438" spans="1:12" ht="11.25" x14ac:dyDescent="0.2">
      <c r="A438" s="341" t="s">
        <v>9</v>
      </c>
      <c r="B438" s="341" t="s">
        <v>9</v>
      </c>
      <c r="C438" s="34" t="str">
        <f>Commodity!C128</f>
        <v xml:space="preserve"> ACCOUNT TITLE</v>
      </c>
      <c r="D438" s="341" t="s">
        <v>10</v>
      </c>
      <c r="E438" s="341" t="s">
        <v>812</v>
      </c>
      <c r="F438" s="341" t="str">
        <f>"  "&amp;+Input!$C$12</f>
        <v xml:space="preserve">  GS-RESIDENTIAL</v>
      </c>
      <c r="G438" s="341" t="str">
        <f>Input!$C$13</f>
        <v>GS-OTHER</v>
      </c>
      <c r="H438" s="341" t="str">
        <f>Input!$C$14</f>
        <v>IUS</v>
      </c>
      <c r="I438" s="341" t="str">
        <f>Input!$C$15</f>
        <v>DS-ML</v>
      </c>
      <c r="J438" s="341" t="str">
        <f>Input!$C$16</f>
        <v>DS/IS</v>
      </c>
      <c r="K438" s="341" t="str">
        <f>Input!$C$17</f>
        <v>NOT USED</v>
      </c>
      <c r="L438" s="341" t="str">
        <f>Input!$C$18</f>
        <v>NOT USED</v>
      </c>
    </row>
    <row r="439" spans="1:12" ht="11.25" x14ac:dyDescent="0.2">
      <c r="A439" s="3"/>
      <c r="B439" s="342" t="s">
        <v>13</v>
      </c>
      <c r="C439" s="342" t="s">
        <v>14</v>
      </c>
      <c r="D439" s="325" t="s">
        <v>15</v>
      </c>
      <c r="E439" s="325" t="s">
        <v>16</v>
      </c>
      <c r="F439" s="325" t="s">
        <v>17</v>
      </c>
      <c r="G439" s="325" t="s">
        <v>18</v>
      </c>
      <c r="H439" s="325" t="s">
        <v>19</v>
      </c>
      <c r="I439" s="3"/>
      <c r="J439" s="325" t="s">
        <v>21</v>
      </c>
      <c r="K439" s="325" t="s">
        <v>22</v>
      </c>
      <c r="L439" s="325" t="s">
        <v>23</v>
      </c>
    </row>
    <row r="440" spans="1:12" ht="11.25" x14ac:dyDescent="0.2">
      <c r="A440" s="3"/>
      <c r="B440" s="3"/>
      <c r="C440" s="3"/>
      <c r="D440" s="325"/>
      <c r="E440" s="325" t="s">
        <v>26</v>
      </c>
      <c r="F440" s="325" t="s">
        <v>26</v>
      </c>
      <c r="G440" s="325" t="s">
        <v>26</v>
      </c>
      <c r="H440" s="325" t="s">
        <v>26</v>
      </c>
      <c r="I440" s="325" t="s">
        <v>26</v>
      </c>
      <c r="J440" s="325" t="s">
        <v>26</v>
      </c>
      <c r="K440" s="325" t="s">
        <v>26</v>
      </c>
      <c r="L440" s="325" t="s">
        <v>26</v>
      </c>
    </row>
    <row r="441" spans="1:12" ht="11.25" x14ac:dyDescent="0.2">
      <c r="A441" s="3">
        <v>1</v>
      </c>
      <c r="B441" s="3"/>
      <c r="C441" s="3" t="str">
        <f>Input!A338</f>
        <v>DISTRIBUTION EXPENSES</v>
      </c>
      <c r="D441" s="325"/>
      <c r="E441" s="3"/>
      <c r="F441" s="3"/>
      <c r="G441" s="3"/>
      <c r="H441" s="3"/>
      <c r="I441" s="3"/>
      <c r="J441" s="3"/>
      <c r="K441" s="3"/>
      <c r="L441" s="3"/>
    </row>
    <row r="442" spans="1:12" ht="11.25" x14ac:dyDescent="0.2">
      <c r="A442" s="3"/>
      <c r="B442" s="3"/>
      <c r="C442" s="3"/>
      <c r="D442" s="325"/>
      <c r="E442" s="3"/>
      <c r="F442" s="3"/>
      <c r="G442" s="3"/>
      <c r="H442" s="3"/>
      <c r="I442" s="3"/>
      <c r="J442" s="3"/>
      <c r="K442" s="3"/>
      <c r="L442" s="3"/>
    </row>
    <row r="443" spans="1:12" ht="11.25" x14ac:dyDescent="0.2">
      <c r="A443" s="3">
        <f>A441+1</f>
        <v>2</v>
      </c>
      <c r="B443" s="3" t="str">
        <f>Input!A341</f>
        <v>870</v>
      </c>
      <c r="C443" s="3" t="str">
        <f>Input!B341</f>
        <v>SUPERVISION &amp; ENGINEERING</v>
      </c>
      <c r="D443" s="325" t="str">
        <f>VLOOKUP(Input!C341,'Alloc Table Comm'!$A$7:$B$27,2,FALSE)</f>
        <v>10COMM</v>
      </c>
      <c r="E443" s="3">
        <f>Classification!G443</f>
        <v>18980</v>
      </c>
      <c r="F443" s="3">
        <f ca="1">ROUND((VLOOKUP($D443,'Alloc Table Comm'!$B$7:$T$56,13,FALSE)*$E443),0)</f>
        <v>7340</v>
      </c>
      <c r="G443" s="3">
        <f ca="1">ROUND((VLOOKUP($D443,'Alloc Table Comm'!$B$7:$T$56,14,FALSE)*$E443),0)</f>
        <v>4986</v>
      </c>
      <c r="H443" s="3">
        <f ca="1">ROUND((VLOOKUP($D443,'Alloc Table Comm'!$B$7:$T$56,15,FALSE)*$E443),0)</f>
        <v>11</v>
      </c>
      <c r="I443" s="3">
        <f ca="1">ROUND((VLOOKUP($D443,'Alloc Table Comm'!$B$7:$T$56,16,FALSE)*$E443),0)</f>
        <v>1</v>
      </c>
      <c r="J443" s="3">
        <f ca="1">ROUND((VLOOKUP($D443,'Alloc Table Comm'!$B$7:$T$56,17,FALSE)*$E443),0)</f>
        <v>6642</v>
      </c>
      <c r="K443" s="3">
        <f ca="1">ROUND((VLOOKUP($D443,'Alloc Table Comm'!$B$7:$T$56,18,FALSE)*$E443),0)</f>
        <v>0</v>
      </c>
      <c r="L443" s="3">
        <f ca="1">ROUND((VLOOKUP($D443,'Alloc Table Comm'!$B$7:$T$56,19,FALSE)*$E443),0)</f>
        <v>0</v>
      </c>
    </row>
    <row r="444" spans="1:12" ht="11.25" x14ac:dyDescent="0.2">
      <c r="A444" s="1">
        <f t="shared" ref="A444:A452" si="57">A443+1</f>
        <v>3</v>
      </c>
      <c r="B444" s="1" t="str">
        <f>Input!A342</f>
        <v>871</v>
      </c>
      <c r="C444" s="1" t="str">
        <f>Input!B342</f>
        <v>DISTRIBUTION LOAD DISPATCH</v>
      </c>
      <c r="D444" s="118">
        <f>Input!C342</f>
        <v>4</v>
      </c>
      <c r="E444" s="3">
        <f>Classification!G444</f>
        <v>66644</v>
      </c>
      <c r="F444" s="3">
        <f>ROUND((VLOOKUP($D444,'Alloc Table Comm'!$B$7:$T$56,13,FALSE)*$E444),0)</f>
        <v>22273</v>
      </c>
      <c r="G444" s="3">
        <f>ROUND((VLOOKUP($D444,'Alloc Table Comm'!$B$7:$T$56,14,FALSE)*$E444),0)</f>
        <v>16093</v>
      </c>
      <c r="H444" s="3">
        <f>ROUND((VLOOKUP($D444,'Alloc Table Comm'!$B$7:$T$56,15,FALSE)*$E444),0)</f>
        <v>32</v>
      </c>
      <c r="I444" s="3">
        <f>ROUND((VLOOKUP($D444,'Alloc Table Comm'!$B$7:$T$56,16,FALSE)*$E444),0)</f>
        <v>0</v>
      </c>
      <c r="J444" s="3">
        <f>ROUND((VLOOKUP($D444,'Alloc Table Comm'!$B$7:$T$56,17,FALSE)*$E444),0)</f>
        <v>28246</v>
      </c>
      <c r="K444" s="3">
        <f>ROUND((VLOOKUP($D444,'Alloc Table Comm'!$B$7:$T$56,18,FALSE)*$E444),0)</f>
        <v>0</v>
      </c>
      <c r="L444" s="3">
        <f>ROUND((VLOOKUP($D444,'Alloc Table Comm'!$B$7:$T$56,19,FALSE)*$E444),0)</f>
        <v>0</v>
      </c>
    </row>
    <row r="445" spans="1:12" ht="11.25" x14ac:dyDescent="0.2">
      <c r="A445" s="1">
        <f t="shared" si="57"/>
        <v>4</v>
      </c>
      <c r="B445" s="1" t="str">
        <f>Input!A343</f>
        <v>874</v>
      </c>
      <c r="C445" s="1" t="str">
        <f>Input!B343</f>
        <v>MAINS &amp; SERVICES</v>
      </c>
      <c r="D445" s="325" t="str">
        <f>VLOOKUP(Input!C343,'Alloc Table Comm'!$A$7:$B$27,2,FALSE)</f>
        <v>14COMM</v>
      </c>
      <c r="E445" s="3">
        <f>Classification!G445</f>
        <v>547773</v>
      </c>
      <c r="F445" s="3">
        <f ca="1">ROUND((VLOOKUP($D445,'Alloc Table Comm'!$B$7:$T$56,13,FALSE)*$E445),0)</f>
        <v>213533</v>
      </c>
      <c r="G445" s="3">
        <f ca="1">ROUND((VLOOKUP($D445,'Alloc Table Comm'!$B$7:$T$56,14,FALSE)*$E445),0)</f>
        <v>144601</v>
      </c>
      <c r="H445" s="3">
        <f ca="1">ROUND((VLOOKUP($D445,'Alloc Table Comm'!$B$7:$T$56,15,FALSE)*$E445),0)</f>
        <v>312</v>
      </c>
      <c r="I445" s="3">
        <f ca="1">ROUND((VLOOKUP($D445,'Alloc Table Comm'!$B$7:$T$56,16,FALSE)*$E445),0)</f>
        <v>27</v>
      </c>
      <c r="J445" s="3">
        <f ca="1">ROUND((VLOOKUP($D445,'Alloc Table Comm'!$B$7:$T$56,17,FALSE)*$E445),0)</f>
        <v>189299</v>
      </c>
      <c r="K445" s="3">
        <f ca="1">ROUND((VLOOKUP($D445,'Alloc Table Comm'!$B$7:$T$56,18,FALSE)*$E445),0)</f>
        <v>0</v>
      </c>
      <c r="L445" s="3">
        <f ca="1">ROUND((VLOOKUP($D445,'Alloc Table Comm'!$B$7:$T$56,19,FALSE)*$E445),0)</f>
        <v>0</v>
      </c>
    </row>
    <row r="446" spans="1:12" ht="11.25" x14ac:dyDescent="0.2">
      <c r="A446" s="1">
        <f t="shared" si="57"/>
        <v>5</v>
      </c>
      <c r="B446" s="1" t="str">
        <f>Input!A344</f>
        <v>875</v>
      </c>
      <c r="C446" s="1" t="str">
        <f>Input!B344</f>
        <v>M &amp; R - GENERAL</v>
      </c>
      <c r="D446" s="325" t="str">
        <f>VLOOKUP(Input!C344,'Alloc Table Comm'!$A$7:$B$27,2,FALSE)</f>
        <v>18COMM</v>
      </c>
      <c r="E446" s="3">
        <f>Classification!G446</f>
        <v>41174</v>
      </c>
      <c r="F446" s="3">
        <f>ROUND((VLOOKUP($D446,'Alloc Table Comm'!$B$7:$T$56,13,FALSE)*$E446),0)</f>
        <v>16050</v>
      </c>
      <c r="G446" s="3">
        <f>ROUND((VLOOKUP($D446,'Alloc Table Comm'!$B$7:$T$56,14,FALSE)*$E446),0)</f>
        <v>10869</v>
      </c>
      <c r="H446" s="3">
        <f>ROUND((VLOOKUP($D446,'Alloc Table Comm'!$B$7:$T$56,15,FALSE)*$E446),0)</f>
        <v>23</v>
      </c>
      <c r="I446" s="3">
        <f>ROUND((VLOOKUP($D446,'Alloc Table Comm'!$B$7:$T$56,16,FALSE)*$E446),0)</f>
        <v>2</v>
      </c>
      <c r="J446" s="3">
        <f>ROUND((VLOOKUP($D446,'Alloc Table Comm'!$B$7:$T$56,17,FALSE)*$E446),0)</f>
        <v>14229</v>
      </c>
      <c r="K446" s="3">
        <f>ROUND((VLOOKUP($D446,'Alloc Table Comm'!$B$7:$T$56,18,FALSE)*$E446),0)</f>
        <v>0</v>
      </c>
      <c r="L446" s="3">
        <f>ROUND((VLOOKUP($D446,'Alloc Table Comm'!$B$7:$T$56,19,FALSE)*$E446),0)</f>
        <v>0</v>
      </c>
    </row>
    <row r="447" spans="1:12" ht="11.25" x14ac:dyDescent="0.2">
      <c r="A447" s="1">
        <f t="shared" si="57"/>
        <v>6</v>
      </c>
      <c r="B447" s="1" t="str">
        <f>Input!A345</f>
        <v>876</v>
      </c>
      <c r="C447" s="1" t="str">
        <f>Input!B345</f>
        <v>M &amp; R - INDUSTRIAL</v>
      </c>
      <c r="D447" s="118">
        <f>Input!C345</f>
        <v>8</v>
      </c>
      <c r="E447" s="3">
        <f>Classification!G447</f>
        <v>0</v>
      </c>
      <c r="F447" s="3">
        <f>ROUND((VLOOKUP($D447,'Alloc Table Comm'!$B$7:$T$56,13,FALSE)*$E447),0)</f>
        <v>0</v>
      </c>
      <c r="G447" s="3">
        <f>ROUND((VLOOKUP($D447,'Alloc Table Comm'!$B$7:$T$56,14,FALSE)*$E447),0)</f>
        <v>0</v>
      </c>
      <c r="H447" s="3">
        <f>ROUND((VLOOKUP($D447,'Alloc Table Comm'!$B$7:$T$56,15,FALSE)*$E447),0)</f>
        <v>0</v>
      </c>
      <c r="I447" s="3">
        <f>ROUND((VLOOKUP($D447,'Alloc Table Comm'!$B$7:$T$56,16,FALSE)*$E447),0)</f>
        <v>0</v>
      </c>
      <c r="J447" s="3">
        <f>ROUND((VLOOKUP($D447,'Alloc Table Comm'!$B$7:$T$56,17,FALSE)*$E447),0)</f>
        <v>0</v>
      </c>
      <c r="K447" s="3">
        <f>ROUND((VLOOKUP($D447,'Alloc Table Comm'!$B$7:$T$56,18,FALSE)*$E447),0)</f>
        <v>0</v>
      </c>
      <c r="L447" s="3">
        <f>ROUND((VLOOKUP($D447,'Alloc Table Comm'!$B$7:$T$56,19,FALSE)*$E447),0)</f>
        <v>0</v>
      </c>
    </row>
    <row r="448" spans="1:12" ht="11.25" x14ac:dyDescent="0.2">
      <c r="A448" s="1">
        <f t="shared" si="57"/>
        <v>7</v>
      </c>
      <c r="B448" s="1" t="str">
        <f>Input!A346</f>
        <v>878</v>
      </c>
      <c r="C448" s="1" t="str">
        <f>Input!B346</f>
        <v>METERS &amp; HOUSE REGULATORS</v>
      </c>
      <c r="D448" s="118">
        <f>Input!C346</f>
        <v>16</v>
      </c>
      <c r="E448" s="3">
        <f>Classification!G448</f>
        <v>0</v>
      </c>
      <c r="F448" s="3">
        <f>ROUND((VLOOKUP($D448,'Alloc Table Comm'!$B$7:$T$56,13,FALSE)*$E448),0)</f>
        <v>0</v>
      </c>
      <c r="G448" s="3">
        <f>ROUND((VLOOKUP($D448,'Alloc Table Comm'!$B$7:$T$56,14,FALSE)*$E448),0)</f>
        <v>0</v>
      </c>
      <c r="H448" s="3">
        <f>ROUND((VLOOKUP($D448,'Alloc Table Comm'!$B$7:$T$56,15,FALSE)*$E448),0)</f>
        <v>0</v>
      </c>
      <c r="I448" s="3">
        <f>ROUND((VLOOKUP($D448,'Alloc Table Comm'!$B$7:$T$56,16,FALSE)*$E448),0)</f>
        <v>0</v>
      </c>
      <c r="J448" s="3">
        <f>ROUND((VLOOKUP($D448,'Alloc Table Comm'!$B$7:$T$56,17,FALSE)*$E448),0)</f>
        <v>0</v>
      </c>
      <c r="K448" s="3">
        <f>ROUND((VLOOKUP($D448,'Alloc Table Comm'!$B$7:$T$56,18,FALSE)*$E448),0)</f>
        <v>0</v>
      </c>
      <c r="L448" s="3">
        <f>ROUND((VLOOKUP($D448,'Alloc Table Comm'!$B$7:$T$56,19,FALSE)*$E448),0)</f>
        <v>0</v>
      </c>
    </row>
    <row r="449" spans="1:12" ht="11.25" x14ac:dyDescent="0.2">
      <c r="A449" s="1">
        <f t="shared" si="57"/>
        <v>8</v>
      </c>
      <c r="B449" s="1" t="str">
        <f>Input!A347</f>
        <v>879</v>
      </c>
      <c r="C449" s="1" t="str">
        <f>Input!B347</f>
        <v xml:space="preserve">CUSTOMER INSTALLATION </v>
      </c>
      <c r="D449" s="118">
        <f>Input!C347</f>
        <v>16</v>
      </c>
      <c r="E449" s="3">
        <f>Classification!G449</f>
        <v>0</v>
      </c>
      <c r="F449" s="3">
        <f>ROUND((VLOOKUP($D449,'Alloc Table Comm'!$B$7:$T$56,13,FALSE)*$E449),0)</f>
        <v>0</v>
      </c>
      <c r="G449" s="3">
        <f>ROUND((VLOOKUP($D449,'Alloc Table Comm'!$B$7:$T$56,14,FALSE)*$E449),0)</f>
        <v>0</v>
      </c>
      <c r="H449" s="3">
        <f>ROUND((VLOOKUP($D449,'Alloc Table Comm'!$B$7:$T$56,15,FALSE)*$E449),0)</f>
        <v>0</v>
      </c>
      <c r="I449" s="3">
        <f>ROUND((VLOOKUP($D449,'Alloc Table Comm'!$B$7:$T$56,16,FALSE)*$E449),0)</f>
        <v>0</v>
      </c>
      <c r="J449" s="3">
        <f>ROUND((VLOOKUP($D449,'Alloc Table Comm'!$B$7:$T$56,17,FALSE)*$E449),0)</f>
        <v>0</v>
      </c>
      <c r="K449" s="3">
        <f>ROUND((VLOOKUP($D449,'Alloc Table Comm'!$B$7:$T$56,18,FALSE)*$E449),0)</f>
        <v>0</v>
      </c>
      <c r="L449" s="3">
        <f>ROUND((VLOOKUP($D449,'Alloc Table Comm'!$B$7:$T$56,19,FALSE)*$E449),0)</f>
        <v>0</v>
      </c>
    </row>
    <row r="450" spans="1:12" ht="11.25" x14ac:dyDescent="0.2">
      <c r="A450" s="1">
        <f t="shared" si="57"/>
        <v>9</v>
      </c>
      <c r="B450" s="1" t="str">
        <f>Input!A348</f>
        <v>880</v>
      </c>
      <c r="C450" s="1" t="str">
        <f>Input!B348</f>
        <v>OTHER</v>
      </c>
      <c r="D450" s="325" t="str">
        <f>VLOOKUP(Input!C348,'Alloc Table Comm'!$A$7:$B$27,2,FALSE)</f>
        <v>10COMM</v>
      </c>
      <c r="E450" s="3">
        <f>Classification!G450</f>
        <v>106716</v>
      </c>
      <c r="F450" s="3">
        <f ca="1">ROUND((VLOOKUP($D450,'Alloc Table Comm'!$B$7:$T$56,13,FALSE)*$E450),0)</f>
        <v>41267</v>
      </c>
      <c r="G450" s="3">
        <f ca="1">ROUND((VLOOKUP($D450,'Alloc Table Comm'!$B$7:$T$56,14,FALSE)*$E450),0)</f>
        <v>28036</v>
      </c>
      <c r="H450" s="3">
        <f ca="1">ROUND((VLOOKUP($D450,'Alloc Table Comm'!$B$7:$T$56,15,FALSE)*$E450),0)</f>
        <v>60</v>
      </c>
      <c r="I450" s="3">
        <f ca="1">ROUND((VLOOKUP($D450,'Alloc Table Comm'!$B$7:$T$56,16,FALSE)*$E450),0)</f>
        <v>5</v>
      </c>
      <c r="J450" s="3">
        <f ca="1">ROUND((VLOOKUP($D450,'Alloc Table Comm'!$B$7:$T$56,17,FALSE)*$E450),0)</f>
        <v>37347</v>
      </c>
      <c r="K450" s="3">
        <f ca="1">ROUND((VLOOKUP($D450,'Alloc Table Comm'!$B$7:$T$56,18,FALSE)*$E450),0)</f>
        <v>0</v>
      </c>
      <c r="L450" s="3">
        <f ca="1">ROUND((VLOOKUP($D450,'Alloc Table Comm'!$B$7:$T$56,19,FALSE)*$E450),0)</f>
        <v>0</v>
      </c>
    </row>
    <row r="451" spans="1:12" ht="11.25" x14ac:dyDescent="0.2">
      <c r="A451" s="1">
        <f t="shared" si="57"/>
        <v>10</v>
      </c>
      <c r="B451" s="1" t="str">
        <f>Input!A349</f>
        <v>881</v>
      </c>
      <c r="C451" s="1" t="str">
        <f>Input!B349</f>
        <v>RENTS</v>
      </c>
      <c r="D451" s="325" t="str">
        <f>VLOOKUP(Input!C349,'Alloc Table Comm'!$A$7:$B$27,2,FALSE)</f>
        <v>10COMM</v>
      </c>
      <c r="E451" s="26">
        <f>Classification!G451</f>
        <v>0</v>
      </c>
      <c r="F451" s="26">
        <f ca="1">ROUND((VLOOKUP($D451,'Alloc Table Comm'!$B$7:$T$56,13,FALSE)*$E451),0)</f>
        <v>0</v>
      </c>
      <c r="G451" s="26">
        <f ca="1">ROUND((VLOOKUP($D451,'Alloc Table Comm'!$B$7:$T$56,14,FALSE)*$E451),0)</f>
        <v>0</v>
      </c>
      <c r="H451" s="26">
        <f ca="1">ROUND((VLOOKUP($D451,'Alloc Table Comm'!$B$7:$T$56,15,FALSE)*$E451),0)</f>
        <v>0</v>
      </c>
      <c r="I451" s="26">
        <f ca="1">ROUND((VLOOKUP($D451,'Alloc Table Comm'!$B$7:$T$56,16,FALSE)*$E451),0)</f>
        <v>0</v>
      </c>
      <c r="J451" s="26">
        <f ca="1">ROUND((VLOOKUP($D451,'Alloc Table Comm'!$B$7:$T$56,17,FALSE)*$E451),0)</f>
        <v>0</v>
      </c>
      <c r="K451" s="26">
        <f ca="1">ROUND((VLOOKUP($D451,'Alloc Table Comm'!$B$7:$T$56,18,FALSE)*$E451),0)</f>
        <v>0</v>
      </c>
      <c r="L451" s="26">
        <f ca="1">ROUND((VLOOKUP($D451,'Alloc Table Comm'!$B$7:$T$56,19,FALSE)*$E451),0)</f>
        <v>0</v>
      </c>
    </row>
    <row r="452" spans="1:12" ht="11.25" x14ac:dyDescent="0.2">
      <c r="A452" s="1">
        <f t="shared" si="57"/>
        <v>11</v>
      </c>
      <c r="B452" s="1"/>
      <c r="C452" s="1" t="s">
        <v>271</v>
      </c>
      <c r="D452" s="118"/>
      <c r="E452" s="1">
        <f t="shared" ref="E452:L452" si="58">SUM(E443:E451)</f>
        <v>781287</v>
      </c>
      <c r="F452" s="3">
        <f t="shared" ca="1" si="58"/>
        <v>300463</v>
      </c>
      <c r="G452" s="3">
        <f t="shared" ca="1" si="58"/>
        <v>204585</v>
      </c>
      <c r="H452" s="3">
        <f t="shared" ca="1" si="58"/>
        <v>438</v>
      </c>
      <c r="I452" s="3">
        <f t="shared" ca="1" si="58"/>
        <v>35</v>
      </c>
      <c r="J452" s="3">
        <f t="shared" ca="1" si="58"/>
        <v>275763</v>
      </c>
      <c r="K452" s="3">
        <f t="shared" ca="1" si="58"/>
        <v>0</v>
      </c>
      <c r="L452" s="3">
        <f t="shared" ca="1" si="58"/>
        <v>0</v>
      </c>
    </row>
    <row r="453" spans="1:12" ht="11.25" x14ac:dyDescent="0.2">
      <c r="A453" s="1"/>
      <c r="B453" s="1"/>
      <c r="C453" s="1"/>
      <c r="D453" s="118"/>
      <c r="E453" s="1"/>
      <c r="F453" s="3"/>
      <c r="G453" s="3"/>
      <c r="H453" s="3"/>
      <c r="I453" s="3"/>
      <c r="J453" s="3"/>
      <c r="K453" s="3"/>
      <c r="L453" s="3"/>
    </row>
    <row r="454" spans="1:12" ht="11.25" x14ac:dyDescent="0.2">
      <c r="A454" s="1">
        <f>A452+1</f>
        <v>12</v>
      </c>
      <c r="B454" s="1"/>
      <c r="C454" s="1" t="str">
        <f>Input!A350</f>
        <v>MAINTENANCE</v>
      </c>
      <c r="D454" s="118"/>
      <c r="E454" s="1"/>
      <c r="F454" s="3"/>
      <c r="G454" s="3"/>
      <c r="H454" s="3"/>
      <c r="I454" s="3"/>
      <c r="J454" s="3"/>
      <c r="K454" s="3"/>
      <c r="L454" s="3"/>
    </row>
    <row r="455" spans="1:12" ht="11.25" x14ac:dyDescent="0.2">
      <c r="A455" s="1"/>
      <c r="B455" s="1"/>
      <c r="C455" s="1"/>
      <c r="D455" s="118"/>
      <c r="E455" s="1"/>
      <c r="F455" s="3"/>
      <c r="G455" s="3"/>
      <c r="H455" s="3"/>
      <c r="I455" s="3"/>
      <c r="J455" s="3"/>
      <c r="K455" s="3"/>
      <c r="L455" s="3"/>
    </row>
    <row r="456" spans="1:12" ht="11.25" x14ac:dyDescent="0.2">
      <c r="A456" s="1">
        <f>A454+1</f>
        <v>13</v>
      </c>
      <c r="B456" s="1" t="str">
        <f>Input!A351</f>
        <v>885</v>
      </c>
      <c r="C456" s="1" t="str">
        <f>Input!B351</f>
        <v>SUPERVISION &amp; ENGINEERING</v>
      </c>
      <c r="D456" s="325" t="str">
        <f>VLOOKUP(Input!C351,'Alloc Table Comm'!$A$7:$B$27,2,FALSE)</f>
        <v>10COMM</v>
      </c>
      <c r="E456" s="3">
        <f>Classification!G456</f>
        <v>1684</v>
      </c>
      <c r="F456" s="3">
        <f ca="1">ROUND((VLOOKUP($D456,'Alloc Table Comm'!$B$7:$T$56,13,FALSE)*$E456),0)</f>
        <v>651</v>
      </c>
      <c r="G456" s="3">
        <f ca="1">ROUND((VLOOKUP($D456,'Alloc Table Comm'!$B$7:$T$56,14,FALSE)*$E456),0)</f>
        <v>442</v>
      </c>
      <c r="H456" s="3">
        <f ca="1">ROUND((VLOOKUP($D456,'Alloc Table Comm'!$B$7:$T$56,15,FALSE)*$E456),0)</f>
        <v>1</v>
      </c>
      <c r="I456" s="3">
        <f ca="1">ROUND((VLOOKUP($D456,'Alloc Table Comm'!$B$7:$T$56,16,FALSE)*$E456),0)</f>
        <v>0</v>
      </c>
      <c r="J456" s="3">
        <f ca="1">ROUND((VLOOKUP($D456,'Alloc Table Comm'!$B$7:$T$56,17,FALSE)*$E456),0)</f>
        <v>589</v>
      </c>
      <c r="K456" s="3">
        <f ca="1">ROUND((VLOOKUP($D456,'Alloc Table Comm'!$B$7:$T$56,18,FALSE)*$E456),0)</f>
        <v>0</v>
      </c>
      <c r="L456" s="3">
        <f ca="1">ROUND((VLOOKUP($D456,'Alloc Table Comm'!$B$7:$T$56,19,FALSE)*$E456),0)</f>
        <v>0</v>
      </c>
    </row>
    <row r="457" spans="1:12" ht="11.25" x14ac:dyDescent="0.2">
      <c r="A457" s="1">
        <f t="shared" ref="A457:A464" si="59">A456+1</f>
        <v>14</v>
      </c>
      <c r="B457" s="1" t="str">
        <f>Input!A352</f>
        <v>886</v>
      </c>
      <c r="C457" s="1" t="str">
        <f>Input!B352</f>
        <v>STRUCTURES &amp; IMPROVEMENTS</v>
      </c>
      <c r="D457" s="325" t="str">
        <f>VLOOKUP(Input!C352,'Alloc Table Comm'!$A$7:$B$27,2,FALSE)</f>
        <v>18COMM</v>
      </c>
      <c r="E457" s="3">
        <f>Classification!G457</f>
        <v>1255</v>
      </c>
      <c r="F457" s="3">
        <f>ROUND((VLOOKUP($D457,'Alloc Table Comm'!$B$7:$T$56,13,FALSE)*$E457),0)</f>
        <v>489</v>
      </c>
      <c r="G457" s="3">
        <f>ROUND((VLOOKUP($D457,'Alloc Table Comm'!$B$7:$T$56,14,FALSE)*$E457),0)</f>
        <v>331</v>
      </c>
      <c r="H457" s="3">
        <f>ROUND((VLOOKUP($D457,'Alloc Table Comm'!$B$7:$T$56,15,FALSE)*$E457),0)</f>
        <v>1</v>
      </c>
      <c r="I457" s="3">
        <f>ROUND((VLOOKUP($D457,'Alloc Table Comm'!$B$7:$T$56,16,FALSE)*$E457),0)</f>
        <v>0</v>
      </c>
      <c r="J457" s="3">
        <f>ROUND((VLOOKUP($D457,'Alloc Table Comm'!$B$7:$T$56,17,FALSE)*$E457),0)</f>
        <v>434</v>
      </c>
      <c r="K457" s="3">
        <f>ROUND((VLOOKUP($D457,'Alloc Table Comm'!$B$7:$T$56,18,FALSE)*$E457),0)</f>
        <v>0</v>
      </c>
      <c r="L457" s="3">
        <f>ROUND((VLOOKUP($D457,'Alloc Table Comm'!$B$7:$T$56,19,FALSE)*$E457),0)</f>
        <v>0</v>
      </c>
    </row>
    <row r="458" spans="1:12" ht="11.25" x14ac:dyDescent="0.2">
      <c r="A458" s="1">
        <f t="shared" si="59"/>
        <v>15</v>
      </c>
      <c r="B458" s="1" t="str">
        <f>Input!A353</f>
        <v>887</v>
      </c>
      <c r="C458" s="1" t="str">
        <f>Input!B353</f>
        <v>MAINS</v>
      </c>
      <c r="D458" s="325" t="str">
        <f>VLOOKUP(Input!C353,'Alloc Table Comm'!$A$7:$B$27,2,FALSE)</f>
        <v>18COMM</v>
      </c>
      <c r="E458" s="3">
        <f>Classification!G458</f>
        <v>463177</v>
      </c>
      <c r="F458" s="3">
        <f>ROUND((VLOOKUP($D458,'Alloc Table Comm'!$B$7:$T$56,13,FALSE)*$E458),0)</f>
        <v>180556</v>
      </c>
      <c r="G458" s="3">
        <f>ROUND((VLOOKUP($D458,'Alloc Table Comm'!$B$7:$T$56,14,FALSE)*$E458),0)</f>
        <v>122269</v>
      </c>
      <c r="H458" s="3">
        <f>ROUND((VLOOKUP($D458,'Alloc Table Comm'!$B$7:$T$56,15,FALSE)*$E458),0)</f>
        <v>264</v>
      </c>
      <c r="I458" s="3">
        <f>ROUND((VLOOKUP($D458,'Alloc Table Comm'!$B$7:$T$56,16,FALSE)*$E458),0)</f>
        <v>23</v>
      </c>
      <c r="J458" s="3">
        <f>ROUND((VLOOKUP($D458,'Alloc Table Comm'!$B$7:$T$56,17,FALSE)*$E458),0)</f>
        <v>160065</v>
      </c>
      <c r="K458" s="3">
        <f>ROUND((VLOOKUP($D458,'Alloc Table Comm'!$B$7:$T$56,18,FALSE)*$E458),0)</f>
        <v>0</v>
      </c>
      <c r="L458" s="3">
        <f>ROUND((VLOOKUP($D458,'Alloc Table Comm'!$B$7:$T$56,19,FALSE)*$E458),0)</f>
        <v>0</v>
      </c>
    </row>
    <row r="459" spans="1:12" ht="11.25" x14ac:dyDescent="0.2">
      <c r="A459" s="1">
        <f t="shared" si="59"/>
        <v>16</v>
      </c>
      <c r="B459" s="1" t="str">
        <f>Input!A354</f>
        <v>889</v>
      </c>
      <c r="C459" s="1" t="str">
        <f>Input!B354</f>
        <v>M &amp; R - GENERAL</v>
      </c>
      <c r="D459" s="325" t="str">
        <f>VLOOKUP(Input!C354,'Alloc Table Comm'!$A$7:$B$27,2,FALSE)</f>
        <v>18COMM</v>
      </c>
      <c r="E459" s="3">
        <f>Classification!G459</f>
        <v>69297</v>
      </c>
      <c r="F459" s="3">
        <f>ROUND((VLOOKUP($D459,'Alloc Table Comm'!$B$7:$T$56,13,FALSE)*$E459),0)</f>
        <v>27013</v>
      </c>
      <c r="G459" s="3">
        <f>ROUND((VLOOKUP($D459,'Alloc Table Comm'!$B$7:$T$56,14,FALSE)*$E459),0)</f>
        <v>18293</v>
      </c>
      <c r="H459" s="3">
        <f>ROUND((VLOOKUP($D459,'Alloc Table Comm'!$B$7:$T$56,15,FALSE)*$E459),0)</f>
        <v>39</v>
      </c>
      <c r="I459" s="3">
        <f>ROUND((VLOOKUP($D459,'Alloc Table Comm'!$B$7:$T$56,16,FALSE)*$E459),0)</f>
        <v>3</v>
      </c>
      <c r="J459" s="3">
        <f>ROUND((VLOOKUP($D459,'Alloc Table Comm'!$B$7:$T$56,17,FALSE)*$E459),0)</f>
        <v>23948</v>
      </c>
      <c r="K459" s="3">
        <f>ROUND((VLOOKUP($D459,'Alloc Table Comm'!$B$7:$T$56,18,FALSE)*$E459),0)</f>
        <v>0</v>
      </c>
      <c r="L459" s="3">
        <f>ROUND((VLOOKUP($D459,'Alloc Table Comm'!$B$7:$T$56,19,FALSE)*$E459),0)</f>
        <v>0</v>
      </c>
    </row>
    <row r="460" spans="1:12" ht="11.25" x14ac:dyDescent="0.2">
      <c r="A460" s="1">
        <f t="shared" si="59"/>
        <v>17</v>
      </c>
      <c r="B460" s="1" t="str">
        <f>Input!A355</f>
        <v>890</v>
      </c>
      <c r="C460" s="1" t="str">
        <f>Input!B355</f>
        <v>M &amp; R - INDUSTRIAL</v>
      </c>
      <c r="D460" s="118">
        <f>Input!C355</f>
        <v>8</v>
      </c>
      <c r="E460" s="3">
        <f>Classification!G460</f>
        <v>0</v>
      </c>
      <c r="F460" s="3">
        <f>ROUND((VLOOKUP($D460,'Alloc Table Comm'!$B$7:$T$56,13,FALSE)*$E460),0)</f>
        <v>0</v>
      </c>
      <c r="G460" s="3">
        <f>ROUND((VLOOKUP($D460,'Alloc Table Comm'!$B$7:$T$56,14,FALSE)*$E460),0)</f>
        <v>0</v>
      </c>
      <c r="H460" s="3">
        <f>ROUND((VLOOKUP($D460,'Alloc Table Comm'!$B$7:$T$56,15,FALSE)*$E460),0)</f>
        <v>0</v>
      </c>
      <c r="I460" s="3">
        <f>ROUND((VLOOKUP($D460,'Alloc Table Comm'!$B$7:$T$56,16,FALSE)*$E460),0)</f>
        <v>0</v>
      </c>
      <c r="J460" s="3">
        <f>ROUND((VLOOKUP($D460,'Alloc Table Comm'!$B$7:$T$56,17,FALSE)*$E460),0)</f>
        <v>0</v>
      </c>
      <c r="K460" s="3">
        <f>ROUND((VLOOKUP($D460,'Alloc Table Comm'!$B$7:$T$56,18,FALSE)*$E460),0)</f>
        <v>0</v>
      </c>
      <c r="L460" s="3">
        <f>ROUND((VLOOKUP($D460,'Alloc Table Comm'!$B$7:$T$56,19,FALSE)*$E460),0)</f>
        <v>0</v>
      </c>
    </row>
    <row r="461" spans="1:12" ht="11.25" x14ac:dyDescent="0.2">
      <c r="A461" s="1">
        <f t="shared" si="59"/>
        <v>18</v>
      </c>
      <c r="B461" s="1" t="str">
        <f>Input!A356</f>
        <v>892</v>
      </c>
      <c r="C461" s="1" t="str">
        <f>Input!B356</f>
        <v>SERVICES</v>
      </c>
      <c r="D461" s="118">
        <f>Input!C356</f>
        <v>15</v>
      </c>
      <c r="E461" s="3">
        <f>Classification!G461</f>
        <v>0</v>
      </c>
      <c r="F461" s="3">
        <f ca="1">ROUND((VLOOKUP($D461,'Alloc Table Comm'!$B$7:$T$56,13,FALSE)*$E461),0)</f>
        <v>0</v>
      </c>
      <c r="G461" s="3">
        <f ca="1">ROUND((VLOOKUP($D461,'Alloc Table Comm'!$B$7:$T$56,14,FALSE)*$E461),0)</f>
        <v>0</v>
      </c>
      <c r="H461" s="3">
        <f ca="1">ROUND((VLOOKUP($D461,'Alloc Table Comm'!$B$7:$T$56,15,FALSE)*$E461),0)</f>
        <v>0</v>
      </c>
      <c r="I461" s="3">
        <f ca="1">ROUND((VLOOKUP($D461,'Alloc Table Comm'!$B$7:$T$56,16,FALSE)*$E461),0)</f>
        <v>0</v>
      </c>
      <c r="J461" s="3">
        <f ca="1">ROUND((VLOOKUP($D461,'Alloc Table Comm'!$B$7:$T$56,17,FALSE)*$E461),0)</f>
        <v>0</v>
      </c>
      <c r="K461" s="3">
        <f ca="1">ROUND((VLOOKUP($D461,'Alloc Table Comm'!$B$7:$T$56,18,FALSE)*$E461),0)</f>
        <v>0</v>
      </c>
      <c r="L461" s="3">
        <f ca="1">ROUND((VLOOKUP($D461,'Alloc Table Comm'!$B$7:$T$56,19,FALSE)*$E461),0)</f>
        <v>0</v>
      </c>
    </row>
    <row r="462" spans="1:12" ht="11.25" x14ac:dyDescent="0.2">
      <c r="A462" s="1">
        <f t="shared" si="59"/>
        <v>19</v>
      </c>
      <c r="B462" s="1" t="str">
        <f>Input!A357</f>
        <v>893</v>
      </c>
      <c r="C462" s="1" t="str">
        <f>Input!B357</f>
        <v>METERS &amp; HOUSE REGULATORS</v>
      </c>
      <c r="D462" s="118">
        <f>Input!C357</f>
        <v>16</v>
      </c>
      <c r="E462" s="3">
        <f>Classification!G462</f>
        <v>0</v>
      </c>
      <c r="F462" s="3">
        <f>ROUND((VLOOKUP($D462,'Alloc Table Comm'!$B$7:$T$56,13,FALSE)*$E462),0)</f>
        <v>0</v>
      </c>
      <c r="G462" s="3">
        <f>ROUND((VLOOKUP($D462,'Alloc Table Comm'!$B$7:$T$56,14,FALSE)*$E462),0)</f>
        <v>0</v>
      </c>
      <c r="H462" s="3">
        <f>ROUND((VLOOKUP($D462,'Alloc Table Comm'!$B$7:$T$56,15,FALSE)*$E462),0)</f>
        <v>0</v>
      </c>
      <c r="I462" s="3">
        <f>ROUND((VLOOKUP($D462,'Alloc Table Comm'!$B$7:$T$56,16,FALSE)*$E462),0)</f>
        <v>0</v>
      </c>
      <c r="J462" s="3">
        <f>ROUND((VLOOKUP($D462,'Alloc Table Comm'!$B$7:$T$56,17,FALSE)*$E462),0)</f>
        <v>0</v>
      </c>
      <c r="K462" s="3">
        <f>ROUND((VLOOKUP($D462,'Alloc Table Comm'!$B$7:$T$56,18,FALSE)*$E462),0)</f>
        <v>0</v>
      </c>
      <c r="L462" s="3">
        <f>ROUND((VLOOKUP($D462,'Alloc Table Comm'!$B$7:$T$56,19,FALSE)*$E462),0)</f>
        <v>0</v>
      </c>
    </row>
    <row r="463" spans="1:12" ht="11.25" x14ac:dyDescent="0.2">
      <c r="A463" s="1">
        <f t="shared" si="59"/>
        <v>20</v>
      </c>
      <c r="B463" s="1" t="str">
        <f>Input!A358</f>
        <v>894</v>
      </c>
      <c r="C463" s="1" t="str">
        <f>Input!B358</f>
        <v>OTHER EQUIPMENT</v>
      </c>
      <c r="D463" s="325" t="str">
        <f>VLOOKUP(Input!C358,'Alloc Table Comm'!$A$7:$B$27,2,FALSE)</f>
        <v>10COMM</v>
      </c>
      <c r="E463" s="26">
        <f>Classification!G463</f>
        <v>24184</v>
      </c>
      <c r="F463" s="26">
        <f ca="1">ROUND((VLOOKUP($D463,'Alloc Table Comm'!$B$7:$T$56,13,FALSE)*$E463),0)</f>
        <v>9352</v>
      </c>
      <c r="G463" s="26">
        <f ca="1">ROUND((VLOOKUP($D463,'Alloc Table Comm'!$B$7:$T$56,14,FALSE)*$E463),0)</f>
        <v>6354</v>
      </c>
      <c r="H463" s="26">
        <f ca="1">ROUND((VLOOKUP($D463,'Alloc Table Comm'!$B$7:$T$56,15,FALSE)*$E463),0)</f>
        <v>14</v>
      </c>
      <c r="I463" s="26">
        <f ca="1">ROUND((VLOOKUP($D463,'Alloc Table Comm'!$B$7:$T$56,16,FALSE)*$E463),0)</f>
        <v>1</v>
      </c>
      <c r="J463" s="26">
        <f ca="1">ROUND((VLOOKUP($D463,'Alloc Table Comm'!$B$7:$T$56,17,FALSE)*$E463),0)</f>
        <v>8464</v>
      </c>
      <c r="K463" s="26">
        <f ca="1">ROUND((VLOOKUP($D463,'Alloc Table Comm'!$B$7:$T$56,18,FALSE)*$E463),0)</f>
        <v>0</v>
      </c>
      <c r="L463" s="26">
        <f ca="1">ROUND((VLOOKUP($D463,'Alloc Table Comm'!$B$7:$T$56,19,FALSE)*$E463),0)</f>
        <v>0</v>
      </c>
    </row>
    <row r="464" spans="1:12" ht="11.25" x14ac:dyDescent="0.2">
      <c r="A464" s="1">
        <f t="shared" si="59"/>
        <v>21</v>
      </c>
      <c r="B464" s="1"/>
      <c r="C464" s="1" t="s">
        <v>280</v>
      </c>
      <c r="D464" s="118"/>
      <c r="E464" s="1">
        <f t="shared" ref="E464:L464" si="60">SUM(E456:E463)</f>
        <v>559597</v>
      </c>
      <c r="F464" s="3">
        <f t="shared" ca="1" si="60"/>
        <v>218061</v>
      </c>
      <c r="G464" s="3">
        <f t="shared" ca="1" si="60"/>
        <v>147689</v>
      </c>
      <c r="H464" s="3">
        <f t="shared" ca="1" si="60"/>
        <v>319</v>
      </c>
      <c r="I464" s="3">
        <f t="shared" ca="1" si="60"/>
        <v>27</v>
      </c>
      <c r="J464" s="3">
        <f t="shared" ca="1" si="60"/>
        <v>193500</v>
      </c>
      <c r="K464" s="3">
        <f t="shared" ca="1" si="60"/>
        <v>0</v>
      </c>
      <c r="L464" s="3">
        <f t="shared" ca="1" si="60"/>
        <v>0</v>
      </c>
    </row>
    <row r="465" spans="1:12" ht="11.25" x14ac:dyDescent="0.2">
      <c r="A465" s="3" t="s">
        <v>818</v>
      </c>
      <c r="B465" s="3"/>
      <c r="C465" s="3"/>
      <c r="D465" s="325"/>
      <c r="E465" s="1"/>
      <c r="F465" s="325" t="str">
        <f>""&amp;+Input!$B$1</f>
        <v>COLUMBIA GAS OF KENTUCKY, INC.</v>
      </c>
      <c r="H465" s="3"/>
      <c r="I465" s="3"/>
      <c r="J465" s="3"/>
      <c r="K465" s="3"/>
      <c r="L465" s="32" t="str">
        <f>Input!$B$2</f>
        <v>ATTACHMENT CEN-2</v>
      </c>
    </row>
    <row r="466" spans="1:12" ht="11.25" x14ac:dyDescent="0.2">
      <c r="A466" s="3" t="str">
        <f>Input!$B$7</f>
        <v>DEMAND-COMMODITY</v>
      </c>
      <c r="B466" s="3"/>
      <c r="C466" s="3"/>
      <c r="D466" s="325"/>
      <c r="E466" s="1"/>
      <c r="F466" s="325" t="s">
        <v>568</v>
      </c>
      <c r="H466" s="3"/>
      <c r="I466" s="3"/>
      <c r="J466" s="3"/>
      <c r="K466" s="3"/>
      <c r="L466" s="32" t="str">
        <f>"PAGE 91 OF "&amp;FIXED(Input!$B$8,0,TRUE)</f>
        <v>PAGE 91 OF 129</v>
      </c>
    </row>
    <row r="467" spans="1:12" ht="11.25" x14ac:dyDescent="0.2">
      <c r="A467" s="17" t="str">
        <f>Input!$B$6</f>
        <v>FORECASTED TEST YEAR - ORIGINAL FILING</v>
      </c>
      <c r="B467" s="17"/>
      <c r="C467" s="17"/>
      <c r="D467" s="34"/>
      <c r="E467" s="117"/>
      <c r="F467" s="19" t="str">
        <f>"FOR THE TWELVE MONTHS ENDED "&amp;Input!$B$4</f>
        <v>FOR THE TWELVE MONTHS ENDED 12/31/2017</v>
      </c>
      <c r="G467" s="329"/>
      <c r="H467" s="17"/>
      <c r="I467" s="17"/>
      <c r="J467" s="17"/>
      <c r="K467" s="17"/>
      <c r="L467" s="183" t="str">
        <f>"WITNESS: "&amp;Input!$B$5</f>
        <v>WITNESS: C. NOTESTONE</v>
      </c>
    </row>
    <row r="468" spans="1:12" ht="11.25" x14ac:dyDescent="0.2">
      <c r="A468" s="325" t="s">
        <v>5</v>
      </c>
      <c r="B468" s="3" t="s">
        <v>6</v>
      </c>
      <c r="C468" s="3"/>
      <c r="D468" s="325" t="s">
        <v>7</v>
      </c>
      <c r="E468" s="118" t="s">
        <v>8</v>
      </c>
      <c r="F468" s="3"/>
      <c r="G468" s="3"/>
      <c r="H468" s="3"/>
      <c r="I468" s="3"/>
      <c r="J468" s="3"/>
      <c r="K468" s="3"/>
      <c r="L468" s="3"/>
    </row>
    <row r="469" spans="1:12" ht="11.25" x14ac:dyDescent="0.2">
      <c r="A469" s="341" t="s">
        <v>9</v>
      </c>
      <c r="B469" s="341" t="s">
        <v>9</v>
      </c>
      <c r="C469" s="34" t="str">
        <f>Commodity!C128</f>
        <v xml:space="preserve"> ACCOUNT TITLE</v>
      </c>
      <c r="D469" s="341" t="s">
        <v>10</v>
      </c>
      <c r="E469" s="341" t="s">
        <v>812</v>
      </c>
      <c r="F469" s="341" t="str">
        <f>"  "&amp;+Input!$C$12</f>
        <v xml:space="preserve">  GS-RESIDENTIAL</v>
      </c>
      <c r="G469" s="341" t="str">
        <f>Input!$C$13</f>
        <v>GS-OTHER</v>
      </c>
      <c r="H469" s="341" t="str">
        <f>Input!$C$14</f>
        <v>IUS</v>
      </c>
      <c r="I469" s="341" t="str">
        <f>Input!$C$15</f>
        <v>DS-ML</v>
      </c>
      <c r="J469" s="341" t="str">
        <f>Input!$C$16</f>
        <v>DS/IS</v>
      </c>
      <c r="K469" s="341" t="str">
        <f>Input!$C$17</f>
        <v>NOT USED</v>
      </c>
      <c r="L469" s="341" t="str">
        <f>Input!$C$18</f>
        <v>NOT USED</v>
      </c>
    </row>
    <row r="470" spans="1:12" ht="11.25" x14ac:dyDescent="0.2">
      <c r="A470" s="3"/>
      <c r="B470" s="342" t="s">
        <v>13</v>
      </c>
      <c r="C470" s="342" t="s">
        <v>14</v>
      </c>
      <c r="D470" s="325" t="s">
        <v>15</v>
      </c>
      <c r="E470" s="118" t="s">
        <v>16</v>
      </c>
      <c r="F470" s="325" t="s">
        <v>17</v>
      </c>
      <c r="G470" s="325" t="s">
        <v>18</v>
      </c>
      <c r="H470" s="325" t="s">
        <v>19</v>
      </c>
      <c r="I470" s="325" t="s">
        <v>20</v>
      </c>
      <c r="J470" s="325" t="s">
        <v>21</v>
      </c>
      <c r="K470" s="325" t="s">
        <v>22</v>
      </c>
      <c r="L470" s="325" t="s">
        <v>23</v>
      </c>
    </row>
    <row r="471" spans="1:12" ht="11.25" x14ac:dyDescent="0.2">
      <c r="A471" s="3"/>
      <c r="B471" s="3"/>
      <c r="C471" s="3"/>
      <c r="D471" s="325"/>
      <c r="E471" s="118" t="s">
        <v>26</v>
      </c>
      <c r="F471" s="325" t="s">
        <v>26</v>
      </c>
      <c r="G471" s="325" t="s">
        <v>26</v>
      </c>
      <c r="H471" s="325" t="s">
        <v>26</v>
      </c>
      <c r="I471" s="325" t="s">
        <v>26</v>
      </c>
      <c r="J471" s="325" t="s">
        <v>26</v>
      </c>
      <c r="K471" s="325" t="s">
        <v>26</v>
      </c>
      <c r="L471" s="325" t="s">
        <v>26</v>
      </c>
    </row>
    <row r="472" spans="1:12" ht="11.25" x14ac:dyDescent="0.2">
      <c r="A472" s="3">
        <v>1</v>
      </c>
      <c r="B472" s="3"/>
      <c r="C472" s="3" t="str">
        <f>Input!A359</f>
        <v>CUSTOMER ACCOUNTS</v>
      </c>
      <c r="D472" s="325"/>
      <c r="E472" s="1"/>
      <c r="F472" s="3"/>
      <c r="G472" s="3"/>
      <c r="H472" s="3"/>
      <c r="I472" s="3"/>
      <c r="J472" s="3"/>
      <c r="K472" s="3"/>
      <c r="L472" s="3"/>
    </row>
    <row r="473" spans="1:12" ht="11.25" x14ac:dyDescent="0.2">
      <c r="A473" s="3"/>
      <c r="B473" s="3"/>
      <c r="C473" s="3"/>
      <c r="D473" s="325"/>
      <c r="E473" s="1"/>
      <c r="F473" s="3"/>
      <c r="G473" s="3"/>
      <c r="H473" s="3"/>
      <c r="I473" s="3"/>
      <c r="J473" s="3"/>
      <c r="K473" s="3"/>
      <c r="L473" s="3"/>
    </row>
    <row r="474" spans="1:12" ht="11.25" x14ac:dyDescent="0.2">
      <c r="A474" s="3">
        <f>A472+1</f>
        <v>2</v>
      </c>
      <c r="B474" s="3" t="str">
        <f>Input!A360</f>
        <v>901</v>
      </c>
      <c r="C474" s="3" t="str">
        <f>Input!B360</f>
        <v>SUPERVISION</v>
      </c>
      <c r="D474" s="325">
        <f>Input!C360</f>
        <v>6</v>
      </c>
      <c r="E474" s="3">
        <f>Classification!G474</f>
        <v>0</v>
      </c>
      <c r="F474" s="3">
        <f>ROUND((VLOOKUP($D474,'Alloc Table Comm'!$B$7:$T$56,13,FALSE)*$E474),0)</f>
        <v>0</v>
      </c>
      <c r="G474" s="3">
        <f>ROUND((VLOOKUP($D474,'Alloc Table Comm'!$B$7:$T$56,14,FALSE)*$E474),0)</f>
        <v>0</v>
      </c>
      <c r="H474" s="3">
        <f>ROUND((VLOOKUP($D474,'Alloc Table Comm'!$B$7:$T$56,15,FALSE)*$E474),0)</f>
        <v>0</v>
      </c>
      <c r="I474" s="3">
        <f>ROUND((VLOOKUP($D474,'Alloc Table Comm'!$B$7:$T$56,16,FALSE)*$E474),0)</f>
        <v>0</v>
      </c>
      <c r="J474" s="3">
        <f>ROUND((VLOOKUP($D474,'Alloc Table Comm'!$B$7:$T$56,17,FALSE)*$E474),0)</f>
        <v>0</v>
      </c>
      <c r="K474" s="3">
        <f>ROUND((VLOOKUP($D474,'Alloc Table Comm'!$B$7:$T$56,18,FALSE)*$E474),0)</f>
        <v>0</v>
      </c>
      <c r="L474" s="3">
        <f>ROUND((VLOOKUP($D474,'Alloc Table Comm'!$B$7:$T$56,19,FALSE)*$E474),0)</f>
        <v>0</v>
      </c>
    </row>
    <row r="475" spans="1:12" ht="11.25" x14ac:dyDescent="0.2">
      <c r="A475" s="3">
        <f t="shared" ref="A475:A483" si="61">A474+1</f>
        <v>3</v>
      </c>
      <c r="B475" s="3" t="str">
        <f>Input!A361</f>
        <v>902</v>
      </c>
      <c r="C475" s="3" t="str">
        <f>Input!B361</f>
        <v>METER READING</v>
      </c>
      <c r="D475" s="325">
        <f>Input!C361</f>
        <v>6</v>
      </c>
      <c r="E475" s="3">
        <f>Classification!G475</f>
        <v>0</v>
      </c>
      <c r="F475" s="3">
        <f>ROUND((VLOOKUP($D475,'Alloc Table Comm'!$B$7:$T$56,13,FALSE)*$E475),0)</f>
        <v>0</v>
      </c>
      <c r="G475" s="3">
        <f>ROUND((VLOOKUP($D475,'Alloc Table Comm'!$B$7:$T$56,14,FALSE)*$E475),0)</f>
        <v>0</v>
      </c>
      <c r="H475" s="3">
        <f>ROUND((VLOOKUP($D475,'Alloc Table Comm'!$B$7:$T$56,15,FALSE)*$E475),0)</f>
        <v>0</v>
      </c>
      <c r="I475" s="3">
        <f>ROUND((VLOOKUP($D475,'Alloc Table Comm'!$B$7:$T$56,16,FALSE)*$E475),0)</f>
        <v>0</v>
      </c>
      <c r="J475" s="3">
        <f>ROUND((VLOOKUP($D475,'Alloc Table Comm'!$B$7:$T$56,17,FALSE)*$E475),0)</f>
        <v>0</v>
      </c>
      <c r="K475" s="3">
        <f>ROUND((VLOOKUP($D475,'Alloc Table Comm'!$B$7:$T$56,18,FALSE)*$E475),0)</f>
        <v>0</v>
      </c>
      <c r="L475" s="3">
        <f>ROUND((VLOOKUP($D475,'Alloc Table Comm'!$B$7:$T$56,19,FALSE)*$E475),0)</f>
        <v>0</v>
      </c>
    </row>
    <row r="476" spans="1:12" ht="11.25" x14ac:dyDescent="0.2">
      <c r="A476" s="3">
        <f t="shared" si="61"/>
        <v>4</v>
      </c>
      <c r="B476" s="3" t="str">
        <f>Input!A362</f>
        <v>903</v>
      </c>
      <c r="C476" s="3" t="str">
        <f>Input!B362</f>
        <v>CUSTOMER RECORDS &amp; COLLECTIONS</v>
      </c>
      <c r="D476" s="325">
        <f>Input!C362</f>
        <v>6</v>
      </c>
      <c r="E476" s="3">
        <f>Classification!G476</f>
        <v>0</v>
      </c>
      <c r="F476" s="3">
        <f>ROUND((VLOOKUP($D476,'Alloc Table Comm'!$B$7:$T$56,13,FALSE)*$E476),0)</f>
        <v>0</v>
      </c>
      <c r="G476" s="3">
        <f>ROUND((VLOOKUP($D476,'Alloc Table Comm'!$B$7:$T$56,14,FALSE)*$E476),0)</f>
        <v>0</v>
      </c>
      <c r="H476" s="3">
        <f>ROUND((VLOOKUP($D476,'Alloc Table Comm'!$B$7:$T$56,15,FALSE)*$E476),0)</f>
        <v>0</v>
      </c>
      <c r="I476" s="3">
        <f>ROUND((VLOOKUP($D476,'Alloc Table Comm'!$B$7:$T$56,16,FALSE)*$E476),0)</f>
        <v>0</v>
      </c>
      <c r="J476" s="3">
        <f>ROUND((VLOOKUP($D476,'Alloc Table Comm'!$B$7:$T$56,17,FALSE)*$E476),0)</f>
        <v>0</v>
      </c>
      <c r="K476" s="3">
        <f>ROUND((VLOOKUP($D476,'Alloc Table Comm'!$B$7:$T$56,18,FALSE)*$E476),0)</f>
        <v>0</v>
      </c>
      <c r="L476" s="3">
        <f>ROUND((VLOOKUP($D476,'Alloc Table Comm'!$B$7:$T$56,19,FALSE)*$E476),0)</f>
        <v>0</v>
      </c>
    </row>
    <row r="477" spans="1:12" ht="11.25" x14ac:dyDescent="0.2">
      <c r="A477" s="3">
        <f t="shared" si="61"/>
        <v>5</v>
      </c>
      <c r="B477" s="3" t="str">
        <f>Input!A364</f>
        <v>904</v>
      </c>
      <c r="C477" s="3" t="str">
        <f>Input!B364</f>
        <v>UNCOLLECTIBLE ACCOUNTS</v>
      </c>
      <c r="D477" s="325">
        <f>Input!C364</f>
        <v>21</v>
      </c>
      <c r="E477" s="3">
        <f>Classification!G477</f>
        <v>0</v>
      </c>
      <c r="F477" s="3">
        <f>ROUND((VLOOKUP($D477,'Alloc Table Comm'!$B$7:$T$56,13,FALSE)*$E477),0)</f>
        <v>0</v>
      </c>
      <c r="G477" s="3">
        <f>ROUND((VLOOKUP($D477,'Alloc Table Comm'!$B$7:$T$56,14,FALSE)*$E477),0)</f>
        <v>0</v>
      </c>
      <c r="H477" s="3">
        <f>ROUND((VLOOKUP($D477,'Alloc Table Comm'!$B$7:$T$56,15,FALSE)*$E477),0)</f>
        <v>0</v>
      </c>
      <c r="I477" s="3">
        <f>ROUND((VLOOKUP($D477,'Alloc Table Comm'!$B$7:$T$56,16,FALSE)*$E477),0)</f>
        <v>0</v>
      </c>
      <c r="J477" s="3">
        <f>ROUND((VLOOKUP($D477,'Alloc Table Comm'!$B$7:$T$56,17,FALSE)*$E477),0)</f>
        <v>0</v>
      </c>
      <c r="K477" s="3">
        <f>ROUND((VLOOKUP($D477,'Alloc Table Comm'!$B$7:$T$56,18,FALSE)*$E477),0)</f>
        <v>0</v>
      </c>
      <c r="L477" s="3">
        <f>ROUND((VLOOKUP($D477,'Alloc Table Comm'!$B$7:$T$56,19,FALSE)*$E477),0)</f>
        <v>0</v>
      </c>
    </row>
    <row r="478" spans="1:12" ht="11.25" x14ac:dyDescent="0.2">
      <c r="A478" s="3">
        <f t="shared" si="61"/>
        <v>6</v>
      </c>
      <c r="B478" s="3" t="str">
        <f>Input!A365</f>
        <v>905</v>
      </c>
      <c r="C478" s="3" t="str">
        <f>Input!B365</f>
        <v>MISC.</v>
      </c>
      <c r="D478" s="325">
        <f>Input!C365</f>
        <v>6</v>
      </c>
      <c r="E478" s="3">
        <f>Classification!G478</f>
        <v>0</v>
      </c>
      <c r="F478" s="3">
        <f>ROUND((VLOOKUP($D478,'Alloc Table Comm'!$B$7:$T$56,13,FALSE)*$E478),0)</f>
        <v>0</v>
      </c>
      <c r="G478" s="3">
        <f>ROUND((VLOOKUP($D478,'Alloc Table Comm'!$B$7:$T$56,14,FALSE)*$E478),0)</f>
        <v>0</v>
      </c>
      <c r="H478" s="3">
        <f>ROUND((VLOOKUP($D478,'Alloc Table Comm'!$B$7:$T$56,15,FALSE)*$E478),0)</f>
        <v>0</v>
      </c>
      <c r="I478" s="3">
        <f>ROUND((VLOOKUP($D478,'Alloc Table Comm'!$B$7:$T$56,16,FALSE)*$E478),0)</f>
        <v>0</v>
      </c>
      <c r="J478" s="3">
        <f>ROUND((VLOOKUP($D478,'Alloc Table Comm'!$B$7:$T$56,17,FALSE)*$E478),0)</f>
        <v>0</v>
      </c>
      <c r="K478" s="3">
        <f>ROUND((VLOOKUP($D478,'Alloc Table Comm'!$B$7:$T$56,18,FALSE)*$E478),0)</f>
        <v>0</v>
      </c>
      <c r="L478" s="3">
        <f>ROUND((VLOOKUP($D478,'Alloc Table Comm'!$B$7:$T$56,19,FALSE)*$E478),0)</f>
        <v>0</v>
      </c>
    </row>
    <row r="479" spans="1:12" ht="11.25" x14ac:dyDescent="0.2">
      <c r="A479" s="3">
        <f t="shared" si="61"/>
        <v>7</v>
      </c>
      <c r="B479" s="3" t="str">
        <f>Input!A366</f>
        <v>920</v>
      </c>
      <c r="C479" s="3" t="str">
        <f>Input!B366</f>
        <v>SALARIES</v>
      </c>
      <c r="D479" s="325">
        <f>Input!C366</f>
        <v>6</v>
      </c>
      <c r="E479" s="3">
        <f>Classification!G479</f>
        <v>0</v>
      </c>
      <c r="F479" s="3">
        <f>ROUND((VLOOKUP($D479,'Alloc Table Comm'!$B$7:$T$56,13,FALSE)*$E479),0)</f>
        <v>0</v>
      </c>
      <c r="G479" s="3">
        <f>ROUND((VLOOKUP($D479,'Alloc Table Comm'!$B$7:$T$56,14,FALSE)*$E479),0)</f>
        <v>0</v>
      </c>
      <c r="H479" s="3">
        <f>ROUND((VLOOKUP($D479,'Alloc Table Comm'!$B$7:$T$56,15,FALSE)*$E479),0)</f>
        <v>0</v>
      </c>
      <c r="I479" s="3">
        <f>ROUND((VLOOKUP($D479,'Alloc Table Comm'!$B$7:$T$56,16,FALSE)*$E479),0)</f>
        <v>0</v>
      </c>
      <c r="J479" s="3">
        <f>ROUND((VLOOKUP($D479,'Alloc Table Comm'!$B$7:$T$56,17,FALSE)*$E479),0)</f>
        <v>0</v>
      </c>
      <c r="K479" s="3">
        <f>ROUND((VLOOKUP($D479,'Alloc Table Comm'!$B$7:$T$56,18,FALSE)*$E479),0)</f>
        <v>0</v>
      </c>
      <c r="L479" s="3">
        <f>ROUND((VLOOKUP($D479,'Alloc Table Comm'!$B$7:$T$56,19,FALSE)*$E479),0)</f>
        <v>0</v>
      </c>
    </row>
    <row r="480" spans="1:12" ht="11.25" x14ac:dyDescent="0.2">
      <c r="A480" s="3">
        <f t="shared" si="61"/>
        <v>8</v>
      </c>
      <c r="B480" s="3" t="str">
        <f>Input!A367</f>
        <v>921</v>
      </c>
      <c r="C480" s="3" t="str">
        <f>Input!B367</f>
        <v>OFFICE SUPPLIES AND EXPENSE</v>
      </c>
      <c r="D480" s="325">
        <f>Input!C367</f>
        <v>6</v>
      </c>
      <c r="E480" s="3">
        <f>Classification!G480</f>
        <v>0</v>
      </c>
      <c r="F480" s="3">
        <f>ROUND((VLOOKUP($D480,'Alloc Table Comm'!$B$7:$T$56,13,FALSE)*$E480),0)</f>
        <v>0</v>
      </c>
      <c r="G480" s="3">
        <f>ROUND((VLOOKUP($D480,'Alloc Table Comm'!$B$7:$T$56,14,FALSE)*$E480),0)</f>
        <v>0</v>
      </c>
      <c r="H480" s="3">
        <f>ROUND((VLOOKUP($D480,'Alloc Table Comm'!$B$7:$T$56,15,FALSE)*$E480),0)</f>
        <v>0</v>
      </c>
      <c r="I480" s="3">
        <f>ROUND((VLOOKUP($D480,'Alloc Table Comm'!$B$7:$T$56,16,FALSE)*$E480),0)</f>
        <v>0</v>
      </c>
      <c r="J480" s="3">
        <f>ROUND((VLOOKUP($D480,'Alloc Table Comm'!$B$7:$T$56,17,FALSE)*$E480),0)</f>
        <v>0</v>
      </c>
      <c r="K480" s="3">
        <f>ROUND((VLOOKUP($D480,'Alloc Table Comm'!$B$7:$T$56,18,FALSE)*$E480),0)</f>
        <v>0</v>
      </c>
      <c r="L480" s="3">
        <f>ROUND((VLOOKUP($D480,'Alloc Table Comm'!$B$7:$T$56,19,FALSE)*$E480),0)</f>
        <v>0</v>
      </c>
    </row>
    <row r="481" spans="1:12" ht="11.25" x14ac:dyDescent="0.2">
      <c r="A481" s="3">
        <f t="shared" si="61"/>
        <v>9</v>
      </c>
      <c r="B481" s="3" t="str">
        <f>Input!A368</f>
        <v>931</v>
      </c>
      <c r="C481" s="3" t="str">
        <f>Input!B368</f>
        <v>RENTS</v>
      </c>
      <c r="D481" s="325">
        <f>Input!C368</f>
        <v>6</v>
      </c>
      <c r="E481" s="3">
        <f>Classification!G481</f>
        <v>0</v>
      </c>
      <c r="F481" s="3">
        <f>ROUND((VLOOKUP($D481,'Alloc Table Comm'!$B$7:$T$56,13,FALSE)*$E481),0)</f>
        <v>0</v>
      </c>
      <c r="G481" s="3">
        <f>ROUND((VLOOKUP($D481,'Alloc Table Comm'!$B$7:$T$56,14,FALSE)*$E481),0)</f>
        <v>0</v>
      </c>
      <c r="H481" s="3">
        <f>ROUND((VLOOKUP($D481,'Alloc Table Comm'!$B$7:$T$56,15,FALSE)*$E481),0)</f>
        <v>0</v>
      </c>
      <c r="I481" s="3">
        <f>ROUND((VLOOKUP($D481,'Alloc Table Comm'!$B$7:$T$56,16,FALSE)*$E481),0)</f>
        <v>0</v>
      </c>
      <c r="J481" s="3">
        <f>ROUND((VLOOKUP($D481,'Alloc Table Comm'!$B$7:$T$56,17,FALSE)*$E481),0)</f>
        <v>0</v>
      </c>
      <c r="K481" s="3">
        <f>ROUND((VLOOKUP($D481,'Alloc Table Comm'!$B$7:$T$56,18,FALSE)*$E481),0)</f>
        <v>0</v>
      </c>
      <c r="L481" s="3">
        <f>ROUND((VLOOKUP($D481,'Alloc Table Comm'!$B$7:$T$56,19,FALSE)*$E481),0)</f>
        <v>0</v>
      </c>
    </row>
    <row r="482" spans="1:12" ht="11.25" x14ac:dyDescent="0.2">
      <c r="A482" s="3">
        <f t="shared" si="61"/>
        <v>10</v>
      </c>
      <c r="B482" s="3" t="str">
        <f>Input!A369</f>
        <v>935</v>
      </c>
      <c r="C482" s="3" t="str">
        <f>Input!B369</f>
        <v>GENERAL PLANT MAINTENANCE</v>
      </c>
      <c r="D482" s="325">
        <f>Input!C369</f>
        <v>6</v>
      </c>
      <c r="E482" s="26">
        <f>Classification!G482</f>
        <v>0</v>
      </c>
      <c r="F482" s="26">
        <f>ROUND((VLOOKUP($D482,'Alloc Table Comm'!$B$7:$T$56,13,FALSE)*$E482),0)</f>
        <v>0</v>
      </c>
      <c r="G482" s="26">
        <f>ROUND((VLOOKUP($D482,'Alloc Table Comm'!$B$7:$T$56,14,FALSE)*$E482),0)</f>
        <v>0</v>
      </c>
      <c r="H482" s="26">
        <f>ROUND((VLOOKUP($D482,'Alloc Table Comm'!$B$7:$T$56,15,FALSE)*$E482),0)</f>
        <v>0</v>
      </c>
      <c r="I482" s="26">
        <f>ROUND((VLOOKUP($D482,'Alloc Table Comm'!$B$7:$T$56,16,FALSE)*$E482),0)</f>
        <v>0</v>
      </c>
      <c r="J482" s="26">
        <f>ROUND((VLOOKUP($D482,'Alloc Table Comm'!$B$7:$T$56,17,FALSE)*$E482),0)</f>
        <v>0</v>
      </c>
      <c r="K482" s="26">
        <f>ROUND((VLOOKUP($D482,'Alloc Table Comm'!$B$7:$T$56,18,FALSE)*$E482),0)</f>
        <v>0</v>
      </c>
      <c r="L482" s="26">
        <f>ROUND((VLOOKUP($D482,'Alloc Table Comm'!$B$7:$T$56,19,FALSE)*$E482),0)</f>
        <v>0</v>
      </c>
    </row>
    <row r="483" spans="1:12" ht="11.25" x14ac:dyDescent="0.2">
      <c r="A483" s="3">
        <f t="shared" si="61"/>
        <v>11</v>
      </c>
      <c r="B483" s="3"/>
      <c r="C483" s="3" t="s">
        <v>301</v>
      </c>
      <c r="D483" s="325"/>
      <c r="E483" s="1">
        <f t="shared" ref="E483:L483" si="62">SUM(E474:E482)</f>
        <v>0</v>
      </c>
      <c r="F483" s="3">
        <f t="shared" si="62"/>
        <v>0</v>
      </c>
      <c r="G483" s="3">
        <f t="shared" si="62"/>
        <v>0</v>
      </c>
      <c r="H483" s="3">
        <f t="shared" si="62"/>
        <v>0</v>
      </c>
      <c r="I483" s="3">
        <f t="shared" si="62"/>
        <v>0</v>
      </c>
      <c r="J483" s="3">
        <f t="shared" si="62"/>
        <v>0</v>
      </c>
      <c r="K483" s="3">
        <f t="shared" si="62"/>
        <v>0</v>
      </c>
      <c r="L483" s="3">
        <f t="shared" si="62"/>
        <v>0</v>
      </c>
    </row>
    <row r="484" spans="1:12" ht="11.25" x14ac:dyDescent="0.2">
      <c r="A484" s="3"/>
      <c r="B484" s="3"/>
      <c r="C484" s="3"/>
      <c r="D484" s="325"/>
      <c r="E484" s="1"/>
      <c r="F484" s="3"/>
      <c r="G484" s="3"/>
      <c r="H484" s="3"/>
      <c r="I484" s="3"/>
      <c r="J484" s="3"/>
      <c r="K484" s="3"/>
      <c r="L484" s="3"/>
    </row>
    <row r="485" spans="1:12" ht="11.25" x14ac:dyDescent="0.2">
      <c r="A485" s="3">
        <f>A483+1</f>
        <v>12</v>
      </c>
      <c r="B485" s="3"/>
      <c r="C485" s="3" t="str">
        <f>Input!A370</f>
        <v>CUSTOMER SERVICE &amp; INFORMATIONAL</v>
      </c>
      <c r="D485" s="325"/>
      <c r="E485" s="1"/>
      <c r="F485" s="3"/>
      <c r="G485" s="3"/>
      <c r="H485" s="3"/>
      <c r="I485" s="3"/>
      <c r="J485" s="3"/>
      <c r="K485" s="3"/>
      <c r="L485" s="3"/>
    </row>
    <row r="486" spans="1:12" ht="11.25" x14ac:dyDescent="0.2">
      <c r="A486" s="3"/>
      <c r="B486" s="3"/>
      <c r="C486" s="3"/>
      <c r="D486" s="325"/>
      <c r="E486" s="1"/>
      <c r="F486" s="3"/>
      <c r="G486" s="3"/>
      <c r="H486" s="3"/>
      <c r="I486" s="3"/>
      <c r="J486" s="3"/>
      <c r="K486" s="3"/>
      <c r="L486" s="3"/>
    </row>
    <row r="487" spans="1:12" ht="11.25" x14ac:dyDescent="0.2">
      <c r="A487" s="3">
        <f>A485+1</f>
        <v>13</v>
      </c>
      <c r="B487" s="3" t="str">
        <f>Input!A371</f>
        <v>907</v>
      </c>
      <c r="C487" s="3" t="str">
        <f>Input!B371</f>
        <v>SUPERVISION</v>
      </c>
      <c r="D487" s="325">
        <f>Input!C371</f>
        <v>6</v>
      </c>
      <c r="E487" s="3">
        <f>Classification!G487</f>
        <v>0</v>
      </c>
      <c r="F487" s="3">
        <f>ROUND((VLOOKUP($D487,'Alloc Table Comm'!$B$7:$T$56,13,FALSE)*$E487),0)</f>
        <v>0</v>
      </c>
      <c r="G487" s="3">
        <f>ROUND((VLOOKUP($D487,'Alloc Table Comm'!$B$7:$T$56,14,FALSE)*$E487),0)</f>
        <v>0</v>
      </c>
      <c r="H487" s="3">
        <f>ROUND((VLOOKUP($D487,'Alloc Table Comm'!$B$7:$T$56,15,FALSE)*$E487),0)</f>
        <v>0</v>
      </c>
      <c r="I487" s="3">
        <f>ROUND((VLOOKUP($D487,'Alloc Table Comm'!$B$7:$T$56,16,FALSE)*$E487),0)</f>
        <v>0</v>
      </c>
      <c r="J487" s="3">
        <f>ROUND((VLOOKUP($D487,'Alloc Table Comm'!$B$7:$T$56,17,FALSE)*$E487),0)</f>
        <v>0</v>
      </c>
      <c r="K487" s="3">
        <f>ROUND((VLOOKUP($D487,'Alloc Table Comm'!$B$7:$T$56,18,FALSE)*$E487),0)</f>
        <v>0</v>
      </c>
      <c r="L487" s="3">
        <f>ROUND((VLOOKUP($D487,'Alloc Table Comm'!$B$7:$T$56,19,FALSE)*$E487),0)</f>
        <v>0</v>
      </c>
    </row>
    <row r="488" spans="1:12" ht="11.25" x14ac:dyDescent="0.2">
      <c r="A488" s="3">
        <f t="shared" ref="A488:A495" si="63">A487+1</f>
        <v>14</v>
      </c>
      <c r="B488" s="3" t="str">
        <f>Input!A373</f>
        <v>908</v>
      </c>
      <c r="C488" s="3" t="str">
        <f>Input!B373</f>
        <v>CUSTOMER ASSISTANCE</v>
      </c>
      <c r="D488" s="325">
        <f>Input!C373</f>
        <v>6</v>
      </c>
      <c r="E488" s="3">
        <f>Classification!G488</f>
        <v>0</v>
      </c>
      <c r="F488" s="3">
        <f>ROUND((VLOOKUP($D488,'Alloc Table Comm'!$B$7:$T$56,13,FALSE)*$E488),0)</f>
        <v>0</v>
      </c>
      <c r="G488" s="3">
        <f>ROUND((VLOOKUP($D488,'Alloc Table Comm'!$B$7:$T$56,14,FALSE)*$E488),0)</f>
        <v>0</v>
      </c>
      <c r="H488" s="3">
        <f>ROUND((VLOOKUP($D488,'Alloc Table Comm'!$B$7:$T$56,15,FALSE)*$E488),0)</f>
        <v>0</v>
      </c>
      <c r="I488" s="3">
        <f>ROUND((VLOOKUP($D488,'Alloc Table Comm'!$B$7:$T$56,16,FALSE)*$E488),0)</f>
        <v>0</v>
      </c>
      <c r="J488" s="3">
        <f>ROUND((VLOOKUP($D488,'Alloc Table Comm'!$B$7:$T$56,17,FALSE)*$E488),0)</f>
        <v>0</v>
      </c>
      <c r="K488" s="3">
        <f>ROUND((VLOOKUP($D488,'Alloc Table Comm'!$B$7:$T$56,18,FALSE)*$E488),0)</f>
        <v>0</v>
      </c>
      <c r="L488" s="3">
        <f>ROUND((VLOOKUP($D488,'Alloc Table Comm'!$B$7:$T$56,19,FALSE)*$E488),0)</f>
        <v>0</v>
      </c>
    </row>
    <row r="489" spans="1:12" ht="11.25" x14ac:dyDescent="0.2">
      <c r="A489" s="3">
        <f t="shared" si="63"/>
        <v>15</v>
      </c>
      <c r="B489" s="3" t="str">
        <f>Input!A375</f>
        <v>909</v>
      </c>
      <c r="C489" s="3" t="str">
        <f>Input!B375</f>
        <v>INFO. &amp; INSTRUCTIONAL</v>
      </c>
      <c r="D489" s="325">
        <f>Input!C375</f>
        <v>6</v>
      </c>
      <c r="E489" s="3">
        <f>Classification!G489</f>
        <v>0</v>
      </c>
      <c r="F489" s="3">
        <f>ROUND((VLOOKUP($D489,'Alloc Table Comm'!$B$7:$T$56,13,FALSE)*$E489),0)</f>
        <v>0</v>
      </c>
      <c r="G489" s="3">
        <f>ROUND((VLOOKUP($D489,'Alloc Table Comm'!$B$7:$T$56,14,FALSE)*$E489),0)</f>
        <v>0</v>
      </c>
      <c r="H489" s="3">
        <f>ROUND((VLOOKUP($D489,'Alloc Table Comm'!$B$7:$T$56,15,FALSE)*$E489),0)</f>
        <v>0</v>
      </c>
      <c r="I489" s="3">
        <f>ROUND((VLOOKUP($D489,'Alloc Table Comm'!$B$7:$T$56,16,FALSE)*$E489),0)</f>
        <v>0</v>
      </c>
      <c r="J489" s="3">
        <f>ROUND((VLOOKUP($D489,'Alloc Table Comm'!$B$7:$T$56,17,FALSE)*$E489),0)</f>
        <v>0</v>
      </c>
      <c r="K489" s="3">
        <f>ROUND((VLOOKUP($D489,'Alloc Table Comm'!$B$7:$T$56,18,FALSE)*$E489),0)</f>
        <v>0</v>
      </c>
      <c r="L489" s="3">
        <f>ROUND((VLOOKUP($D489,'Alloc Table Comm'!$B$7:$T$56,19,FALSE)*$E489),0)</f>
        <v>0</v>
      </c>
    </row>
    <row r="490" spans="1:12" ht="11.25" x14ac:dyDescent="0.2">
      <c r="A490" s="3">
        <f t="shared" si="63"/>
        <v>16</v>
      </c>
      <c r="B490" s="3" t="str">
        <f>Input!A376</f>
        <v>910</v>
      </c>
      <c r="C490" s="3" t="str">
        <f>Input!B376</f>
        <v>MISCELLANEOUS</v>
      </c>
      <c r="D490" s="325">
        <f>Input!C376</f>
        <v>6</v>
      </c>
      <c r="E490" s="3">
        <f>Classification!G490</f>
        <v>0</v>
      </c>
      <c r="F490" s="3">
        <f>ROUND((VLOOKUP($D490,'Alloc Table Comm'!$B$7:$T$56,13,FALSE)*$E490),0)</f>
        <v>0</v>
      </c>
      <c r="G490" s="3">
        <f>ROUND((VLOOKUP($D490,'Alloc Table Comm'!$B$7:$T$56,14,FALSE)*$E490),0)</f>
        <v>0</v>
      </c>
      <c r="H490" s="3">
        <f>ROUND((VLOOKUP($D490,'Alloc Table Comm'!$B$7:$T$56,15,FALSE)*$E490),0)</f>
        <v>0</v>
      </c>
      <c r="I490" s="3">
        <f>ROUND((VLOOKUP($D490,'Alloc Table Comm'!$B$7:$T$56,16,FALSE)*$E490),0)</f>
        <v>0</v>
      </c>
      <c r="J490" s="3">
        <f>ROUND((VLOOKUP($D490,'Alloc Table Comm'!$B$7:$T$56,17,FALSE)*$E490),0)</f>
        <v>0</v>
      </c>
      <c r="K490" s="3">
        <f>ROUND((VLOOKUP($D490,'Alloc Table Comm'!$B$7:$T$56,18,FALSE)*$E490),0)</f>
        <v>0</v>
      </c>
      <c r="L490" s="3">
        <f>ROUND((VLOOKUP($D490,'Alloc Table Comm'!$B$7:$T$56,19,FALSE)*$E490),0)</f>
        <v>0</v>
      </c>
    </row>
    <row r="491" spans="1:12" ht="11.25" x14ac:dyDescent="0.2">
      <c r="A491" s="3">
        <f t="shared" si="63"/>
        <v>17</v>
      </c>
      <c r="B491" s="3" t="str">
        <f>Input!A377</f>
        <v>920</v>
      </c>
      <c r="C491" s="3" t="str">
        <f>Input!B377</f>
        <v>SALARIES</v>
      </c>
      <c r="D491" s="325">
        <f>Input!C377</f>
        <v>6</v>
      </c>
      <c r="E491" s="3">
        <f>Classification!G491</f>
        <v>0</v>
      </c>
      <c r="F491" s="3">
        <f>ROUND((VLOOKUP($D491,'Alloc Table Comm'!$B$7:$T$56,13,FALSE)*$E491),0)</f>
        <v>0</v>
      </c>
      <c r="G491" s="3">
        <f>ROUND((VLOOKUP($D491,'Alloc Table Comm'!$B$7:$T$56,14,FALSE)*$E491),0)</f>
        <v>0</v>
      </c>
      <c r="H491" s="3">
        <f>ROUND((VLOOKUP($D491,'Alloc Table Comm'!$B$7:$T$56,15,FALSE)*$E491),0)</f>
        <v>0</v>
      </c>
      <c r="I491" s="3">
        <f>ROUND((VLOOKUP($D491,'Alloc Table Comm'!$B$7:$T$56,16,FALSE)*$E491),0)</f>
        <v>0</v>
      </c>
      <c r="J491" s="3">
        <f>ROUND((VLOOKUP($D491,'Alloc Table Comm'!$B$7:$T$56,17,FALSE)*$E491),0)</f>
        <v>0</v>
      </c>
      <c r="K491" s="3">
        <f>ROUND((VLOOKUP($D491,'Alloc Table Comm'!$B$7:$T$56,18,FALSE)*$E491),0)</f>
        <v>0</v>
      </c>
      <c r="L491" s="3">
        <f>ROUND((VLOOKUP($D491,'Alloc Table Comm'!$B$7:$T$56,19,FALSE)*$E491),0)</f>
        <v>0</v>
      </c>
    </row>
    <row r="492" spans="1:12" ht="11.25" x14ac:dyDescent="0.2">
      <c r="A492" s="3">
        <f t="shared" si="63"/>
        <v>18</v>
      </c>
      <c r="B492" s="3" t="str">
        <f>Input!A378</f>
        <v>921</v>
      </c>
      <c r="C492" s="3" t="str">
        <f>Input!B378</f>
        <v>OFFICE SUPPLIES AND EXPENSE</v>
      </c>
      <c r="D492" s="325">
        <f>Input!C378</f>
        <v>6</v>
      </c>
      <c r="E492" s="3">
        <f>Classification!G492</f>
        <v>0</v>
      </c>
      <c r="F492" s="3">
        <f>ROUND((VLOOKUP($D492,'Alloc Table Comm'!$B$7:$T$56,13,FALSE)*$E492),0)</f>
        <v>0</v>
      </c>
      <c r="G492" s="3">
        <f>ROUND((VLOOKUP($D492,'Alloc Table Comm'!$B$7:$T$56,14,FALSE)*$E492),0)</f>
        <v>0</v>
      </c>
      <c r="H492" s="3">
        <f>ROUND((VLOOKUP($D492,'Alloc Table Comm'!$B$7:$T$56,15,FALSE)*$E492),0)</f>
        <v>0</v>
      </c>
      <c r="I492" s="3">
        <f>ROUND((VLOOKUP($D492,'Alloc Table Comm'!$B$7:$T$56,16,FALSE)*$E492),0)</f>
        <v>0</v>
      </c>
      <c r="J492" s="3">
        <f>ROUND((VLOOKUP($D492,'Alloc Table Comm'!$B$7:$T$56,17,FALSE)*$E492),0)</f>
        <v>0</v>
      </c>
      <c r="K492" s="3">
        <f>ROUND((VLOOKUP($D492,'Alloc Table Comm'!$B$7:$T$56,18,FALSE)*$E492),0)</f>
        <v>0</v>
      </c>
      <c r="L492" s="3">
        <f>ROUND((VLOOKUP($D492,'Alloc Table Comm'!$B$7:$T$56,19,FALSE)*$E492),0)</f>
        <v>0</v>
      </c>
    </row>
    <row r="493" spans="1:12" ht="11.25" x14ac:dyDescent="0.2">
      <c r="A493" s="3">
        <f t="shared" si="63"/>
        <v>19</v>
      </c>
      <c r="B493" s="3" t="str">
        <f>Input!A379</f>
        <v>931</v>
      </c>
      <c r="C493" s="3" t="str">
        <f>Input!B379</f>
        <v>RENTS</v>
      </c>
      <c r="D493" s="325">
        <f>Input!C379</f>
        <v>6</v>
      </c>
      <c r="E493" s="3">
        <f>Classification!G493</f>
        <v>0</v>
      </c>
      <c r="F493" s="3">
        <f>ROUND((VLOOKUP($D493,'Alloc Table Comm'!$B$7:$T$56,13,FALSE)*$E493),0)</f>
        <v>0</v>
      </c>
      <c r="G493" s="3">
        <f>ROUND((VLOOKUP($D493,'Alloc Table Comm'!$B$7:$T$56,14,FALSE)*$E493),0)</f>
        <v>0</v>
      </c>
      <c r="H493" s="3">
        <f>ROUND((VLOOKUP($D493,'Alloc Table Comm'!$B$7:$T$56,15,FALSE)*$E493),0)</f>
        <v>0</v>
      </c>
      <c r="I493" s="3">
        <f>ROUND((VLOOKUP($D493,'Alloc Table Comm'!$B$7:$T$56,16,FALSE)*$E493),0)</f>
        <v>0</v>
      </c>
      <c r="J493" s="3">
        <f>ROUND((VLOOKUP($D493,'Alloc Table Comm'!$B$7:$T$56,17,FALSE)*$E493),0)</f>
        <v>0</v>
      </c>
      <c r="K493" s="3">
        <f>ROUND((VLOOKUP($D493,'Alloc Table Comm'!$B$7:$T$56,18,FALSE)*$E493),0)</f>
        <v>0</v>
      </c>
      <c r="L493" s="3">
        <f>ROUND((VLOOKUP($D493,'Alloc Table Comm'!$B$7:$T$56,19,FALSE)*$E493),0)</f>
        <v>0</v>
      </c>
    </row>
    <row r="494" spans="1:12" ht="11.25" x14ac:dyDescent="0.2">
      <c r="A494" s="3">
        <f t="shared" si="63"/>
        <v>20</v>
      </c>
      <c r="B494" s="3" t="str">
        <f>Input!A380</f>
        <v>935</v>
      </c>
      <c r="C494" s="3" t="str">
        <f>Input!B380</f>
        <v>GENERAL PLANT MAINTENANCE</v>
      </c>
      <c r="D494" s="325">
        <f>Input!C380</f>
        <v>6</v>
      </c>
      <c r="E494" s="26">
        <f>Classification!G494</f>
        <v>0</v>
      </c>
      <c r="F494" s="26">
        <f>ROUND((VLOOKUP($D494,'Alloc Table Comm'!$B$7:$T$56,13,FALSE)*$E494),0)</f>
        <v>0</v>
      </c>
      <c r="G494" s="26">
        <f>ROUND((VLOOKUP($D494,'Alloc Table Comm'!$B$7:$T$56,14,FALSE)*$E494),0)</f>
        <v>0</v>
      </c>
      <c r="H494" s="26">
        <f>ROUND((VLOOKUP($D494,'Alloc Table Comm'!$B$7:$T$56,15,FALSE)*$E494),0)</f>
        <v>0</v>
      </c>
      <c r="I494" s="26">
        <f>ROUND((VLOOKUP($D494,'Alloc Table Comm'!$B$7:$T$56,16,FALSE)*$E494),0)</f>
        <v>0</v>
      </c>
      <c r="J494" s="26">
        <f>ROUND((VLOOKUP($D494,'Alloc Table Comm'!$B$7:$T$56,17,FALSE)*$E494),0)</f>
        <v>0</v>
      </c>
      <c r="K494" s="26">
        <f>ROUND((VLOOKUP($D494,'Alloc Table Comm'!$B$7:$T$56,18,FALSE)*$E494),0)</f>
        <v>0</v>
      </c>
      <c r="L494" s="26">
        <f>ROUND((VLOOKUP($D494,'Alloc Table Comm'!$B$7:$T$56,19,FALSE)*$E494),0)</f>
        <v>0</v>
      </c>
    </row>
    <row r="495" spans="1:12" ht="11.25" x14ac:dyDescent="0.2">
      <c r="A495" s="3">
        <f t="shared" si="63"/>
        <v>21</v>
      </c>
      <c r="B495" s="3"/>
      <c r="C495" s="3" t="s">
        <v>309</v>
      </c>
      <c r="D495" s="325"/>
      <c r="E495" s="1">
        <f t="shared" ref="E495:L495" si="64">SUM(E487:E494)</f>
        <v>0</v>
      </c>
      <c r="F495" s="3">
        <f t="shared" si="64"/>
        <v>0</v>
      </c>
      <c r="G495" s="3">
        <f t="shared" si="64"/>
        <v>0</v>
      </c>
      <c r="H495" s="3">
        <f t="shared" si="64"/>
        <v>0</v>
      </c>
      <c r="I495" s="3">
        <f t="shared" si="64"/>
        <v>0</v>
      </c>
      <c r="J495" s="3">
        <f t="shared" si="64"/>
        <v>0</v>
      </c>
      <c r="K495" s="3">
        <f t="shared" si="64"/>
        <v>0</v>
      </c>
      <c r="L495" s="3">
        <f t="shared" si="64"/>
        <v>0</v>
      </c>
    </row>
    <row r="496" spans="1:12" ht="11.25" x14ac:dyDescent="0.2">
      <c r="A496" s="3" t="s">
        <v>818</v>
      </c>
      <c r="B496" s="3"/>
      <c r="C496" s="3"/>
      <c r="D496" s="325"/>
      <c r="E496" s="1"/>
      <c r="F496" s="325" t="str">
        <f>""&amp;+Input!$B$1</f>
        <v>COLUMBIA GAS OF KENTUCKY, INC.</v>
      </c>
      <c r="H496" s="3"/>
      <c r="I496" s="3"/>
      <c r="J496" s="3"/>
      <c r="K496" s="3"/>
      <c r="L496" s="32" t="str">
        <f>Input!$B$2</f>
        <v>ATTACHMENT CEN-2</v>
      </c>
    </row>
    <row r="497" spans="1:12" ht="11.25" x14ac:dyDescent="0.2">
      <c r="A497" s="3" t="str">
        <f>Input!$B$7</f>
        <v>DEMAND-COMMODITY</v>
      </c>
      <c r="B497" s="3"/>
      <c r="C497" s="3"/>
      <c r="D497" s="325"/>
      <c r="E497" s="1"/>
      <c r="F497" s="325" t="s">
        <v>310</v>
      </c>
      <c r="H497" s="3"/>
      <c r="I497" s="3"/>
      <c r="J497" s="3"/>
      <c r="K497" s="3"/>
      <c r="L497" s="32" t="str">
        <f>"PAGE 92 OF "&amp;FIXED(Input!$B$8,0,TRUE)</f>
        <v>PAGE 92 OF 129</v>
      </c>
    </row>
    <row r="498" spans="1:12" ht="11.25" x14ac:dyDescent="0.2">
      <c r="A498" s="17" t="str">
        <f>Input!$B$6</f>
        <v>FORECASTED TEST YEAR - ORIGINAL FILING</v>
      </c>
      <c r="B498" s="17"/>
      <c r="C498" s="17"/>
      <c r="D498" s="34"/>
      <c r="E498" s="117"/>
      <c r="F498" s="19" t="str">
        <f>"FORTHETWELVEMONTHSENDED"&amp;Input!$B$4</f>
        <v>FORTHETWELVEMONTHSENDED12/31/2017</v>
      </c>
      <c r="G498" s="329"/>
      <c r="H498" s="17"/>
      <c r="I498" s="17"/>
      <c r="J498" s="17"/>
      <c r="K498" s="17"/>
      <c r="L498" s="183" t="str">
        <f>"WITNESS: "&amp;Input!$B$5</f>
        <v>WITNESS: C. NOTESTONE</v>
      </c>
    </row>
    <row r="499" spans="1:12" ht="11.25" x14ac:dyDescent="0.2">
      <c r="A499" s="325" t="s">
        <v>5</v>
      </c>
      <c r="B499" s="3" t="s">
        <v>6</v>
      </c>
      <c r="C499" s="3"/>
      <c r="D499" s="325" t="s">
        <v>7</v>
      </c>
      <c r="E499" s="118" t="s">
        <v>8</v>
      </c>
      <c r="F499" s="3"/>
      <c r="G499" s="3"/>
      <c r="H499" s="3"/>
      <c r="I499" s="3"/>
      <c r="J499" s="3"/>
      <c r="K499" s="3"/>
      <c r="L499" s="3"/>
    </row>
    <row r="500" spans="1:12" ht="11.25" x14ac:dyDescent="0.2">
      <c r="A500" s="341" t="s">
        <v>9</v>
      </c>
      <c r="B500" s="341" t="s">
        <v>9</v>
      </c>
      <c r="C500" s="34" t="str">
        <f>Commodity!C128</f>
        <v xml:space="preserve"> ACCOUNT TITLE</v>
      </c>
      <c r="D500" s="341" t="s">
        <v>10</v>
      </c>
      <c r="E500" s="341" t="s">
        <v>812</v>
      </c>
      <c r="F500" s="341" t="str">
        <f>"  "&amp;+Input!$C$12</f>
        <v xml:space="preserve">  GS-RESIDENTIAL</v>
      </c>
      <c r="G500" s="341" t="str">
        <f>Input!$C$13</f>
        <v>GS-OTHER</v>
      </c>
      <c r="H500" s="341" t="str">
        <f>Input!$C$14</f>
        <v>IUS</v>
      </c>
      <c r="I500" s="341" t="str">
        <f>Input!$C$15</f>
        <v>DS-ML</v>
      </c>
      <c r="J500" s="341" t="str">
        <f>Input!$C$16</f>
        <v>DS/IS</v>
      </c>
      <c r="K500" s="341" t="str">
        <f>Input!$C$17</f>
        <v>NOT USED</v>
      </c>
      <c r="L500" s="341" t="str">
        <f>Input!$C$18</f>
        <v>NOT USED</v>
      </c>
    </row>
    <row r="501" spans="1:12" ht="11.25" x14ac:dyDescent="0.2">
      <c r="A501" s="3"/>
      <c r="B501" s="342" t="s">
        <v>13</v>
      </c>
      <c r="C501" s="342" t="s">
        <v>14</v>
      </c>
      <c r="D501" s="325" t="s">
        <v>15</v>
      </c>
      <c r="E501" s="118" t="s">
        <v>16</v>
      </c>
      <c r="F501" s="325" t="s">
        <v>17</v>
      </c>
      <c r="G501" s="325" t="s">
        <v>18</v>
      </c>
      <c r="H501" s="325" t="s">
        <v>19</v>
      </c>
      <c r="I501" s="325" t="s">
        <v>20</v>
      </c>
      <c r="J501" s="325" t="s">
        <v>21</v>
      </c>
      <c r="K501" s="325" t="s">
        <v>22</v>
      </c>
      <c r="L501" s="325" t="s">
        <v>23</v>
      </c>
    </row>
    <row r="502" spans="1:12" ht="11.25" x14ac:dyDescent="0.2">
      <c r="A502" s="3"/>
      <c r="B502" s="3"/>
      <c r="C502" s="3"/>
      <c r="D502" s="325"/>
      <c r="E502" s="118" t="s">
        <v>26</v>
      </c>
      <c r="F502" s="325" t="s">
        <v>26</v>
      </c>
      <c r="G502" s="325" t="s">
        <v>26</v>
      </c>
      <c r="H502" s="325" t="s">
        <v>26</v>
      </c>
      <c r="I502" s="325" t="s">
        <v>26</v>
      </c>
      <c r="J502" s="325" t="s">
        <v>26</v>
      </c>
      <c r="K502" s="325" t="s">
        <v>26</v>
      </c>
      <c r="L502" s="325" t="s">
        <v>26</v>
      </c>
    </row>
    <row r="503" spans="1:12" ht="11.25" x14ac:dyDescent="0.2">
      <c r="A503" s="3">
        <v>1</v>
      </c>
      <c r="B503" s="25"/>
      <c r="C503" s="3" t="str">
        <f>Input!A381</f>
        <v>SALES</v>
      </c>
      <c r="D503" s="325"/>
      <c r="E503" s="1"/>
      <c r="F503" s="3"/>
      <c r="G503" s="3"/>
      <c r="H503" s="3"/>
      <c r="I503" s="3"/>
      <c r="J503" s="3"/>
      <c r="K503" s="3"/>
      <c r="L503" s="3"/>
    </row>
    <row r="504" spans="1:12" ht="11.25" x14ac:dyDescent="0.2">
      <c r="A504" s="3"/>
      <c r="B504" s="3"/>
      <c r="C504" s="3"/>
      <c r="D504" s="325"/>
      <c r="E504" s="1"/>
      <c r="F504" s="3"/>
      <c r="G504" s="3"/>
      <c r="H504" s="3"/>
      <c r="I504" s="3"/>
      <c r="J504" s="3"/>
      <c r="K504" s="3"/>
      <c r="L504" s="3"/>
    </row>
    <row r="505" spans="1:12" ht="11.25" x14ac:dyDescent="0.2">
      <c r="A505" s="3">
        <f>A503+1</f>
        <v>2</v>
      </c>
      <c r="B505" s="3" t="str">
        <f>Input!A382</f>
        <v>911</v>
      </c>
      <c r="C505" s="3" t="str">
        <f>Input!B382</f>
        <v>SUPERVISION</v>
      </c>
      <c r="D505" s="325">
        <f>Input!C382</f>
        <v>6</v>
      </c>
      <c r="E505" s="3">
        <f>Classification!G505</f>
        <v>0</v>
      </c>
      <c r="F505" s="3">
        <f>ROUND((VLOOKUP($D505,'Alloc Table Comm'!$B$7:$T$56,13,FALSE)*$E505),0)</f>
        <v>0</v>
      </c>
      <c r="G505" s="3">
        <f>ROUND((VLOOKUP($D505,'Alloc Table Comm'!$B$7:$T$56,14,FALSE)*$E505),0)</f>
        <v>0</v>
      </c>
      <c r="H505" s="3">
        <f>ROUND((VLOOKUP($D505,'Alloc Table Comm'!$B$7:$T$56,15,FALSE)*$E505),0)</f>
        <v>0</v>
      </c>
      <c r="I505" s="3">
        <f>ROUND((VLOOKUP($D505,'Alloc Table Comm'!$B$7:$T$56,16,FALSE)*$E505),0)</f>
        <v>0</v>
      </c>
      <c r="J505" s="3">
        <f>ROUND((VLOOKUP($D505,'Alloc Table Comm'!$B$7:$T$56,17,FALSE)*$E505),0)</f>
        <v>0</v>
      </c>
      <c r="K505" s="3">
        <f>ROUND((VLOOKUP($D505,'Alloc Table Comm'!$B$7:$T$56,18,FALSE)*$E505),0)</f>
        <v>0</v>
      </c>
      <c r="L505" s="3">
        <f>ROUND((VLOOKUP($D505,'Alloc Table Comm'!$B$7:$T$56,19,FALSE)*$E505),0)</f>
        <v>0</v>
      </c>
    </row>
    <row r="506" spans="1:12" ht="11.25" x14ac:dyDescent="0.2">
      <c r="A506" s="3">
        <f>A505+1</f>
        <v>3</v>
      </c>
      <c r="B506" s="3" t="str">
        <f>Input!A383</f>
        <v>912</v>
      </c>
      <c r="C506" s="3" t="str">
        <f>Input!B383</f>
        <v>DEMONSTRATION &amp; SELLING</v>
      </c>
      <c r="D506" s="325">
        <f>Input!C383</f>
        <v>6</v>
      </c>
      <c r="E506" s="3">
        <f>Classification!G506</f>
        <v>0</v>
      </c>
      <c r="F506" s="3">
        <f>ROUND((VLOOKUP($D506,'Alloc Table Comm'!$B$7:$T$56,13,FALSE)*$E506),0)</f>
        <v>0</v>
      </c>
      <c r="G506" s="3">
        <f>ROUND((VLOOKUP($D506,'Alloc Table Comm'!$B$7:$T$56,14,FALSE)*$E506),0)</f>
        <v>0</v>
      </c>
      <c r="H506" s="3">
        <f>ROUND((VLOOKUP($D506,'Alloc Table Comm'!$B$7:$T$56,15,FALSE)*$E506),0)</f>
        <v>0</v>
      </c>
      <c r="I506" s="3">
        <f>ROUND((VLOOKUP($D506,'Alloc Table Comm'!$B$7:$T$56,16,FALSE)*$E506),0)</f>
        <v>0</v>
      </c>
      <c r="J506" s="3">
        <f>ROUND((VLOOKUP($D506,'Alloc Table Comm'!$B$7:$T$56,17,FALSE)*$E506),0)</f>
        <v>0</v>
      </c>
      <c r="K506" s="3">
        <f>ROUND((VLOOKUP($D506,'Alloc Table Comm'!$B$7:$T$56,18,FALSE)*$E506),0)</f>
        <v>0</v>
      </c>
      <c r="L506" s="3">
        <f>ROUND((VLOOKUP($D506,'Alloc Table Comm'!$B$7:$T$56,19,FALSE)*$E506),0)</f>
        <v>0</v>
      </c>
    </row>
    <row r="507" spans="1:12" ht="11.25" x14ac:dyDescent="0.2">
      <c r="A507" s="3">
        <f>A506+1</f>
        <v>4</v>
      </c>
      <c r="B507" s="3" t="str">
        <f>Input!A384</f>
        <v>913</v>
      </c>
      <c r="C507" s="3" t="str">
        <f>Input!B384</f>
        <v>ADVERTISING</v>
      </c>
      <c r="D507" s="325">
        <f>Input!C384</f>
        <v>6</v>
      </c>
      <c r="E507" s="3">
        <f>Classification!G507</f>
        <v>0</v>
      </c>
      <c r="F507" s="3">
        <f>ROUND((VLOOKUP($D507,'Alloc Table Comm'!$B$7:$T$56,13,FALSE)*$E507),0)</f>
        <v>0</v>
      </c>
      <c r="G507" s="3">
        <f>ROUND((VLOOKUP($D507,'Alloc Table Comm'!$B$7:$T$56,14,FALSE)*$E507),0)</f>
        <v>0</v>
      </c>
      <c r="H507" s="3">
        <f>ROUND((VLOOKUP($D507,'Alloc Table Comm'!$B$7:$T$56,15,FALSE)*$E507),0)</f>
        <v>0</v>
      </c>
      <c r="I507" s="3">
        <f>ROUND((VLOOKUP($D507,'Alloc Table Comm'!$B$7:$T$56,16,FALSE)*$E507),0)</f>
        <v>0</v>
      </c>
      <c r="J507" s="3">
        <f>ROUND((VLOOKUP($D507,'Alloc Table Comm'!$B$7:$T$56,17,FALSE)*$E507),0)</f>
        <v>0</v>
      </c>
      <c r="K507" s="3">
        <f>ROUND((VLOOKUP($D507,'Alloc Table Comm'!$B$7:$T$56,18,FALSE)*$E507),0)</f>
        <v>0</v>
      </c>
      <c r="L507" s="3">
        <f>ROUND((VLOOKUP($D507,'Alloc Table Comm'!$B$7:$T$56,19,FALSE)*$E507),0)</f>
        <v>0</v>
      </c>
    </row>
    <row r="508" spans="1:12" ht="11.25" x14ac:dyDescent="0.2">
      <c r="A508" s="3">
        <f>A507+1</f>
        <v>5</v>
      </c>
      <c r="B508" s="3" t="str">
        <f>Input!A385</f>
        <v>916</v>
      </c>
      <c r="C508" s="3" t="str">
        <f>Input!B385</f>
        <v>MISC.</v>
      </c>
      <c r="D508" s="325">
        <f>Input!C385</f>
        <v>6</v>
      </c>
      <c r="E508" s="26">
        <f>Classification!G508</f>
        <v>0</v>
      </c>
      <c r="F508" s="26">
        <f>ROUND((VLOOKUP($D508,'Alloc Table Comm'!$B$7:$T$56,13,FALSE)*$E508),0)</f>
        <v>0</v>
      </c>
      <c r="G508" s="26">
        <f>ROUND((VLOOKUP($D508,'Alloc Table Comm'!$B$7:$T$56,14,FALSE)*$E508),0)</f>
        <v>0</v>
      </c>
      <c r="H508" s="26">
        <f>ROUND((VLOOKUP($D508,'Alloc Table Comm'!$B$7:$T$56,15,FALSE)*$E508),0)</f>
        <v>0</v>
      </c>
      <c r="I508" s="26">
        <f>ROUND((VLOOKUP($D508,'Alloc Table Comm'!$B$7:$T$56,16,FALSE)*$E508),0)</f>
        <v>0</v>
      </c>
      <c r="J508" s="26">
        <f>ROUND((VLOOKUP($D508,'Alloc Table Comm'!$B$7:$T$56,17,FALSE)*$E508),0)</f>
        <v>0</v>
      </c>
      <c r="K508" s="26">
        <f>ROUND((VLOOKUP($D508,'Alloc Table Comm'!$B$7:$T$56,18,FALSE)*$E508),0)</f>
        <v>0</v>
      </c>
      <c r="L508" s="26">
        <f>ROUND((VLOOKUP($D508,'Alloc Table Comm'!$B$7:$T$56,19,FALSE)*$E508),0)</f>
        <v>0</v>
      </c>
    </row>
    <row r="509" spans="1:12" ht="11.25" x14ac:dyDescent="0.2">
      <c r="A509" s="3">
        <f>A508+1</f>
        <v>6</v>
      </c>
      <c r="B509" s="3"/>
      <c r="C509" s="3" t="s">
        <v>312</v>
      </c>
      <c r="D509" s="325"/>
      <c r="E509" s="116">
        <f t="shared" ref="E509:L509" si="65">SUM(E505:E508)</f>
        <v>0</v>
      </c>
      <c r="F509" s="26">
        <f t="shared" si="65"/>
        <v>0</v>
      </c>
      <c r="G509" s="26">
        <f t="shared" si="65"/>
        <v>0</v>
      </c>
      <c r="H509" s="26">
        <f t="shared" si="65"/>
        <v>0</v>
      </c>
      <c r="I509" s="26">
        <f t="shared" si="65"/>
        <v>0</v>
      </c>
      <c r="J509" s="26">
        <f t="shared" si="65"/>
        <v>0</v>
      </c>
      <c r="K509" s="26">
        <f t="shared" si="65"/>
        <v>0</v>
      </c>
      <c r="L509" s="26">
        <f t="shared" si="65"/>
        <v>0</v>
      </c>
    </row>
    <row r="510" spans="1:12" ht="11.25" x14ac:dyDescent="0.2">
      <c r="A510" s="3"/>
      <c r="B510" s="3"/>
      <c r="C510" s="3"/>
      <c r="D510" s="325"/>
      <c r="E510" s="3"/>
      <c r="F510" s="3"/>
      <c r="G510" s="3"/>
      <c r="H510" s="3"/>
      <c r="I510" s="3"/>
      <c r="J510" s="3"/>
      <c r="K510" s="3"/>
      <c r="L510" s="3"/>
    </row>
    <row r="511" spans="1:12" ht="11.25" x14ac:dyDescent="0.2">
      <c r="A511" s="3">
        <f>A509+1</f>
        <v>7</v>
      </c>
      <c r="B511" s="3"/>
      <c r="C511" s="3" t="s">
        <v>314</v>
      </c>
      <c r="D511" s="325"/>
      <c r="E511" s="3">
        <f>Commodity!E452+Commodity!E464+Commodity!E483+Commodity!E495+E509</f>
        <v>1340884</v>
      </c>
      <c r="F511" s="3">
        <f ca="1">Commodity!F452+Commodity!F464+Commodity!F483+Commodity!F495+F509</f>
        <v>518524</v>
      </c>
      <c r="G511" s="3">
        <f ca="1">Commodity!G452+Commodity!G464+Commodity!G483+Commodity!G495+G509</f>
        <v>352274</v>
      </c>
      <c r="H511" s="3">
        <f ca="1">Commodity!H452+Commodity!H464+Commodity!H483+Commodity!H495+H509</f>
        <v>757</v>
      </c>
      <c r="I511" s="3">
        <f ca="1">Commodity!I452+Commodity!I464+Commodity!I483+Commodity!I495+I509</f>
        <v>62</v>
      </c>
      <c r="J511" s="3">
        <f ca="1">Commodity!J452+Commodity!J464+Commodity!J483+Commodity!J495+J509</f>
        <v>469263</v>
      </c>
      <c r="K511" s="3">
        <f ca="1">Commodity!K452+Commodity!K464+Commodity!K483+Commodity!K495+K509</f>
        <v>0</v>
      </c>
      <c r="L511" s="3">
        <f ca="1">Commodity!L452+Commodity!L464+Commodity!L483+Commodity!L495+L509</f>
        <v>0</v>
      </c>
    </row>
    <row r="512" spans="1:12" ht="11.25" x14ac:dyDescent="0.2">
      <c r="A512" s="3"/>
      <c r="B512" s="3"/>
      <c r="C512" s="3"/>
      <c r="D512" s="325"/>
      <c r="E512" s="3"/>
      <c r="F512" s="3"/>
      <c r="G512" s="3"/>
      <c r="H512" s="3"/>
      <c r="I512" s="3"/>
      <c r="J512" s="3"/>
      <c r="K512" s="3"/>
      <c r="L512" s="3"/>
    </row>
    <row r="513" spans="1:12" ht="11.25" x14ac:dyDescent="0.2">
      <c r="A513" s="3">
        <f>A511+1</f>
        <v>8</v>
      </c>
      <c r="B513" s="3"/>
      <c r="C513" s="3" t="str">
        <f>Input!A452</f>
        <v>ADMINISTRATIVE &amp; GENERAL</v>
      </c>
      <c r="D513" s="325"/>
      <c r="E513" s="3"/>
      <c r="F513" s="3"/>
      <c r="G513" s="3"/>
      <c r="H513" s="3"/>
      <c r="I513" s="3"/>
      <c r="J513" s="3"/>
      <c r="K513" s="3"/>
      <c r="L513" s="3"/>
    </row>
    <row r="514" spans="1:12" ht="11.25" x14ac:dyDescent="0.2">
      <c r="A514" s="3"/>
      <c r="B514" s="3"/>
      <c r="C514" s="3"/>
      <c r="D514" s="325"/>
      <c r="E514" s="3"/>
      <c r="F514" s="3"/>
      <c r="G514" s="3"/>
      <c r="H514" s="3"/>
      <c r="I514" s="3"/>
      <c r="J514" s="3"/>
      <c r="K514" s="3"/>
      <c r="L514" s="3"/>
    </row>
    <row r="515" spans="1:12" ht="11.25" x14ac:dyDescent="0.2">
      <c r="A515" s="3">
        <f>A513+1</f>
        <v>9</v>
      </c>
      <c r="B515" s="3" t="str">
        <f>Input!A453</f>
        <v>920</v>
      </c>
      <c r="C515" s="3" t="str">
        <f>Input!B453</f>
        <v>SALARIES</v>
      </c>
      <c r="D515" s="325" t="str">
        <f>VLOOKUP(Input!C453,'Alloc Table Comm'!$A$7:$B$27,2,FALSE)</f>
        <v>12COMM</v>
      </c>
      <c r="E515" s="3">
        <f>Classification!G515</f>
        <v>276261</v>
      </c>
      <c r="F515" s="3">
        <f ca="1">ROUND((VLOOKUP($D515,'Alloc Table Comm'!$B$7:$T$56,13,FALSE)*$E515),0)</f>
        <v>106830</v>
      </c>
      <c r="G515" s="3">
        <f ca="1">ROUND((VLOOKUP($D515,'Alloc Table Comm'!$B$7:$T$56,14,FALSE)*$E515),0)</f>
        <v>72579</v>
      </c>
      <c r="H515" s="3">
        <f ca="1">ROUND((VLOOKUP($D515,'Alloc Table Comm'!$B$7:$T$56,15,FALSE)*$E515),0)</f>
        <v>155</v>
      </c>
      <c r="I515" s="3">
        <f ca="1">ROUND((VLOOKUP($D515,'Alloc Table Comm'!$B$7:$T$56,16,FALSE)*$E515),0)</f>
        <v>14</v>
      </c>
      <c r="J515" s="3">
        <f ca="1">ROUND((VLOOKUP($D515,'Alloc Table Comm'!$B$7:$T$56,17,FALSE)*$E515),0)</f>
        <v>96683</v>
      </c>
      <c r="K515" s="3">
        <f ca="1">ROUND((VLOOKUP($D515,'Alloc Table Comm'!$B$7:$T$56,18,FALSE)*$E515),0)</f>
        <v>0</v>
      </c>
      <c r="L515" s="3">
        <f ca="1">ROUND((VLOOKUP($D515,'Alloc Table Comm'!$B$7:$T$56,19,FALSE)*$E515),0)</f>
        <v>0</v>
      </c>
    </row>
    <row r="516" spans="1:12" ht="11.25" x14ac:dyDescent="0.2">
      <c r="A516" s="3">
        <f t="shared" ref="A516:A529" si="66">A515+1</f>
        <v>10</v>
      </c>
      <c r="B516" s="3" t="str">
        <f>Input!A454</f>
        <v>921</v>
      </c>
      <c r="C516" s="3" t="str">
        <f>Input!B454</f>
        <v>OFFICE SUPPLIES &amp; EXPENSES</v>
      </c>
      <c r="D516" s="325" t="str">
        <f>VLOOKUP(Input!C454,'Alloc Table Comm'!$A$7:$B$27,2,FALSE)</f>
        <v>12COMM</v>
      </c>
      <c r="E516" s="3">
        <f>Classification!G516</f>
        <v>0</v>
      </c>
      <c r="F516" s="3">
        <f ca="1">ROUND((VLOOKUP($D516,'Alloc Table Comm'!$B$7:$T$56,13,FALSE)*$E516),0)</f>
        <v>0</v>
      </c>
      <c r="G516" s="3">
        <f ca="1">ROUND((VLOOKUP($D516,'Alloc Table Comm'!$B$7:$T$56,14,FALSE)*$E516),0)</f>
        <v>0</v>
      </c>
      <c r="H516" s="3">
        <f ca="1">ROUND((VLOOKUP($D516,'Alloc Table Comm'!$B$7:$T$56,15,FALSE)*$E516),0)</f>
        <v>0</v>
      </c>
      <c r="I516" s="3">
        <f ca="1">ROUND((VLOOKUP($D516,'Alloc Table Comm'!$B$7:$T$56,16,FALSE)*$E516),0)</f>
        <v>0</v>
      </c>
      <c r="J516" s="3">
        <f ca="1">ROUND((VLOOKUP($D516,'Alloc Table Comm'!$B$7:$T$56,17,FALSE)*$E516),0)</f>
        <v>0</v>
      </c>
      <c r="K516" s="3">
        <f ca="1">ROUND((VLOOKUP($D516,'Alloc Table Comm'!$B$7:$T$56,18,FALSE)*$E516),0)</f>
        <v>0</v>
      </c>
      <c r="L516" s="3">
        <f ca="1">ROUND((VLOOKUP($D516,'Alloc Table Comm'!$B$7:$T$56,19,FALSE)*$E516),0)</f>
        <v>0</v>
      </c>
    </row>
    <row r="517" spans="1:12" ht="11.25" x14ac:dyDescent="0.2">
      <c r="A517" s="3">
        <f t="shared" si="66"/>
        <v>11</v>
      </c>
      <c r="B517" s="3" t="str">
        <f>Input!A455</f>
        <v>922</v>
      </c>
      <c r="C517" s="3" t="str">
        <f>Input!B455</f>
        <v>ADMIN. EXPENSES TRANSFERED</v>
      </c>
      <c r="D517" s="325" t="str">
        <f>VLOOKUP(Input!C455,'Alloc Table Comm'!$A$7:$B$27,2,FALSE)</f>
        <v>12COMM</v>
      </c>
      <c r="E517" s="3">
        <f>Classification!G517</f>
        <v>0</v>
      </c>
      <c r="F517" s="3">
        <f ca="1">ROUND((VLOOKUP($D517,'Alloc Table Comm'!$B$7:$T$56,13,FALSE)*$E517),0)</f>
        <v>0</v>
      </c>
      <c r="G517" s="3">
        <f ca="1">ROUND((VLOOKUP($D517,'Alloc Table Comm'!$B$7:$T$56,14,FALSE)*$E517),0)</f>
        <v>0</v>
      </c>
      <c r="H517" s="3">
        <f ca="1">ROUND((VLOOKUP($D517,'Alloc Table Comm'!$B$7:$T$56,15,FALSE)*$E517),0)</f>
        <v>0</v>
      </c>
      <c r="I517" s="3">
        <f ca="1">ROUND((VLOOKUP($D517,'Alloc Table Comm'!$B$7:$T$56,16,FALSE)*$E517),0)</f>
        <v>0</v>
      </c>
      <c r="J517" s="3">
        <f ca="1">ROUND((VLOOKUP($D517,'Alloc Table Comm'!$B$7:$T$56,17,FALSE)*$E517),0)</f>
        <v>0</v>
      </c>
      <c r="K517" s="3">
        <f ca="1">ROUND((VLOOKUP($D517,'Alloc Table Comm'!$B$7:$T$56,18,FALSE)*$E517),0)</f>
        <v>0</v>
      </c>
      <c r="L517" s="3">
        <f ca="1">ROUND((VLOOKUP($D517,'Alloc Table Comm'!$B$7:$T$56,19,FALSE)*$E517),0)</f>
        <v>0</v>
      </c>
    </row>
    <row r="518" spans="1:12" ht="11.25" x14ac:dyDescent="0.2">
      <c r="A518" s="3">
        <f t="shared" si="66"/>
        <v>12</v>
      </c>
      <c r="B518" s="3" t="str">
        <f>Input!A456</f>
        <v>923</v>
      </c>
      <c r="C518" s="3" t="str">
        <f>Input!B456</f>
        <v xml:space="preserve">OUTSIDE SERVICES </v>
      </c>
      <c r="D518" s="325" t="str">
        <f>VLOOKUP(Input!C456,'Alloc Table Comm'!$A$7:$B$27,2,FALSE)</f>
        <v>12COMM</v>
      </c>
      <c r="E518" s="3">
        <f>Classification!G518</f>
        <v>802</v>
      </c>
      <c r="F518" s="3">
        <f ca="1">ROUND((VLOOKUP($D518,'Alloc Table Comm'!$B$7:$T$56,13,FALSE)*$E518),0)</f>
        <v>310</v>
      </c>
      <c r="G518" s="3">
        <f ca="1">ROUND((VLOOKUP($D518,'Alloc Table Comm'!$B$7:$T$56,14,FALSE)*$E518),0)</f>
        <v>211</v>
      </c>
      <c r="H518" s="3">
        <f ca="1">ROUND((VLOOKUP($D518,'Alloc Table Comm'!$B$7:$T$56,15,FALSE)*$E518),0)</f>
        <v>0</v>
      </c>
      <c r="I518" s="3">
        <f ca="1">ROUND((VLOOKUP($D518,'Alloc Table Comm'!$B$7:$T$56,16,FALSE)*$E518),0)</f>
        <v>0</v>
      </c>
      <c r="J518" s="3">
        <f ca="1">ROUND((VLOOKUP($D518,'Alloc Table Comm'!$B$7:$T$56,17,FALSE)*$E518),0)</f>
        <v>281</v>
      </c>
      <c r="K518" s="3">
        <f ca="1">ROUND((VLOOKUP($D518,'Alloc Table Comm'!$B$7:$T$56,18,FALSE)*$E518),0)</f>
        <v>0</v>
      </c>
      <c r="L518" s="3">
        <f ca="1">ROUND((VLOOKUP($D518,'Alloc Table Comm'!$B$7:$T$56,19,FALSE)*$E518),0)</f>
        <v>0</v>
      </c>
    </row>
    <row r="519" spans="1:12" ht="11.25" x14ac:dyDescent="0.2">
      <c r="A519" s="3">
        <f t="shared" si="66"/>
        <v>13</v>
      </c>
      <c r="B519" s="3" t="str">
        <f>Input!A457</f>
        <v>924</v>
      </c>
      <c r="C519" s="3" t="str">
        <f>Input!B457</f>
        <v>PROPERTY INSURANCE</v>
      </c>
      <c r="D519" s="325" t="str">
        <f>VLOOKUP(Input!C457,'Alloc Table Comm'!$A$7:$B$27,2,FALSE)</f>
        <v>12COMM</v>
      </c>
      <c r="E519" s="3">
        <f>Classification!G519</f>
        <v>0</v>
      </c>
      <c r="F519" s="3">
        <f ca="1">ROUND((VLOOKUP($D519,'Alloc Table Comm'!$B$7:$T$56,13,FALSE)*$E519),0)</f>
        <v>0</v>
      </c>
      <c r="G519" s="3">
        <f ca="1">ROUND((VLOOKUP($D519,'Alloc Table Comm'!$B$7:$T$56,14,FALSE)*$E519),0)</f>
        <v>0</v>
      </c>
      <c r="H519" s="3">
        <f ca="1">ROUND((VLOOKUP($D519,'Alloc Table Comm'!$B$7:$T$56,15,FALSE)*$E519),0)</f>
        <v>0</v>
      </c>
      <c r="I519" s="3">
        <f ca="1">ROUND((VLOOKUP($D519,'Alloc Table Comm'!$B$7:$T$56,16,FALSE)*$E519),0)</f>
        <v>0</v>
      </c>
      <c r="J519" s="3">
        <f ca="1">ROUND((VLOOKUP($D519,'Alloc Table Comm'!$B$7:$T$56,17,FALSE)*$E519),0)</f>
        <v>0</v>
      </c>
      <c r="K519" s="3">
        <f ca="1">ROUND((VLOOKUP($D519,'Alloc Table Comm'!$B$7:$T$56,18,FALSE)*$E519),0)</f>
        <v>0</v>
      </c>
      <c r="L519" s="3">
        <f ca="1">ROUND((VLOOKUP($D519,'Alloc Table Comm'!$B$7:$T$56,19,FALSE)*$E519),0)</f>
        <v>0</v>
      </c>
    </row>
    <row r="520" spans="1:12" ht="11.25" x14ac:dyDescent="0.2">
      <c r="A520" s="3">
        <f t="shared" si="66"/>
        <v>14</v>
      </c>
      <c r="B520" s="3" t="str">
        <f>Input!A458</f>
        <v>925</v>
      </c>
      <c r="C520" s="3" t="str">
        <f>Input!B458</f>
        <v>INJURIES AND DAMAGES</v>
      </c>
      <c r="D520" s="325" t="str">
        <f>VLOOKUP(Input!C458,'Alloc Table Comm'!$A$7:$B$27,2,FALSE)</f>
        <v>12COMM</v>
      </c>
      <c r="E520" s="3">
        <f>Classification!G520</f>
        <v>0</v>
      </c>
      <c r="F520" s="3">
        <f ca="1">ROUND((VLOOKUP($D520,'Alloc Table Comm'!$B$7:$T$56,13,FALSE)*$E520),0)</f>
        <v>0</v>
      </c>
      <c r="G520" s="3">
        <f ca="1">ROUND((VLOOKUP($D520,'Alloc Table Comm'!$B$7:$T$56,14,FALSE)*$E520),0)</f>
        <v>0</v>
      </c>
      <c r="H520" s="3">
        <f ca="1">ROUND((VLOOKUP($D520,'Alloc Table Comm'!$B$7:$T$56,15,FALSE)*$E520),0)</f>
        <v>0</v>
      </c>
      <c r="I520" s="3">
        <f ca="1">ROUND((VLOOKUP($D520,'Alloc Table Comm'!$B$7:$T$56,16,FALSE)*$E520),0)</f>
        <v>0</v>
      </c>
      <c r="J520" s="3">
        <f ca="1">ROUND((VLOOKUP($D520,'Alloc Table Comm'!$B$7:$T$56,17,FALSE)*$E520),0)</f>
        <v>0</v>
      </c>
      <c r="K520" s="3">
        <f ca="1">ROUND((VLOOKUP($D520,'Alloc Table Comm'!$B$7:$T$56,18,FALSE)*$E520),0)</f>
        <v>0</v>
      </c>
      <c r="L520" s="3">
        <f ca="1">ROUND((VLOOKUP($D520,'Alloc Table Comm'!$B$7:$T$56,19,FALSE)*$E520),0)</f>
        <v>0</v>
      </c>
    </row>
    <row r="521" spans="1:12" ht="11.25" x14ac:dyDescent="0.2">
      <c r="A521" s="3">
        <f t="shared" si="66"/>
        <v>15</v>
      </c>
      <c r="B521" s="3" t="str">
        <f>Input!A459</f>
        <v>926</v>
      </c>
      <c r="C521" s="3" t="str">
        <f>Input!B459</f>
        <v>EMPLOYEE PENSIONS &amp; BENEFITS</v>
      </c>
      <c r="D521" s="325" t="str">
        <f>VLOOKUP(Input!C459,'Alloc Table Comm'!$A$7:$B$27,2,FALSE)</f>
        <v>12COMM</v>
      </c>
      <c r="E521" s="3">
        <f>Classification!G521</f>
        <v>0</v>
      </c>
      <c r="F521" s="3">
        <f ca="1">ROUND((VLOOKUP($D521,'Alloc Table Comm'!$B$7:$T$56,13,FALSE)*$E521),0)</f>
        <v>0</v>
      </c>
      <c r="G521" s="3">
        <f ca="1">ROUND((VLOOKUP($D521,'Alloc Table Comm'!$B$7:$T$56,14,FALSE)*$E521),0)</f>
        <v>0</v>
      </c>
      <c r="H521" s="3">
        <f ca="1">ROUND((VLOOKUP($D521,'Alloc Table Comm'!$B$7:$T$56,15,FALSE)*$E521),0)</f>
        <v>0</v>
      </c>
      <c r="I521" s="3">
        <f ca="1">ROUND((VLOOKUP($D521,'Alloc Table Comm'!$B$7:$T$56,16,FALSE)*$E521),0)</f>
        <v>0</v>
      </c>
      <c r="J521" s="3">
        <f ca="1">ROUND((VLOOKUP($D521,'Alloc Table Comm'!$B$7:$T$56,17,FALSE)*$E521),0)</f>
        <v>0</v>
      </c>
      <c r="K521" s="3">
        <f ca="1">ROUND((VLOOKUP($D521,'Alloc Table Comm'!$B$7:$T$56,18,FALSE)*$E521),0)</f>
        <v>0</v>
      </c>
      <c r="L521" s="3">
        <f ca="1">ROUND((VLOOKUP($D521,'Alloc Table Comm'!$B$7:$T$56,19,FALSE)*$E521),0)</f>
        <v>0</v>
      </c>
    </row>
    <row r="522" spans="1:12" ht="11.25" x14ac:dyDescent="0.2">
      <c r="A522" s="3">
        <f t="shared" si="66"/>
        <v>16</v>
      </c>
      <c r="B522" s="3" t="str">
        <f>Input!A460</f>
        <v>928</v>
      </c>
      <c r="C522" s="3" t="str">
        <f>Input!B460</f>
        <v>REG COMMISSION EXP - GENERAL</v>
      </c>
      <c r="D522" s="325" t="str">
        <f>VLOOKUP(Input!C460,'Alloc Table Comm'!$A$7:$B$27,2,FALSE)</f>
        <v>12COMM</v>
      </c>
      <c r="E522" s="3">
        <f>Classification!G522</f>
        <v>0</v>
      </c>
      <c r="F522" s="3">
        <f ca="1">ROUND((VLOOKUP($D522,'Alloc Table Comm'!$B$7:$T$56,13,FALSE)*$E522),0)</f>
        <v>0</v>
      </c>
      <c r="G522" s="3">
        <f ca="1">ROUND((VLOOKUP($D522,'Alloc Table Comm'!$B$7:$T$56,14,FALSE)*$E522),0)</f>
        <v>0</v>
      </c>
      <c r="H522" s="3">
        <f ca="1">ROUND((VLOOKUP($D522,'Alloc Table Comm'!$B$7:$T$56,15,FALSE)*$E522),0)</f>
        <v>0</v>
      </c>
      <c r="I522" s="3">
        <f ca="1">ROUND((VLOOKUP($D522,'Alloc Table Comm'!$B$7:$T$56,16,FALSE)*$E522),0)</f>
        <v>0</v>
      </c>
      <c r="J522" s="3">
        <f ca="1">ROUND((VLOOKUP($D522,'Alloc Table Comm'!$B$7:$T$56,17,FALSE)*$E522),0)</f>
        <v>0</v>
      </c>
      <c r="K522" s="3">
        <f ca="1">ROUND((VLOOKUP($D522,'Alloc Table Comm'!$B$7:$T$56,18,FALSE)*$E522),0)</f>
        <v>0</v>
      </c>
      <c r="L522" s="3">
        <f ca="1">ROUND((VLOOKUP($D522,'Alloc Table Comm'!$B$7:$T$56,19,FALSE)*$E522),0)</f>
        <v>0</v>
      </c>
    </row>
    <row r="523" spans="1:12" ht="11.25" x14ac:dyDescent="0.2">
      <c r="A523" s="3">
        <f t="shared" si="66"/>
        <v>17</v>
      </c>
      <c r="B523" s="3" t="str">
        <f>Input!A461</f>
        <v>930.10</v>
      </c>
      <c r="C523" s="3" t="str">
        <f>Input!B461</f>
        <v>MISC. - INSTITUT &amp; GOODWILL ADV</v>
      </c>
      <c r="D523" s="325" t="str">
        <f>VLOOKUP(Input!C461,'Alloc Table Comm'!$A$7:$B$27,2,FALSE)</f>
        <v>12COMM</v>
      </c>
      <c r="E523" s="3">
        <f>Classification!G523</f>
        <v>0</v>
      </c>
      <c r="F523" s="3">
        <f ca="1">ROUND((VLOOKUP($D523,'Alloc Table Comm'!$B$7:$T$56,13,FALSE)*$E523),0)</f>
        <v>0</v>
      </c>
      <c r="G523" s="3">
        <f ca="1">ROUND((VLOOKUP($D523,'Alloc Table Comm'!$B$7:$T$56,14,FALSE)*$E523),0)</f>
        <v>0</v>
      </c>
      <c r="H523" s="3">
        <f ca="1">ROUND((VLOOKUP($D523,'Alloc Table Comm'!$B$7:$T$56,15,FALSE)*$E523),0)</f>
        <v>0</v>
      </c>
      <c r="I523" s="3">
        <f ca="1">ROUND((VLOOKUP($D523,'Alloc Table Comm'!$B$7:$T$56,16,FALSE)*$E523),0)</f>
        <v>0</v>
      </c>
      <c r="J523" s="3">
        <f ca="1">ROUND((VLOOKUP($D523,'Alloc Table Comm'!$B$7:$T$56,17,FALSE)*$E523),0)</f>
        <v>0</v>
      </c>
      <c r="K523" s="3">
        <f ca="1">ROUND((VLOOKUP($D523,'Alloc Table Comm'!$B$7:$T$56,18,FALSE)*$E523),0)</f>
        <v>0</v>
      </c>
      <c r="L523" s="3">
        <f ca="1">ROUND((VLOOKUP($D523,'Alloc Table Comm'!$B$7:$T$56,19,FALSE)*$E523),0)</f>
        <v>0</v>
      </c>
    </row>
    <row r="524" spans="1:12" ht="11.25" x14ac:dyDescent="0.2">
      <c r="A524" s="3">
        <f t="shared" si="66"/>
        <v>18</v>
      </c>
      <c r="B524" s="3" t="str">
        <f>Input!A462</f>
        <v>930.20</v>
      </c>
      <c r="C524" s="3" t="str">
        <f>Input!B462</f>
        <v>MISC. - GENERAL</v>
      </c>
      <c r="D524" s="325" t="str">
        <f>VLOOKUP(Input!C462,'Alloc Table Comm'!$A$7:$B$27,2,FALSE)</f>
        <v>12COMM</v>
      </c>
      <c r="E524" s="3">
        <f>Classification!G524</f>
        <v>0</v>
      </c>
      <c r="F524" s="3">
        <f ca="1">ROUND((VLOOKUP($D524,'Alloc Table Comm'!$B$7:$T$56,13,FALSE)*$E524),0)</f>
        <v>0</v>
      </c>
      <c r="G524" s="3">
        <f ca="1">ROUND((VLOOKUP($D524,'Alloc Table Comm'!$B$7:$T$56,14,FALSE)*$E524),0)</f>
        <v>0</v>
      </c>
      <c r="H524" s="3">
        <f ca="1">ROUND((VLOOKUP($D524,'Alloc Table Comm'!$B$7:$T$56,15,FALSE)*$E524),0)</f>
        <v>0</v>
      </c>
      <c r="I524" s="3">
        <f ca="1">ROUND((VLOOKUP($D524,'Alloc Table Comm'!$B$7:$T$56,16,FALSE)*$E524),0)</f>
        <v>0</v>
      </c>
      <c r="J524" s="3">
        <f ca="1">ROUND((VLOOKUP($D524,'Alloc Table Comm'!$B$7:$T$56,17,FALSE)*$E524),0)</f>
        <v>0</v>
      </c>
      <c r="K524" s="3">
        <f ca="1">ROUND((VLOOKUP($D524,'Alloc Table Comm'!$B$7:$T$56,18,FALSE)*$E524),0)</f>
        <v>0</v>
      </c>
      <c r="L524" s="3">
        <f ca="1">ROUND((VLOOKUP($D524,'Alloc Table Comm'!$B$7:$T$56,19,FALSE)*$E524),0)</f>
        <v>0</v>
      </c>
    </row>
    <row r="525" spans="1:12" ht="11.25" x14ac:dyDescent="0.2">
      <c r="A525" s="3">
        <f t="shared" si="66"/>
        <v>19</v>
      </c>
      <c r="B525" s="3" t="str">
        <f>Input!A463</f>
        <v>931</v>
      </c>
      <c r="C525" s="3" t="str">
        <f>Input!B463</f>
        <v>RENTS</v>
      </c>
      <c r="D525" s="325" t="str">
        <f>VLOOKUP(Input!C463,'Alloc Table Comm'!$A$7:$B$27,2,FALSE)</f>
        <v>12COMM</v>
      </c>
      <c r="E525" s="3">
        <f>Classification!G525</f>
        <v>0</v>
      </c>
      <c r="F525" s="3">
        <f ca="1">ROUND((VLOOKUP($D525,'Alloc Table Comm'!$B$7:$T$56,13,FALSE)*$E525),0)</f>
        <v>0</v>
      </c>
      <c r="G525" s="3">
        <f ca="1">ROUND((VLOOKUP($D525,'Alloc Table Comm'!$B$7:$T$56,14,FALSE)*$E525),0)</f>
        <v>0</v>
      </c>
      <c r="H525" s="3">
        <f ca="1">ROUND((VLOOKUP($D525,'Alloc Table Comm'!$B$7:$T$56,15,FALSE)*$E525),0)</f>
        <v>0</v>
      </c>
      <c r="I525" s="3">
        <f ca="1">ROUND((VLOOKUP($D525,'Alloc Table Comm'!$B$7:$T$56,16,FALSE)*$E525),0)</f>
        <v>0</v>
      </c>
      <c r="J525" s="3">
        <f ca="1">ROUND((VLOOKUP($D525,'Alloc Table Comm'!$B$7:$T$56,17,FALSE)*$E525),0)</f>
        <v>0</v>
      </c>
      <c r="K525" s="3">
        <f ca="1">ROUND((VLOOKUP($D525,'Alloc Table Comm'!$B$7:$T$56,18,FALSE)*$E525),0)</f>
        <v>0</v>
      </c>
      <c r="L525" s="3">
        <f ca="1">ROUND((VLOOKUP($D525,'Alloc Table Comm'!$B$7:$T$56,19,FALSE)*$E525),0)</f>
        <v>0</v>
      </c>
    </row>
    <row r="526" spans="1:12" ht="11.25" x14ac:dyDescent="0.2">
      <c r="A526" s="3">
        <f t="shared" si="66"/>
        <v>20</v>
      </c>
      <c r="B526" s="3" t="str">
        <f>Input!A464</f>
        <v>935.13</v>
      </c>
      <c r="C526" s="3" t="str">
        <f>Input!B464</f>
        <v>MAINT. STRUCTURES &amp; IMPROV.</v>
      </c>
      <c r="D526" s="325" t="str">
        <f>VLOOKUP(Input!C464,'Alloc Table Comm'!$A$7:$B$27,2,FALSE)</f>
        <v>12COMM</v>
      </c>
      <c r="E526" s="3">
        <f>Classification!G526</f>
        <v>0</v>
      </c>
      <c r="F526" s="3">
        <f ca="1">ROUND((VLOOKUP($D526,'Alloc Table Comm'!$B$7:$T$56,13,FALSE)*$E526),0)</f>
        <v>0</v>
      </c>
      <c r="G526" s="3">
        <f ca="1">ROUND((VLOOKUP($D526,'Alloc Table Comm'!$B$7:$T$56,14,FALSE)*$E526),0)</f>
        <v>0</v>
      </c>
      <c r="H526" s="3">
        <f ca="1">ROUND((VLOOKUP($D526,'Alloc Table Comm'!$B$7:$T$56,15,FALSE)*$E526),0)</f>
        <v>0</v>
      </c>
      <c r="I526" s="3">
        <f ca="1">ROUND((VLOOKUP($D526,'Alloc Table Comm'!$B$7:$T$56,16,FALSE)*$E526),0)</f>
        <v>0</v>
      </c>
      <c r="J526" s="3">
        <f ca="1">ROUND((VLOOKUP($D526,'Alloc Table Comm'!$B$7:$T$56,17,FALSE)*$E526),0)</f>
        <v>0</v>
      </c>
      <c r="K526" s="3">
        <f ca="1">ROUND((VLOOKUP($D526,'Alloc Table Comm'!$B$7:$T$56,18,FALSE)*$E526),0)</f>
        <v>0</v>
      </c>
      <c r="L526" s="3">
        <f ca="1">ROUND((VLOOKUP($D526,'Alloc Table Comm'!$B$7:$T$56,19,FALSE)*$E526),0)</f>
        <v>0</v>
      </c>
    </row>
    <row r="527" spans="1:12" ht="11.25" x14ac:dyDescent="0.2">
      <c r="A527" s="3">
        <f t="shared" si="66"/>
        <v>21</v>
      </c>
      <c r="B527" s="3" t="str">
        <f>Input!A465</f>
        <v>935.23</v>
      </c>
      <c r="C527" s="3" t="str">
        <f>Input!B465</f>
        <v xml:space="preserve">MAINT. - GEN'L OFFICE </v>
      </c>
      <c r="D527" s="325"/>
      <c r="E527" s="3"/>
      <c r="F527" s="3"/>
      <c r="G527" s="3"/>
      <c r="H527" s="3"/>
      <c r="I527" s="3"/>
      <c r="J527" s="3"/>
      <c r="K527" s="3"/>
      <c r="L527" s="3"/>
    </row>
    <row r="528" spans="1:12" ht="11.25" x14ac:dyDescent="0.2">
      <c r="A528" s="3">
        <f t="shared" si="66"/>
        <v>22</v>
      </c>
      <c r="B528" s="3"/>
      <c r="C528" s="3" t="str">
        <f>Input!B466</f>
        <v>FURNITURE &amp; EQUIPMENT</v>
      </c>
      <c r="D528" s="325" t="str">
        <f>VLOOKUP(Input!C466,'Alloc Table Comm'!$A$7:$B$27,2,FALSE)</f>
        <v>12COMM</v>
      </c>
      <c r="E528" s="3">
        <f>Classification!G528</f>
        <v>0</v>
      </c>
      <c r="F528" s="3">
        <f ca="1">ROUND((VLOOKUP($D528,'Alloc Table Comm'!$B$7:$T$56,13,FALSE)*$E528),0)</f>
        <v>0</v>
      </c>
      <c r="G528" s="3">
        <f ca="1">ROUND((VLOOKUP($D528,'Alloc Table Comm'!$B$7:$T$56,14,FALSE)*$E528),0)</f>
        <v>0</v>
      </c>
      <c r="H528" s="3">
        <f ca="1">ROUND((VLOOKUP($D528,'Alloc Table Comm'!$B$7:$T$56,15,FALSE)*$E528),0)</f>
        <v>0</v>
      </c>
      <c r="I528" s="3">
        <f ca="1">ROUND((VLOOKUP($D528,'Alloc Table Comm'!$B$7:$T$56,16,FALSE)*$E528),0)</f>
        <v>0</v>
      </c>
      <c r="J528" s="3">
        <f ca="1">ROUND((VLOOKUP($D528,'Alloc Table Comm'!$B$7:$T$56,17,FALSE)*$E528),0)</f>
        <v>0</v>
      </c>
      <c r="K528" s="3">
        <f ca="1">ROUND((VLOOKUP($D528,'Alloc Table Comm'!$B$7:$T$56,18,FALSE)*$E528),0)</f>
        <v>0</v>
      </c>
      <c r="L528" s="3">
        <f ca="1">ROUND((VLOOKUP($D528,'Alloc Table Comm'!$B$7:$T$56,19,FALSE)*$E528),0)</f>
        <v>0</v>
      </c>
    </row>
    <row r="529" spans="1:12" ht="11.25" x14ac:dyDescent="0.2">
      <c r="A529" s="3">
        <f t="shared" si="66"/>
        <v>23</v>
      </c>
      <c r="B529" s="3">
        <f>Input!A467</f>
        <v>932</v>
      </c>
      <c r="C529" s="3" t="str">
        <f>Input!B467</f>
        <v>MAINT.-MISCELLANEOUS</v>
      </c>
      <c r="D529" s="325" t="str">
        <f>VLOOKUP(Input!C467,'Alloc Table Comm'!$A$7:$B$27,2,FALSE)</f>
        <v>12COMM</v>
      </c>
      <c r="E529" s="26">
        <f>Classification!G529</f>
        <v>0</v>
      </c>
      <c r="F529" s="26">
        <f ca="1">ROUND((VLOOKUP($D529,'Alloc Table Comm'!$B$7:$T$56,13,FALSE)*$E529),0)</f>
        <v>0</v>
      </c>
      <c r="G529" s="26">
        <f ca="1">ROUND((VLOOKUP($D529,'Alloc Table Comm'!$B$7:$T$56,14,FALSE)*$E529),0)</f>
        <v>0</v>
      </c>
      <c r="H529" s="26">
        <f ca="1">ROUND((VLOOKUP($D529,'Alloc Table Comm'!$B$7:$T$56,15,FALSE)*$E529),0)</f>
        <v>0</v>
      </c>
      <c r="I529" s="26">
        <f ca="1">ROUND((VLOOKUP($D529,'Alloc Table Comm'!$B$7:$T$56,16,FALSE)*$E529),0)</f>
        <v>0</v>
      </c>
      <c r="J529" s="26">
        <f ca="1">ROUND((VLOOKUP($D529,'Alloc Table Comm'!$B$7:$T$56,17,FALSE)*$E529),0)</f>
        <v>0</v>
      </c>
      <c r="K529" s="26">
        <f ca="1">ROUND((VLOOKUP($D529,'Alloc Table Comm'!$B$7:$T$56,18,FALSE)*$E529),0)</f>
        <v>0</v>
      </c>
      <c r="L529" s="26">
        <f ca="1">ROUND((VLOOKUP($D529,'Alloc Table Comm'!$B$7:$T$56,19,FALSE)*$E529),0)</f>
        <v>0</v>
      </c>
    </row>
    <row r="530" spans="1:12" ht="11.25" x14ac:dyDescent="0.2">
      <c r="A530" s="3">
        <f>A529+1</f>
        <v>24</v>
      </c>
      <c r="B530" s="3"/>
      <c r="C530" s="3" t="s">
        <v>317</v>
      </c>
      <c r="D530" s="325"/>
      <c r="E530" s="26">
        <f t="shared" ref="E530:L530" si="67">SUM(E515:E529)</f>
        <v>277063</v>
      </c>
      <c r="F530" s="26">
        <f t="shared" ca="1" si="67"/>
        <v>107140</v>
      </c>
      <c r="G530" s="26">
        <f t="shared" ca="1" si="67"/>
        <v>72790</v>
      </c>
      <c r="H530" s="26">
        <f t="shared" ca="1" si="67"/>
        <v>155</v>
      </c>
      <c r="I530" s="26">
        <f t="shared" ca="1" si="67"/>
        <v>14</v>
      </c>
      <c r="J530" s="26">
        <f t="shared" ca="1" si="67"/>
        <v>96964</v>
      </c>
      <c r="K530" s="26">
        <f t="shared" ca="1" si="67"/>
        <v>0</v>
      </c>
      <c r="L530" s="26">
        <f t="shared" ca="1" si="67"/>
        <v>0</v>
      </c>
    </row>
    <row r="531" spans="1:12" ht="11.25" x14ac:dyDescent="0.2">
      <c r="A531" s="3"/>
      <c r="B531" s="3"/>
      <c r="C531" s="3"/>
      <c r="D531" s="325"/>
      <c r="E531" s="3"/>
      <c r="F531" s="3"/>
      <c r="G531" s="3"/>
      <c r="H531" s="3"/>
      <c r="I531" s="3"/>
      <c r="J531" s="3"/>
      <c r="K531" s="3"/>
      <c r="L531" s="3"/>
    </row>
    <row r="532" spans="1:12" ht="11.25" x14ac:dyDescent="0.2">
      <c r="A532" s="3">
        <f>A530+1</f>
        <v>25</v>
      </c>
      <c r="B532" s="3"/>
      <c r="C532" s="3" t="s">
        <v>318</v>
      </c>
      <c r="D532" s="325"/>
      <c r="E532" s="3">
        <f>Commodity!E408+Commodity!E416+Commodity!E418+Commodity!E428+E511+E530</f>
        <v>1617947</v>
      </c>
      <c r="F532" s="3">
        <f ca="1">Commodity!F408+Commodity!F416+Commodity!F418+Commodity!F428+F511+F530</f>
        <v>625664</v>
      </c>
      <c r="G532" s="3">
        <f ca="1">Commodity!G408+Commodity!G416+Commodity!G418+Commodity!G428+G511+G530</f>
        <v>425064</v>
      </c>
      <c r="H532" s="3">
        <f ca="1">Commodity!H408+Commodity!H416+Commodity!H418+Commodity!H428+H511+H530</f>
        <v>912</v>
      </c>
      <c r="I532" s="3">
        <f ca="1">Commodity!I408+Commodity!I416+Commodity!I418+Commodity!I428+I511+I530</f>
        <v>76</v>
      </c>
      <c r="J532" s="3">
        <f ca="1">Commodity!J408+Commodity!J416+Commodity!J418+Commodity!J428+J511+J530</f>
        <v>566227</v>
      </c>
      <c r="K532" s="3">
        <f ca="1">Commodity!K408+Commodity!K416+Commodity!K418+Commodity!K428+K511+K530</f>
        <v>0</v>
      </c>
      <c r="L532" s="3">
        <f ca="1">Commodity!L408+Commodity!L416+Commodity!L418+Commodity!L428+L511+L530</f>
        <v>0</v>
      </c>
    </row>
    <row r="533" spans="1:12" ht="11.25" x14ac:dyDescent="0.2">
      <c r="A533" s="3" t="s">
        <v>818</v>
      </c>
      <c r="B533" s="3"/>
      <c r="C533" s="3"/>
      <c r="D533" s="325"/>
      <c r="E533" s="3"/>
      <c r="F533" s="325" t="str">
        <f>""&amp;+Input!$B$1</f>
        <v>COLUMBIA GAS OF KENTUCKY, INC.</v>
      </c>
      <c r="H533" s="3"/>
      <c r="I533" s="3"/>
      <c r="J533" s="3"/>
      <c r="K533" s="3"/>
      <c r="L533" s="32" t="str">
        <f>Input!$B$2</f>
        <v>ATTACHMENT CEN-2</v>
      </c>
    </row>
    <row r="534" spans="1:12" ht="11.25" x14ac:dyDescent="0.2">
      <c r="A534" s="3" t="str">
        <f>Input!$B$7</f>
        <v>DEMAND-COMMODITY</v>
      </c>
      <c r="B534" s="3"/>
      <c r="C534" s="3"/>
      <c r="D534" s="325"/>
      <c r="E534" s="3"/>
      <c r="F534" s="325" t="s">
        <v>569</v>
      </c>
      <c r="H534" s="3"/>
      <c r="I534" s="3"/>
      <c r="J534" s="3"/>
      <c r="K534" s="3"/>
      <c r="L534" s="32" t="str">
        <f>"PAGE 93 OF "&amp;FIXED(Input!$B$8,0,TRUE)</f>
        <v>PAGE 93 OF 129</v>
      </c>
    </row>
    <row r="535" spans="1:12" ht="11.25" x14ac:dyDescent="0.2">
      <c r="A535" s="17" t="str">
        <f>Input!$B$6</f>
        <v>FORECASTED TEST YEAR - ORIGINAL FILING</v>
      </c>
      <c r="B535" s="17"/>
      <c r="C535" s="17"/>
      <c r="D535" s="34"/>
      <c r="E535" s="17"/>
      <c r="F535" s="19" t="str">
        <f>"FOR THE TWELVE MONTHS ENDED "&amp;Input!$B$4</f>
        <v>FOR THE TWELVE MONTHS ENDED 12/31/2017</v>
      </c>
      <c r="G535" s="329"/>
      <c r="H535" s="17"/>
      <c r="I535" s="17"/>
      <c r="J535" s="17"/>
      <c r="K535" s="17"/>
      <c r="L535" s="183" t="str">
        <f>"WITNESS: "&amp;Input!$B$5</f>
        <v>WITNESS: C. NOTESTONE</v>
      </c>
    </row>
    <row r="536" spans="1:12" ht="11.25" x14ac:dyDescent="0.2">
      <c r="A536" s="325" t="s">
        <v>5</v>
      </c>
      <c r="B536" s="3" t="s">
        <v>6</v>
      </c>
      <c r="C536" s="3"/>
      <c r="D536" s="325" t="s">
        <v>7</v>
      </c>
      <c r="E536" s="325" t="s">
        <v>8</v>
      </c>
      <c r="F536" s="3"/>
      <c r="G536" s="3"/>
      <c r="H536" s="3"/>
      <c r="I536" s="3"/>
      <c r="J536" s="3"/>
      <c r="K536" s="3"/>
      <c r="L536" s="3"/>
    </row>
    <row r="537" spans="1:12" ht="11.25" x14ac:dyDescent="0.2">
      <c r="A537" s="341" t="s">
        <v>9</v>
      </c>
      <c r="B537" s="341" t="s">
        <v>9</v>
      </c>
      <c r="C537" s="34" t="str">
        <f>Commodity!C128</f>
        <v xml:space="preserve"> ACCOUNT TITLE</v>
      </c>
      <c r="D537" s="341" t="s">
        <v>10</v>
      </c>
      <c r="E537" s="341" t="s">
        <v>812</v>
      </c>
      <c r="F537" s="341" t="str">
        <f>"  "&amp;+Input!$C$12</f>
        <v xml:space="preserve">  GS-RESIDENTIAL</v>
      </c>
      <c r="G537" s="341" t="str">
        <f>Input!$C$13</f>
        <v>GS-OTHER</v>
      </c>
      <c r="H537" s="341" t="str">
        <f>Input!$C$14</f>
        <v>IUS</v>
      </c>
      <c r="I537" s="341" t="str">
        <f>Input!$C$15</f>
        <v>DS-ML</v>
      </c>
      <c r="J537" s="341" t="str">
        <f>Input!$C$16</f>
        <v>DS/IS</v>
      </c>
      <c r="K537" s="341" t="str">
        <f>Input!$C$17</f>
        <v>NOT USED</v>
      </c>
      <c r="L537" s="341" t="str">
        <f>Input!$C$18</f>
        <v>NOT USED</v>
      </c>
    </row>
    <row r="538" spans="1:12" ht="11.25" x14ac:dyDescent="0.2">
      <c r="A538" s="3"/>
      <c r="B538" s="342" t="s">
        <v>13</v>
      </c>
      <c r="C538" s="342" t="s">
        <v>14</v>
      </c>
      <c r="D538" s="325" t="s">
        <v>15</v>
      </c>
      <c r="E538" s="325" t="s">
        <v>16</v>
      </c>
      <c r="F538" s="325" t="s">
        <v>17</v>
      </c>
      <c r="G538" s="325" t="s">
        <v>18</v>
      </c>
      <c r="H538" s="325" t="s">
        <v>19</v>
      </c>
      <c r="I538" s="325" t="s">
        <v>20</v>
      </c>
      <c r="J538" s="325" t="s">
        <v>21</v>
      </c>
      <c r="K538" s="325" t="s">
        <v>22</v>
      </c>
      <c r="L538" s="325" t="s">
        <v>23</v>
      </c>
    </row>
    <row r="539" spans="1:12" ht="11.25" x14ac:dyDescent="0.2">
      <c r="A539" s="3"/>
      <c r="B539" s="3"/>
      <c r="C539" s="3"/>
      <c r="D539" s="325"/>
      <c r="E539" s="325" t="s">
        <v>26</v>
      </c>
      <c r="F539" s="325" t="s">
        <v>26</v>
      </c>
      <c r="G539" s="325" t="s">
        <v>26</v>
      </c>
      <c r="H539" s="325" t="s">
        <v>26</v>
      </c>
      <c r="I539" s="325" t="s">
        <v>26</v>
      </c>
      <c r="J539" s="325" t="s">
        <v>26</v>
      </c>
      <c r="K539" s="325" t="s">
        <v>26</v>
      </c>
      <c r="L539" s="325" t="s">
        <v>26</v>
      </c>
    </row>
    <row r="540" spans="1:12" ht="11.25" x14ac:dyDescent="0.2">
      <c r="A540" s="3">
        <v>1</v>
      </c>
      <c r="B540" s="3"/>
      <c r="C540" s="3" t="str">
        <f>Input!A393</f>
        <v>DISTRIBUTION EXPENSES</v>
      </c>
      <c r="D540" s="325"/>
      <c r="E540" s="3"/>
      <c r="F540" s="3"/>
      <c r="G540" s="3"/>
      <c r="H540" s="3"/>
      <c r="I540" s="3"/>
      <c r="J540" s="3"/>
      <c r="K540" s="3"/>
      <c r="L540" s="3"/>
    </row>
    <row r="541" spans="1:12" ht="11.25" x14ac:dyDescent="0.2">
      <c r="A541" s="3"/>
      <c r="B541" s="3"/>
      <c r="C541" s="3"/>
      <c r="D541" s="325"/>
      <c r="E541" s="3"/>
      <c r="F541" s="3"/>
      <c r="G541" s="3"/>
      <c r="H541" s="3"/>
      <c r="I541" s="3"/>
      <c r="J541" s="3"/>
      <c r="K541" s="3"/>
      <c r="L541" s="3"/>
    </row>
    <row r="542" spans="1:12" ht="11.25" x14ac:dyDescent="0.2">
      <c r="A542" s="3">
        <f>A540+1</f>
        <v>2</v>
      </c>
      <c r="B542" s="3" t="str">
        <f>Input!A396</f>
        <v>870</v>
      </c>
      <c r="C542" s="3" t="str">
        <f>Input!B396</f>
        <v>SUPERVISION &amp; ENGINEERING</v>
      </c>
      <c r="D542" s="325" t="str">
        <f>VLOOKUP(Input!C396,'Alloc Table Comm'!$A$7:$B$27,2,FALSE)</f>
        <v>11COMM</v>
      </c>
      <c r="E542" s="3">
        <f>Classification!G542</f>
        <v>244067</v>
      </c>
      <c r="F542" s="3">
        <f ca="1">ROUND((VLOOKUP($D542,'Alloc Table Comm'!$B$7:$T$56,13,FALSE)*$E542),0)</f>
        <v>95059</v>
      </c>
      <c r="G542" s="3">
        <f ca="1">ROUND((VLOOKUP($D542,'Alloc Table Comm'!$B$7:$T$56,14,FALSE)*$E542),0)</f>
        <v>64395</v>
      </c>
      <c r="H542" s="3">
        <f ca="1">ROUND((VLOOKUP($D542,'Alloc Table Comm'!$B$7:$T$56,15,FALSE)*$E542),0)</f>
        <v>139</v>
      </c>
      <c r="I542" s="3">
        <f ca="1">ROUND((VLOOKUP($D542,'Alloc Table Comm'!$B$7:$T$56,16,FALSE)*$E542),0)</f>
        <v>12</v>
      </c>
      <c r="J542" s="3">
        <f ca="1">ROUND((VLOOKUP($D542,'Alloc Table Comm'!$B$7:$T$56,17,FALSE)*$E542),0)</f>
        <v>84462</v>
      </c>
      <c r="K542" s="3">
        <f ca="1">ROUND((VLOOKUP($D542,'Alloc Table Comm'!$B$7:$T$56,18,FALSE)*$E542),0)</f>
        <v>0</v>
      </c>
      <c r="L542" s="3">
        <f ca="1">ROUND((VLOOKUP($D542,'Alloc Table Comm'!$B$7:$T$56,19,FALSE)*$E542),0)</f>
        <v>0</v>
      </c>
    </row>
    <row r="543" spans="1:12" ht="11.25" x14ac:dyDescent="0.2">
      <c r="A543" s="3">
        <f t="shared" ref="A543:A551" si="68">A542+1</f>
        <v>3</v>
      </c>
      <c r="B543" s="3" t="str">
        <f>Input!A397</f>
        <v>871</v>
      </c>
      <c r="C543" s="3" t="str">
        <f>Input!B397</f>
        <v>DISTRIBUTION LOAD DISPATCH</v>
      </c>
      <c r="D543" s="325">
        <f>Input!C397</f>
        <v>4</v>
      </c>
      <c r="E543" s="3">
        <f>Classification!G543</f>
        <v>17885</v>
      </c>
      <c r="F543" s="3">
        <f>ROUND((VLOOKUP($D543,'Alloc Table Comm'!$B$7:$T$56,13,FALSE)*$E543),0)</f>
        <v>5977</v>
      </c>
      <c r="G543" s="3">
        <f>ROUND((VLOOKUP($D543,'Alloc Table Comm'!$B$7:$T$56,14,FALSE)*$E543),0)</f>
        <v>4319</v>
      </c>
      <c r="H543" s="3">
        <f>ROUND((VLOOKUP($D543,'Alloc Table Comm'!$B$7:$T$56,15,FALSE)*$E543),0)</f>
        <v>9</v>
      </c>
      <c r="I543" s="3">
        <f>ROUND((VLOOKUP($D543,'Alloc Table Comm'!$B$7:$T$56,16,FALSE)*$E543),0)</f>
        <v>0</v>
      </c>
      <c r="J543" s="3">
        <f>ROUND((VLOOKUP($D543,'Alloc Table Comm'!$B$7:$T$56,17,FALSE)*$E543),0)</f>
        <v>7580</v>
      </c>
      <c r="K543" s="3">
        <f>ROUND((VLOOKUP($D543,'Alloc Table Comm'!$B$7:$T$56,18,FALSE)*$E543),0)</f>
        <v>0</v>
      </c>
      <c r="L543" s="3">
        <f>ROUND((VLOOKUP($D543,'Alloc Table Comm'!$B$7:$T$56,19,FALSE)*$E543),0)</f>
        <v>0</v>
      </c>
    </row>
    <row r="544" spans="1:12" ht="11.25" x14ac:dyDescent="0.2">
      <c r="A544" s="3">
        <f t="shared" si="68"/>
        <v>4</v>
      </c>
      <c r="B544" s="3" t="str">
        <f>Input!A398</f>
        <v>874</v>
      </c>
      <c r="C544" s="3" t="str">
        <f>Input!B398</f>
        <v>MAINS &amp; SERVICES</v>
      </c>
      <c r="D544" s="325" t="str">
        <f>VLOOKUP(Input!C398,'Alloc Table Comm'!$A$7:$B$27,2,FALSE)</f>
        <v>14COMM</v>
      </c>
      <c r="E544" s="3">
        <f>Classification!G544</f>
        <v>1522138</v>
      </c>
      <c r="F544" s="3">
        <f ca="1">ROUND((VLOOKUP($D544,'Alloc Table Comm'!$B$7:$T$56,13,FALSE)*$E544),0)</f>
        <v>593360</v>
      </c>
      <c r="G544" s="3">
        <f ca="1">ROUND((VLOOKUP($D544,'Alloc Table Comm'!$B$7:$T$56,14,FALSE)*$E544),0)</f>
        <v>401814</v>
      </c>
      <c r="H544" s="3">
        <f ca="1">ROUND((VLOOKUP($D544,'Alloc Table Comm'!$B$7:$T$56,15,FALSE)*$E544),0)</f>
        <v>868</v>
      </c>
      <c r="I544" s="3">
        <f ca="1">ROUND((VLOOKUP($D544,'Alloc Table Comm'!$B$7:$T$56,16,FALSE)*$E544),0)</f>
        <v>76</v>
      </c>
      <c r="J544" s="3">
        <f ca="1">ROUND((VLOOKUP($D544,'Alloc Table Comm'!$B$7:$T$56,17,FALSE)*$E544),0)</f>
        <v>526020</v>
      </c>
      <c r="K544" s="3">
        <f ca="1">ROUND((VLOOKUP($D544,'Alloc Table Comm'!$B$7:$T$56,18,FALSE)*$E544),0)</f>
        <v>0</v>
      </c>
      <c r="L544" s="3">
        <f ca="1">ROUND((VLOOKUP($D544,'Alloc Table Comm'!$B$7:$T$56,19,FALSE)*$E544),0)</f>
        <v>0</v>
      </c>
    </row>
    <row r="545" spans="1:12" ht="11.25" x14ac:dyDescent="0.2">
      <c r="A545" s="3">
        <f t="shared" si="68"/>
        <v>5</v>
      </c>
      <c r="B545" s="3" t="str">
        <f>Input!A399</f>
        <v>875</v>
      </c>
      <c r="C545" s="3" t="str">
        <f>Input!B399</f>
        <v>M &amp; R - GENERAL</v>
      </c>
      <c r="D545" s="325" t="str">
        <f>VLOOKUP(Input!C399,'Alloc Table Comm'!$A$7:$B$27,2,FALSE)</f>
        <v>18COMM</v>
      </c>
      <c r="E545" s="3">
        <f>Classification!G545</f>
        <v>59190</v>
      </c>
      <c r="F545" s="3">
        <f>ROUND((VLOOKUP($D545,'Alloc Table Comm'!$B$7:$T$56,13,FALSE)*$E545),0)</f>
        <v>23073</v>
      </c>
      <c r="G545" s="3">
        <f>ROUND((VLOOKUP($D545,'Alloc Table Comm'!$B$7:$T$56,14,FALSE)*$E545),0)</f>
        <v>15625</v>
      </c>
      <c r="H545" s="3">
        <f>ROUND((VLOOKUP($D545,'Alloc Table Comm'!$B$7:$T$56,15,FALSE)*$E545),0)</f>
        <v>34</v>
      </c>
      <c r="I545" s="3">
        <f>ROUND((VLOOKUP($D545,'Alloc Table Comm'!$B$7:$T$56,16,FALSE)*$E545),0)</f>
        <v>3</v>
      </c>
      <c r="J545" s="3">
        <f>ROUND((VLOOKUP($D545,'Alloc Table Comm'!$B$7:$T$56,17,FALSE)*$E545),0)</f>
        <v>20455</v>
      </c>
      <c r="K545" s="3">
        <f>ROUND((VLOOKUP($D545,'Alloc Table Comm'!$B$7:$T$56,18,FALSE)*$E545),0)</f>
        <v>0</v>
      </c>
      <c r="L545" s="3">
        <f>ROUND((VLOOKUP($D545,'Alloc Table Comm'!$B$7:$T$56,19,FALSE)*$E545),0)</f>
        <v>0</v>
      </c>
    </row>
    <row r="546" spans="1:12" ht="11.25" x14ac:dyDescent="0.2">
      <c r="A546" s="3">
        <f t="shared" si="68"/>
        <v>6</v>
      </c>
      <c r="B546" s="3" t="str">
        <f>Input!A400</f>
        <v>876</v>
      </c>
      <c r="C546" s="3" t="str">
        <f>Input!B400</f>
        <v>M &amp; R - INDUSTRIAL</v>
      </c>
      <c r="D546" s="325">
        <f>Input!C400</f>
        <v>8</v>
      </c>
      <c r="E546" s="3">
        <f>Classification!G546</f>
        <v>0</v>
      </c>
      <c r="F546" s="3">
        <f>ROUND((VLOOKUP($D546,'Alloc Table Comm'!$B$7:$T$56,13,FALSE)*$E546),0)</f>
        <v>0</v>
      </c>
      <c r="G546" s="3">
        <f>ROUND((VLOOKUP($D546,'Alloc Table Comm'!$B$7:$T$56,14,FALSE)*$E546),0)</f>
        <v>0</v>
      </c>
      <c r="H546" s="3">
        <f>ROUND((VLOOKUP($D546,'Alloc Table Comm'!$B$7:$T$56,15,FALSE)*$E546),0)</f>
        <v>0</v>
      </c>
      <c r="I546" s="3">
        <f>ROUND((VLOOKUP($D546,'Alloc Table Comm'!$B$7:$T$56,16,FALSE)*$E546),0)</f>
        <v>0</v>
      </c>
      <c r="J546" s="3">
        <f>ROUND((VLOOKUP($D546,'Alloc Table Comm'!$B$7:$T$56,17,FALSE)*$E546),0)</f>
        <v>0</v>
      </c>
      <c r="K546" s="3">
        <f>ROUND((VLOOKUP($D546,'Alloc Table Comm'!$B$7:$T$56,18,FALSE)*$E546),0)</f>
        <v>0</v>
      </c>
      <c r="L546" s="3">
        <f>ROUND((VLOOKUP($D546,'Alloc Table Comm'!$B$7:$T$56,19,FALSE)*$E546),0)</f>
        <v>0</v>
      </c>
    </row>
    <row r="547" spans="1:12" ht="11.25" x14ac:dyDescent="0.2">
      <c r="A547" s="3">
        <f t="shared" si="68"/>
        <v>7</v>
      </c>
      <c r="B547" s="3" t="str">
        <f>Input!A401</f>
        <v>878</v>
      </c>
      <c r="C547" s="3" t="str">
        <f>Input!B401</f>
        <v>METERS &amp; HOUSE REGULATORS</v>
      </c>
      <c r="D547" s="325">
        <f>Input!C401</f>
        <v>16</v>
      </c>
      <c r="E547" s="3">
        <f>Classification!G547</f>
        <v>0</v>
      </c>
      <c r="F547" s="3">
        <f>ROUND((VLOOKUP($D547,'Alloc Table Comm'!$B$7:$T$56,13,FALSE)*$E547),0)</f>
        <v>0</v>
      </c>
      <c r="G547" s="3">
        <f>ROUND((VLOOKUP($D547,'Alloc Table Comm'!$B$7:$T$56,14,FALSE)*$E547),0)</f>
        <v>0</v>
      </c>
      <c r="H547" s="3">
        <f>ROUND((VLOOKUP($D547,'Alloc Table Comm'!$B$7:$T$56,15,FALSE)*$E547),0)</f>
        <v>0</v>
      </c>
      <c r="I547" s="3">
        <f>ROUND((VLOOKUP($D547,'Alloc Table Comm'!$B$7:$T$56,16,FALSE)*$E547),0)</f>
        <v>0</v>
      </c>
      <c r="J547" s="3">
        <f>ROUND((VLOOKUP($D547,'Alloc Table Comm'!$B$7:$T$56,17,FALSE)*$E547),0)</f>
        <v>0</v>
      </c>
      <c r="K547" s="3">
        <f>ROUND((VLOOKUP($D547,'Alloc Table Comm'!$B$7:$T$56,18,FALSE)*$E547),0)</f>
        <v>0</v>
      </c>
      <c r="L547" s="3">
        <f>ROUND((VLOOKUP($D547,'Alloc Table Comm'!$B$7:$T$56,19,FALSE)*$E547),0)</f>
        <v>0</v>
      </c>
    </row>
    <row r="548" spans="1:12" ht="11.25" x14ac:dyDescent="0.2">
      <c r="A548" s="3">
        <f t="shared" si="68"/>
        <v>8</v>
      </c>
      <c r="B548" s="3" t="str">
        <f>Input!A402</f>
        <v>879</v>
      </c>
      <c r="C548" s="3" t="str">
        <f>Input!B402</f>
        <v xml:space="preserve">CUSTOMER INSTALLATION </v>
      </c>
      <c r="D548" s="325">
        <f>Input!C402</f>
        <v>16</v>
      </c>
      <c r="E548" s="3">
        <f>Classification!G548</f>
        <v>0</v>
      </c>
      <c r="F548" s="3">
        <f>ROUND((VLOOKUP($D548,'Alloc Table Comm'!$B$7:$T$56,13,FALSE)*$E548),0)</f>
        <v>0</v>
      </c>
      <c r="G548" s="3">
        <f>ROUND((VLOOKUP($D548,'Alloc Table Comm'!$B$7:$T$56,14,FALSE)*$E548),0)</f>
        <v>0</v>
      </c>
      <c r="H548" s="3">
        <f>ROUND((VLOOKUP($D548,'Alloc Table Comm'!$B$7:$T$56,15,FALSE)*$E548),0)</f>
        <v>0</v>
      </c>
      <c r="I548" s="3">
        <f>ROUND((VLOOKUP($D548,'Alloc Table Comm'!$B$7:$T$56,16,FALSE)*$E548),0)</f>
        <v>0</v>
      </c>
      <c r="J548" s="3">
        <f>ROUND((VLOOKUP($D548,'Alloc Table Comm'!$B$7:$T$56,17,FALSE)*$E548),0)</f>
        <v>0</v>
      </c>
      <c r="K548" s="3">
        <f>ROUND((VLOOKUP($D548,'Alloc Table Comm'!$B$7:$T$56,18,FALSE)*$E548),0)</f>
        <v>0</v>
      </c>
      <c r="L548" s="3">
        <f>ROUND((VLOOKUP($D548,'Alloc Table Comm'!$B$7:$T$56,19,FALSE)*$E548),0)</f>
        <v>0</v>
      </c>
    </row>
    <row r="549" spans="1:12" ht="11.25" x14ac:dyDescent="0.2">
      <c r="A549" s="3">
        <f t="shared" si="68"/>
        <v>9</v>
      </c>
      <c r="B549" s="3" t="str">
        <f>Input!A403</f>
        <v>880</v>
      </c>
      <c r="C549" s="3" t="str">
        <f>Input!B403</f>
        <v>OTHER</v>
      </c>
      <c r="D549" s="325" t="str">
        <f>VLOOKUP(Input!C403,'Alloc Table Comm'!$A$7:$B$27,2,FALSE)</f>
        <v>11COMM</v>
      </c>
      <c r="E549" s="3">
        <f>Classification!G549</f>
        <v>377403</v>
      </c>
      <c r="F549" s="3">
        <f ca="1">ROUND((VLOOKUP($D549,'Alloc Table Comm'!$B$7:$T$56,13,FALSE)*$E549),0)</f>
        <v>146991</v>
      </c>
      <c r="G549" s="3">
        <f ca="1">ROUND((VLOOKUP($D549,'Alloc Table Comm'!$B$7:$T$56,14,FALSE)*$E549),0)</f>
        <v>99574</v>
      </c>
      <c r="H549" s="3">
        <f ca="1">ROUND((VLOOKUP($D549,'Alloc Table Comm'!$B$7:$T$56,15,FALSE)*$E549),0)</f>
        <v>215</v>
      </c>
      <c r="I549" s="3">
        <f ca="1">ROUND((VLOOKUP($D549,'Alloc Table Comm'!$B$7:$T$56,16,FALSE)*$E549),0)</f>
        <v>19</v>
      </c>
      <c r="J549" s="3">
        <f ca="1">ROUND((VLOOKUP($D549,'Alloc Table Comm'!$B$7:$T$56,17,FALSE)*$E549),0)</f>
        <v>130604</v>
      </c>
      <c r="K549" s="3">
        <f ca="1">ROUND((VLOOKUP($D549,'Alloc Table Comm'!$B$7:$T$56,18,FALSE)*$E549),0)</f>
        <v>0</v>
      </c>
      <c r="L549" s="3">
        <f ca="1">ROUND((VLOOKUP($D549,'Alloc Table Comm'!$B$7:$T$56,19,FALSE)*$E549),0)</f>
        <v>0</v>
      </c>
    </row>
    <row r="550" spans="1:12" ht="11.25" x14ac:dyDescent="0.2">
      <c r="A550" s="3">
        <f t="shared" si="68"/>
        <v>10</v>
      </c>
      <c r="B550" s="3" t="str">
        <f>Input!A404</f>
        <v>881</v>
      </c>
      <c r="C550" s="3" t="str">
        <f>Input!B404</f>
        <v>RENTS</v>
      </c>
      <c r="D550" s="325" t="str">
        <f>VLOOKUP(Input!C404,'Alloc Table Comm'!$A$7:$B$27,2,FALSE)</f>
        <v>11COMM</v>
      </c>
      <c r="E550" s="26">
        <f>Classification!G550</f>
        <v>25594</v>
      </c>
      <c r="F550" s="26">
        <f ca="1">ROUND((VLOOKUP($D550,'Alloc Table Comm'!$B$7:$T$56,13,FALSE)*$E550),0)</f>
        <v>9968</v>
      </c>
      <c r="G550" s="26">
        <f ca="1">ROUND((VLOOKUP($D550,'Alloc Table Comm'!$B$7:$T$56,14,FALSE)*$E550),0)</f>
        <v>6753</v>
      </c>
      <c r="H550" s="26">
        <f ca="1">ROUND((VLOOKUP($D550,'Alloc Table Comm'!$B$7:$T$56,15,FALSE)*$E550),0)</f>
        <v>15</v>
      </c>
      <c r="I550" s="26">
        <f ca="1">ROUND((VLOOKUP($D550,'Alloc Table Comm'!$B$7:$T$56,16,FALSE)*$E550),0)</f>
        <v>1</v>
      </c>
      <c r="J550" s="26">
        <f ca="1">ROUND((VLOOKUP($D550,'Alloc Table Comm'!$B$7:$T$56,17,FALSE)*$E550),0)</f>
        <v>8857</v>
      </c>
      <c r="K550" s="26">
        <f ca="1">ROUND((VLOOKUP($D550,'Alloc Table Comm'!$B$7:$T$56,18,FALSE)*$E550),0)</f>
        <v>0</v>
      </c>
      <c r="L550" s="26">
        <f ca="1">ROUND((VLOOKUP($D550,'Alloc Table Comm'!$B$7:$T$56,19,FALSE)*$E550),0)</f>
        <v>0</v>
      </c>
    </row>
    <row r="551" spans="1:12" ht="11.25" x14ac:dyDescent="0.2">
      <c r="A551" s="3">
        <f t="shared" si="68"/>
        <v>11</v>
      </c>
      <c r="B551" s="3"/>
      <c r="C551" s="3" t="s">
        <v>271</v>
      </c>
      <c r="D551" s="325"/>
      <c r="E551" s="1">
        <f t="shared" ref="E551:L551" si="69">SUM(E542:E550)</f>
        <v>2246277</v>
      </c>
      <c r="F551" s="3">
        <f t="shared" ca="1" si="69"/>
        <v>874428</v>
      </c>
      <c r="G551" s="3">
        <f t="shared" ca="1" si="69"/>
        <v>592480</v>
      </c>
      <c r="H551" s="3">
        <f t="shared" ca="1" si="69"/>
        <v>1280</v>
      </c>
      <c r="I551" s="3">
        <f t="shared" ca="1" si="69"/>
        <v>111</v>
      </c>
      <c r="J551" s="3">
        <f t="shared" ca="1" si="69"/>
        <v>777978</v>
      </c>
      <c r="K551" s="3">
        <f t="shared" ca="1" si="69"/>
        <v>0</v>
      </c>
      <c r="L551" s="3">
        <f t="shared" ca="1" si="69"/>
        <v>0</v>
      </c>
    </row>
    <row r="552" spans="1:12" ht="11.25" x14ac:dyDescent="0.2">
      <c r="A552" s="3"/>
      <c r="B552" s="3"/>
      <c r="C552" s="3"/>
      <c r="D552" s="325"/>
      <c r="E552" s="1"/>
      <c r="F552" s="3"/>
      <c r="G552" s="3"/>
      <c r="H552" s="3"/>
      <c r="I552" s="3"/>
      <c r="J552" s="3"/>
      <c r="K552" s="3"/>
      <c r="L552" s="3"/>
    </row>
    <row r="553" spans="1:12" ht="11.25" x14ac:dyDescent="0.2">
      <c r="A553" s="3">
        <f>A551+1</f>
        <v>12</v>
      </c>
      <c r="B553" s="3"/>
      <c r="C553" s="3" t="str">
        <f>Input!A405</f>
        <v>MAINTENANCE</v>
      </c>
      <c r="D553" s="325"/>
      <c r="E553" s="1"/>
      <c r="F553" s="3"/>
      <c r="G553" s="3"/>
      <c r="H553" s="3"/>
      <c r="I553" s="3"/>
      <c r="J553" s="3"/>
      <c r="K553" s="3"/>
      <c r="L553" s="3"/>
    </row>
    <row r="554" spans="1:12" ht="11.25" x14ac:dyDescent="0.2">
      <c r="A554" s="3"/>
      <c r="B554" s="3"/>
      <c r="C554" s="3"/>
      <c r="D554" s="325"/>
      <c r="E554" s="1"/>
      <c r="F554" s="3"/>
      <c r="G554" s="3"/>
      <c r="H554" s="3"/>
      <c r="I554" s="3"/>
      <c r="J554" s="3"/>
      <c r="K554" s="3"/>
      <c r="L554" s="3"/>
    </row>
    <row r="555" spans="1:12" ht="11.25" x14ac:dyDescent="0.2">
      <c r="A555" s="3">
        <f>A553+1</f>
        <v>13</v>
      </c>
      <c r="B555" s="3" t="str">
        <f>Input!A406</f>
        <v>885</v>
      </c>
      <c r="C555" s="3" t="str">
        <f>Input!B406</f>
        <v>SUPERVISION &amp; ENGINEERING</v>
      </c>
      <c r="D555" s="325" t="str">
        <f>VLOOKUP(Input!C406,'Alloc Table Comm'!$A$7:$B$27,2,FALSE)</f>
        <v>11COMM</v>
      </c>
      <c r="E555" s="3">
        <f>Classification!G555</f>
        <v>801</v>
      </c>
      <c r="F555" s="3">
        <f ca="1">ROUND((VLOOKUP($D555,'Alloc Table Comm'!$B$7:$T$56,13,FALSE)*$E555),0)</f>
        <v>312</v>
      </c>
      <c r="G555" s="3">
        <f ca="1">ROUND((VLOOKUP($D555,'Alloc Table Comm'!$B$7:$T$56,14,FALSE)*$E555),0)</f>
        <v>211</v>
      </c>
      <c r="H555" s="3">
        <f ca="1">ROUND((VLOOKUP($D555,'Alloc Table Comm'!$B$7:$T$56,15,FALSE)*$E555),0)</f>
        <v>0</v>
      </c>
      <c r="I555" s="3">
        <f ca="1">ROUND((VLOOKUP($D555,'Alloc Table Comm'!$B$7:$T$56,16,FALSE)*$E555),0)</f>
        <v>0</v>
      </c>
      <c r="J555" s="3">
        <f ca="1">ROUND((VLOOKUP($D555,'Alloc Table Comm'!$B$7:$T$56,17,FALSE)*$E555),0)</f>
        <v>277</v>
      </c>
      <c r="K555" s="3">
        <f ca="1">ROUND((VLOOKUP($D555,'Alloc Table Comm'!$B$7:$T$56,18,FALSE)*$E555),0)</f>
        <v>0</v>
      </c>
      <c r="L555" s="3">
        <f ca="1">ROUND((VLOOKUP($D555,'Alloc Table Comm'!$B$7:$T$56,19,FALSE)*$E555),0)</f>
        <v>0</v>
      </c>
    </row>
    <row r="556" spans="1:12" ht="11.25" x14ac:dyDescent="0.2">
      <c r="A556" s="3">
        <f t="shared" ref="A556:A563" si="70">A555+1</f>
        <v>14</v>
      </c>
      <c r="B556" s="3" t="str">
        <f>Input!A407</f>
        <v>886</v>
      </c>
      <c r="C556" s="3" t="str">
        <f>Input!B407</f>
        <v>STRUCTURES &amp; IMPROVEMENTS</v>
      </c>
      <c r="D556" s="325" t="str">
        <f>VLOOKUP(Input!C407,'Alloc Table Comm'!$A$7:$B$27,2,FALSE)</f>
        <v>18COMM</v>
      </c>
      <c r="E556" s="3">
        <f>Classification!G556</f>
        <v>125919</v>
      </c>
      <c r="F556" s="3">
        <f>ROUND((VLOOKUP($D556,'Alloc Table Comm'!$B$7:$T$56,13,FALSE)*$E556),0)</f>
        <v>49086</v>
      </c>
      <c r="G556" s="3">
        <f>ROUND((VLOOKUP($D556,'Alloc Table Comm'!$B$7:$T$56,14,FALSE)*$E556),0)</f>
        <v>33240</v>
      </c>
      <c r="H556" s="3">
        <f>ROUND((VLOOKUP($D556,'Alloc Table Comm'!$B$7:$T$56,15,FALSE)*$E556),0)</f>
        <v>72</v>
      </c>
      <c r="I556" s="3">
        <f>ROUND((VLOOKUP($D556,'Alloc Table Comm'!$B$7:$T$56,16,FALSE)*$E556),0)</f>
        <v>6</v>
      </c>
      <c r="J556" s="3">
        <f>ROUND((VLOOKUP($D556,'Alloc Table Comm'!$B$7:$T$56,17,FALSE)*$E556),0)</f>
        <v>43515</v>
      </c>
      <c r="K556" s="3">
        <f>ROUND((VLOOKUP($D556,'Alloc Table Comm'!$B$7:$T$56,18,FALSE)*$E556),0)</f>
        <v>0</v>
      </c>
      <c r="L556" s="3">
        <f>ROUND((VLOOKUP($D556,'Alloc Table Comm'!$B$7:$T$56,19,FALSE)*$E556),0)</f>
        <v>0</v>
      </c>
    </row>
    <row r="557" spans="1:12" ht="11.25" x14ac:dyDescent="0.2">
      <c r="A557" s="3">
        <f t="shared" si="70"/>
        <v>15</v>
      </c>
      <c r="B557" s="3" t="str">
        <f>Input!A408</f>
        <v>887</v>
      </c>
      <c r="C557" s="3" t="str">
        <f>Input!B408</f>
        <v>MAINS</v>
      </c>
      <c r="D557" s="325" t="str">
        <f>VLOOKUP(Input!C408,'Alloc Table Comm'!$A$7:$B$27,2,FALSE)</f>
        <v>18COMM</v>
      </c>
      <c r="E557" s="3">
        <f>Classification!G557</f>
        <v>1101038</v>
      </c>
      <c r="F557" s="3">
        <f>ROUND((VLOOKUP($D557,'Alloc Table Comm'!$B$7:$T$56,13,FALSE)*$E557),0)</f>
        <v>429207</v>
      </c>
      <c r="G557" s="3">
        <f>ROUND((VLOOKUP($D557,'Alloc Table Comm'!$B$7:$T$56,14,FALSE)*$E557),0)</f>
        <v>290652</v>
      </c>
      <c r="H557" s="3">
        <f>ROUND((VLOOKUP($D557,'Alloc Table Comm'!$B$7:$T$56,15,FALSE)*$E557),0)</f>
        <v>628</v>
      </c>
      <c r="I557" s="3">
        <f>ROUND((VLOOKUP($D557,'Alloc Table Comm'!$B$7:$T$56,16,FALSE)*$E557),0)</f>
        <v>55</v>
      </c>
      <c r="J557" s="3">
        <f>ROUND((VLOOKUP($D557,'Alloc Table Comm'!$B$7:$T$56,17,FALSE)*$E557),0)</f>
        <v>380497</v>
      </c>
      <c r="K557" s="3">
        <f>ROUND((VLOOKUP($D557,'Alloc Table Comm'!$B$7:$T$56,18,FALSE)*$E557),0)</f>
        <v>0</v>
      </c>
      <c r="L557" s="3">
        <f>ROUND((VLOOKUP($D557,'Alloc Table Comm'!$B$7:$T$56,19,FALSE)*$E557),0)</f>
        <v>0</v>
      </c>
    </row>
    <row r="558" spans="1:12" ht="11.25" x14ac:dyDescent="0.2">
      <c r="A558" s="3">
        <f t="shared" si="70"/>
        <v>16</v>
      </c>
      <c r="B558" s="3" t="str">
        <f>Input!A409</f>
        <v>889</v>
      </c>
      <c r="C558" s="3" t="str">
        <f>Input!B409</f>
        <v>M &amp; R - GENERAL</v>
      </c>
      <c r="D558" s="325" t="str">
        <f>VLOOKUP(Input!C409,'Alloc Table Comm'!$A$7:$B$27,2,FALSE)</f>
        <v>18COMM</v>
      </c>
      <c r="E558" s="3">
        <f>Classification!G558</f>
        <v>72368</v>
      </c>
      <c r="F558" s="3">
        <f>ROUND((VLOOKUP($D558,'Alloc Table Comm'!$B$7:$T$56,13,FALSE)*$E558),0)</f>
        <v>28210</v>
      </c>
      <c r="G558" s="3">
        <f>ROUND((VLOOKUP($D558,'Alloc Table Comm'!$B$7:$T$56,14,FALSE)*$E558),0)</f>
        <v>19104</v>
      </c>
      <c r="H558" s="3">
        <f>ROUND((VLOOKUP($D558,'Alloc Table Comm'!$B$7:$T$56,15,FALSE)*$E558),0)</f>
        <v>41</v>
      </c>
      <c r="I558" s="3">
        <f>ROUND((VLOOKUP($D558,'Alloc Table Comm'!$B$7:$T$56,16,FALSE)*$E558),0)</f>
        <v>4</v>
      </c>
      <c r="J558" s="3">
        <f>ROUND((VLOOKUP($D558,'Alloc Table Comm'!$B$7:$T$56,17,FALSE)*$E558),0)</f>
        <v>25009</v>
      </c>
      <c r="K558" s="3">
        <f>ROUND((VLOOKUP($D558,'Alloc Table Comm'!$B$7:$T$56,18,FALSE)*$E558),0)</f>
        <v>0</v>
      </c>
      <c r="L558" s="3">
        <f>ROUND((VLOOKUP($D558,'Alloc Table Comm'!$B$7:$T$56,19,FALSE)*$E558),0)</f>
        <v>0</v>
      </c>
    </row>
    <row r="559" spans="1:12" ht="11.25" x14ac:dyDescent="0.2">
      <c r="A559" s="3">
        <f t="shared" si="70"/>
        <v>17</v>
      </c>
      <c r="B559" s="3" t="str">
        <f>Input!A410</f>
        <v>890</v>
      </c>
      <c r="C559" s="3" t="str">
        <f>Input!B410</f>
        <v>M &amp; R - INDUSTRIAL</v>
      </c>
      <c r="D559" s="325">
        <f>Input!C410</f>
        <v>8</v>
      </c>
      <c r="E559" s="3">
        <f>Classification!G559</f>
        <v>0</v>
      </c>
      <c r="F559" s="3">
        <f>ROUND((VLOOKUP($D559,'Alloc Table Comm'!$B$7:$T$56,13,FALSE)*$E559),0)</f>
        <v>0</v>
      </c>
      <c r="G559" s="3">
        <f>ROUND((VLOOKUP($D559,'Alloc Table Comm'!$B$7:$T$56,14,FALSE)*$E559),0)</f>
        <v>0</v>
      </c>
      <c r="H559" s="3">
        <f>ROUND((VLOOKUP($D559,'Alloc Table Comm'!$B$7:$T$56,15,FALSE)*$E559),0)</f>
        <v>0</v>
      </c>
      <c r="I559" s="3">
        <f>ROUND((VLOOKUP($D559,'Alloc Table Comm'!$B$7:$T$56,16,FALSE)*$E559),0)</f>
        <v>0</v>
      </c>
      <c r="J559" s="3">
        <f>ROUND((VLOOKUP($D559,'Alloc Table Comm'!$B$7:$T$56,17,FALSE)*$E559),0)</f>
        <v>0</v>
      </c>
      <c r="K559" s="3">
        <f>ROUND((VLOOKUP($D559,'Alloc Table Comm'!$B$7:$T$56,18,FALSE)*$E559),0)</f>
        <v>0</v>
      </c>
      <c r="L559" s="3">
        <f>ROUND((VLOOKUP($D559,'Alloc Table Comm'!$B$7:$T$56,19,FALSE)*$E559),0)</f>
        <v>0</v>
      </c>
    </row>
    <row r="560" spans="1:12" ht="11.25" x14ac:dyDescent="0.2">
      <c r="A560" s="3">
        <f t="shared" si="70"/>
        <v>18</v>
      </c>
      <c r="B560" s="3" t="str">
        <f>Input!A411</f>
        <v>892</v>
      </c>
      <c r="C560" s="3" t="str">
        <f>Input!B411</f>
        <v>SERVICES</v>
      </c>
      <c r="D560" s="325">
        <f>Input!C411</f>
        <v>15</v>
      </c>
      <c r="E560" s="3">
        <f>Classification!G560</f>
        <v>0</v>
      </c>
      <c r="F560" s="3">
        <f ca="1">ROUND((VLOOKUP($D560,'Alloc Table Comm'!$B$7:$T$56,13,FALSE)*$E560),0)</f>
        <v>0</v>
      </c>
      <c r="G560" s="3">
        <f ca="1">ROUND((VLOOKUP($D560,'Alloc Table Comm'!$B$7:$T$56,14,FALSE)*$E560),0)</f>
        <v>0</v>
      </c>
      <c r="H560" s="3">
        <f ca="1">ROUND((VLOOKUP($D560,'Alloc Table Comm'!$B$7:$T$56,15,FALSE)*$E560),0)</f>
        <v>0</v>
      </c>
      <c r="I560" s="3">
        <f ca="1">ROUND((VLOOKUP($D560,'Alloc Table Comm'!$B$7:$T$56,16,FALSE)*$E560),0)</f>
        <v>0</v>
      </c>
      <c r="J560" s="3">
        <f ca="1">ROUND((VLOOKUP($D560,'Alloc Table Comm'!$B$7:$T$56,17,FALSE)*$E560),0)</f>
        <v>0</v>
      </c>
      <c r="K560" s="3">
        <f ca="1">ROUND((VLOOKUP($D560,'Alloc Table Comm'!$B$7:$T$56,18,FALSE)*$E560),0)</f>
        <v>0</v>
      </c>
      <c r="L560" s="3">
        <f ca="1">ROUND((VLOOKUP($D560,'Alloc Table Comm'!$B$7:$T$56,19,FALSE)*$E560),0)</f>
        <v>0</v>
      </c>
    </row>
    <row r="561" spans="1:12" ht="11.25" x14ac:dyDescent="0.2">
      <c r="A561" s="3">
        <f t="shared" si="70"/>
        <v>19</v>
      </c>
      <c r="B561" s="3" t="str">
        <f>Input!A412</f>
        <v>893</v>
      </c>
      <c r="C561" s="3" t="str">
        <f>Input!B412</f>
        <v>METERS &amp; HOUSE REGULATORS</v>
      </c>
      <c r="D561" s="325">
        <f>Input!C412</f>
        <v>16</v>
      </c>
      <c r="E561" s="3">
        <f>Classification!G561</f>
        <v>0</v>
      </c>
      <c r="F561" s="3">
        <f>ROUND((VLOOKUP($D561,'Alloc Table Comm'!$B$7:$T$56,13,FALSE)*$E561),0)</f>
        <v>0</v>
      </c>
      <c r="G561" s="3">
        <f>ROUND((VLOOKUP($D561,'Alloc Table Comm'!$B$7:$T$56,14,FALSE)*$E561),0)</f>
        <v>0</v>
      </c>
      <c r="H561" s="3">
        <f>ROUND((VLOOKUP($D561,'Alloc Table Comm'!$B$7:$T$56,15,FALSE)*$E561),0)</f>
        <v>0</v>
      </c>
      <c r="I561" s="3">
        <f>ROUND((VLOOKUP($D561,'Alloc Table Comm'!$B$7:$T$56,16,FALSE)*$E561),0)</f>
        <v>0</v>
      </c>
      <c r="J561" s="3">
        <f>ROUND((VLOOKUP($D561,'Alloc Table Comm'!$B$7:$T$56,17,FALSE)*$E561),0)</f>
        <v>0</v>
      </c>
      <c r="K561" s="3">
        <f>ROUND((VLOOKUP($D561,'Alloc Table Comm'!$B$7:$T$56,18,FALSE)*$E561),0)</f>
        <v>0</v>
      </c>
      <c r="L561" s="3">
        <f>ROUND((VLOOKUP($D561,'Alloc Table Comm'!$B$7:$T$56,19,FALSE)*$E561),0)</f>
        <v>0</v>
      </c>
    </row>
    <row r="562" spans="1:12" ht="11.25" x14ac:dyDescent="0.2">
      <c r="A562" s="3">
        <f t="shared" si="70"/>
        <v>20</v>
      </c>
      <c r="B562" s="3" t="str">
        <f>Input!A413</f>
        <v>894</v>
      </c>
      <c r="C562" s="3" t="str">
        <f>Input!B413</f>
        <v>OTHER EQUIPMENT</v>
      </c>
      <c r="D562" s="325" t="str">
        <f>VLOOKUP(Input!C413,'Alloc Table Comm'!$A$7:$B$27,2,FALSE)</f>
        <v>11COMM</v>
      </c>
      <c r="E562" s="26">
        <f>Classification!G562</f>
        <v>62171</v>
      </c>
      <c r="F562" s="26">
        <f ca="1">ROUND((VLOOKUP($D562,'Alloc Table Comm'!$B$7:$T$56,13,FALSE)*$E562),0)</f>
        <v>24214</v>
      </c>
      <c r="G562" s="26">
        <f ca="1">ROUND((VLOOKUP($D562,'Alloc Table Comm'!$B$7:$T$56,14,FALSE)*$E562),0)</f>
        <v>16403</v>
      </c>
      <c r="H562" s="26">
        <f ca="1">ROUND((VLOOKUP($D562,'Alloc Table Comm'!$B$7:$T$56,15,FALSE)*$E562),0)</f>
        <v>35</v>
      </c>
      <c r="I562" s="26">
        <f ca="1">ROUND((VLOOKUP($D562,'Alloc Table Comm'!$B$7:$T$56,16,FALSE)*$E562),0)</f>
        <v>3</v>
      </c>
      <c r="J562" s="26">
        <f ca="1">ROUND((VLOOKUP($D562,'Alloc Table Comm'!$B$7:$T$56,17,FALSE)*$E562),0)</f>
        <v>21515</v>
      </c>
      <c r="K562" s="26">
        <f ca="1">ROUND((VLOOKUP($D562,'Alloc Table Comm'!$B$7:$T$56,18,FALSE)*$E562),0)</f>
        <v>0</v>
      </c>
      <c r="L562" s="26">
        <f ca="1">ROUND((VLOOKUP($D562,'Alloc Table Comm'!$B$7:$T$56,19,FALSE)*$E562),0)</f>
        <v>0</v>
      </c>
    </row>
    <row r="563" spans="1:12" ht="11.25" x14ac:dyDescent="0.2">
      <c r="A563" s="3">
        <f t="shared" si="70"/>
        <v>21</v>
      </c>
      <c r="B563" s="3"/>
      <c r="C563" s="3" t="s">
        <v>280</v>
      </c>
      <c r="D563" s="325"/>
      <c r="E563" s="1">
        <f t="shared" ref="E563:L563" si="71">SUM(E555:E562)</f>
        <v>1362297</v>
      </c>
      <c r="F563" s="3">
        <f t="shared" ca="1" si="71"/>
        <v>531029</v>
      </c>
      <c r="G563" s="3">
        <f t="shared" ca="1" si="71"/>
        <v>359610</v>
      </c>
      <c r="H563" s="3">
        <f t="shared" ca="1" si="71"/>
        <v>776</v>
      </c>
      <c r="I563" s="3">
        <f t="shared" ca="1" si="71"/>
        <v>68</v>
      </c>
      <c r="J563" s="3">
        <f t="shared" ca="1" si="71"/>
        <v>470813</v>
      </c>
      <c r="K563" s="3">
        <f t="shared" ca="1" si="71"/>
        <v>0</v>
      </c>
      <c r="L563" s="3">
        <f t="shared" ca="1" si="71"/>
        <v>0</v>
      </c>
    </row>
    <row r="564" spans="1:12" ht="11.25" x14ac:dyDescent="0.2">
      <c r="A564" s="3" t="s">
        <v>818</v>
      </c>
      <c r="B564" s="3"/>
      <c r="C564" s="3"/>
      <c r="D564" s="325"/>
      <c r="E564" s="3"/>
      <c r="F564" s="325" t="str">
        <f>""&amp;+Input!$B$1</f>
        <v>COLUMBIA GAS OF KENTUCKY, INC.</v>
      </c>
      <c r="H564" s="3"/>
      <c r="I564" s="3"/>
      <c r="J564" s="3"/>
      <c r="K564" s="3"/>
      <c r="L564" s="32" t="str">
        <f>Input!$B$2</f>
        <v>ATTACHMENT CEN-2</v>
      </c>
    </row>
    <row r="565" spans="1:12" ht="11.25" x14ac:dyDescent="0.2">
      <c r="A565" s="3" t="str">
        <f>Input!$B$7</f>
        <v>DEMAND-COMMODITY</v>
      </c>
      <c r="B565" s="3"/>
      <c r="C565" s="3"/>
      <c r="D565" s="325"/>
      <c r="E565" s="3"/>
      <c r="F565" s="325" t="s">
        <v>569</v>
      </c>
      <c r="H565" s="3"/>
      <c r="I565" s="3"/>
      <c r="J565" s="3"/>
      <c r="K565" s="3"/>
      <c r="L565" s="32" t="str">
        <f>"PAGE 94 OF "&amp;FIXED(Input!$B$8,0,TRUE)</f>
        <v>PAGE 94 OF 129</v>
      </c>
    </row>
    <row r="566" spans="1:12" ht="11.25" x14ac:dyDescent="0.2">
      <c r="A566" s="17" t="str">
        <f>Input!$B$6</f>
        <v>FORECASTED TEST YEAR - ORIGINAL FILING</v>
      </c>
      <c r="B566" s="17"/>
      <c r="C566" s="17"/>
      <c r="D566" s="34"/>
      <c r="E566" s="17"/>
      <c r="F566" s="19" t="str">
        <f>"FOR THE TWELVE MONTHS ENDED "&amp;Input!$B$4</f>
        <v>FOR THE TWELVE MONTHS ENDED 12/31/2017</v>
      </c>
      <c r="G566" s="329"/>
      <c r="H566" s="17"/>
      <c r="I566" s="17"/>
      <c r="J566" s="17"/>
      <c r="K566" s="17"/>
      <c r="L566" s="183" t="str">
        <f>"WITNESS: "&amp;Input!$B$5</f>
        <v>WITNESS: C. NOTESTONE</v>
      </c>
    </row>
    <row r="567" spans="1:12" ht="11.25" x14ac:dyDescent="0.2">
      <c r="A567" s="325" t="s">
        <v>5</v>
      </c>
      <c r="B567" s="3" t="s">
        <v>6</v>
      </c>
      <c r="C567" s="3"/>
      <c r="D567" s="325" t="s">
        <v>7</v>
      </c>
      <c r="E567" s="325" t="s">
        <v>8</v>
      </c>
      <c r="F567" s="3"/>
      <c r="G567" s="3"/>
      <c r="H567" s="3"/>
      <c r="I567" s="3"/>
      <c r="J567" s="3"/>
      <c r="K567" s="3"/>
      <c r="L567" s="3"/>
    </row>
    <row r="568" spans="1:12" ht="11.25" x14ac:dyDescent="0.2">
      <c r="A568" s="341" t="s">
        <v>9</v>
      </c>
      <c r="B568" s="341" t="s">
        <v>9</v>
      </c>
      <c r="C568" s="341" t="str">
        <f>"                        ACCOUNT TITLE                "</f>
        <v xml:space="preserve">                        ACCOUNT TITLE                </v>
      </c>
      <c r="D568" s="341" t="s">
        <v>10</v>
      </c>
      <c r="E568" s="341" t="s">
        <v>812</v>
      </c>
      <c r="F568" s="341" t="str">
        <f>"  "&amp;+Input!$C$12</f>
        <v xml:space="preserve">  GS-RESIDENTIAL</v>
      </c>
      <c r="G568" s="341" t="str">
        <f>Input!$C$13</f>
        <v>GS-OTHER</v>
      </c>
      <c r="H568" s="341" t="str">
        <f>Input!$C$14</f>
        <v>IUS</v>
      </c>
      <c r="I568" s="341" t="str">
        <f>Input!$C$15</f>
        <v>DS-ML</v>
      </c>
      <c r="J568" s="341" t="str">
        <f>Input!$C$16</f>
        <v>DS/IS</v>
      </c>
      <c r="K568" s="26" t="str">
        <f>Input!$C$17</f>
        <v>NOT USED</v>
      </c>
      <c r="L568" s="26" t="str">
        <f>Input!$C$18</f>
        <v>NOT USED</v>
      </c>
    </row>
    <row r="569" spans="1:12" ht="11.25" x14ac:dyDescent="0.2">
      <c r="A569" s="3"/>
      <c r="B569" s="342" t="s">
        <v>13</v>
      </c>
      <c r="C569" s="342" t="s">
        <v>14</v>
      </c>
      <c r="D569" s="325" t="s">
        <v>15</v>
      </c>
      <c r="E569" s="325" t="s">
        <v>16</v>
      </c>
      <c r="F569" s="325" t="s">
        <v>17</v>
      </c>
      <c r="G569" s="325" t="s">
        <v>18</v>
      </c>
      <c r="H569" s="325" t="s">
        <v>19</v>
      </c>
      <c r="I569" s="325" t="s">
        <v>20</v>
      </c>
      <c r="J569" s="325" t="s">
        <v>21</v>
      </c>
      <c r="K569" s="325" t="s">
        <v>22</v>
      </c>
      <c r="L569" s="325" t="s">
        <v>23</v>
      </c>
    </row>
    <row r="570" spans="1:12" ht="11.25" x14ac:dyDescent="0.2">
      <c r="A570" s="3"/>
      <c r="B570" s="3"/>
      <c r="C570" s="3"/>
      <c r="D570" s="325"/>
      <c r="E570" s="325" t="s">
        <v>26</v>
      </c>
      <c r="F570" s="325" t="s">
        <v>26</v>
      </c>
      <c r="G570" s="325" t="s">
        <v>26</v>
      </c>
      <c r="H570" s="325" t="s">
        <v>26</v>
      </c>
      <c r="I570" s="325" t="s">
        <v>26</v>
      </c>
      <c r="J570" s="325" t="s">
        <v>26</v>
      </c>
      <c r="K570" s="325" t="s">
        <v>26</v>
      </c>
      <c r="L570" s="325" t="s">
        <v>26</v>
      </c>
    </row>
    <row r="571" spans="1:12" ht="11.25" x14ac:dyDescent="0.2">
      <c r="A571" s="3">
        <v>1</v>
      </c>
      <c r="B571" s="3"/>
      <c r="C571" s="3" t="str">
        <f>Input!A414</f>
        <v>CUSTOMER ACCOUNTS</v>
      </c>
      <c r="D571" s="325"/>
      <c r="E571" s="3"/>
      <c r="F571" s="3"/>
      <c r="G571" s="3"/>
      <c r="H571" s="3"/>
      <c r="I571" s="3"/>
      <c r="J571" s="3"/>
      <c r="K571" s="3"/>
      <c r="L571" s="3"/>
    </row>
    <row r="572" spans="1:12" ht="11.25" x14ac:dyDescent="0.2">
      <c r="A572" s="3"/>
      <c r="B572" s="3"/>
      <c r="C572" s="3"/>
      <c r="D572" s="325"/>
      <c r="E572" s="3"/>
      <c r="F572" s="3"/>
      <c r="G572" s="3"/>
      <c r="H572" s="3"/>
      <c r="I572" s="3"/>
      <c r="J572" s="3"/>
      <c r="K572" s="3"/>
      <c r="L572" s="3"/>
    </row>
    <row r="573" spans="1:12" ht="11.25" x14ac:dyDescent="0.2">
      <c r="A573" s="3">
        <f>A571+1</f>
        <v>2</v>
      </c>
      <c r="B573" s="3" t="str">
        <f>Input!A415</f>
        <v>901</v>
      </c>
      <c r="C573" s="3" t="str">
        <f>Input!B415</f>
        <v>SUPERVISION</v>
      </c>
      <c r="D573" s="325">
        <f>Input!C415</f>
        <v>6</v>
      </c>
      <c r="E573" s="3">
        <f>Classification!G573</f>
        <v>0</v>
      </c>
      <c r="F573" s="3">
        <f>ROUND((VLOOKUP($D573,'Alloc Table Comm'!$B$7:$T$56,13,FALSE)*$E573),0)</f>
        <v>0</v>
      </c>
      <c r="G573" s="3">
        <f>ROUND((VLOOKUP($D573,'Alloc Table Comm'!$B$7:$T$56,14,FALSE)*$E573),0)</f>
        <v>0</v>
      </c>
      <c r="H573" s="3">
        <f>ROUND((VLOOKUP($D573,'Alloc Table Comm'!$B$7:$T$56,15,FALSE)*$E573),0)</f>
        <v>0</v>
      </c>
      <c r="I573" s="3">
        <f>ROUND((VLOOKUP($D573,'Alloc Table Comm'!$B$7:$T$56,16,FALSE)*$E573),0)</f>
        <v>0</v>
      </c>
      <c r="J573" s="3">
        <f>ROUND((VLOOKUP($D573,'Alloc Table Comm'!$B$7:$T$56,17,FALSE)*$E573),0)</f>
        <v>0</v>
      </c>
      <c r="K573" s="3">
        <f>ROUND((VLOOKUP($D573,'Alloc Table Comm'!$B$7:$T$56,18,FALSE)*$E573),0)</f>
        <v>0</v>
      </c>
      <c r="L573" s="3">
        <f>ROUND((VLOOKUP($D573,'Alloc Table Comm'!$B$7:$T$56,19,FALSE)*$E573),0)</f>
        <v>0</v>
      </c>
    </row>
    <row r="574" spans="1:12" ht="11.25" x14ac:dyDescent="0.2">
      <c r="A574" s="3">
        <f t="shared" ref="A574:A582" si="72">A573+1</f>
        <v>3</v>
      </c>
      <c r="B574" s="3" t="str">
        <f>Input!A416</f>
        <v>902</v>
      </c>
      <c r="C574" s="3" t="str">
        <f>Input!B416</f>
        <v>METER READING</v>
      </c>
      <c r="D574" s="325">
        <f>Input!C416</f>
        <v>6</v>
      </c>
      <c r="E574" s="3">
        <f>Classification!G574</f>
        <v>0</v>
      </c>
      <c r="F574" s="3">
        <f>ROUND((VLOOKUP($D574,'Alloc Table Comm'!$B$7:$T$56,13,FALSE)*$E574),0)</f>
        <v>0</v>
      </c>
      <c r="G574" s="3">
        <f>ROUND((VLOOKUP($D574,'Alloc Table Comm'!$B$7:$T$56,14,FALSE)*$E574),0)</f>
        <v>0</v>
      </c>
      <c r="H574" s="3">
        <f>ROUND((VLOOKUP($D574,'Alloc Table Comm'!$B$7:$T$56,15,FALSE)*$E574),0)</f>
        <v>0</v>
      </c>
      <c r="I574" s="3">
        <f>ROUND((VLOOKUP($D574,'Alloc Table Comm'!$B$7:$T$56,16,FALSE)*$E574),0)</f>
        <v>0</v>
      </c>
      <c r="J574" s="3">
        <f>ROUND((VLOOKUP($D574,'Alloc Table Comm'!$B$7:$T$56,17,FALSE)*$E574),0)</f>
        <v>0</v>
      </c>
      <c r="K574" s="3">
        <f>ROUND((VLOOKUP($D574,'Alloc Table Comm'!$B$7:$T$56,18,FALSE)*$E574),0)</f>
        <v>0</v>
      </c>
      <c r="L574" s="3">
        <f>ROUND((VLOOKUP($D574,'Alloc Table Comm'!$B$7:$T$56,19,FALSE)*$E574),0)</f>
        <v>0</v>
      </c>
    </row>
    <row r="575" spans="1:12" ht="11.25" x14ac:dyDescent="0.2">
      <c r="A575" s="3">
        <f t="shared" si="72"/>
        <v>4</v>
      </c>
      <c r="B575" s="3" t="str">
        <f>Input!A417</f>
        <v>903</v>
      </c>
      <c r="C575" s="3" t="str">
        <f>Input!B417</f>
        <v>CUSTOMER RECORDS &amp; COLLECTIONS</v>
      </c>
      <c r="D575" s="325">
        <f>Input!C417</f>
        <v>6</v>
      </c>
      <c r="E575" s="3">
        <f>Classification!G575</f>
        <v>0</v>
      </c>
      <c r="F575" s="3">
        <f>ROUND((VLOOKUP($D575,'Alloc Table Comm'!$B$7:$T$56,13,FALSE)*$E575),0)</f>
        <v>0</v>
      </c>
      <c r="G575" s="3">
        <f>ROUND((VLOOKUP($D575,'Alloc Table Comm'!$B$7:$T$56,14,FALSE)*$E575),0)</f>
        <v>0</v>
      </c>
      <c r="H575" s="3">
        <f>ROUND((VLOOKUP($D575,'Alloc Table Comm'!$B$7:$T$56,15,FALSE)*$E575),0)</f>
        <v>0</v>
      </c>
      <c r="I575" s="3">
        <f>ROUND((VLOOKUP($D575,'Alloc Table Comm'!$B$7:$T$56,16,FALSE)*$E575),0)</f>
        <v>0</v>
      </c>
      <c r="J575" s="3">
        <f>ROUND((VLOOKUP($D575,'Alloc Table Comm'!$B$7:$T$56,17,FALSE)*$E575),0)</f>
        <v>0</v>
      </c>
      <c r="K575" s="3">
        <f>ROUND((VLOOKUP($D575,'Alloc Table Comm'!$B$7:$T$56,18,FALSE)*$E575),0)</f>
        <v>0</v>
      </c>
      <c r="L575" s="3">
        <f>ROUND((VLOOKUP($D575,'Alloc Table Comm'!$B$7:$T$56,19,FALSE)*$E575),0)</f>
        <v>0</v>
      </c>
    </row>
    <row r="576" spans="1:12" ht="11.25" x14ac:dyDescent="0.2">
      <c r="A576" s="3">
        <f t="shared" si="72"/>
        <v>5</v>
      </c>
      <c r="B576" s="3" t="str">
        <f>Input!A419</f>
        <v>904</v>
      </c>
      <c r="C576" s="3" t="str">
        <f>Input!B419</f>
        <v>UNCOLLECTIBLE ACCOUNTS</v>
      </c>
      <c r="D576" s="325">
        <f>Input!C419</f>
        <v>21</v>
      </c>
      <c r="E576" s="3">
        <f>Classification!G576</f>
        <v>0</v>
      </c>
      <c r="F576" s="3">
        <f>ROUND((VLOOKUP($D576,'Alloc Table Comm'!$B$7:$T$56,13,FALSE)*$E576),0)</f>
        <v>0</v>
      </c>
      <c r="G576" s="3">
        <f>ROUND((VLOOKUP($D576,'Alloc Table Comm'!$B$7:$T$56,14,FALSE)*$E576),0)</f>
        <v>0</v>
      </c>
      <c r="H576" s="3">
        <f>ROUND((VLOOKUP($D576,'Alloc Table Comm'!$B$7:$T$56,15,FALSE)*$E576),0)</f>
        <v>0</v>
      </c>
      <c r="I576" s="3">
        <f>ROUND((VLOOKUP($D576,'Alloc Table Comm'!$B$7:$T$56,16,FALSE)*$E576),0)</f>
        <v>0</v>
      </c>
      <c r="J576" s="3">
        <f>ROUND((VLOOKUP($D576,'Alloc Table Comm'!$B$7:$T$56,17,FALSE)*$E576),0)</f>
        <v>0</v>
      </c>
      <c r="K576" s="3">
        <f>ROUND((VLOOKUP($D576,'Alloc Table Comm'!$B$7:$T$56,18,FALSE)*$E576),0)</f>
        <v>0</v>
      </c>
      <c r="L576" s="3">
        <f>ROUND((VLOOKUP($D576,'Alloc Table Comm'!$B$7:$T$56,19,FALSE)*$E576),0)</f>
        <v>0</v>
      </c>
    </row>
    <row r="577" spans="1:12" ht="11.25" x14ac:dyDescent="0.2">
      <c r="A577" s="3">
        <f t="shared" si="72"/>
        <v>6</v>
      </c>
      <c r="B577" s="3" t="str">
        <f>Input!A420</f>
        <v>905</v>
      </c>
      <c r="C577" s="3" t="str">
        <f>Input!B420</f>
        <v>MISC.</v>
      </c>
      <c r="D577" s="325">
        <f>Input!C420</f>
        <v>6</v>
      </c>
      <c r="E577" s="3">
        <f>Classification!G577</f>
        <v>0</v>
      </c>
      <c r="F577" s="3">
        <f>ROUND((VLOOKUP($D577,'Alloc Table Comm'!$B$7:$T$56,13,FALSE)*$E577),0)</f>
        <v>0</v>
      </c>
      <c r="G577" s="3">
        <f>ROUND((VLOOKUP($D577,'Alloc Table Comm'!$B$7:$T$56,14,FALSE)*$E577),0)</f>
        <v>0</v>
      </c>
      <c r="H577" s="3">
        <f>ROUND((VLOOKUP($D577,'Alloc Table Comm'!$B$7:$T$56,15,FALSE)*$E577),0)</f>
        <v>0</v>
      </c>
      <c r="I577" s="3">
        <f>ROUND((VLOOKUP($D577,'Alloc Table Comm'!$B$7:$T$56,16,FALSE)*$E577),0)</f>
        <v>0</v>
      </c>
      <c r="J577" s="3">
        <f>ROUND((VLOOKUP($D577,'Alloc Table Comm'!$B$7:$T$56,17,FALSE)*$E577),0)</f>
        <v>0</v>
      </c>
      <c r="K577" s="3">
        <f>ROUND((VLOOKUP($D577,'Alloc Table Comm'!$B$7:$T$56,18,FALSE)*$E577),0)</f>
        <v>0</v>
      </c>
      <c r="L577" s="3">
        <f>ROUND((VLOOKUP($D577,'Alloc Table Comm'!$B$7:$T$56,19,FALSE)*$E577),0)</f>
        <v>0</v>
      </c>
    </row>
    <row r="578" spans="1:12" ht="11.25" x14ac:dyDescent="0.2">
      <c r="A578" s="3">
        <f t="shared" si="72"/>
        <v>7</v>
      </c>
      <c r="B578" s="3" t="str">
        <f>Input!A421</f>
        <v>920</v>
      </c>
      <c r="C578" s="3" t="str">
        <f>Input!B421</f>
        <v>SALARIES</v>
      </c>
      <c r="D578" s="325">
        <f>Input!C421</f>
        <v>6</v>
      </c>
      <c r="E578" s="3">
        <f>Classification!G578</f>
        <v>0</v>
      </c>
      <c r="F578" s="3">
        <f>ROUND((VLOOKUP($D578,'Alloc Table Comm'!$B$7:$T$56,13,FALSE)*$E578),0)</f>
        <v>0</v>
      </c>
      <c r="G578" s="3">
        <f>ROUND((VLOOKUP($D578,'Alloc Table Comm'!$B$7:$T$56,14,FALSE)*$E578),0)</f>
        <v>0</v>
      </c>
      <c r="H578" s="3">
        <f>ROUND((VLOOKUP($D578,'Alloc Table Comm'!$B$7:$T$56,15,FALSE)*$E578),0)</f>
        <v>0</v>
      </c>
      <c r="I578" s="3">
        <f>ROUND((VLOOKUP($D578,'Alloc Table Comm'!$B$7:$T$56,16,FALSE)*$E578),0)</f>
        <v>0</v>
      </c>
      <c r="J578" s="3">
        <f>ROUND((VLOOKUP($D578,'Alloc Table Comm'!$B$7:$T$56,17,FALSE)*$E578),0)</f>
        <v>0</v>
      </c>
      <c r="K578" s="3">
        <f>ROUND((VLOOKUP($D578,'Alloc Table Comm'!$B$7:$T$56,18,FALSE)*$E578),0)</f>
        <v>0</v>
      </c>
      <c r="L578" s="3">
        <f>ROUND((VLOOKUP($D578,'Alloc Table Comm'!$B$7:$T$56,19,FALSE)*$E578),0)</f>
        <v>0</v>
      </c>
    </row>
    <row r="579" spans="1:12" ht="11.25" x14ac:dyDescent="0.2">
      <c r="A579" s="3">
        <f t="shared" si="72"/>
        <v>8</v>
      </c>
      <c r="B579" s="3" t="str">
        <f>Input!A422</f>
        <v>921</v>
      </c>
      <c r="C579" s="3" t="str">
        <f>Input!B422</f>
        <v>OFFICE SUPPLIES AND EXPENSE</v>
      </c>
      <c r="D579" s="325">
        <f>Input!C422</f>
        <v>6</v>
      </c>
      <c r="E579" s="3">
        <f>Classification!G579</f>
        <v>0</v>
      </c>
      <c r="F579" s="3">
        <f>ROUND((VLOOKUP($D579,'Alloc Table Comm'!$B$7:$T$56,13,FALSE)*$E579),0)</f>
        <v>0</v>
      </c>
      <c r="G579" s="3">
        <f>ROUND((VLOOKUP($D579,'Alloc Table Comm'!$B$7:$T$56,14,FALSE)*$E579),0)</f>
        <v>0</v>
      </c>
      <c r="H579" s="3">
        <f>ROUND((VLOOKUP($D579,'Alloc Table Comm'!$B$7:$T$56,15,FALSE)*$E579),0)</f>
        <v>0</v>
      </c>
      <c r="I579" s="3">
        <f>ROUND((VLOOKUP($D579,'Alloc Table Comm'!$B$7:$T$56,16,FALSE)*$E579),0)</f>
        <v>0</v>
      </c>
      <c r="J579" s="3">
        <f>ROUND((VLOOKUP($D579,'Alloc Table Comm'!$B$7:$T$56,17,FALSE)*$E579),0)</f>
        <v>0</v>
      </c>
      <c r="K579" s="3">
        <f>ROUND((VLOOKUP($D579,'Alloc Table Comm'!$B$7:$T$56,18,FALSE)*$E579),0)</f>
        <v>0</v>
      </c>
      <c r="L579" s="3">
        <f>ROUND((VLOOKUP($D579,'Alloc Table Comm'!$B$7:$T$56,19,FALSE)*$E579),0)</f>
        <v>0</v>
      </c>
    </row>
    <row r="580" spans="1:12" ht="11.25" x14ac:dyDescent="0.2">
      <c r="A580" s="3">
        <f t="shared" si="72"/>
        <v>9</v>
      </c>
      <c r="B580" s="3" t="str">
        <f>Input!A423</f>
        <v>931</v>
      </c>
      <c r="C580" s="3" t="str">
        <f>Input!B423</f>
        <v>RENTS</v>
      </c>
      <c r="D580" s="325">
        <f>Input!C423</f>
        <v>6</v>
      </c>
      <c r="E580" s="3">
        <f>Classification!G580</f>
        <v>0</v>
      </c>
      <c r="F580" s="3">
        <f>ROUND((VLOOKUP($D580,'Alloc Table Comm'!$B$7:$T$56,13,FALSE)*$E580),0)</f>
        <v>0</v>
      </c>
      <c r="G580" s="3">
        <f>ROUND((VLOOKUP($D580,'Alloc Table Comm'!$B$7:$T$56,14,FALSE)*$E580),0)</f>
        <v>0</v>
      </c>
      <c r="H580" s="3">
        <f>ROUND((VLOOKUP($D580,'Alloc Table Comm'!$B$7:$T$56,15,FALSE)*$E580),0)</f>
        <v>0</v>
      </c>
      <c r="I580" s="3">
        <f>ROUND((VLOOKUP($D580,'Alloc Table Comm'!$B$7:$T$56,16,FALSE)*$E580),0)</f>
        <v>0</v>
      </c>
      <c r="J580" s="3">
        <f>ROUND((VLOOKUP($D580,'Alloc Table Comm'!$B$7:$T$56,17,FALSE)*$E580),0)</f>
        <v>0</v>
      </c>
      <c r="K580" s="3">
        <f>ROUND((VLOOKUP($D580,'Alloc Table Comm'!$B$7:$T$56,18,FALSE)*$E580),0)</f>
        <v>0</v>
      </c>
      <c r="L580" s="3">
        <f>ROUND((VLOOKUP($D580,'Alloc Table Comm'!$B$7:$T$56,19,FALSE)*$E580),0)</f>
        <v>0</v>
      </c>
    </row>
    <row r="581" spans="1:12" ht="11.25" x14ac:dyDescent="0.2">
      <c r="A581" s="3">
        <f t="shared" si="72"/>
        <v>10</v>
      </c>
      <c r="B581" s="3" t="str">
        <f>Input!A424</f>
        <v>935</v>
      </c>
      <c r="C581" s="3" t="str">
        <f>Input!B424</f>
        <v>GENERAL PLANT MAINTENANCE</v>
      </c>
      <c r="D581" s="325">
        <f>Input!C424</f>
        <v>6</v>
      </c>
      <c r="E581" s="26">
        <f>Classification!G581</f>
        <v>0</v>
      </c>
      <c r="F581" s="26">
        <f>ROUND((VLOOKUP($D581,'Alloc Table Comm'!$B$7:$T$56,13,FALSE)*$E581),0)</f>
        <v>0</v>
      </c>
      <c r="G581" s="26">
        <f>ROUND((VLOOKUP($D581,'Alloc Table Comm'!$B$7:$T$56,14,FALSE)*$E581),0)</f>
        <v>0</v>
      </c>
      <c r="H581" s="26">
        <f>ROUND((VLOOKUP($D581,'Alloc Table Comm'!$B$7:$T$56,15,FALSE)*$E581),0)</f>
        <v>0</v>
      </c>
      <c r="I581" s="26">
        <f>ROUND((VLOOKUP($D581,'Alloc Table Comm'!$B$7:$T$56,16,FALSE)*$E581),0)</f>
        <v>0</v>
      </c>
      <c r="J581" s="26">
        <f>ROUND((VLOOKUP($D581,'Alloc Table Comm'!$B$7:$T$56,17,FALSE)*$E581),0)</f>
        <v>0</v>
      </c>
      <c r="K581" s="26">
        <f>ROUND((VLOOKUP($D581,'Alloc Table Comm'!$B$7:$T$56,18,FALSE)*$E581),0)</f>
        <v>0</v>
      </c>
      <c r="L581" s="26">
        <f>ROUND((VLOOKUP($D581,'Alloc Table Comm'!$B$7:$T$56,19,FALSE)*$E581),0)</f>
        <v>0</v>
      </c>
    </row>
    <row r="582" spans="1:12" ht="11.25" x14ac:dyDescent="0.2">
      <c r="A582" s="3">
        <f t="shared" si="72"/>
        <v>11</v>
      </c>
      <c r="B582" s="3"/>
      <c r="C582" s="3" t="s">
        <v>301</v>
      </c>
      <c r="D582" s="325"/>
      <c r="E582" s="1">
        <f t="shared" ref="E582:L582" si="73">SUM(E573:E581)</f>
        <v>0</v>
      </c>
      <c r="F582" s="3">
        <f t="shared" si="73"/>
        <v>0</v>
      </c>
      <c r="G582" s="3">
        <f t="shared" si="73"/>
        <v>0</v>
      </c>
      <c r="H582" s="3">
        <f t="shared" si="73"/>
        <v>0</v>
      </c>
      <c r="I582" s="3">
        <f t="shared" si="73"/>
        <v>0</v>
      </c>
      <c r="J582" s="3">
        <f t="shared" si="73"/>
        <v>0</v>
      </c>
      <c r="K582" s="3">
        <f t="shared" si="73"/>
        <v>0</v>
      </c>
      <c r="L582" s="3">
        <f t="shared" si="73"/>
        <v>0</v>
      </c>
    </row>
    <row r="583" spans="1:12" ht="11.25" x14ac:dyDescent="0.2">
      <c r="A583" s="3"/>
      <c r="B583" s="3"/>
      <c r="C583" s="3"/>
      <c r="D583" s="325"/>
      <c r="E583" s="1"/>
      <c r="F583" s="3"/>
      <c r="G583" s="3"/>
      <c r="H583" s="3"/>
      <c r="I583" s="3"/>
      <c r="J583" s="3"/>
      <c r="K583" s="3"/>
      <c r="L583" s="3"/>
    </row>
    <row r="584" spans="1:12" ht="11.25" x14ac:dyDescent="0.2">
      <c r="A584" s="3">
        <f>A582+1</f>
        <v>12</v>
      </c>
      <c r="B584" s="3"/>
      <c r="C584" s="3" t="str">
        <f>Input!A425</f>
        <v>CUSTOMER SERVICE &amp; INFORMATIONAL</v>
      </c>
      <c r="D584" s="325"/>
      <c r="E584" s="1"/>
      <c r="F584" s="3"/>
      <c r="G584" s="3"/>
      <c r="H584" s="3"/>
      <c r="I584" s="3"/>
      <c r="J584" s="3"/>
      <c r="K584" s="3"/>
      <c r="L584" s="3"/>
    </row>
    <row r="585" spans="1:12" ht="11.25" x14ac:dyDescent="0.2">
      <c r="A585" s="3"/>
      <c r="B585" s="3"/>
      <c r="C585" s="3"/>
      <c r="D585" s="325"/>
      <c r="E585" s="1"/>
      <c r="F585" s="3"/>
      <c r="G585" s="3"/>
      <c r="H585" s="3"/>
      <c r="I585" s="3"/>
      <c r="J585" s="3"/>
      <c r="K585" s="3"/>
      <c r="L585" s="3"/>
    </row>
    <row r="586" spans="1:12" ht="11.25" x14ac:dyDescent="0.2">
      <c r="A586" s="3">
        <f>A584+1</f>
        <v>13</v>
      </c>
      <c r="B586" s="3" t="str">
        <f>Input!A426</f>
        <v>907</v>
      </c>
      <c r="C586" s="3" t="str">
        <f>Input!B426</f>
        <v>SUPERVISION</v>
      </c>
      <c r="D586" s="325">
        <f>Input!C426</f>
        <v>6</v>
      </c>
      <c r="E586" s="3">
        <f>Classification!G586</f>
        <v>0</v>
      </c>
      <c r="F586" s="3">
        <f>ROUND((VLOOKUP($D586,'Alloc Table Comm'!$B$7:$T$56,13,FALSE)*$E586),0)</f>
        <v>0</v>
      </c>
      <c r="G586" s="3">
        <f>ROUND((VLOOKUP($D586,'Alloc Table Comm'!$B$7:$T$56,14,FALSE)*$E586),0)</f>
        <v>0</v>
      </c>
      <c r="H586" s="3">
        <f>ROUND((VLOOKUP($D586,'Alloc Table Comm'!$B$7:$T$56,15,FALSE)*$E586),0)</f>
        <v>0</v>
      </c>
      <c r="I586" s="3">
        <f>ROUND((VLOOKUP($D586,'Alloc Table Comm'!$B$7:$T$56,16,FALSE)*$E586),0)</f>
        <v>0</v>
      </c>
      <c r="J586" s="3">
        <f>ROUND((VLOOKUP($D586,'Alloc Table Comm'!$B$7:$T$56,17,FALSE)*$E586),0)</f>
        <v>0</v>
      </c>
      <c r="K586" s="3">
        <f>ROUND((VLOOKUP($D586,'Alloc Table Comm'!$B$7:$T$56,18,FALSE)*$E586),0)</f>
        <v>0</v>
      </c>
      <c r="L586" s="3">
        <f>ROUND((VLOOKUP($D586,'Alloc Table Comm'!$B$7:$T$56,19,FALSE)*$E586),0)</f>
        <v>0</v>
      </c>
    </row>
    <row r="587" spans="1:12" ht="11.25" x14ac:dyDescent="0.2">
      <c r="A587" s="3">
        <f t="shared" ref="A587:A593" si="74">A586+1</f>
        <v>14</v>
      </c>
      <c r="B587" s="3" t="str">
        <f>Input!A428</f>
        <v>908</v>
      </c>
      <c r="C587" s="3" t="str">
        <f>Input!B428</f>
        <v>CUSTOMER ASSISTANCE</v>
      </c>
      <c r="D587" s="325">
        <f>Input!C428</f>
        <v>6</v>
      </c>
      <c r="E587" s="3">
        <f>Classification!G587</f>
        <v>0</v>
      </c>
      <c r="F587" s="3">
        <f>ROUND((VLOOKUP($D587,'Alloc Table Comm'!$B$7:$T$56,13,FALSE)*$E587),0)</f>
        <v>0</v>
      </c>
      <c r="G587" s="3">
        <f>ROUND((VLOOKUP($D587,'Alloc Table Comm'!$B$7:$T$56,14,FALSE)*$E587),0)</f>
        <v>0</v>
      </c>
      <c r="H587" s="3">
        <f>ROUND((VLOOKUP($D587,'Alloc Table Comm'!$B$7:$T$56,15,FALSE)*$E587),0)</f>
        <v>0</v>
      </c>
      <c r="I587" s="3">
        <f>ROUND((VLOOKUP($D587,'Alloc Table Comm'!$B$7:$T$56,16,FALSE)*$E587),0)</f>
        <v>0</v>
      </c>
      <c r="J587" s="3">
        <f>ROUND((VLOOKUP($D587,'Alloc Table Comm'!$B$7:$T$56,17,FALSE)*$E587),0)</f>
        <v>0</v>
      </c>
      <c r="K587" s="3">
        <f>ROUND((VLOOKUP($D587,'Alloc Table Comm'!$B$7:$T$56,18,FALSE)*$E587),0)</f>
        <v>0</v>
      </c>
      <c r="L587" s="3">
        <f>ROUND((VLOOKUP($D587,'Alloc Table Comm'!$B$7:$T$56,19,FALSE)*$E587),0)</f>
        <v>0</v>
      </c>
    </row>
    <row r="588" spans="1:12" ht="11.25" x14ac:dyDescent="0.2">
      <c r="A588" s="3">
        <f t="shared" si="74"/>
        <v>15</v>
      </c>
      <c r="B588" s="3" t="str">
        <f>Input!A430</f>
        <v>909</v>
      </c>
      <c r="C588" s="3" t="str">
        <f>Input!B430</f>
        <v>INFO. &amp; INSTRUCTIONAL</v>
      </c>
      <c r="D588" s="325">
        <f>Input!C430</f>
        <v>6</v>
      </c>
      <c r="E588" s="3">
        <f>Classification!G588</f>
        <v>0</v>
      </c>
      <c r="F588" s="3">
        <f>ROUND((VLOOKUP($D588,'Alloc Table Comm'!$B$7:$T$56,13,FALSE)*$E588),0)</f>
        <v>0</v>
      </c>
      <c r="G588" s="3">
        <f>ROUND((VLOOKUP($D588,'Alloc Table Comm'!$B$7:$T$56,14,FALSE)*$E588),0)</f>
        <v>0</v>
      </c>
      <c r="H588" s="3">
        <f>ROUND((VLOOKUP($D588,'Alloc Table Comm'!$B$7:$T$56,15,FALSE)*$E588),0)</f>
        <v>0</v>
      </c>
      <c r="I588" s="3">
        <f>ROUND((VLOOKUP($D588,'Alloc Table Comm'!$B$7:$T$56,16,FALSE)*$E588),0)</f>
        <v>0</v>
      </c>
      <c r="J588" s="3">
        <f>ROUND((VLOOKUP($D588,'Alloc Table Comm'!$B$7:$T$56,17,FALSE)*$E588),0)</f>
        <v>0</v>
      </c>
      <c r="K588" s="3">
        <f>ROUND((VLOOKUP($D588,'Alloc Table Comm'!$B$7:$T$56,18,FALSE)*$E588),0)</f>
        <v>0</v>
      </c>
      <c r="L588" s="3">
        <f>ROUND((VLOOKUP($D588,'Alloc Table Comm'!$B$7:$T$56,19,FALSE)*$E588),0)</f>
        <v>0</v>
      </c>
    </row>
    <row r="589" spans="1:12" ht="11.25" x14ac:dyDescent="0.2">
      <c r="A589" s="3">
        <f t="shared" si="74"/>
        <v>16</v>
      </c>
      <c r="B589" s="3" t="str">
        <f>Input!A431</f>
        <v>910</v>
      </c>
      <c r="C589" s="3" t="str">
        <f>Input!B431</f>
        <v>MISCELLANEOUS</v>
      </c>
      <c r="D589" s="325">
        <f>Input!C431</f>
        <v>6</v>
      </c>
      <c r="E589" s="3">
        <f>Classification!G589</f>
        <v>0</v>
      </c>
      <c r="F589" s="3">
        <f>ROUND((VLOOKUP($D589,'Alloc Table Comm'!$B$7:$T$56,13,FALSE)*$E589),0)</f>
        <v>0</v>
      </c>
      <c r="G589" s="3">
        <f>ROUND((VLOOKUP($D589,'Alloc Table Comm'!$B$7:$T$56,14,FALSE)*$E589),0)</f>
        <v>0</v>
      </c>
      <c r="H589" s="3">
        <f>ROUND((VLOOKUP($D589,'Alloc Table Comm'!$B$7:$T$56,15,FALSE)*$E589),0)</f>
        <v>0</v>
      </c>
      <c r="I589" s="3">
        <f>ROUND((VLOOKUP($D589,'Alloc Table Comm'!$B$7:$T$56,16,FALSE)*$E589),0)</f>
        <v>0</v>
      </c>
      <c r="J589" s="3">
        <f>ROUND((VLOOKUP($D589,'Alloc Table Comm'!$B$7:$T$56,17,FALSE)*$E589),0)</f>
        <v>0</v>
      </c>
      <c r="K589" s="3">
        <f>ROUND((VLOOKUP($D589,'Alloc Table Comm'!$B$7:$T$56,18,FALSE)*$E589),0)</f>
        <v>0</v>
      </c>
      <c r="L589" s="3">
        <f>ROUND((VLOOKUP($D589,'Alloc Table Comm'!$B$7:$T$56,19,FALSE)*$E589),0)</f>
        <v>0</v>
      </c>
    </row>
    <row r="590" spans="1:12" ht="11.25" x14ac:dyDescent="0.2">
      <c r="A590" s="3">
        <f t="shared" si="74"/>
        <v>17</v>
      </c>
      <c r="B590" s="3" t="str">
        <f>Input!A432</f>
        <v>920</v>
      </c>
      <c r="C590" s="3" t="str">
        <f>Input!B432</f>
        <v>SALARIES</v>
      </c>
      <c r="D590" s="325">
        <f>Input!C432</f>
        <v>6</v>
      </c>
      <c r="E590" s="3">
        <f>Classification!G590</f>
        <v>0</v>
      </c>
      <c r="F590" s="3">
        <f>ROUND((VLOOKUP($D590,'Alloc Table Comm'!$B$7:$T$56,13,FALSE)*$E590),0)</f>
        <v>0</v>
      </c>
      <c r="G590" s="3">
        <f>ROUND((VLOOKUP($D590,'Alloc Table Comm'!$B$7:$T$56,14,FALSE)*$E590),0)</f>
        <v>0</v>
      </c>
      <c r="H590" s="3">
        <f>ROUND((VLOOKUP($D590,'Alloc Table Comm'!$B$7:$T$56,15,FALSE)*$E590),0)</f>
        <v>0</v>
      </c>
      <c r="I590" s="3">
        <f>ROUND((VLOOKUP($D590,'Alloc Table Comm'!$B$7:$T$56,16,FALSE)*$E590),0)</f>
        <v>0</v>
      </c>
      <c r="J590" s="3">
        <f>ROUND((VLOOKUP($D590,'Alloc Table Comm'!$B$7:$T$56,17,FALSE)*$E590),0)</f>
        <v>0</v>
      </c>
      <c r="K590" s="3">
        <f>ROUND((VLOOKUP($D590,'Alloc Table Comm'!$B$7:$T$56,18,FALSE)*$E590),0)</f>
        <v>0</v>
      </c>
      <c r="L590" s="3">
        <f>ROUND((VLOOKUP($D590,'Alloc Table Comm'!$B$7:$T$56,19,FALSE)*$E590),0)</f>
        <v>0</v>
      </c>
    </row>
    <row r="591" spans="1:12" ht="11.25" x14ac:dyDescent="0.2">
      <c r="A591" s="3">
        <f t="shared" si="74"/>
        <v>18</v>
      </c>
      <c r="B591" s="3" t="str">
        <f>Input!A433</f>
        <v>921</v>
      </c>
      <c r="C591" s="3" t="str">
        <f>Input!B433</f>
        <v>OFFICE SUPPLIES AND EXPENSE</v>
      </c>
      <c r="D591" s="325">
        <f>Input!C433</f>
        <v>6</v>
      </c>
      <c r="E591" s="3">
        <f>Classification!G591</f>
        <v>0</v>
      </c>
      <c r="F591" s="3">
        <f>ROUND((VLOOKUP($D591,'Alloc Table Comm'!$B$7:$T$56,13,FALSE)*$E591),0)</f>
        <v>0</v>
      </c>
      <c r="G591" s="3">
        <f>ROUND((VLOOKUP($D591,'Alloc Table Comm'!$B$7:$T$56,14,FALSE)*$E591),0)</f>
        <v>0</v>
      </c>
      <c r="H591" s="3">
        <f>ROUND((VLOOKUP($D591,'Alloc Table Comm'!$B$7:$T$56,15,FALSE)*$E591),0)</f>
        <v>0</v>
      </c>
      <c r="I591" s="3">
        <f>ROUND((VLOOKUP($D591,'Alloc Table Comm'!$B$7:$T$56,16,FALSE)*$E591),0)</f>
        <v>0</v>
      </c>
      <c r="J591" s="3">
        <f>ROUND((VLOOKUP($D591,'Alloc Table Comm'!$B$7:$T$56,17,FALSE)*$E591),0)</f>
        <v>0</v>
      </c>
      <c r="K591" s="3">
        <f>ROUND((VLOOKUP($D591,'Alloc Table Comm'!$B$7:$T$56,18,FALSE)*$E591),0)</f>
        <v>0</v>
      </c>
      <c r="L591" s="3">
        <f>ROUND((VLOOKUP($D591,'Alloc Table Comm'!$B$7:$T$56,19,FALSE)*$E591),0)</f>
        <v>0</v>
      </c>
    </row>
    <row r="592" spans="1:12" ht="11.25" x14ac:dyDescent="0.2">
      <c r="A592" s="3">
        <f t="shared" si="74"/>
        <v>19</v>
      </c>
      <c r="B592" s="3" t="str">
        <f>Input!A434</f>
        <v>931</v>
      </c>
      <c r="C592" s="3" t="str">
        <f>Input!B434</f>
        <v>RENTS</v>
      </c>
      <c r="D592" s="325">
        <f>Input!C434</f>
        <v>6</v>
      </c>
      <c r="E592" s="3">
        <f>Classification!G592</f>
        <v>0</v>
      </c>
      <c r="F592" s="3">
        <f>ROUND((VLOOKUP($D592,'Alloc Table Comm'!$B$7:$T$56,13,FALSE)*$E592),0)</f>
        <v>0</v>
      </c>
      <c r="G592" s="3">
        <f>ROUND((VLOOKUP($D592,'Alloc Table Comm'!$B$7:$T$56,14,FALSE)*$E592),0)</f>
        <v>0</v>
      </c>
      <c r="H592" s="3">
        <f>ROUND((VLOOKUP($D592,'Alloc Table Comm'!$B$7:$T$56,15,FALSE)*$E592),0)</f>
        <v>0</v>
      </c>
      <c r="I592" s="3">
        <f>ROUND((VLOOKUP($D592,'Alloc Table Comm'!$B$7:$T$56,16,FALSE)*$E592),0)</f>
        <v>0</v>
      </c>
      <c r="J592" s="3">
        <f>ROUND((VLOOKUP($D592,'Alloc Table Comm'!$B$7:$T$56,17,FALSE)*$E592),0)</f>
        <v>0</v>
      </c>
      <c r="K592" s="3">
        <f>ROUND((VLOOKUP($D592,'Alloc Table Comm'!$B$7:$T$56,18,FALSE)*$E592),0)</f>
        <v>0</v>
      </c>
      <c r="L592" s="3">
        <f>ROUND((VLOOKUP($D592,'Alloc Table Comm'!$B$7:$T$56,19,FALSE)*$E592),0)</f>
        <v>0</v>
      </c>
    </row>
    <row r="593" spans="1:12" ht="11.25" x14ac:dyDescent="0.2">
      <c r="A593" s="3">
        <f t="shared" si="74"/>
        <v>20</v>
      </c>
      <c r="B593" s="3" t="str">
        <f>Input!A435</f>
        <v>935</v>
      </c>
      <c r="C593" s="3" t="str">
        <f>Input!B435</f>
        <v>GENERAL PLANT MAINTENANCE</v>
      </c>
      <c r="D593" s="325">
        <f>Input!C435</f>
        <v>6</v>
      </c>
      <c r="E593" s="26">
        <f>Classification!G593</f>
        <v>0</v>
      </c>
      <c r="F593" s="26">
        <f>ROUND((VLOOKUP($D593,'Alloc Table Comm'!$B$7:$T$56,13,FALSE)*$E593),0)</f>
        <v>0</v>
      </c>
      <c r="G593" s="26">
        <f>ROUND((VLOOKUP($D593,'Alloc Table Comm'!$B$7:$T$56,14,FALSE)*$E593),0)</f>
        <v>0</v>
      </c>
      <c r="H593" s="26">
        <f>ROUND((VLOOKUP($D593,'Alloc Table Comm'!$B$7:$T$56,15,FALSE)*$E593),0)</f>
        <v>0</v>
      </c>
      <c r="I593" s="26">
        <f>ROUND((VLOOKUP($D593,'Alloc Table Comm'!$B$7:$T$56,16,FALSE)*$E593),0)</f>
        <v>0</v>
      </c>
      <c r="J593" s="26">
        <f>ROUND((VLOOKUP($D593,'Alloc Table Comm'!$B$7:$T$56,17,FALSE)*$E593),0)</f>
        <v>0</v>
      </c>
      <c r="K593" s="26">
        <f>ROUND((VLOOKUP($D593,'Alloc Table Comm'!$B$7:$T$56,18,FALSE)*$E593),0)</f>
        <v>0</v>
      </c>
      <c r="L593" s="26">
        <f>ROUND((VLOOKUP($D593,'Alloc Table Comm'!$B$7:$T$56,19,FALSE)*$E593),0)</f>
        <v>0</v>
      </c>
    </row>
    <row r="594" spans="1:12" ht="11.25" x14ac:dyDescent="0.2">
      <c r="A594" s="3">
        <f>A593+1</f>
        <v>21</v>
      </c>
      <c r="B594" s="3"/>
      <c r="C594" s="3" t="s">
        <v>309</v>
      </c>
      <c r="D594" s="325"/>
      <c r="E594" s="1">
        <f t="shared" ref="E594:L594" si="75">SUM(E586:E593)</f>
        <v>0</v>
      </c>
      <c r="F594" s="3">
        <f t="shared" si="75"/>
        <v>0</v>
      </c>
      <c r="G594" s="3">
        <f t="shared" si="75"/>
        <v>0</v>
      </c>
      <c r="H594" s="3">
        <f t="shared" si="75"/>
        <v>0</v>
      </c>
      <c r="I594" s="3">
        <f t="shared" si="75"/>
        <v>0</v>
      </c>
      <c r="J594" s="3">
        <f t="shared" si="75"/>
        <v>0</v>
      </c>
      <c r="K594" s="3">
        <f t="shared" si="75"/>
        <v>0</v>
      </c>
      <c r="L594" s="3">
        <f t="shared" si="75"/>
        <v>0</v>
      </c>
    </row>
    <row r="595" spans="1:12" ht="11.25" x14ac:dyDescent="0.2">
      <c r="A595" s="3" t="s">
        <v>818</v>
      </c>
      <c r="B595" s="3"/>
      <c r="C595" s="14"/>
      <c r="D595" s="325"/>
      <c r="E595" s="15"/>
      <c r="F595" s="325" t="str">
        <f>""&amp;+Input!$B$1</f>
        <v>COLUMBIA GAS OF KENTUCKY, INC.</v>
      </c>
      <c r="H595" s="3"/>
      <c r="I595" s="3"/>
      <c r="J595" s="3"/>
      <c r="K595" s="3"/>
      <c r="L595" s="32" t="str">
        <f>Input!$B$2</f>
        <v>ATTACHMENT CEN-2</v>
      </c>
    </row>
    <row r="596" spans="1:12" ht="11.25" x14ac:dyDescent="0.2">
      <c r="A596" s="3" t="str">
        <f>Input!$B$7</f>
        <v>DEMAND-COMMODITY</v>
      </c>
      <c r="B596" s="3"/>
      <c r="C596" s="3"/>
      <c r="D596" s="325"/>
      <c r="E596" s="3"/>
      <c r="F596" s="325" t="s">
        <v>569</v>
      </c>
      <c r="H596" s="3"/>
      <c r="I596" s="3"/>
      <c r="J596" s="3"/>
      <c r="K596" s="3"/>
      <c r="L596" s="32" t="str">
        <f>"PAGE 95 OF "&amp;FIXED(Input!$B$8,0,TRUE)</f>
        <v>PAGE 95 OF 129</v>
      </c>
    </row>
    <row r="597" spans="1:12" ht="11.25" x14ac:dyDescent="0.2">
      <c r="A597" s="17" t="str">
        <f>Input!$B$6</f>
        <v>FORECASTED TEST YEAR - ORIGINAL FILING</v>
      </c>
      <c r="B597" s="17"/>
      <c r="C597" s="17"/>
      <c r="D597" s="34"/>
      <c r="E597" s="17"/>
      <c r="F597" s="19" t="str">
        <f>"FOR THE TWELVE MONTHS ENDED "&amp;Input!$B$4</f>
        <v>FOR THE TWELVE MONTHS ENDED 12/31/2017</v>
      </c>
      <c r="G597" s="329"/>
      <c r="H597" s="17"/>
      <c r="I597" s="17"/>
      <c r="J597" s="17"/>
      <c r="K597" s="17"/>
      <c r="L597" s="183" t="str">
        <f>"WITNESS: "&amp;Input!$B$5</f>
        <v>WITNESS: C. NOTESTONE</v>
      </c>
    </row>
    <row r="598" spans="1:12" ht="11.25" x14ac:dyDescent="0.2">
      <c r="A598" s="325" t="s">
        <v>5</v>
      </c>
      <c r="B598" s="3" t="s">
        <v>6</v>
      </c>
      <c r="C598" s="3"/>
      <c r="D598" s="325" t="s">
        <v>7</v>
      </c>
      <c r="E598" s="325" t="s">
        <v>8</v>
      </c>
      <c r="F598" s="3"/>
      <c r="G598" s="3"/>
      <c r="H598" s="3"/>
      <c r="I598" s="3"/>
      <c r="J598" s="3"/>
      <c r="K598" s="3"/>
      <c r="L598" s="3"/>
    </row>
    <row r="599" spans="1:12" ht="11.25" x14ac:dyDescent="0.2">
      <c r="A599" s="341" t="s">
        <v>9</v>
      </c>
      <c r="B599" s="341" t="s">
        <v>9</v>
      </c>
      <c r="C599" s="341" t="str">
        <f>"                        ACCOUNT TITLE                "</f>
        <v xml:space="preserve">                        ACCOUNT TITLE                </v>
      </c>
      <c r="D599" s="341" t="s">
        <v>10</v>
      </c>
      <c r="E599" s="341" t="s">
        <v>812</v>
      </c>
      <c r="F599" s="341" t="str">
        <f>"  "&amp;+Input!$C$12</f>
        <v xml:space="preserve">  GS-RESIDENTIAL</v>
      </c>
      <c r="G599" s="341" t="str">
        <f>Input!$C$13</f>
        <v>GS-OTHER</v>
      </c>
      <c r="H599" s="341" t="str">
        <f>Input!$C$14</f>
        <v>IUS</v>
      </c>
      <c r="I599" s="341" t="str">
        <f>Input!$C$15</f>
        <v>DS-ML</v>
      </c>
      <c r="J599" s="341" t="str">
        <f>Input!$C$16</f>
        <v>DS/IS</v>
      </c>
      <c r="K599" s="341" t="str">
        <f>Input!$C$17</f>
        <v>NOT USED</v>
      </c>
      <c r="L599" s="341" t="str">
        <f>Input!$C$18</f>
        <v>NOT USED</v>
      </c>
    </row>
    <row r="600" spans="1:12" ht="11.25" x14ac:dyDescent="0.2">
      <c r="A600" s="3"/>
      <c r="B600" s="342" t="s">
        <v>13</v>
      </c>
      <c r="C600" s="342" t="s">
        <v>14</v>
      </c>
      <c r="D600" s="325" t="s">
        <v>15</v>
      </c>
      <c r="E600" s="325" t="s">
        <v>16</v>
      </c>
      <c r="F600" s="325" t="s">
        <v>17</v>
      </c>
      <c r="G600" s="325" t="s">
        <v>18</v>
      </c>
      <c r="H600" s="325" t="s">
        <v>19</v>
      </c>
      <c r="I600" s="325" t="s">
        <v>20</v>
      </c>
      <c r="J600" s="325" t="s">
        <v>21</v>
      </c>
      <c r="K600" s="325" t="s">
        <v>22</v>
      </c>
      <c r="L600" s="325" t="s">
        <v>23</v>
      </c>
    </row>
    <row r="601" spans="1:12" ht="11.25" x14ac:dyDescent="0.2">
      <c r="A601" s="3"/>
      <c r="B601" s="3"/>
      <c r="C601" s="3"/>
      <c r="D601" s="325"/>
      <c r="E601" s="325" t="s">
        <v>26</v>
      </c>
      <c r="F601" s="325" t="s">
        <v>26</v>
      </c>
      <c r="G601" s="325" t="s">
        <v>26</v>
      </c>
      <c r="H601" s="325" t="s">
        <v>26</v>
      </c>
      <c r="I601" s="325" t="s">
        <v>26</v>
      </c>
      <c r="J601" s="325" t="s">
        <v>26</v>
      </c>
      <c r="K601" s="325" t="s">
        <v>26</v>
      </c>
      <c r="L601" s="325" t="s">
        <v>26</v>
      </c>
    </row>
    <row r="602" spans="1:12" ht="11.25" x14ac:dyDescent="0.2">
      <c r="A602" s="3">
        <v>1</v>
      </c>
      <c r="B602" s="3"/>
      <c r="C602" s="3" t="str">
        <f>Input!A436</f>
        <v>SALES</v>
      </c>
      <c r="D602" s="325"/>
      <c r="E602" s="3"/>
      <c r="F602" s="3"/>
      <c r="G602" s="3"/>
      <c r="H602" s="3"/>
      <c r="I602" s="3"/>
      <c r="J602" s="3"/>
      <c r="K602" s="3"/>
      <c r="L602" s="3"/>
    </row>
    <row r="603" spans="1:12" ht="11.25" x14ac:dyDescent="0.2">
      <c r="A603" s="3"/>
      <c r="B603" s="3"/>
      <c r="C603" s="3"/>
      <c r="D603" s="325"/>
      <c r="E603" s="3"/>
      <c r="F603" s="3"/>
      <c r="G603" s="3"/>
      <c r="H603" s="3"/>
      <c r="I603" s="3"/>
      <c r="J603" s="3"/>
      <c r="K603" s="3"/>
      <c r="L603" s="3"/>
    </row>
    <row r="604" spans="1:12" ht="11.25" x14ac:dyDescent="0.2">
      <c r="A604" s="3">
        <f>A602+1</f>
        <v>2</v>
      </c>
      <c r="B604" s="3" t="str">
        <f>Input!A437</f>
        <v>911</v>
      </c>
      <c r="C604" s="3" t="str">
        <f>Input!B437</f>
        <v>SUPERVISION</v>
      </c>
      <c r="D604" s="325">
        <f>Input!C437</f>
        <v>6</v>
      </c>
      <c r="E604" s="3">
        <f>Classification!G604</f>
        <v>0</v>
      </c>
      <c r="F604" s="3">
        <f>ROUND((VLOOKUP($D604,'Alloc Table Comm'!$B$7:$T$56,13,FALSE)*$E604),0)</f>
        <v>0</v>
      </c>
      <c r="G604" s="3">
        <f>ROUND((VLOOKUP($D604,'Alloc Table Comm'!$B$7:$T$56,14,FALSE)*$E604),0)</f>
        <v>0</v>
      </c>
      <c r="H604" s="3">
        <f>ROUND((VLOOKUP($D604,'Alloc Table Comm'!$B$7:$T$56,15,FALSE)*$E604),0)</f>
        <v>0</v>
      </c>
      <c r="I604" s="3">
        <f>ROUND((VLOOKUP($D604,'Alloc Table Comm'!$B$7:$T$56,16,FALSE)*$E604),0)</f>
        <v>0</v>
      </c>
      <c r="J604" s="3">
        <f>ROUND((VLOOKUP($D604,'Alloc Table Comm'!$B$7:$T$56,17,FALSE)*$E604),0)</f>
        <v>0</v>
      </c>
      <c r="K604" s="3">
        <f>ROUND((VLOOKUP($D604,'Alloc Table Comm'!$B$7:$T$56,18,FALSE)*$E604),0)</f>
        <v>0</v>
      </c>
      <c r="L604" s="3">
        <f>ROUND((VLOOKUP($D604,'Alloc Table Comm'!$B$7:$T$56,19,FALSE)*$E604),0)</f>
        <v>0</v>
      </c>
    </row>
    <row r="605" spans="1:12" ht="11.25" x14ac:dyDescent="0.2">
      <c r="A605" s="3">
        <f>A604+1</f>
        <v>3</v>
      </c>
      <c r="B605" s="3" t="str">
        <f>Input!A438</f>
        <v>912</v>
      </c>
      <c r="C605" s="3" t="str">
        <f>Input!B438</f>
        <v>DEMONSTRATION &amp; SELLING</v>
      </c>
      <c r="D605" s="325">
        <f>Input!C438</f>
        <v>6</v>
      </c>
      <c r="E605" s="3">
        <f>Classification!G605</f>
        <v>0</v>
      </c>
      <c r="F605" s="3">
        <f>ROUND((VLOOKUP($D605,'Alloc Table Comm'!$B$7:$T$56,13,FALSE)*$E605),0)</f>
        <v>0</v>
      </c>
      <c r="G605" s="3">
        <f>ROUND((VLOOKUP($D605,'Alloc Table Comm'!$B$7:$T$56,14,FALSE)*$E605),0)</f>
        <v>0</v>
      </c>
      <c r="H605" s="3">
        <f>ROUND((VLOOKUP($D605,'Alloc Table Comm'!$B$7:$T$56,15,FALSE)*$E605),0)</f>
        <v>0</v>
      </c>
      <c r="I605" s="3">
        <f>ROUND((VLOOKUP($D605,'Alloc Table Comm'!$B$7:$T$56,16,FALSE)*$E605),0)</f>
        <v>0</v>
      </c>
      <c r="J605" s="3">
        <f>ROUND((VLOOKUP($D605,'Alloc Table Comm'!$B$7:$T$56,17,FALSE)*$E605),0)</f>
        <v>0</v>
      </c>
      <c r="K605" s="3">
        <f>ROUND((VLOOKUP($D605,'Alloc Table Comm'!$B$7:$T$56,18,FALSE)*$E605),0)</f>
        <v>0</v>
      </c>
      <c r="L605" s="3">
        <f>ROUND((VLOOKUP($D605,'Alloc Table Comm'!$B$7:$T$56,19,FALSE)*$E605),0)</f>
        <v>0</v>
      </c>
    </row>
    <row r="606" spans="1:12" ht="11.25" x14ac:dyDescent="0.2">
      <c r="A606" s="3">
        <f>A605+1</f>
        <v>4</v>
      </c>
      <c r="B606" s="3" t="str">
        <f>Input!A439</f>
        <v>913</v>
      </c>
      <c r="C606" s="3" t="str">
        <f>Input!B439</f>
        <v>ADVERTISING</v>
      </c>
      <c r="D606" s="325">
        <f>Input!C439</f>
        <v>6</v>
      </c>
      <c r="E606" s="3">
        <f>Classification!G606</f>
        <v>0</v>
      </c>
      <c r="F606" s="3">
        <f>ROUND((VLOOKUP($D606,'Alloc Table Comm'!$B$7:$T$56,13,FALSE)*$E606),0)</f>
        <v>0</v>
      </c>
      <c r="G606" s="3">
        <f>ROUND((VLOOKUP($D606,'Alloc Table Comm'!$B$7:$T$56,14,FALSE)*$E606),0)</f>
        <v>0</v>
      </c>
      <c r="H606" s="3">
        <f>ROUND((VLOOKUP($D606,'Alloc Table Comm'!$B$7:$T$56,15,FALSE)*$E606),0)</f>
        <v>0</v>
      </c>
      <c r="I606" s="3">
        <f>ROUND((VLOOKUP($D606,'Alloc Table Comm'!$B$7:$T$56,16,FALSE)*$E606),0)</f>
        <v>0</v>
      </c>
      <c r="J606" s="3">
        <f>ROUND((VLOOKUP($D606,'Alloc Table Comm'!$B$7:$T$56,17,FALSE)*$E606),0)</f>
        <v>0</v>
      </c>
      <c r="K606" s="3">
        <f>ROUND((VLOOKUP($D606,'Alloc Table Comm'!$B$7:$T$56,18,FALSE)*$E606),0)</f>
        <v>0</v>
      </c>
      <c r="L606" s="3">
        <f>ROUND((VLOOKUP($D606,'Alloc Table Comm'!$B$7:$T$56,19,FALSE)*$E606),0)</f>
        <v>0</v>
      </c>
    </row>
    <row r="607" spans="1:12" ht="11.25" x14ac:dyDescent="0.2">
      <c r="A607" s="3">
        <f>A606+1</f>
        <v>5</v>
      </c>
      <c r="B607" s="3" t="str">
        <f>Input!A440</f>
        <v>916</v>
      </c>
      <c r="C607" s="3" t="str">
        <f>Input!B440</f>
        <v>MISC.</v>
      </c>
      <c r="D607" s="325">
        <f>Input!C440</f>
        <v>6</v>
      </c>
      <c r="E607" s="26">
        <f>Classification!G607</f>
        <v>0</v>
      </c>
      <c r="F607" s="26">
        <f>ROUND((VLOOKUP($D607,'Alloc Table Comm'!$B$7:$T$56,13,FALSE)*$E607),0)</f>
        <v>0</v>
      </c>
      <c r="G607" s="26">
        <f>ROUND((VLOOKUP($D607,'Alloc Table Comm'!$B$7:$T$56,14,FALSE)*$E607),0)</f>
        <v>0</v>
      </c>
      <c r="H607" s="26">
        <f>ROUND((VLOOKUP($D607,'Alloc Table Comm'!$B$7:$T$56,15,FALSE)*$E607),0)</f>
        <v>0</v>
      </c>
      <c r="I607" s="26">
        <f>ROUND((VLOOKUP($D607,'Alloc Table Comm'!$B$7:$T$56,16,FALSE)*$E607),0)</f>
        <v>0</v>
      </c>
      <c r="J607" s="26">
        <f>ROUND((VLOOKUP($D607,'Alloc Table Comm'!$B$7:$T$56,17,FALSE)*$E607),0)</f>
        <v>0</v>
      </c>
      <c r="K607" s="26">
        <f>ROUND((VLOOKUP($D607,'Alloc Table Comm'!$B$7:$T$56,18,FALSE)*$E607),0)</f>
        <v>0</v>
      </c>
      <c r="L607" s="26">
        <f>ROUND((VLOOKUP($D607,'Alloc Table Comm'!$B$7:$T$56,19,FALSE)*$E607),0)</f>
        <v>0</v>
      </c>
    </row>
    <row r="608" spans="1:12" ht="11.25" x14ac:dyDescent="0.2">
      <c r="A608" s="3">
        <f>A607+1</f>
        <v>6</v>
      </c>
      <c r="B608" s="3"/>
      <c r="C608" s="3" t="s">
        <v>312</v>
      </c>
      <c r="D608" s="325"/>
      <c r="E608" s="116">
        <f t="shared" ref="E608:L608" si="76">SUM(E604:E607)</f>
        <v>0</v>
      </c>
      <c r="F608" s="26">
        <f t="shared" si="76"/>
        <v>0</v>
      </c>
      <c r="G608" s="26">
        <f t="shared" si="76"/>
        <v>0</v>
      </c>
      <c r="H608" s="26">
        <f t="shared" si="76"/>
        <v>0</v>
      </c>
      <c r="I608" s="26">
        <f t="shared" si="76"/>
        <v>0</v>
      </c>
      <c r="J608" s="26">
        <f t="shared" si="76"/>
        <v>0</v>
      </c>
      <c r="K608" s="26">
        <f t="shared" si="76"/>
        <v>0</v>
      </c>
      <c r="L608" s="26">
        <f t="shared" si="76"/>
        <v>0</v>
      </c>
    </row>
    <row r="609" spans="1:12" ht="11.25" x14ac:dyDescent="0.2">
      <c r="A609" s="3"/>
      <c r="B609" s="3"/>
      <c r="C609" s="3"/>
      <c r="D609" s="325"/>
      <c r="E609" s="1"/>
      <c r="F609" s="3"/>
      <c r="G609" s="3"/>
      <c r="H609" s="3"/>
      <c r="I609" s="3"/>
      <c r="J609" s="3"/>
      <c r="K609" s="3"/>
      <c r="L609" s="3"/>
    </row>
    <row r="610" spans="1:12" ht="11.25" x14ac:dyDescent="0.2">
      <c r="A610" s="3">
        <f>A608+1</f>
        <v>7</v>
      </c>
      <c r="B610" s="3"/>
      <c r="C610" s="3" t="s">
        <v>314</v>
      </c>
      <c r="D610" s="325"/>
      <c r="E610" s="1">
        <f>Commodity!E551+Commodity!E563+Commodity!E582+Commodity!E594+E608</f>
        <v>3608574</v>
      </c>
      <c r="F610" s="3">
        <f ca="1">Commodity!F551+Commodity!F563+Commodity!F582+Commodity!F594+F608</f>
        <v>1405457</v>
      </c>
      <c r="G610" s="3">
        <f ca="1">Commodity!G551+Commodity!G563+Commodity!G582+Commodity!G594+G608</f>
        <v>952090</v>
      </c>
      <c r="H610" s="3">
        <f ca="1">Commodity!H551+Commodity!H563+Commodity!H582+Commodity!H594+H608</f>
        <v>2056</v>
      </c>
      <c r="I610" s="3">
        <f ca="1">Commodity!I551+Commodity!I563+Commodity!I582+Commodity!I594+I608</f>
        <v>179</v>
      </c>
      <c r="J610" s="3">
        <f ca="1">Commodity!J551+Commodity!J563+Commodity!J582+Commodity!J594+J608</f>
        <v>1248791</v>
      </c>
      <c r="K610" s="3">
        <f ca="1">Commodity!K551+Commodity!K563+Commodity!K582+Commodity!K594+K608</f>
        <v>0</v>
      </c>
      <c r="L610" s="3">
        <f ca="1">Commodity!L551+Commodity!L563+Commodity!L582+Commodity!L594+L608</f>
        <v>0</v>
      </c>
    </row>
    <row r="611" spans="1:12" ht="11.25" x14ac:dyDescent="0.2">
      <c r="A611" s="3"/>
      <c r="B611" s="3"/>
      <c r="C611" s="3"/>
      <c r="D611" s="325"/>
      <c r="E611" s="1"/>
      <c r="F611" s="3"/>
      <c r="G611" s="3"/>
      <c r="H611" s="3"/>
      <c r="I611" s="3"/>
      <c r="J611" s="3"/>
      <c r="K611" s="3"/>
      <c r="L611" s="3"/>
    </row>
    <row r="612" spans="1:12" ht="11.25" x14ac:dyDescent="0.2">
      <c r="A612" s="3">
        <f>A610+1</f>
        <v>8</v>
      </c>
      <c r="B612" s="3"/>
      <c r="C612" s="3" t="str">
        <f>Input!A474</f>
        <v>ADMINISTRATIVE &amp; GENERAL</v>
      </c>
      <c r="D612" s="325"/>
      <c r="E612" s="1"/>
      <c r="F612" s="3"/>
      <c r="G612" s="3"/>
      <c r="H612" s="3"/>
      <c r="I612" s="3"/>
      <c r="J612" s="3"/>
      <c r="K612" s="3"/>
      <c r="L612" s="3"/>
    </row>
    <row r="613" spans="1:12" ht="11.25" x14ac:dyDescent="0.2">
      <c r="A613" s="3"/>
      <c r="B613" s="25"/>
      <c r="C613" s="25"/>
      <c r="D613" s="325"/>
      <c r="E613" s="1"/>
      <c r="F613" s="3"/>
      <c r="G613" s="3"/>
      <c r="H613" s="3"/>
      <c r="I613" s="3"/>
      <c r="J613" s="3"/>
      <c r="K613" s="3"/>
      <c r="L613" s="3"/>
    </row>
    <row r="614" spans="1:12" ht="11.25" x14ac:dyDescent="0.2">
      <c r="A614" s="3">
        <f>A612+1</f>
        <v>9</v>
      </c>
      <c r="B614" s="3" t="str">
        <f>Input!A475</f>
        <v>920</v>
      </c>
      <c r="C614" s="3" t="str">
        <f>Input!B475</f>
        <v>SALARIES</v>
      </c>
      <c r="D614" s="325" t="str">
        <f>VLOOKUP(Input!C475,'Alloc Table Comm'!$A$7:$B$27,2,FALSE)</f>
        <v>13COMM</v>
      </c>
      <c r="E614" s="3">
        <f>Classification!G614</f>
        <v>618426</v>
      </c>
      <c r="F614" s="3">
        <f ca="1">ROUND((VLOOKUP($D614,'Alloc Table Comm'!$B$7:$T$56,13,FALSE)*$E614),0)</f>
        <v>254414</v>
      </c>
      <c r="G614" s="3">
        <f ca="1">ROUND((VLOOKUP($D614,'Alloc Table Comm'!$B$7:$T$56,14,FALSE)*$E614),0)</f>
        <v>168088</v>
      </c>
      <c r="H614" s="3">
        <f ca="1">ROUND((VLOOKUP($D614,'Alloc Table Comm'!$B$7:$T$56,15,FALSE)*$E614),0)</f>
        <v>383</v>
      </c>
      <c r="I614" s="3">
        <f ca="1">ROUND((VLOOKUP($D614,'Alloc Table Comm'!$B$7:$T$56,16,FALSE)*$E614),0)</f>
        <v>31</v>
      </c>
      <c r="J614" s="3">
        <f ca="1">ROUND((VLOOKUP($D614,'Alloc Table Comm'!$B$7:$T$56,17,FALSE)*$E614),0)</f>
        <v>195509</v>
      </c>
      <c r="K614" s="3">
        <f ca="1">ROUND((VLOOKUP($D614,'Alloc Table Comm'!$B$7:$T$56,18,FALSE)*$E614),0)</f>
        <v>0</v>
      </c>
      <c r="L614" s="3">
        <f ca="1">ROUND((VLOOKUP($D614,'Alloc Table Comm'!$B$7:$T$56,19,FALSE)*$E614),0)</f>
        <v>0</v>
      </c>
    </row>
    <row r="615" spans="1:12" ht="11.25" x14ac:dyDescent="0.2">
      <c r="A615" s="3">
        <f t="shared" ref="A615:A631" si="77">A614+1</f>
        <v>10</v>
      </c>
      <c r="B615" s="3" t="str">
        <f>Input!A476</f>
        <v>921</v>
      </c>
      <c r="C615" s="3" t="str">
        <f>Input!B476</f>
        <v>OFFICE SUPPLIES &amp; EXPENSES</v>
      </c>
      <c r="D615" s="325" t="str">
        <f>VLOOKUP(Input!C476,'Alloc Table Comm'!$A$7:$B$27,2,FALSE)</f>
        <v>13COMM</v>
      </c>
      <c r="E615" s="3">
        <f>Classification!G615</f>
        <v>186594</v>
      </c>
      <c r="F615" s="3">
        <f ca="1">ROUND((VLOOKUP($D615,'Alloc Table Comm'!$B$7:$T$56,13,FALSE)*$E615),0)</f>
        <v>76763</v>
      </c>
      <c r="G615" s="3">
        <f ca="1">ROUND((VLOOKUP($D615,'Alloc Table Comm'!$B$7:$T$56,14,FALSE)*$E615),0)</f>
        <v>50716</v>
      </c>
      <c r="H615" s="3">
        <f ca="1">ROUND((VLOOKUP($D615,'Alloc Table Comm'!$B$7:$T$56,15,FALSE)*$E615),0)</f>
        <v>116</v>
      </c>
      <c r="I615" s="3">
        <f ca="1">ROUND((VLOOKUP($D615,'Alloc Table Comm'!$B$7:$T$56,16,FALSE)*$E615),0)</f>
        <v>9</v>
      </c>
      <c r="J615" s="3">
        <f ca="1">ROUND((VLOOKUP($D615,'Alloc Table Comm'!$B$7:$T$56,17,FALSE)*$E615),0)</f>
        <v>58990</v>
      </c>
      <c r="K615" s="3">
        <f ca="1">ROUND((VLOOKUP($D615,'Alloc Table Comm'!$B$7:$T$56,18,FALSE)*$E615),0)</f>
        <v>0</v>
      </c>
      <c r="L615" s="3">
        <f ca="1">ROUND((VLOOKUP($D615,'Alloc Table Comm'!$B$7:$T$56,19,FALSE)*$E615),0)</f>
        <v>0</v>
      </c>
    </row>
    <row r="616" spans="1:12" ht="11.25" x14ac:dyDescent="0.2">
      <c r="A616" s="3">
        <f t="shared" si="77"/>
        <v>11</v>
      </c>
      <c r="B616" s="3" t="str">
        <f>Input!A477</f>
        <v>922</v>
      </c>
      <c r="C616" s="3" t="str">
        <f>Input!B477</f>
        <v>ADMIN. EXPENSES TRANSFERED</v>
      </c>
      <c r="D616" s="325" t="str">
        <f>VLOOKUP(Input!C477,'Alloc Table Comm'!$A$7:$B$27,2,FALSE)</f>
        <v>13COMM</v>
      </c>
      <c r="E616" s="3">
        <f>Classification!G616</f>
        <v>0</v>
      </c>
      <c r="F616" s="3">
        <f ca="1">ROUND((VLOOKUP($D616,'Alloc Table Comm'!$B$7:$T$56,13,FALSE)*$E616),0)</f>
        <v>0</v>
      </c>
      <c r="G616" s="3">
        <f ca="1">ROUND((VLOOKUP($D616,'Alloc Table Comm'!$B$7:$T$56,14,FALSE)*$E616),0)</f>
        <v>0</v>
      </c>
      <c r="H616" s="3">
        <f ca="1">ROUND((VLOOKUP($D616,'Alloc Table Comm'!$B$7:$T$56,15,FALSE)*$E616),0)</f>
        <v>0</v>
      </c>
      <c r="I616" s="3">
        <f ca="1">ROUND((VLOOKUP($D616,'Alloc Table Comm'!$B$7:$T$56,16,FALSE)*$E616),0)</f>
        <v>0</v>
      </c>
      <c r="J616" s="3">
        <f ca="1">ROUND((VLOOKUP($D616,'Alloc Table Comm'!$B$7:$T$56,17,FALSE)*$E616),0)</f>
        <v>0</v>
      </c>
      <c r="K616" s="3">
        <f ca="1">ROUND((VLOOKUP($D616,'Alloc Table Comm'!$B$7:$T$56,18,FALSE)*$E616),0)</f>
        <v>0</v>
      </c>
      <c r="L616" s="3">
        <f ca="1">ROUND((VLOOKUP($D616,'Alloc Table Comm'!$B$7:$T$56,19,FALSE)*$E616),0)</f>
        <v>0</v>
      </c>
    </row>
    <row r="617" spans="1:12" ht="11.25" x14ac:dyDescent="0.2">
      <c r="A617" s="3">
        <f t="shared" si="77"/>
        <v>12</v>
      </c>
      <c r="B617" s="3" t="str">
        <f>Input!A478</f>
        <v>923</v>
      </c>
      <c r="C617" s="3" t="str">
        <f>Input!B478</f>
        <v xml:space="preserve">OUTSIDE SERVICES </v>
      </c>
      <c r="D617" s="325" t="str">
        <f>VLOOKUP(Input!C478,'Alloc Table Comm'!$A$7:$B$27,2,FALSE)</f>
        <v>13COMM</v>
      </c>
      <c r="E617" s="3">
        <f>Classification!G617</f>
        <v>1642385</v>
      </c>
      <c r="F617" s="3">
        <f ca="1">ROUND((VLOOKUP($D617,'Alloc Table Comm'!$B$7:$T$56,13,FALSE)*$E617),0)</f>
        <v>675661</v>
      </c>
      <c r="G617" s="3">
        <f ca="1">ROUND((VLOOKUP($D617,'Alloc Table Comm'!$B$7:$T$56,14,FALSE)*$E617),0)</f>
        <v>446400</v>
      </c>
      <c r="H617" s="3">
        <f ca="1">ROUND((VLOOKUP($D617,'Alloc Table Comm'!$B$7:$T$56,15,FALSE)*$E617),0)</f>
        <v>1018</v>
      </c>
      <c r="I617" s="3">
        <f ca="1">ROUND((VLOOKUP($D617,'Alloc Table Comm'!$B$7:$T$56,16,FALSE)*$E617),0)</f>
        <v>82</v>
      </c>
      <c r="J617" s="3">
        <f ca="1">ROUND((VLOOKUP($D617,'Alloc Table Comm'!$B$7:$T$56,17,FALSE)*$E617),0)</f>
        <v>519224</v>
      </c>
      <c r="K617" s="3">
        <f ca="1">ROUND((VLOOKUP($D617,'Alloc Table Comm'!$B$7:$T$56,18,FALSE)*$E617),0)</f>
        <v>0</v>
      </c>
      <c r="L617" s="3">
        <f ca="1">ROUND((VLOOKUP($D617,'Alloc Table Comm'!$B$7:$T$56,19,FALSE)*$E617),0)</f>
        <v>0</v>
      </c>
    </row>
    <row r="618" spans="1:12" ht="11.25" x14ac:dyDescent="0.2">
      <c r="A618" s="3">
        <f t="shared" si="77"/>
        <v>13</v>
      </c>
      <c r="B618" s="3" t="str">
        <f>Input!A479</f>
        <v>924</v>
      </c>
      <c r="C618" s="3" t="str">
        <f>Input!B479</f>
        <v>PROPERTY INSURANCE</v>
      </c>
      <c r="D618" s="325" t="str">
        <f>VLOOKUP(Input!C479,'Alloc Table Comm'!$A$7:$B$27,2,FALSE)</f>
        <v>13COMM</v>
      </c>
      <c r="E618" s="3">
        <f>Classification!G618</f>
        <v>17060</v>
      </c>
      <c r="F618" s="3">
        <f ca="1">ROUND((VLOOKUP($D618,'Alloc Table Comm'!$B$7:$T$56,13,FALSE)*$E618),0)</f>
        <v>7018</v>
      </c>
      <c r="G618" s="3">
        <f ca="1">ROUND((VLOOKUP($D618,'Alloc Table Comm'!$B$7:$T$56,14,FALSE)*$E618),0)</f>
        <v>4637</v>
      </c>
      <c r="H618" s="3">
        <f ca="1">ROUND((VLOOKUP($D618,'Alloc Table Comm'!$B$7:$T$56,15,FALSE)*$E618),0)</f>
        <v>11</v>
      </c>
      <c r="I618" s="3">
        <f ca="1">ROUND((VLOOKUP($D618,'Alloc Table Comm'!$B$7:$T$56,16,FALSE)*$E618),0)</f>
        <v>1</v>
      </c>
      <c r="J618" s="3">
        <f ca="1">ROUND((VLOOKUP($D618,'Alloc Table Comm'!$B$7:$T$56,17,FALSE)*$E618),0)</f>
        <v>5393</v>
      </c>
      <c r="K618" s="3">
        <f ca="1">ROUND((VLOOKUP($D618,'Alloc Table Comm'!$B$7:$T$56,18,FALSE)*$E618),0)</f>
        <v>0</v>
      </c>
      <c r="L618" s="3">
        <f ca="1">ROUND((VLOOKUP($D618,'Alloc Table Comm'!$B$7:$T$56,19,FALSE)*$E618),0)</f>
        <v>0</v>
      </c>
    </row>
    <row r="619" spans="1:12" ht="11.25" x14ac:dyDescent="0.2">
      <c r="A619" s="3">
        <f t="shared" si="77"/>
        <v>14</v>
      </c>
      <c r="B619" s="3" t="str">
        <f>Input!A480</f>
        <v>925</v>
      </c>
      <c r="C619" s="3" t="str">
        <f>Input!B480</f>
        <v>INJURIES AND DAMAGES</v>
      </c>
      <c r="D619" s="325" t="str">
        <f>VLOOKUP(Input!C480,'Alloc Table Comm'!$A$7:$B$27,2,FALSE)</f>
        <v>12COMM</v>
      </c>
      <c r="E619" s="3">
        <f>Classification!G619</f>
        <v>217861</v>
      </c>
      <c r="F619" s="3">
        <f ca="1">ROUND((VLOOKUP($D619,'Alloc Table Comm'!$B$7:$T$56,13,FALSE)*$E619),0)</f>
        <v>84247</v>
      </c>
      <c r="G619" s="3">
        <f ca="1">ROUND((VLOOKUP($D619,'Alloc Table Comm'!$B$7:$T$56,14,FALSE)*$E619),0)</f>
        <v>57236</v>
      </c>
      <c r="H619" s="3">
        <f ca="1">ROUND((VLOOKUP($D619,'Alloc Table Comm'!$B$7:$T$56,15,FALSE)*$E619),0)</f>
        <v>122</v>
      </c>
      <c r="I619" s="3">
        <f ca="1">ROUND((VLOOKUP($D619,'Alloc Table Comm'!$B$7:$T$56,16,FALSE)*$E619),0)</f>
        <v>11</v>
      </c>
      <c r="J619" s="3">
        <f ca="1">ROUND((VLOOKUP($D619,'Alloc Table Comm'!$B$7:$T$56,17,FALSE)*$E619),0)</f>
        <v>76245</v>
      </c>
      <c r="K619" s="3">
        <f ca="1">ROUND((VLOOKUP($D619,'Alloc Table Comm'!$B$7:$T$56,18,FALSE)*$E619),0)</f>
        <v>0</v>
      </c>
      <c r="L619" s="3">
        <f ca="1">ROUND((VLOOKUP($D619,'Alloc Table Comm'!$B$7:$T$56,19,FALSE)*$E619),0)</f>
        <v>0</v>
      </c>
    </row>
    <row r="620" spans="1:12" ht="11.25" x14ac:dyDescent="0.2">
      <c r="A620" s="3">
        <f t="shared" si="77"/>
        <v>15</v>
      </c>
      <c r="B620" s="3" t="str">
        <f>Input!A481</f>
        <v>926</v>
      </c>
      <c r="C620" s="3" t="str">
        <f>Input!B481</f>
        <v>EMPLOYEE PENSIONS &amp; BENEFITS</v>
      </c>
      <c r="D620" s="325" t="str">
        <f>VLOOKUP(Input!C481,'Alloc Table Comm'!$A$7:$B$27,2,FALSE)</f>
        <v>12COMM</v>
      </c>
      <c r="E620" s="3">
        <f>Classification!G620</f>
        <v>699434</v>
      </c>
      <c r="F620" s="3">
        <f ca="1">ROUND((VLOOKUP($D620,'Alloc Table Comm'!$B$7:$T$56,13,FALSE)*$E620),0)</f>
        <v>270471</v>
      </c>
      <c r="G620" s="3">
        <f ca="1">ROUND((VLOOKUP($D620,'Alloc Table Comm'!$B$7:$T$56,14,FALSE)*$E620),0)</f>
        <v>183755</v>
      </c>
      <c r="H620" s="3">
        <f ca="1">ROUND((VLOOKUP($D620,'Alloc Table Comm'!$B$7:$T$56,15,FALSE)*$E620),0)</f>
        <v>392</v>
      </c>
      <c r="I620" s="3">
        <f ca="1">ROUND((VLOOKUP($D620,'Alloc Table Comm'!$B$7:$T$56,16,FALSE)*$E620),0)</f>
        <v>35</v>
      </c>
      <c r="J620" s="3">
        <f ca="1">ROUND((VLOOKUP($D620,'Alloc Table Comm'!$B$7:$T$56,17,FALSE)*$E620),0)</f>
        <v>244781</v>
      </c>
      <c r="K620" s="3">
        <f ca="1">ROUND((VLOOKUP($D620,'Alloc Table Comm'!$B$7:$T$56,18,FALSE)*$E620),0)</f>
        <v>0</v>
      </c>
      <c r="L620" s="3">
        <f ca="1">ROUND((VLOOKUP($D620,'Alloc Table Comm'!$B$7:$T$56,19,FALSE)*$E620),0)</f>
        <v>0</v>
      </c>
    </row>
    <row r="621" spans="1:12" ht="11.25" x14ac:dyDescent="0.2">
      <c r="A621" s="3">
        <f t="shared" si="77"/>
        <v>16</v>
      </c>
      <c r="B621" s="3" t="str">
        <f>Input!A482</f>
        <v>926</v>
      </c>
      <c r="C621" s="3" t="str">
        <f>Input!B482</f>
        <v>DIRECT EMPLOYEE PENSIONS &amp; BENEFITS</v>
      </c>
      <c r="D621" s="325"/>
      <c r="E621" s="3">
        <f>Classification!G621</f>
        <v>0</v>
      </c>
      <c r="F621" s="3">
        <v>0</v>
      </c>
      <c r="G621" s="3">
        <v>0</v>
      </c>
      <c r="H621" s="3">
        <v>0</v>
      </c>
      <c r="I621" s="3">
        <f>E621</f>
        <v>0</v>
      </c>
      <c r="J621" s="3">
        <v>0</v>
      </c>
      <c r="K621" s="3">
        <v>0</v>
      </c>
      <c r="L621" s="3">
        <v>0</v>
      </c>
    </row>
    <row r="622" spans="1:12" ht="11.25" x14ac:dyDescent="0.2">
      <c r="A622" s="3">
        <f t="shared" si="77"/>
        <v>17</v>
      </c>
      <c r="B622" s="3" t="str">
        <f>Input!A483</f>
        <v>928</v>
      </c>
      <c r="C622" s="3" t="str">
        <f>Input!B483</f>
        <v>REG COMMISSION EXP - GENERAL</v>
      </c>
      <c r="D622" s="325" t="str">
        <f>VLOOKUP(Input!C483,'Alloc Table Comm'!$A$7:$B$27,2,FALSE)</f>
        <v>13COMM</v>
      </c>
      <c r="E622" s="3">
        <f ca="1">Classification!G622</f>
        <v>41272</v>
      </c>
      <c r="F622" s="3">
        <f ca="1">ROUND((VLOOKUP($D622,'Alloc Table Comm'!$B$7:$T$56,13,FALSE)*$E622),0)</f>
        <v>16979</v>
      </c>
      <c r="G622" s="3">
        <f ca="1">ROUND((VLOOKUP($D622,'Alloc Table Comm'!$B$7:$T$56,14,FALSE)*$E622),0)</f>
        <v>11218</v>
      </c>
      <c r="H622" s="3">
        <f ca="1">ROUND((VLOOKUP($D622,'Alloc Table Comm'!$B$7:$T$56,15,FALSE)*$E622),0)</f>
        <v>26</v>
      </c>
      <c r="I622" s="3">
        <f ca="1">ROUND((VLOOKUP($D622,'Alloc Table Comm'!$B$7:$T$56,16,FALSE)*$E622),0)</f>
        <v>2</v>
      </c>
      <c r="J622" s="3">
        <f ca="1">ROUND((VLOOKUP($D622,'Alloc Table Comm'!$B$7:$T$56,17,FALSE)*$E622),0)</f>
        <v>13048</v>
      </c>
      <c r="K622" s="3">
        <f ca="1">ROUND((VLOOKUP($D622,'Alloc Table Comm'!$B$7:$T$56,18,FALSE)*$E622),0)</f>
        <v>0</v>
      </c>
      <c r="L622" s="3">
        <f ca="1">ROUND((VLOOKUP($D622,'Alloc Table Comm'!$B$7:$T$56,19,FALSE)*$E622),0)</f>
        <v>0</v>
      </c>
    </row>
    <row r="623" spans="1:12" ht="11.25" x14ac:dyDescent="0.2">
      <c r="A623" s="3">
        <f t="shared" si="77"/>
        <v>18</v>
      </c>
      <c r="B623" s="3" t="str">
        <f>Input!A484</f>
        <v>928</v>
      </c>
      <c r="C623" s="3" t="str">
        <f>Input!B484</f>
        <v>REGULATORY COMMISSION EXP - PSC @ 0.001901</v>
      </c>
      <c r="D623" s="325" t="str">
        <f>VLOOKUP(Input!C484,'Alloc Table Comm'!$A$7:$B$27,2,FALSE)</f>
        <v>13COMM</v>
      </c>
      <c r="E623" s="3">
        <f>Classification!G623</f>
        <v>36770</v>
      </c>
      <c r="F623" s="3">
        <f ca="1">ROUND((VLOOKUP($D623,'Alloc Table Comm'!$B$7:$T$56,13,FALSE)*$E623),0)</f>
        <v>15127</v>
      </c>
      <c r="G623" s="3">
        <f ca="1">ROUND((VLOOKUP($D623,'Alloc Table Comm'!$B$7:$T$56,14,FALSE)*$E623),0)</f>
        <v>9994</v>
      </c>
      <c r="H623" s="3">
        <f ca="1">ROUND((VLOOKUP($D623,'Alloc Table Comm'!$B$7:$T$56,15,FALSE)*$E623),0)</f>
        <v>23</v>
      </c>
      <c r="I623" s="3">
        <f ca="1">ROUND((VLOOKUP($D623,'Alloc Table Comm'!$B$7:$T$56,16,FALSE)*$E623),0)</f>
        <v>2</v>
      </c>
      <c r="J623" s="3">
        <f ca="1">ROUND((VLOOKUP($D623,'Alloc Table Comm'!$B$7:$T$56,17,FALSE)*$E623),0)</f>
        <v>11624</v>
      </c>
      <c r="K623" s="3">
        <f ca="1">ROUND((VLOOKUP($D623,'Alloc Table Comm'!$B$7:$T$56,18,FALSE)*$E623),0)</f>
        <v>0</v>
      </c>
      <c r="L623" s="3">
        <f ca="1">ROUND((VLOOKUP($D623,'Alloc Table Comm'!$B$7:$T$56,19,FALSE)*$E623),0)</f>
        <v>0</v>
      </c>
    </row>
    <row r="624" spans="1:12" ht="11.25" x14ac:dyDescent="0.2">
      <c r="A624" s="3">
        <f t="shared" si="77"/>
        <v>19</v>
      </c>
      <c r="B624" s="3" t="str">
        <f>Input!A485</f>
        <v>930.10</v>
      </c>
      <c r="C624" s="3" t="str">
        <f>Input!B485</f>
        <v>MISC. - INSTITUT &amp; GOODWILL ADV</v>
      </c>
      <c r="D624" s="325" t="str">
        <f>VLOOKUP(Input!C485,'Alloc Table Comm'!$A$7:$B$27,2,FALSE)</f>
        <v>13COMM</v>
      </c>
      <c r="E624" s="3">
        <f>Classification!G624</f>
        <v>0</v>
      </c>
      <c r="F624" s="3">
        <f ca="1">ROUND((VLOOKUP($D624,'Alloc Table Comm'!$B$7:$T$56,13,FALSE)*$E624),0)</f>
        <v>0</v>
      </c>
      <c r="G624" s="3">
        <f ca="1">ROUND((VLOOKUP($D624,'Alloc Table Comm'!$B$7:$T$56,14,FALSE)*$E624),0)</f>
        <v>0</v>
      </c>
      <c r="H624" s="3">
        <f ca="1">ROUND((VLOOKUP($D624,'Alloc Table Comm'!$B$7:$T$56,15,FALSE)*$E624),0)</f>
        <v>0</v>
      </c>
      <c r="I624" s="3">
        <f ca="1">ROUND((VLOOKUP($D624,'Alloc Table Comm'!$B$7:$T$56,16,FALSE)*$E624),0)</f>
        <v>0</v>
      </c>
      <c r="J624" s="3">
        <f ca="1">ROUND((VLOOKUP($D624,'Alloc Table Comm'!$B$7:$T$56,17,FALSE)*$E624),0)</f>
        <v>0</v>
      </c>
      <c r="K624" s="3">
        <f ca="1">ROUND((VLOOKUP($D624,'Alloc Table Comm'!$B$7:$T$56,18,FALSE)*$E624),0)</f>
        <v>0</v>
      </c>
      <c r="L624" s="3">
        <f ca="1">ROUND((VLOOKUP($D624,'Alloc Table Comm'!$B$7:$T$56,19,FALSE)*$E624),0)</f>
        <v>0</v>
      </c>
    </row>
    <row r="625" spans="1:12" ht="11.25" x14ac:dyDescent="0.2">
      <c r="A625" s="3">
        <f t="shared" si="77"/>
        <v>20</v>
      </c>
      <c r="B625" s="3" t="str">
        <f>Input!A486</f>
        <v>930.20</v>
      </c>
      <c r="C625" s="3" t="str">
        <f>Input!B486</f>
        <v>MISC. - GENERAL</v>
      </c>
      <c r="D625" s="325" t="str">
        <f>VLOOKUP(Input!C486,'Alloc Table Comm'!$A$7:$B$27,2,FALSE)</f>
        <v>13COMM</v>
      </c>
      <c r="E625" s="3">
        <f>Classification!G625</f>
        <v>-12965</v>
      </c>
      <c r="F625" s="3">
        <f ca="1">ROUND((VLOOKUP($D625,'Alloc Table Comm'!$B$7:$T$56,13,FALSE)*$E625),0)</f>
        <v>-5334</v>
      </c>
      <c r="G625" s="3">
        <f ca="1">ROUND((VLOOKUP($D625,'Alloc Table Comm'!$B$7:$T$56,14,FALSE)*$E625),0)</f>
        <v>-3524</v>
      </c>
      <c r="H625" s="3">
        <f ca="1">ROUND((VLOOKUP($D625,'Alloc Table Comm'!$B$7:$T$56,15,FALSE)*$E625),0)</f>
        <v>-8</v>
      </c>
      <c r="I625" s="3">
        <f ca="1">ROUND((VLOOKUP($D625,'Alloc Table Comm'!$B$7:$T$56,16,FALSE)*$E625),0)</f>
        <v>-1</v>
      </c>
      <c r="J625" s="3">
        <f ca="1">ROUND((VLOOKUP($D625,'Alloc Table Comm'!$B$7:$T$56,17,FALSE)*$E625),0)</f>
        <v>-4099</v>
      </c>
      <c r="K625" s="3">
        <f ca="1">ROUND((VLOOKUP($D625,'Alloc Table Comm'!$B$7:$T$56,18,FALSE)*$E625),0)</f>
        <v>0</v>
      </c>
      <c r="L625" s="3">
        <f ca="1">ROUND((VLOOKUP($D625,'Alloc Table Comm'!$B$7:$T$56,19,FALSE)*$E625),0)</f>
        <v>0</v>
      </c>
    </row>
    <row r="626" spans="1:12" ht="11.25" x14ac:dyDescent="0.2">
      <c r="A626" s="3">
        <f t="shared" si="77"/>
        <v>21</v>
      </c>
      <c r="B626" s="3" t="str">
        <f>Input!A487</f>
        <v>931</v>
      </c>
      <c r="C626" s="3" t="str">
        <f>Input!B487</f>
        <v>RENTS</v>
      </c>
      <c r="D626" s="325" t="str">
        <f>VLOOKUP(Input!C487,'Alloc Table Comm'!$A$7:$B$27,2,FALSE)</f>
        <v>13COMM</v>
      </c>
      <c r="E626" s="3">
        <f>Classification!G626</f>
        <v>134019</v>
      </c>
      <c r="F626" s="3">
        <f ca="1">ROUND((VLOOKUP($D626,'Alloc Table Comm'!$B$7:$T$56,13,FALSE)*$E626),0)</f>
        <v>55134</v>
      </c>
      <c r="G626" s="3">
        <f ca="1">ROUND((VLOOKUP($D626,'Alloc Table Comm'!$B$7:$T$56,14,FALSE)*$E626),0)</f>
        <v>36426</v>
      </c>
      <c r="H626" s="3">
        <f ca="1">ROUND((VLOOKUP($D626,'Alloc Table Comm'!$B$7:$T$56,15,FALSE)*$E626),0)</f>
        <v>83</v>
      </c>
      <c r="I626" s="3">
        <f ca="1">ROUND((VLOOKUP($D626,'Alloc Table Comm'!$B$7:$T$56,16,FALSE)*$E626),0)</f>
        <v>7</v>
      </c>
      <c r="J626" s="3">
        <f ca="1">ROUND((VLOOKUP($D626,'Alloc Table Comm'!$B$7:$T$56,17,FALSE)*$E626),0)</f>
        <v>42369</v>
      </c>
      <c r="K626" s="3">
        <f ca="1">ROUND((VLOOKUP($D626,'Alloc Table Comm'!$B$7:$T$56,18,FALSE)*$E626),0)</f>
        <v>0</v>
      </c>
      <c r="L626" s="3">
        <f ca="1">ROUND((VLOOKUP($D626,'Alloc Table Comm'!$B$7:$T$56,19,FALSE)*$E626),0)</f>
        <v>0</v>
      </c>
    </row>
    <row r="627" spans="1:12" ht="11.25" x14ac:dyDescent="0.2">
      <c r="A627" s="3">
        <f t="shared" si="77"/>
        <v>22</v>
      </c>
      <c r="B627" s="3" t="str">
        <f>Input!A488</f>
        <v>935.13</v>
      </c>
      <c r="C627" s="3" t="str">
        <f>Input!B488</f>
        <v>MAINT. STRUCTURES &amp; IMPROV.</v>
      </c>
      <c r="D627" s="325" t="str">
        <f>VLOOKUP(Input!C488,'Alloc Table Comm'!$A$7:$B$27,2,FALSE)</f>
        <v>13COMM</v>
      </c>
      <c r="E627" s="3">
        <f>Classification!G627</f>
        <v>27</v>
      </c>
      <c r="F627" s="3">
        <f ca="1">ROUND((VLOOKUP($D627,'Alloc Table Comm'!$B$7:$T$56,13,FALSE)*$E627),0)</f>
        <v>11</v>
      </c>
      <c r="G627" s="3">
        <f ca="1">ROUND((VLOOKUP($D627,'Alloc Table Comm'!$B$7:$T$56,14,FALSE)*$E627),0)</f>
        <v>7</v>
      </c>
      <c r="H627" s="3">
        <f ca="1">ROUND((VLOOKUP($D627,'Alloc Table Comm'!$B$7:$T$56,15,FALSE)*$E627),0)</f>
        <v>0</v>
      </c>
      <c r="I627" s="3">
        <f ca="1">ROUND((VLOOKUP($D627,'Alloc Table Comm'!$B$7:$T$56,16,FALSE)*$E627),0)</f>
        <v>0</v>
      </c>
      <c r="J627" s="3">
        <f ca="1">ROUND((VLOOKUP($D627,'Alloc Table Comm'!$B$7:$T$56,17,FALSE)*$E627),0)</f>
        <v>9</v>
      </c>
      <c r="K627" s="3">
        <f ca="1">ROUND((VLOOKUP($D627,'Alloc Table Comm'!$B$7:$T$56,18,FALSE)*$E627),0)</f>
        <v>0</v>
      </c>
      <c r="L627" s="3">
        <f ca="1">ROUND((VLOOKUP($D627,'Alloc Table Comm'!$B$7:$T$56,19,FALSE)*$E627),0)</f>
        <v>0</v>
      </c>
    </row>
    <row r="628" spans="1:12" ht="11.25" x14ac:dyDescent="0.2">
      <c r="A628" s="3">
        <f t="shared" si="77"/>
        <v>23</v>
      </c>
      <c r="B628" s="3" t="str">
        <f>Input!A489</f>
        <v>935.23</v>
      </c>
      <c r="C628" s="3" t="str">
        <f>Input!B489</f>
        <v xml:space="preserve">MAINT. - GEN'L OFFICE </v>
      </c>
      <c r="D628" s="325"/>
      <c r="E628" s="1"/>
      <c r="F628" s="3"/>
      <c r="G628" s="3"/>
      <c r="H628" s="3"/>
      <c r="I628" s="3"/>
      <c r="J628" s="3"/>
      <c r="K628" s="3"/>
      <c r="L628" s="3"/>
    </row>
    <row r="629" spans="1:12" ht="11.25" x14ac:dyDescent="0.2">
      <c r="A629" s="3">
        <f t="shared" si="77"/>
        <v>24</v>
      </c>
      <c r="B629" s="3"/>
      <c r="C629" s="3" t="str">
        <f>Input!B490</f>
        <v>FURNITURE &amp; EQUIPMENT</v>
      </c>
      <c r="D629" s="325" t="str">
        <f>VLOOKUP(Input!C490,'Alloc Table Comm'!$A$7:$B$27,2,FALSE)</f>
        <v>13COMM</v>
      </c>
      <c r="E629" s="3">
        <f>Classification!G629</f>
        <v>0</v>
      </c>
      <c r="F629" s="3">
        <f ca="1">ROUND((VLOOKUP($D629,'Alloc Table Comm'!$B$7:$T$56,13,FALSE)*$E629),0)</f>
        <v>0</v>
      </c>
      <c r="G629" s="3">
        <f ca="1">ROUND((VLOOKUP($D629,'Alloc Table Comm'!$B$7:$T$56,14,FALSE)*$E629),0)</f>
        <v>0</v>
      </c>
      <c r="H629" s="3">
        <f ca="1">ROUND((VLOOKUP($D629,'Alloc Table Comm'!$B$7:$T$56,15,FALSE)*$E629),0)</f>
        <v>0</v>
      </c>
      <c r="I629" s="3">
        <f ca="1">ROUND((VLOOKUP($D629,'Alloc Table Comm'!$B$7:$T$56,16,FALSE)*$E629),0)</f>
        <v>0</v>
      </c>
      <c r="J629" s="3">
        <f ca="1">ROUND((VLOOKUP($D629,'Alloc Table Comm'!$B$7:$T$56,17,FALSE)*$E629),0)</f>
        <v>0</v>
      </c>
      <c r="K629" s="3">
        <f ca="1">ROUND((VLOOKUP($D629,'Alloc Table Comm'!$B$7:$T$56,18,FALSE)*$E629),0)</f>
        <v>0</v>
      </c>
      <c r="L629" s="3">
        <f ca="1">ROUND((VLOOKUP($D629,'Alloc Table Comm'!$B$7:$T$56,19,FALSE)*$E629),0)</f>
        <v>0</v>
      </c>
    </row>
    <row r="630" spans="1:12" ht="11.25" x14ac:dyDescent="0.2">
      <c r="A630" s="3">
        <f t="shared" si="77"/>
        <v>25</v>
      </c>
      <c r="B630" s="3">
        <f>Input!A491</f>
        <v>932</v>
      </c>
      <c r="C630" s="3" t="str">
        <f>Input!B491</f>
        <v>MAINT.-MISCELLANEOUS</v>
      </c>
      <c r="D630" s="325" t="str">
        <f>VLOOKUP(Input!C491,'Alloc Table Comm'!$A$7:$B$27,2,FALSE)</f>
        <v>13COMM</v>
      </c>
      <c r="E630" s="26">
        <f>Classification!G630</f>
        <v>54077</v>
      </c>
      <c r="F630" s="26">
        <f ca="1">ROUND((VLOOKUP($D630,'Alloc Table Comm'!$B$7:$T$56,13,FALSE)*$E630),0)</f>
        <v>22247</v>
      </c>
      <c r="G630" s="26">
        <f ca="1">ROUND((VLOOKUP($D630,'Alloc Table Comm'!$B$7:$T$56,14,FALSE)*$E630),0)</f>
        <v>14698</v>
      </c>
      <c r="H630" s="26">
        <f ca="1">ROUND((VLOOKUP($D630,'Alloc Table Comm'!$B$7:$T$56,15,FALSE)*$E630),0)</f>
        <v>34</v>
      </c>
      <c r="I630" s="26">
        <f ca="1">ROUND((VLOOKUP($D630,'Alloc Table Comm'!$B$7:$T$56,16,FALSE)*$E630),0)</f>
        <v>3</v>
      </c>
      <c r="J630" s="26">
        <f ca="1">ROUND((VLOOKUP($D630,'Alloc Table Comm'!$B$7:$T$56,17,FALSE)*$E630),0)</f>
        <v>17096</v>
      </c>
      <c r="K630" s="26">
        <f ca="1">ROUND((VLOOKUP($D630,'Alloc Table Comm'!$B$7:$T$56,18,FALSE)*$E630),0)</f>
        <v>0</v>
      </c>
      <c r="L630" s="26">
        <f ca="1">ROUND((VLOOKUP($D630,'Alloc Table Comm'!$B$7:$T$56,19,FALSE)*$E630),0)</f>
        <v>0</v>
      </c>
    </row>
    <row r="631" spans="1:12" ht="11.25" x14ac:dyDescent="0.2">
      <c r="A631" s="3">
        <f t="shared" si="77"/>
        <v>26</v>
      </c>
      <c r="B631" s="3"/>
      <c r="C631" s="3" t="s">
        <v>340</v>
      </c>
      <c r="D631" s="325"/>
      <c r="E631" s="26">
        <f t="shared" ref="E631:L631" ca="1" si="78">SUM(E614:E630)</f>
        <v>3634960</v>
      </c>
      <c r="F631" s="26">
        <f t="shared" ca="1" si="78"/>
        <v>1472738</v>
      </c>
      <c r="G631" s="26">
        <f t="shared" ca="1" si="78"/>
        <v>979651</v>
      </c>
      <c r="H631" s="26">
        <f t="shared" ca="1" si="78"/>
        <v>2200</v>
      </c>
      <c r="I631" s="26">
        <f t="shared" ca="1" si="78"/>
        <v>182</v>
      </c>
      <c r="J631" s="26">
        <f t="shared" ca="1" si="78"/>
        <v>1180189</v>
      </c>
      <c r="K631" s="26">
        <f t="shared" ca="1" si="78"/>
        <v>0</v>
      </c>
      <c r="L631" s="26">
        <f t="shared" ca="1" si="78"/>
        <v>0</v>
      </c>
    </row>
    <row r="632" spans="1:12" ht="11.25" x14ac:dyDescent="0.2">
      <c r="A632" s="3"/>
      <c r="B632" s="3"/>
      <c r="C632" s="3"/>
      <c r="D632" s="325"/>
      <c r="E632" s="3"/>
      <c r="F632" s="3"/>
      <c r="G632" s="3"/>
      <c r="H632" s="3"/>
      <c r="I632" s="3"/>
      <c r="J632" s="3"/>
      <c r="K632" s="3"/>
      <c r="L632" s="3"/>
    </row>
    <row r="633" spans="1:12" ht="11.25" x14ac:dyDescent="0.2">
      <c r="A633" s="3">
        <f>A631+1</f>
        <v>27</v>
      </c>
      <c r="B633" s="3"/>
      <c r="C633" s="3" t="s">
        <v>341</v>
      </c>
      <c r="D633" s="325"/>
      <c r="E633" s="3">
        <f ca="1">Commodity!E409+Commodity!E410+Commodity!E411+Commodity!E417+Commodity!E419+Commodity!E429+Commodity!E430+E610+E631</f>
        <v>7585091</v>
      </c>
      <c r="F633" s="3">
        <f ca="1">Commodity!F409+Commodity!F410+Commodity!F411+Commodity!F417+Commodity!F419+Commodity!F429+Commodity!F430+F610+F631</f>
        <v>3097785</v>
      </c>
      <c r="G633" s="3">
        <f ca="1">Commodity!G409+Commodity!G410+Commodity!G411+Commodity!G417+Commodity!G419+Commodity!G429+Commodity!G430+G610+G631</f>
        <v>2053311</v>
      </c>
      <c r="H633" s="3">
        <f ca="1">Commodity!H409+Commodity!H410+Commodity!H411+Commodity!H417+Commodity!H419+Commodity!H429+Commodity!H430+H610+H631</f>
        <v>4652</v>
      </c>
      <c r="I633" s="3">
        <f ca="1">Commodity!I409+Commodity!I410+Commodity!I411+Commodity!I417+Commodity!I419+Commodity!I429+Commodity!I430+I610+I631</f>
        <v>361</v>
      </c>
      <c r="J633" s="3">
        <f ca="1">Commodity!J409+Commodity!J410+Commodity!J411+Commodity!J417+Commodity!J419+Commodity!J429+Commodity!J430+J610+J631</f>
        <v>2428980</v>
      </c>
      <c r="K633" s="3">
        <f ca="1">Commodity!K409+Commodity!K410+Commodity!K411+Commodity!K417+Commodity!K419+Commodity!K429+Commodity!K430+K610+K631</f>
        <v>0</v>
      </c>
      <c r="L633" s="3">
        <f ca="1">Commodity!L409+Commodity!L410+Commodity!L411+Commodity!L417+Commodity!L419+Commodity!L429+Commodity!L430+L610+L631</f>
        <v>0</v>
      </c>
    </row>
    <row r="634" spans="1:12" ht="11.25" x14ac:dyDescent="0.2">
      <c r="A634" s="3" t="s">
        <v>818</v>
      </c>
      <c r="B634" s="3"/>
      <c r="C634" s="14"/>
      <c r="D634" s="325"/>
      <c r="E634" s="15"/>
      <c r="F634" s="325" t="str">
        <f>""&amp;+Input!$B$1</f>
        <v>COLUMBIA GAS OF KENTUCKY, INC.</v>
      </c>
      <c r="H634" s="3"/>
      <c r="I634" s="3"/>
      <c r="J634" s="3"/>
      <c r="K634" s="3"/>
      <c r="L634" s="32" t="str">
        <f>Input!$B$2</f>
        <v>ATTACHMENT CEN-2</v>
      </c>
    </row>
    <row r="635" spans="1:12" ht="11.25" x14ac:dyDescent="0.2">
      <c r="A635" s="3" t="str">
        <f>Input!$B$7</f>
        <v>DEMAND-COMMODITY</v>
      </c>
      <c r="B635" s="3"/>
      <c r="C635" s="3"/>
      <c r="D635" s="325"/>
      <c r="E635" s="3"/>
      <c r="F635" s="325" t="s">
        <v>42</v>
      </c>
      <c r="H635" s="3"/>
      <c r="I635" s="3"/>
      <c r="J635" s="3"/>
      <c r="K635" s="3"/>
      <c r="L635" s="32" t="str">
        <f>"PAGE 96 OF "&amp;FIXED(Input!$B$8,0,TRUE)</f>
        <v>PAGE 96 OF 129</v>
      </c>
    </row>
    <row r="636" spans="1:12" ht="11.25" x14ac:dyDescent="0.2">
      <c r="A636" s="17" t="str">
        <f>Input!$B$6</f>
        <v>FORECASTED TEST YEAR - ORIGINAL FILING</v>
      </c>
      <c r="B636" s="17"/>
      <c r="C636" s="17"/>
      <c r="D636" s="34"/>
      <c r="E636" s="17"/>
      <c r="F636" s="19" t="str">
        <f>"FOR THE TWELVE MONTHS ENDED "&amp;Input!$B$4</f>
        <v>FOR THE TWELVE MONTHS ENDED 12/31/2017</v>
      </c>
      <c r="G636" s="329"/>
      <c r="H636" s="17"/>
      <c r="I636" s="17"/>
      <c r="J636" s="17"/>
      <c r="K636" s="17"/>
      <c r="L636" s="183" t="str">
        <f>"WITNESS: "&amp;Input!$B$5</f>
        <v>WITNESS: C. NOTESTONE</v>
      </c>
    </row>
    <row r="637" spans="1:12" ht="11.25" x14ac:dyDescent="0.2">
      <c r="A637" s="325" t="s">
        <v>5</v>
      </c>
      <c r="B637" s="3" t="s">
        <v>6</v>
      </c>
      <c r="C637" s="3"/>
      <c r="D637" s="325" t="s">
        <v>7</v>
      </c>
      <c r="E637" s="325" t="s">
        <v>8</v>
      </c>
      <c r="F637" s="3"/>
      <c r="G637" s="3"/>
      <c r="H637" s="3"/>
      <c r="I637" s="3"/>
      <c r="J637" s="3"/>
      <c r="K637" s="3"/>
      <c r="L637" s="3"/>
    </row>
    <row r="638" spans="1:12" ht="11.25" x14ac:dyDescent="0.2">
      <c r="A638" s="341" t="s">
        <v>9</v>
      </c>
      <c r="B638" s="341" t="s">
        <v>9</v>
      </c>
      <c r="C638" s="341" t="str">
        <f>"                        ACCOUNT TITLE                "</f>
        <v xml:space="preserve">                        ACCOUNT TITLE                </v>
      </c>
      <c r="D638" s="341" t="s">
        <v>10</v>
      </c>
      <c r="E638" s="341" t="s">
        <v>812</v>
      </c>
      <c r="F638" s="341" t="str">
        <f>"  "&amp;+Input!$C$12</f>
        <v xml:space="preserve">  GS-RESIDENTIAL</v>
      </c>
      <c r="G638" s="341" t="str">
        <f>Input!$C$13</f>
        <v>GS-OTHER</v>
      </c>
      <c r="H638" s="341" t="str">
        <f>Input!$C$14</f>
        <v>IUS</v>
      </c>
      <c r="I638" s="341" t="str">
        <f>Input!$C$15</f>
        <v>DS-ML</v>
      </c>
      <c r="J638" s="341" t="str">
        <f>Input!$C$16</f>
        <v>DS/IS</v>
      </c>
      <c r="K638" s="341" t="str">
        <f>Input!$C$17</f>
        <v>NOT USED</v>
      </c>
      <c r="L638" s="341" t="str">
        <f>Input!$C$18</f>
        <v>NOT USED</v>
      </c>
    </row>
    <row r="639" spans="1:12" ht="11.25" x14ac:dyDescent="0.2">
      <c r="A639" s="3"/>
      <c r="B639" s="342" t="s">
        <v>13</v>
      </c>
      <c r="C639" s="342" t="s">
        <v>14</v>
      </c>
      <c r="D639" s="325" t="s">
        <v>15</v>
      </c>
      <c r="E639" s="325" t="s">
        <v>16</v>
      </c>
      <c r="F639" s="325" t="s">
        <v>17</v>
      </c>
      <c r="G639" s="325" t="s">
        <v>18</v>
      </c>
      <c r="H639" s="325" t="s">
        <v>19</v>
      </c>
      <c r="I639" s="325" t="s">
        <v>20</v>
      </c>
      <c r="J639" s="325" t="s">
        <v>21</v>
      </c>
      <c r="K639" s="325" t="s">
        <v>22</v>
      </c>
      <c r="L639" s="325" t="s">
        <v>23</v>
      </c>
    </row>
    <row r="640" spans="1:12" ht="11.25" x14ac:dyDescent="0.2">
      <c r="A640" s="3"/>
      <c r="B640" s="3"/>
      <c r="C640" s="3"/>
      <c r="D640" s="325"/>
      <c r="E640" s="325" t="s">
        <v>26</v>
      </c>
      <c r="F640" s="325" t="s">
        <v>26</v>
      </c>
      <c r="G640" s="325" t="s">
        <v>26</v>
      </c>
      <c r="H640" s="325" t="s">
        <v>26</v>
      </c>
      <c r="I640" s="325" t="s">
        <v>26</v>
      </c>
      <c r="J640" s="325" t="s">
        <v>26</v>
      </c>
      <c r="K640" s="325" t="s">
        <v>26</v>
      </c>
      <c r="L640" s="325" t="s">
        <v>26</v>
      </c>
    </row>
    <row r="641" spans="1:12" ht="11.25" x14ac:dyDescent="0.2">
      <c r="A641" s="3">
        <v>1</v>
      </c>
      <c r="B641" s="3" t="s">
        <v>342</v>
      </c>
      <c r="C641" s="3"/>
      <c r="D641" s="325"/>
      <c r="E641" s="3"/>
      <c r="F641" s="3"/>
      <c r="G641" s="3"/>
      <c r="H641" s="3"/>
      <c r="I641" s="3"/>
      <c r="J641" s="3"/>
      <c r="K641" s="3"/>
      <c r="L641" s="3"/>
    </row>
    <row r="642" spans="1:12" ht="11.25" x14ac:dyDescent="0.2">
      <c r="A642" s="3"/>
      <c r="B642" s="3"/>
      <c r="C642" s="3"/>
      <c r="D642" s="325"/>
      <c r="E642" s="3"/>
      <c r="F642" s="3"/>
      <c r="G642" s="3"/>
      <c r="H642" s="3"/>
      <c r="I642" s="3"/>
      <c r="J642" s="3"/>
      <c r="K642" s="3"/>
      <c r="L642" s="3"/>
    </row>
    <row r="643" spans="1:12" ht="11.25" x14ac:dyDescent="0.2">
      <c r="A643" s="3">
        <f>A641+1</f>
        <v>2</v>
      </c>
      <c r="B643" s="3" t="s">
        <v>343</v>
      </c>
      <c r="C643" s="3"/>
      <c r="D643" s="325" t="s">
        <v>344</v>
      </c>
      <c r="E643" s="23">
        <f>Commodity!E408+Commodity!E416+Commodity!E418+Commodity!E428</f>
        <v>0</v>
      </c>
      <c r="F643" s="23">
        <f>Commodity!F408+Commodity!F416+Commodity!F418+Commodity!F428</f>
        <v>0</v>
      </c>
      <c r="G643" s="23">
        <f>Commodity!G408+Commodity!G416+Commodity!G418+Commodity!G428</f>
        <v>0</v>
      </c>
      <c r="H643" s="23">
        <f>Commodity!H408+Commodity!H416+Commodity!H418+Commodity!H428</f>
        <v>0</v>
      </c>
      <c r="I643" s="23">
        <f>Commodity!I408+Commodity!I416+Commodity!I418+Commodity!I428</f>
        <v>0</v>
      </c>
      <c r="J643" s="23">
        <f>Commodity!J408+Commodity!J416+Commodity!J418+Commodity!J428</f>
        <v>0</v>
      </c>
      <c r="K643" s="23">
        <f>Commodity!K408+Commodity!K416+Commodity!K418+Commodity!K428</f>
        <v>0</v>
      </c>
      <c r="L643" s="23">
        <f>Commodity!L408+Commodity!L416+Commodity!L418+Commodity!L428</f>
        <v>0</v>
      </c>
    </row>
    <row r="644" spans="1:12" ht="11.25" x14ac:dyDescent="0.2">
      <c r="A644" s="3">
        <f t="shared" ref="A644:A650" si="79">A643+1</f>
        <v>3</v>
      </c>
      <c r="B644" s="3" t="s">
        <v>345</v>
      </c>
      <c r="C644" s="3"/>
      <c r="D644" s="325" t="s">
        <v>346</v>
      </c>
      <c r="E644" s="23">
        <f>Commodity!E452</f>
        <v>781287</v>
      </c>
      <c r="F644" s="23">
        <f ca="1">Commodity!F452</f>
        <v>300463</v>
      </c>
      <c r="G644" s="23">
        <f ca="1">Commodity!G452</f>
        <v>204585</v>
      </c>
      <c r="H644" s="23">
        <f ca="1">Commodity!H452</f>
        <v>438</v>
      </c>
      <c r="I644" s="23">
        <f ca="1">Commodity!I452</f>
        <v>35</v>
      </c>
      <c r="J644" s="23">
        <f ca="1">Commodity!J452</f>
        <v>275763</v>
      </c>
      <c r="K644" s="23">
        <f ca="1">Commodity!K452</f>
        <v>0</v>
      </c>
      <c r="L644" s="23">
        <f ca="1">Commodity!L452</f>
        <v>0</v>
      </c>
    </row>
    <row r="645" spans="1:12" ht="11.25" x14ac:dyDescent="0.2">
      <c r="A645" s="3">
        <f t="shared" si="79"/>
        <v>4</v>
      </c>
      <c r="B645" s="3" t="s">
        <v>347</v>
      </c>
      <c r="C645" s="3"/>
      <c r="D645" s="325" t="s">
        <v>346</v>
      </c>
      <c r="E645" s="3">
        <f>Commodity!E464</f>
        <v>559597</v>
      </c>
      <c r="F645" s="3">
        <f ca="1">Commodity!F464</f>
        <v>218061</v>
      </c>
      <c r="G645" s="3">
        <f ca="1">Commodity!G464</f>
        <v>147689</v>
      </c>
      <c r="H645" s="3">
        <f ca="1">Commodity!H464</f>
        <v>319</v>
      </c>
      <c r="I645" s="3">
        <f ca="1">Commodity!I464</f>
        <v>27</v>
      </c>
      <c r="J645" s="3">
        <f ca="1">Commodity!J464</f>
        <v>193500</v>
      </c>
      <c r="K645" s="3">
        <f ca="1">Commodity!K464</f>
        <v>0</v>
      </c>
      <c r="L645" s="3">
        <f ca="1">Commodity!L464</f>
        <v>0</v>
      </c>
    </row>
    <row r="646" spans="1:12" ht="11.25" x14ac:dyDescent="0.2">
      <c r="A646" s="3">
        <f t="shared" si="79"/>
        <v>5</v>
      </c>
      <c r="B646" s="3" t="s">
        <v>348</v>
      </c>
      <c r="C646" s="3"/>
      <c r="D646" s="325" t="s">
        <v>349</v>
      </c>
      <c r="E646" s="3">
        <f>Commodity!E483</f>
        <v>0</v>
      </c>
      <c r="F646" s="3">
        <f>Commodity!F483</f>
        <v>0</v>
      </c>
      <c r="G646" s="3">
        <f>Commodity!G483</f>
        <v>0</v>
      </c>
      <c r="H646" s="3">
        <f>Commodity!H483</f>
        <v>0</v>
      </c>
      <c r="I646" s="3">
        <f>Commodity!I483</f>
        <v>0</v>
      </c>
      <c r="J646" s="3">
        <f>Commodity!J483</f>
        <v>0</v>
      </c>
      <c r="K646" s="3">
        <f>Commodity!K483</f>
        <v>0</v>
      </c>
      <c r="L646" s="3">
        <f>Commodity!L483</f>
        <v>0</v>
      </c>
    </row>
    <row r="647" spans="1:12" ht="11.25" x14ac:dyDescent="0.2">
      <c r="A647" s="3">
        <f t="shared" si="79"/>
        <v>6</v>
      </c>
      <c r="B647" s="3" t="s">
        <v>350</v>
      </c>
      <c r="C647" s="3"/>
      <c r="D647" s="325" t="s">
        <v>349</v>
      </c>
      <c r="E647" s="3">
        <f>Commodity!E495</f>
        <v>0</v>
      </c>
      <c r="F647" s="3">
        <f>Commodity!F495</f>
        <v>0</v>
      </c>
      <c r="G647" s="3">
        <f>Commodity!G495</f>
        <v>0</v>
      </c>
      <c r="H647" s="3">
        <f>Commodity!H495</f>
        <v>0</v>
      </c>
      <c r="I647" s="3">
        <f>Commodity!I495</f>
        <v>0</v>
      </c>
      <c r="J647" s="3">
        <f>Commodity!J495</f>
        <v>0</v>
      </c>
      <c r="K647" s="3">
        <f>Commodity!K495</f>
        <v>0</v>
      </c>
      <c r="L647" s="3">
        <f>Commodity!L495</f>
        <v>0</v>
      </c>
    </row>
    <row r="648" spans="1:12" ht="11.25" x14ac:dyDescent="0.2">
      <c r="A648" s="3">
        <f t="shared" si="79"/>
        <v>7</v>
      </c>
      <c r="B648" s="3" t="s">
        <v>351</v>
      </c>
      <c r="C648" s="3"/>
      <c r="D648" s="325" t="s">
        <v>352</v>
      </c>
      <c r="E648" s="3">
        <f>Commodity!E509</f>
        <v>0</v>
      </c>
      <c r="F648" s="3">
        <f>Commodity!F509</f>
        <v>0</v>
      </c>
      <c r="G648" s="3">
        <f>Commodity!G509</f>
        <v>0</v>
      </c>
      <c r="H648" s="3">
        <f>Commodity!H509</f>
        <v>0</v>
      </c>
      <c r="I648" s="3">
        <f>Commodity!I509</f>
        <v>0</v>
      </c>
      <c r="J648" s="3">
        <f>Commodity!J509</f>
        <v>0</v>
      </c>
      <c r="K648" s="3">
        <f>Commodity!K509</f>
        <v>0</v>
      </c>
      <c r="L648" s="3">
        <f>Commodity!L509</f>
        <v>0</v>
      </c>
    </row>
    <row r="649" spans="1:12" ht="11.25" x14ac:dyDescent="0.2">
      <c r="A649" s="3">
        <f t="shared" si="79"/>
        <v>8</v>
      </c>
      <c r="B649" s="3" t="s">
        <v>353</v>
      </c>
      <c r="C649" s="3"/>
      <c r="D649" s="325" t="s">
        <v>352</v>
      </c>
      <c r="E649" s="26">
        <f>Commodity!E530</f>
        <v>277063</v>
      </c>
      <c r="F649" s="26">
        <f ca="1">Commodity!F530</f>
        <v>107140</v>
      </c>
      <c r="G649" s="26">
        <f ca="1">Commodity!G530</f>
        <v>72790</v>
      </c>
      <c r="H649" s="26">
        <f ca="1">Commodity!H530</f>
        <v>155</v>
      </c>
      <c r="I649" s="26">
        <f ca="1">Commodity!I530</f>
        <v>14</v>
      </c>
      <c r="J649" s="26">
        <f ca="1">Commodity!J530</f>
        <v>96964</v>
      </c>
      <c r="K649" s="26">
        <f ca="1">Commodity!K530</f>
        <v>0</v>
      </c>
      <c r="L649" s="26">
        <f ca="1">Commodity!L530</f>
        <v>0</v>
      </c>
    </row>
    <row r="650" spans="1:12" ht="11.25" x14ac:dyDescent="0.2">
      <c r="A650" s="3">
        <f t="shared" si="79"/>
        <v>9</v>
      </c>
      <c r="B650" s="3" t="s">
        <v>354</v>
      </c>
      <c r="C650" s="3"/>
      <c r="D650" s="325"/>
      <c r="E650" s="1">
        <f t="shared" ref="E650:L650" si="80">SUM(E643:E649)</f>
        <v>1617947</v>
      </c>
      <c r="F650" s="3">
        <f t="shared" ca="1" si="80"/>
        <v>625664</v>
      </c>
      <c r="G650" s="3">
        <f t="shared" ca="1" si="80"/>
        <v>425064</v>
      </c>
      <c r="H650" s="3">
        <f t="shared" ca="1" si="80"/>
        <v>912</v>
      </c>
      <c r="I650" s="3">
        <f t="shared" ca="1" si="80"/>
        <v>76</v>
      </c>
      <c r="J650" s="3">
        <f t="shared" ca="1" si="80"/>
        <v>566227</v>
      </c>
      <c r="K650" s="3">
        <f t="shared" ca="1" si="80"/>
        <v>0</v>
      </c>
      <c r="L650" s="3">
        <f t="shared" ca="1" si="80"/>
        <v>0</v>
      </c>
    </row>
    <row r="651" spans="1:12" ht="11.25" x14ac:dyDescent="0.2">
      <c r="A651" s="3"/>
      <c r="B651" s="3"/>
      <c r="C651" s="3"/>
      <c r="D651" s="325"/>
      <c r="E651" s="3"/>
      <c r="F651" s="3"/>
      <c r="G651" s="3"/>
      <c r="H651" s="3"/>
      <c r="I651" s="3"/>
      <c r="J651" s="3"/>
      <c r="K651" s="3"/>
      <c r="L651" s="3"/>
    </row>
    <row r="652" spans="1:12" ht="11.25" x14ac:dyDescent="0.2">
      <c r="A652" s="3">
        <f>A650+1</f>
        <v>10</v>
      </c>
      <c r="B652" s="3" t="s">
        <v>355</v>
      </c>
      <c r="C652" s="3"/>
      <c r="D652" s="325"/>
      <c r="E652" s="3"/>
      <c r="F652" s="3"/>
      <c r="G652" s="3"/>
      <c r="H652" s="3"/>
      <c r="I652" s="3"/>
      <c r="J652" s="3"/>
      <c r="K652" s="3"/>
      <c r="L652" s="3"/>
    </row>
    <row r="653" spans="1:12" ht="11.25" x14ac:dyDescent="0.2">
      <c r="A653" s="3"/>
      <c r="B653" s="3"/>
      <c r="C653" s="3"/>
      <c r="D653" s="325"/>
      <c r="E653" s="3"/>
      <c r="F653" s="3"/>
      <c r="G653" s="3"/>
      <c r="H653" s="3"/>
      <c r="I653" s="3"/>
      <c r="J653" s="3"/>
      <c r="K653" s="3"/>
      <c r="L653" s="3"/>
    </row>
    <row r="654" spans="1:12" ht="11.25" x14ac:dyDescent="0.2">
      <c r="A654" s="3">
        <f>A652+1</f>
        <v>11</v>
      </c>
      <c r="B654" s="3" t="s">
        <v>343</v>
      </c>
      <c r="C654" s="3"/>
      <c r="D654" s="325" t="s">
        <v>344</v>
      </c>
      <c r="E654" s="3">
        <f>Commodity!E409+Commodity!E410+Commodity!E411+Commodity!E417+Commodity!E419+Commodity!E429+Commodity!E430</f>
        <v>341557</v>
      </c>
      <c r="F654" s="3">
        <f>Commodity!F409+Commodity!F410+Commodity!F411+Commodity!F417+Commodity!F419+Commodity!F429+Commodity!F430</f>
        <v>219590</v>
      </c>
      <c r="G654" s="3">
        <f>Commodity!G409+Commodity!G410+Commodity!G411+Commodity!G417+Commodity!G419+Commodity!G429+Commodity!G430</f>
        <v>121570</v>
      </c>
      <c r="H654" s="3">
        <f>Commodity!H409+Commodity!H410+Commodity!H411+Commodity!H417+Commodity!H419+Commodity!H429+Commodity!H430</f>
        <v>396</v>
      </c>
      <c r="I654" s="3">
        <f>Commodity!I409+Commodity!I410+Commodity!I411+Commodity!I417+Commodity!I419+Commodity!I429+Commodity!I430</f>
        <v>0</v>
      </c>
      <c r="J654" s="3">
        <f>Commodity!J409+Commodity!J410+Commodity!J411+Commodity!J417+Commodity!J419+Commodity!J429+Commodity!J430</f>
        <v>0</v>
      </c>
      <c r="K654" s="3">
        <f>Commodity!K409+Commodity!K410+Commodity!K411+Commodity!K417+Commodity!K419+Commodity!K429+Commodity!K430</f>
        <v>0</v>
      </c>
      <c r="L654" s="3">
        <f>Commodity!L409+Commodity!L410+Commodity!L411+Commodity!L417+Commodity!L419+Commodity!L429+Commodity!L430</f>
        <v>0</v>
      </c>
    </row>
    <row r="655" spans="1:12" ht="11.25" x14ac:dyDescent="0.2">
      <c r="A655" s="3">
        <f t="shared" ref="A655:A661" si="81">A654+1</f>
        <v>12</v>
      </c>
      <c r="B655" s="3" t="s">
        <v>345</v>
      </c>
      <c r="C655" s="3"/>
      <c r="D655" s="325" t="s">
        <v>356</v>
      </c>
      <c r="E655" s="3">
        <f>Commodity!E551</f>
        <v>2246277</v>
      </c>
      <c r="F655" s="3">
        <f ca="1">Commodity!F551</f>
        <v>874428</v>
      </c>
      <c r="G655" s="3">
        <f ca="1">Commodity!G551</f>
        <v>592480</v>
      </c>
      <c r="H655" s="3">
        <f ca="1">Commodity!H551</f>
        <v>1280</v>
      </c>
      <c r="I655" s="3">
        <f ca="1">Commodity!I551</f>
        <v>111</v>
      </c>
      <c r="J655" s="3">
        <f ca="1">Commodity!J551</f>
        <v>777978</v>
      </c>
      <c r="K655" s="3">
        <f ca="1">Commodity!K551</f>
        <v>0</v>
      </c>
      <c r="L655" s="3">
        <f ca="1">Commodity!L551</f>
        <v>0</v>
      </c>
    </row>
    <row r="656" spans="1:12" ht="11.25" x14ac:dyDescent="0.2">
      <c r="A656" s="3">
        <f t="shared" si="81"/>
        <v>13</v>
      </c>
      <c r="B656" s="3" t="s">
        <v>347</v>
      </c>
      <c r="C656" s="3"/>
      <c r="D656" s="325" t="s">
        <v>356</v>
      </c>
      <c r="E656" s="3">
        <f>Commodity!E563</f>
        <v>1362297</v>
      </c>
      <c r="F656" s="3">
        <f ca="1">Commodity!F563</f>
        <v>531029</v>
      </c>
      <c r="G656" s="3">
        <f ca="1">Commodity!G563</f>
        <v>359610</v>
      </c>
      <c r="H656" s="3">
        <f ca="1">Commodity!H563</f>
        <v>776</v>
      </c>
      <c r="I656" s="3">
        <f ca="1">Commodity!I563</f>
        <v>68</v>
      </c>
      <c r="J656" s="3">
        <f ca="1">Commodity!J563</f>
        <v>470813</v>
      </c>
      <c r="K656" s="3">
        <f ca="1">Commodity!K563</f>
        <v>0</v>
      </c>
      <c r="L656" s="3">
        <f ca="1">Commodity!L563</f>
        <v>0</v>
      </c>
    </row>
    <row r="657" spans="1:12" ht="11.25" x14ac:dyDescent="0.2">
      <c r="A657" s="3">
        <f t="shared" si="81"/>
        <v>14</v>
      </c>
      <c r="B657" s="3" t="s">
        <v>348</v>
      </c>
      <c r="C657" s="3"/>
      <c r="D657" s="325" t="s">
        <v>357</v>
      </c>
      <c r="E657" s="3">
        <f>Commodity!E582</f>
        <v>0</v>
      </c>
      <c r="F657" s="3">
        <f>Commodity!F582</f>
        <v>0</v>
      </c>
      <c r="G657" s="3">
        <f>Commodity!G582</f>
        <v>0</v>
      </c>
      <c r="H657" s="3">
        <f>Commodity!H582</f>
        <v>0</v>
      </c>
      <c r="I657" s="3">
        <f>Commodity!I582</f>
        <v>0</v>
      </c>
      <c r="J657" s="3">
        <f>Commodity!J582</f>
        <v>0</v>
      </c>
      <c r="K657" s="3">
        <f>Commodity!K582</f>
        <v>0</v>
      </c>
      <c r="L657" s="3">
        <f>Commodity!L582</f>
        <v>0</v>
      </c>
    </row>
    <row r="658" spans="1:12" ht="11.25" x14ac:dyDescent="0.2">
      <c r="A658" s="3">
        <f t="shared" si="81"/>
        <v>15</v>
      </c>
      <c r="B658" s="3" t="s">
        <v>350</v>
      </c>
      <c r="C658" s="3"/>
      <c r="D658" s="325" t="s">
        <v>357</v>
      </c>
      <c r="E658" s="3">
        <f>Commodity!E594</f>
        <v>0</v>
      </c>
      <c r="F658" s="3">
        <f>Commodity!F594</f>
        <v>0</v>
      </c>
      <c r="G658" s="3">
        <f>Commodity!G594</f>
        <v>0</v>
      </c>
      <c r="H658" s="3">
        <f>Commodity!H594</f>
        <v>0</v>
      </c>
      <c r="I658" s="3">
        <f>Commodity!I594</f>
        <v>0</v>
      </c>
      <c r="J658" s="3">
        <f>Commodity!J594</f>
        <v>0</v>
      </c>
      <c r="K658" s="3">
        <f>Commodity!K594</f>
        <v>0</v>
      </c>
      <c r="L658" s="3">
        <f>Commodity!L594</f>
        <v>0</v>
      </c>
    </row>
    <row r="659" spans="1:12" ht="11.25" x14ac:dyDescent="0.2">
      <c r="A659" s="3">
        <f t="shared" si="81"/>
        <v>16</v>
      </c>
      <c r="B659" s="3" t="s">
        <v>351</v>
      </c>
      <c r="C659" s="3"/>
      <c r="D659" s="325" t="s">
        <v>358</v>
      </c>
      <c r="E659" s="3">
        <f>Commodity!E608</f>
        <v>0</v>
      </c>
      <c r="F659" s="3">
        <f>Commodity!F608</f>
        <v>0</v>
      </c>
      <c r="G659" s="3">
        <f>Commodity!G608</f>
        <v>0</v>
      </c>
      <c r="H659" s="3">
        <f>Commodity!H608</f>
        <v>0</v>
      </c>
      <c r="I659" s="3">
        <f>Commodity!I608</f>
        <v>0</v>
      </c>
      <c r="J659" s="3">
        <f>Commodity!J608</f>
        <v>0</v>
      </c>
      <c r="K659" s="3">
        <f>Commodity!K608</f>
        <v>0</v>
      </c>
      <c r="L659" s="3">
        <f>Commodity!L608</f>
        <v>0</v>
      </c>
    </row>
    <row r="660" spans="1:12" ht="11.25" x14ac:dyDescent="0.2">
      <c r="A660" s="3">
        <f t="shared" si="81"/>
        <v>17</v>
      </c>
      <c r="B660" s="3" t="s">
        <v>353</v>
      </c>
      <c r="C660" s="3"/>
      <c r="D660" s="325" t="s">
        <v>358</v>
      </c>
      <c r="E660" s="26">
        <f ca="1">Commodity!E631</f>
        <v>3634960</v>
      </c>
      <c r="F660" s="26">
        <f ca="1">Commodity!F631</f>
        <v>1472738</v>
      </c>
      <c r="G660" s="26">
        <f ca="1">Commodity!G631</f>
        <v>979651</v>
      </c>
      <c r="H660" s="26">
        <f ca="1">Commodity!H631</f>
        <v>2200</v>
      </c>
      <c r="I660" s="26">
        <f ca="1">Commodity!I631</f>
        <v>182</v>
      </c>
      <c r="J660" s="26">
        <f ca="1">Commodity!J631</f>
        <v>1180189</v>
      </c>
      <c r="K660" s="26">
        <f ca="1">Commodity!K631</f>
        <v>0</v>
      </c>
      <c r="L660" s="26">
        <f ca="1">Commodity!L631</f>
        <v>0</v>
      </c>
    </row>
    <row r="661" spans="1:12" ht="11.25" x14ac:dyDescent="0.2">
      <c r="A661" s="3">
        <f t="shared" si="81"/>
        <v>18</v>
      </c>
      <c r="B661" s="3" t="s">
        <v>359</v>
      </c>
      <c r="C661" s="3"/>
      <c r="D661" s="325"/>
      <c r="E661" s="26">
        <f t="shared" ref="E661:L661" ca="1" si="82">SUM(E654:E660)</f>
        <v>7585091</v>
      </c>
      <c r="F661" s="26">
        <f t="shared" ca="1" si="82"/>
        <v>3097785</v>
      </c>
      <c r="G661" s="26">
        <f t="shared" ca="1" si="82"/>
        <v>2053311</v>
      </c>
      <c r="H661" s="26">
        <f t="shared" ca="1" si="82"/>
        <v>4652</v>
      </c>
      <c r="I661" s="26">
        <f t="shared" ca="1" si="82"/>
        <v>361</v>
      </c>
      <c r="J661" s="26">
        <f t="shared" ca="1" si="82"/>
        <v>2428980</v>
      </c>
      <c r="K661" s="26">
        <f t="shared" ca="1" si="82"/>
        <v>0</v>
      </c>
      <c r="L661" s="26">
        <f t="shared" ca="1" si="82"/>
        <v>0</v>
      </c>
    </row>
    <row r="662" spans="1:12" ht="11.25" x14ac:dyDescent="0.2">
      <c r="A662" s="3"/>
      <c r="B662" s="3"/>
      <c r="C662" s="3"/>
      <c r="D662" s="325"/>
      <c r="E662" s="3"/>
      <c r="F662" s="3"/>
      <c r="G662" s="3"/>
      <c r="H662" s="3"/>
      <c r="I662" s="3"/>
      <c r="J662" s="3"/>
      <c r="K662" s="3"/>
      <c r="L662" s="3"/>
    </row>
    <row r="663" spans="1:12" ht="11.25" x14ac:dyDescent="0.2">
      <c r="A663" s="3">
        <f>A661+1</f>
        <v>19</v>
      </c>
      <c r="B663" s="3" t="s">
        <v>360</v>
      </c>
      <c r="C663" s="3"/>
      <c r="D663" s="325"/>
      <c r="E663" s="3">
        <f t="shared" ref="E663:L663" ca="1" si="83">E650+E661</f>
        <v>9203038</v>
      </c>
      <c r="F663" s="3">
        <f t="shared" ca="1" si="83"/>
        <v>3723449</v>
      </c>
      <c r="G663" s="3">
        <f t="shared" ca="1" si="83"/>
        <v>2478375</v>
      </c>
      <c r="H663" s="3">
        <f t="shared" ca="1" si="83"/>
        <v>5564</v>
      </c>
      <c r="I663" s="3">
        <f t="shared" ca="1" si="83"/>
        <v>437</v>
      </c>
      <c r="J663" s="3">
        <f t="shared" ca="1" si="83"/>
        <v>2995207</v>
      </c>
      <c r="K663" s="3">
        <f t="shared" ca="1" si="83"/>
        <v>0</v>
      </c>
      <c r="L663" s="3">
        <f t="shared" ca="1" si="83"/>
        <v>0</v>
      </c>
    </row>
    <row r="664" spans="1:12" ht="11.25" x14ac:dyDescent="0.2">
      <c r="A664" s="3" t="s">
        <v>818</v>
      </c>
      <c r="B664" s="3"/>
      <c r="C664" s="3"/>
      <c r="D664" s="325"/>
      <c r="E664" s="15"/>
      <c r="F664" s="325" t="str">
        <f>""&amp;+Input!$B$1</f>
        <v>COLUMBIA GAS OF KENTUCKY, INC.</v>
      </c>
      <c r="H664" s="3"/>
      <c r="I664" s="3"/>
      <c r="J664" s="3"/>
      <c r="K664" s="3"/>
      <c r="L664" s="32" t="str">
        <f>Input!$B$2</f>
        <v>ATTACHMENT CEN-2</v>
      </c>
    </row>
    <row r="665" spans="1:12" ht="11.25" x14ac:dyDescent="0.2">
      <c r="A665" s="3" t="str">
        <f>Input!$B$7</f>
        <v>DEMAND-COMMODITY</v>
      </c>
      <c r="B665" s="3"/>
      <c r="C665" s="3"/>
      <c r="D665" s="325"/>
      <c r="E665" s="3"/>
      <c r="F665" s="325" t="s">
        <v>43</v>
      </c>
      <c r="H665" s="3"/>
      <c r="I665" s="3"/>
      <c r="J665" s="3"/>
      <c r="K665" s="3"/>
      <c r="L665" s="32" t="str">
        <f>"PAGE 97 OF "&amp;FIXED(Input!$B$8,0,TRUE)</f>
        <v>PAGE 97 OF 129</v>
      </c>
    </row>
    <row r="666" spans="1:12" ht="11.25" x14ac:dyDescent="0.2">
      <c r="A666" s="17" t="str">
        <f>Input!$B$6</f>
        <v>FORECASTED TEST YEAR - ORIGINAL FILING</v>
      </c>
      <c r="B666" s="17"/>
      <c r="C666" s="17"/>
      <c r="D666" s="34"/>
      <c r="E666" s="17"/>
      <c r="F666" s="19" t="str">
        <f>"FOR THE TWELVE MONTHS ENDED "&amp;Input!$B$4</f>
        <v>FOR THE TWELVE MONTHS ENDED 12/31/2017</v>
      </c>
      <c r="G666" s="329"/>
      <c r="H666" s="17"/>
      <c r="I666" s="17"/>
      <c r="J666" s="17"/>
      <c r="K666" s="17"/>
      <c r="L666" s="183" t="str">
        <f>"WITNESS: "&amp;Input!$B$5</f>
        <v>WITNESS: C. NOTESTONE</v>
      </c>
    </row>
    <row r="667" spans="1:12" ht="11.25" x14ac:dyDescent="0.2">
      <c r="A667" s="325" t="s">
        <v>5</v>
      </c>
      <c r="B667" s="3" t="s">
        <v>6</v>
      </c>
      <c r="C667" s="3"/>
      <c r="D667" s="325" t="s">
        <v>7</v>
      </c>
      <c r="E667" s="325" t="s">
        <v>8</v>
      </c>
      <c r="F667" s="3"/>
      <c r="G667" s="3"/>
      <c r="H667" s="3"/>
      <c r="I667" s="3"/>
      <c r="J667" s="3"/>
      <c r="K667" s="3"/>
      <c r="L667" s="3"/>
    </row>
    <row r="668" spans="1:12" ht="11.25" x14ac:dyDescent="0.2">
      <c r="A668" s="341" t="s">
        <v>9</v>
      </c>
      <c r="B668" s="341" t="s">
        <v>9</v>
      </c>
      <c r="C668" s="341" t="str">
        <f>"                        ACCOUNT TITLE                "</f>
        <v xml:space="preserve">                        ACCOUNT TITLE                </v>
      </c>
      <c r="D668" s="341" t="s">
        <v>10</v>
      </c>
      <c r="E668" s="341" t="s">
        <v>812</v>
      </c>
      <c r="F668" s="341" t="str">
        <f>"  "&amp;+Input!$C$12</f>
        <v xml:space="preserve">  GS-RESIDENTIAL</v>
      </c>
      <c r="G668" s="341" t="str">
        <f>Input!$C$13</f>
        <v>GS-OTHER</v>
      </c>
      <c r="H668" s="341" t="str">
        <f>Input!$C$14</f>
        <v>IUS</v>
      </c>
      <c r="I668" s="341" t="str">
        <f>Input!$C$15</f>
        <v>DS-ML</v>
      </c>
      <c r="J668" s="341" t="str">
        <f>Input!$C$16</f>
        <v>DS/IS</v>
      </c>
      <c r="K668" s="341" t="str">
        <f>Input!$C$17</f>
        <v>NOT USED</v>
      </c>
      <c r="L668" s="341" t="str">
        <f>Input!$C$18</f>
        <v>NOT USED</v>
      </c>
    </row>
    <row r="669" spans="1:12" ht="11.25" x14ac:dyDescent="0.2">
      <c r="A669" s="3"/>
      <c r="B669" s="342" t="s">
        <v>13</v>
      </c>
      <c r="C669" s="342" t="s">
        <v>14</v>
      </c>
      <c r="D669" s="325" t="s">
        <v>15</v>
      </c>
      <c r="E669" s="325" t="s">
        <v>16</v>
      </c>
      <c r="F669" s="325" t="s">
        <v>17</v>
      </c>
      <c r="G669" s="325" t="s">
        <v>18</v>
      </c>
      <c r="H669" s="325" t="s">
        <v>19</v>
      </c>
      <c r="I669" s="325" t="s">
        <v>20</v>
      </c>
      <c r="J669" s="325" t="s">
        <v>21</v>
      </c>
      <c r="K669" s="325" t="s">
        <v>22</v>
      </c>
      <c r="L669" s="325" t="s">
        <v>23</v>
      </c>
    </row>
    <row r="670" spans="1:12" ht="11.25" x14ac:dyDescent="0.2">
      <c r="A670" s="3"/>
      <c r="B670" s="3"/>
      <c r="C670" s="3"/>
      <c r="D670" s="325"/>
      <c r="E670" s="325" t="s">
        <v>26</v>
      </c>
      <c r="F670" s="325" t="s">
        <v>26</v>
      </c>
      <c r="G670" s="325" t="s">
        <v>26</v>
      </c>
      <c r="H670" s="325" t="s">
        <v>26</v>
      </c>
      <c r="I670" s="325" t="s">
        <v>26</v>
      </c>
      <c r="J670" s="325" t="s">
        <v>26</v>
      </c>
      <c r="K670" s="325" t="s">
        <v>26</v>
      </c>
      <c r="L670" s="325" t="s">
        <v>26</v>
      </c>
    </row>
    <row r="671" spans="1:12" ht="11.25" x14ac:dyDescent="0.2">
      <c r="A671" s="3"/>
      <c r="B671" s="3"/>
      <c r="C671" s="3"/>
      <c r="D671" s="325"/>
      <c r="E671" s="3"/>
      <c r="F671" s="3"/>
      <c r="G671" s="3"/>
      <c r="H671" s="3"/>
      <c r="I671" s="3"/>
      <c r="J671" s="3"/>
      <c r="K671" s="3"/>
      <c r="L671" s="3"/>
    </row>
    <row r="672" spans="1:12" ht="11.25" x14ac:dyDescent="0.2">
      <c r="A672" s="3"/>
      <c r="B672" s="3"/>
      <c r="C672" s="3"/>
      <c r="D672" s="325"/>
      <c r="E672" s="3"/>
      <c r="F672" s="3"/>
      <c r="G672" s="3"/>
      <c r="H672" s="3"/>
      <c r="I672" s="3"/>
      <c r="J672" s="3"/>
      <c r="K672" s="3"/>
      <c r="L672" s="3"/>
    </row>
    <row r="673" spans="1:12" ht="11.25" x14ac:dyDescent="0.2">
      <c r="A673" s="3">
        <v>1</v>
      </c>
      <c r="B673" s="3">
        <f>Input!A499</f>
        <v>408</v>
      </c>
      <c r="C673" s="23" t="str">
        <f>Input!B499</f>
        <v>TAXES BASED ON PROPERTY</v>
      </c>
      <c r="D673" s="325" t="str">
        <f>VLOOKUP(Input!C499,'Alloc Table Comm'!$A$7:$B$27,2,FALSE)</f>
        <v>7COMM</v>
      </c>
      <c r="E673" s="3">
        <f>Classification!G673</f>
        <v>1202829</v>
      </c>
      <c r="F673" s="3">
        <f ca="1">ROUND((VLOOKUP($D673,'Alloc Table Comm'!$B$7:$T$56,13,FALSE)*$E673),0)</f>
        <v>468791</v>
      </c>
      <c r="G673" s="3">
        <f ca="1">ROUND((VLOOKUP($D673,'Alloc Table Comm'!$B$7:$T$56,14,FALSE)*$E673),0)</f>
        <v>317463</v>
      </c>
      <c r="H673" s="3">
        <f ca="1">ROUND((VLOOKUP($D673,'Alloc Table Comm'!$B$7:$T$56,15,FALSE)*$E673),0)</f>
        <v>686</v>
      </c>
      <c r="I673" s="3">
        <f ca="1">ROUND((VLOOKUP($D673,'Alloc Table Comm'!$B$7:$T$56,16,FALSE)*$E673),0)</f>
        <v>289</v>
      </c>
      <c r="J673" s="3">
        <f ca="1">ROUND((VLOOKUP($D673,'Alloc Table Comm'!$B$7:$T$56,17,FALSE)*$E673),0)</f>
        <v>415601</v>
      </c>
      <c r="K673" s="3">
        <f ca="1">ROUND((VLOOKUP($D673,'Alloc Table Comm'!$B$7:$T$56,18,FALSE)*$E673),0)</f>
        <v>0</v>
      </c>
      <c r="L673" s="3">
        <f ca="1">ROUND((VLOOKUP($D673,'Alloc Table Comm'!$B$7:$T$56,19,FALSE)*$E673),0)</f>
        <v>0</v>
      </c>
    </row>
    <row r="674" spans="1:12" ht="11.25" x14ac:dyDescent="0.2">
      <c r="A674" s="3" t="s">
        <v>2</v>
      </c>
      <c r="B674" s="3"/>
      <c r="C674" s="3"/>
      <c r="D674" s="325"/>
      <c r="E674" s="3"/>
      <c r="F674" s="3"/>
      <c r="G674" s="3"/>
      <c r="H674" s="3"/>
      <c r="I674" s="3"/>
      <c r="J674" s="3"/>
      <c r="K674" s="3"/>
      <c r="L674" s="3"/>
    </row>
    <row r="675" spans="1:12" ht="11.25" x14ac:dyDescent="0.2">
      <c r="A675" s="3">
        <f>A673+1</f>
        <v>2</v>
      </c>
      <c r="B675" s="3">
        <f>Input!A500</f>
        <v>408</v>
      </c>
      <c r="C675" s="23" t="str">
        <f>Input!B500</f>
        <v>TAXES BASED ON PAYROLL</v>
      </c>
      <c r="D675" s="325" t="str">
        <f>VLOOKUP(Input!C500,'Alloc Table Comm'!$A$7:$B$27,2,FALSE)</f>
        <v>12COMM</v>
      </c>
      <c r="E675" s="3">
        <f>Classification!G675</f>
        <v>113082</v>
      </c>
      <c r="F675" s="3">
        <f ca="1">ROUND((VLOOKUP($D675,'Alloc Table Comm'!$B$7:$T$56,13,FALSE)*$E675),0)</f>
        <v>43729</v>
      </c>
      <c r="G675" s="3">
        <f ca="1">ROUND((VLOOKUP($D675,'Alloc Table Comm'!$B$7:$T$56,14,FALSE)*$E675),0)</f>
        <v>29709</v>
      </c>
      <c r="H675" s="3">
        <f ca="1">ROUND((VLOOKUP($D675,'Alloc Table Comm'!$B$7:$T$56,15,FALSE)*$E675),0)</f>
        <v>63</v>
      </c>
      <c r="I675" s="3">
        <f ca="1">ROUND((VLOOKUP($D675,'Alloc Table Comm'!$B$7:$T$56,16,FALSE)*$E675),0)</f>
        <v>6</v>
      </c>
      <c r="J675" s="3">
        <f ca="1">ROUND((VLOOKUP($D675,'Alloc Table Comm'!$B$7:$T$56,17,FALSE)*$E675),0)</f>
        <v>39575</v>
      </c>
      <c r="K675" s="3">
        <f ca="1">ROUND((VLOOKUP($D675,'Alloc Table Comm'!$B$7:$T$56,18,FALSE)*$E675),0)</f>
        <v>0</v>
      </c>
      <c r="L675" s="3">
        <f ca="1">ROUND((VLOOKUP($D675,'Alloc Table Comm'!$B$7:$T$56,19,FALSE)*$E675),0)</f>
        <v>0</v>
      </c>
    </row>
    <row r="676" spans="1:12" ht="11.25" x14ac:dyDescent="0.2">
      <c r="A676" s="3"/>
      <c r="B676" s="3"/>
      <c r="C676" s="3"/>
      <c r="D676" s="325"/>
      <c r="E676" s="3"/>
      <c r="F676" s="3"/>
      <c r="G676" s="3"/>
      <c r="H676" s="3"/>
      <c r="I676" s="3"/>
      <c r="J676" s="3"/>
      <c r="K676" s="3"/>
      <c r="L676" s="3"/>
    </row>
    <row r="677" spans="1:12" ht="11.25" x14ac:dyDescent="0.2">
      <c r="A677" s="3">
        <f>A675+1</f>
        <v>3</v>
      </c>
      <c r="B677" s="3">
        <f>Input!A501</f>
        <v>408</v>
      </c>
      <c r="C677" s="23" t="str">
        <f>Input!B501</f>
        <v>OTHER TAXES</v>
      </c>
      <c r="D677" s="325" t="str">
        <f>VLOOKUP(Input!C501,'Alloc Table Comm'!$A$7:$B$27,2,FALSE)</f>
        <v>12COMM</v>
      </c>
      <c r="E677" s="3">
        <f>Classification!G677</f>
        <v>0</v>
      </c>
      <c r="F677" s="3">
        <f ca="1">ROUND((VLOOKUP($D677,'Alloc Table Comm'!$B$7:$T$56,13,FALSE)*$E677),0)</f>
        <v>0</v>
      </c>
      <c r="G677" s="3">
        <f ca="1">ROUND((VLOOKUP($D677,'Alloc Table Comm'!$B$7:$T$56,14,FALSE)*$E677),0)</f>
        <v>0</v>
      </c>
      <c r="H677" s="3">
        <f ca="1">ROUND((VLOOKUP($D677,'Alloc Table Comm'!$B$7:$T$56,15,FALSE)*$E677),0)</f>
        <v>0</v>
      </c>
      <c r="I677" s="3">
        <f ca="1">ROUND((VLOOKUP($D677,'Alloc Table Comm'!$B$7:$T$56,16,FALSE)*$E677),0)</f>
        <v>0</v>
      </c>
      <c r="J677" s="3">
        <f ca="1">ROUND((VLOOKUP($D677,'Alloc Table Comm'!$B$7:$T$56,17,FALSE)*$E677),0)</f>
        <v>0</v>
      </c>
      <c r="K677" s="3">
        <f ca="1">ROUND((VLOOKUP($D677,'Alloc Table Comm'!$B$7:$T$56,18,FALSE)*$E677),0)</f>
        <v>0</v>
      </c>
      <c r="L677" s="3">
        <f ca="1">ROUND((VLOOKUP($D677,'Alloc Table Comm'!$B$7:$T$56,19,FALSE)*$E677),0)</f>
        <v>0</v>
      </c>
    </row>
    <row r="678" spans="1:12" ht="11.25" x14ac:dyDescent="0.2">
      <c r="A678" s="3"/>
      <c r="B678" s="3"/>
      <c r="C678" s="3"/>
      <c r="D678" s="325"/>
      <c r="E678" s="3"/>
      <c r="F678" s="3"/>
      <c r="G678" s="3"/>
      <c r="H678" s="3"/>
      <c r="I678" s="3"/>
      <c r="J678" s="3"/>
      <c r="K678" s="3"/>
      <c r="L678" s="3"/>
    </row>
    <row r="679" spans="1:12" ht="11.25" x14ac:dyDescent="0.2">
      <c r="A679" s="3">
        <f>A677+1</f>
        <v>4</v>
      </c>
      <c r="B679" s="3"/>
      <c r="C679" s="3" t="s">
        <v>370</v>
      </c>
      <c r="D679" s="325"/>
      <c r="E679" s="3">
        <f t="shared" ref="E679:L679" si="84">SUM(E673:E677)</f>
        <v>1315911</v>
      </c>
      <c r="F679" s="3">
        <f t="shared" ca="1" si="84"/>
        <v>512520</v>
      </c>
      <c r="G679" s="3">
        <f t="shared" ca="1" si="84"/>
        <v>347172</v>
      </c>
      <c r="H679" s="3">
        <f t="shared" ca="1" si="84"/>
        <v>749</v>
      </c>
      <c r="I679" s="3">
        <f t="shared" ca="1" si="84"/>
        <v>295</v>
      </c>
      <c r="J679" s="3">
        <f t="shared" ca="1" si="84"/>
        <v>455176</v>
      </c>
      <c r="K679" s="3">
        <f t="shared" ca="1" si="84"/>
        <v>0</v>
      </c>
      <c r="L679" s="3">
        <f t="shared" ca="1" si="84"/>
        <v>0</v>
      </c>
    </row>
    <row r="680" spans="1:12" ht="11.25" x14ac:dyDescent="0.2">
      <c r="A680" s="3" t="s">
        <v>818</v>
      </c>
      <c r="B680" s="3"/>
      <c r="C680" s="3"/>
      <c r="D680" s="325"/>
      <c r="E680" s="3"/>
      <c r="F680" s="325" t="str">
        <f>""&amp;+Input!$B$1</f>
        <v>COLUMBIA GAS OF KENTUCKY, INC.</v>
      </c>
      <c r="H680" s="3"/>
      <c r="I680" s="3"/>
      <c r="J680" s="3"/>
      <c r="K680" s="3"/>
      <c r="L680" s="32" t="str">
        <f>Input!$B$2</f>
        <v>ATTACHMENT CEN-2</v>
      </c>
    </row>
    <row r="681" spans="1:12" ht="11.25" x14ac:dyDescent="0.2">
      <c r="A681" s="3" t="str">
        <f>Input!$B$7</f>
        <v>DEMAND-COMMODITY</v>
      </c>
      <c r="B681" s="3"/>
      <c r="C681" s="3"/>
      <c r="D681" s="325"/>
      <c r="E681" s="3"/>
      <c r="F681" s="325" t="s">
        <v>425</v>
      </c>
      <c r="H681" s="3"/>
      <c r="I681" s="3"/>
      <c r="J681" s="3"/>
      <c r="K681" s="3"/>
      <c r="L681" s="32" t="str">
        <f>"PAGE 98 OF "&amp;FIXED(Input!$B$8,0,TRUE)</f>
        <v>PAGE 98 OF 129</v>
      </c>
    </row>
    <row r="682" spans="1:12" ht="11.25" x14ac:dyDescent="0.2">
      <c r="A682" s="17" t="str">
        <f>Input!$B$6</f>
        <v>FORECASTED TEST YEAR - ORIGINAL FILING</v>
      </c>
      <c r="B682" s="17"/>
      <c r="C682" s="17"/>
      <c r="D682" s="34"/>
      <c r="E682" s="17"/>
      <c r="F682" s="19" t="str">
        <f>"FOR THE TWELVE MONTHS ENDED "&amp;Input!$B$4</f>
        <v>FOR THE TWELVE MONTHS ENDED 12/31/2017</v>
      </c>
      <c r="G682" s="329"/>
      <c r="H682" s="17"/>
      <c r="I682" s="17"/>
      <c r="J682" s="17"/>
      <c r="K682" s="17"/>
      <c r="L682" s="183" t="str">
        <f>"WITNESS: "&amp;Input!$B$5</f>
        <v>WITNESS: C. NOTESTONE</v>
      </c>
    </row>
    <row r="683" spans="1:12" ht="11.25" x14ac:dyDescent="0.2">
      <c r="A683" s="325" t="s">
        <v>5</v>
      </c>
      <c r="B683" s="3" t="s">
        <v>6</v>
      </c>
      <c r="C683" s="3"/>
      <c r="D683" s="325" t="s">
        <v>7</v>
      </c>
      <c r="E683" s="325" t="s">
        <v>8</v>
      </c>
      <c r="F683" s="3"/>
      <c r="G683" s="3"/>
      <c r="H683" s="3"/>
      <c r="I683" s="3"/>
      <c r="J683" s="3"/>
      <c r="K683" s="3"/>
      <c r="L683" s="3"/>
    </row>
    <row r="684" spans="1:12" ht="11.25" x14ac:dyDescent="0.2">
      <c r="A684" s="341" t="s">
        <v>9</v>
      </c>
      <c r="B684" s="341" t="s">
        <v>9</v>
      </c>
      <c r="C684" s="341" t="str">
        <f>"                           ACCOUNT TITLE                  "</f>
        <v xml:space="preserve">                           ACCOUNT TITLE                  </v>
      </c>
      <c r="D684" s="341" t="s">
        <v>10</v>
      </c>
      <c r="E684" s="341" t="s">
        <v>812</v>
      </c>
      <c r="F684" s="22" t="str">
        <f>"  "&amp;+Input!$C$12</f>
        <v xml:space="preserve">  GS-RESIDENTIAL</v>
      </c>
      <c r="G684" s="22" t="str">
        <f>Input!$C$13</f>
        <v>GS-OTHER</v>
      </c>
      <c r="H684" s="22" t="str">
        <f>Input!$C$14</f>
        <v>IUS</v>
      </c>
      <c r="I684" s="22" t="str">
        <f>Input!$C$15</f>
        <v>DS-ML</v>
      </c>
      <c r="J684" s="22" t="str">
        <f>Input!$C$16</f>
        <v>DS/IS</v>
      </c>
      <c r="K684" s="22" t="str">
        <f>Input!$C$17</f>
        <v>NOT USED</v>
      </c>
      <c r="L684" s="22" t="str">
        <f>Input!$C$18</f>
        <v>NOT USED</v>
      </c>
    </row>
    <row r="685" spans="1:12" ht="11.25" x14ac:dyDescent="0.2">
      <c r="A685" s="3"/>
      <c r="B685" s="342" t="s">
        <v>13</v>
      </c>
      <c r="C685" s="342" t="s">
        <v>14</v>
      </c>
      <c r="D685" s="325" t="s">
        <v>15</v>
      </c>
      <c r="E685" s="325" t="s">
        <v>16</v>
      </c>
      <c r="F685" s="325" t="s">
        <v>17</v>
      </c>
      <c r="G685" s="325" t="s">
        <v>18</v>
      </c>
      <c r="H685" s="325" t="s">
        <v>19</v>
      </c>
      <c r="I685" s="325" t="s">
        <v>20</v>
      </c>
      <c r="J685" s="325" t="s">
        <v>21</v>
      </c>
      <c r="K685" s="325" t="s">
        <v>22</v>
      </c>
      <c r="L685" s="325" t="s">
        <v>23</v>
      </c>
    </row>
    <row r="686" spans="1:12" ht="11.25" x14ac:dyDescent="0.2">
      <c r="A686" s="3"/>
      <c r="B686" s="1"/>
      <c r="C686" s="1"/>
      <c r="D686" s="325"/>
      <c r="E686" s="325" t="s">
        <v>26</v>
      </c>
      <c r="F686" s="325" t="s">
        <v>26</v>
      </c>
      <c r="G686" s="325" t="s">
        <v>26</v>
      </c>
      <c r="H686" s="325" t="s">
        <v>26</v>
      </c>
      <c r="I686" s="325" t="s">
        <v>26</v>
      </c>
      <c r="J686" s="325" t="s">
        <v>26</v>
      </c>
      <c r="K686" s="325" t="s">
        <v>26</v>
      </c>
      <c r="L686" s="325" t="s">
        <v>26</v>
      </c>
    </row>
    <row r="687" spans="1:12" ht="11.25" x14ac:dyDescent="0.2">
      <c r="A687" s="3">
        <v>1</v>
      </c>
      <c r="B687" s="1" t="s">
        <v>381</v>
      </c>
      <c r="C687" s="1"/>
      <c r="D687" s="325"/>
      <c r="E687" s="3">
        <f ca="1">Commodity!E732</f>
        <v>2386604.0399999917</v>
      </c>
      <c r="F687" s="3">
        <f ca="1">Commodity!F732</f>
        <v>4899389</v>
      </c>
      <c r="G687" s="3">
        <f ca="1">Commodity!G732</f>
        <v>671981.03999999911</v>
      </c>
      <c r="H687" s="3">
        <f ca="1">Commodity!H732</f>
        <v>-2967.9999999999964</v>
      </c>
      <c r="I687" s="3">
        <f ca="1">Commodity!I732</f>
        <v>109484</v>
      </c>
      <c r="J687" s="3">
        <f ca="1">Commodity!J732</f>
        <v>-3291276</v>
      </c>
      <c r="K687" s="3">
        <f ca="1">Commodity!K732</f>
        <v>0</v>
      </c>
      <c r="L687" s="3">
        <f ca="1">Commodity!L732</f>
        <v>0</v>
      </c>
    </row>
    <row r="688" spans="1:12" ht="11.25" x14ac:dyDescent="0.2">
      <c r="A688" s="3"/>
      <c r="B688" s="1"/>
      <c r="C688" s="1"/>
      <c r="D688" s="325"/>
      <c r="E688" s="3"/>
      <c r="F688" s="3"/>
      <c r="G688" s="3"/>
      <c r="H688" s="3"/>
      <c r="I688" s="3"/>
      <c r="J688" s="3"/>
      <c r="K688" s="3"/>
      <c r="L688" s="3"/>
    </row>
    <row r="689" spans="1:12" ht="11.25" x14ac:dyDescent="0.2">
      <c r="A689" s="3">
        <f>A687+1</f>
        <v>2</v>
      </c>
      <c r="B689" s="1" t="s">
        <v>382</v>
      </c>
      <c r="C689" s="1"/>
      <c r="D689" s="325"/>
      <c r="E689" s="3"/>
      <c r="F689" s="3"/>
      <c r="G689" s="3"/>
      <c r="H689" s="3"/>
      <c r="I689" s="3"/>
      <c r="J689" s="3"/>
      <c r="K689" s="3"/>
      <c r="L689" s="3"/>
    </row>
    <row r="690" spans="1:12" ht="11.25" x14ac:dyDescent="0.2">
      <c r="A690" s="3"/>
      <c r="B690" s="1"/>
      <c r="C690" s="1"/>
      <c r="D690" s="325"/>
      <c r="E690" s="3"/>
      <c r="F690" s="3"/>
      <c r="G690" s="3"/>
      <c r="H690" s="3"/>
      <c r="I690" s="3"/>
      <c r="J690" s="3"/>
      <c r="K690" s="3"/>
      <c r="L690" s="3"/>
    </row>
    <row r="691" spans="1:12" ht="11.25" x14ac:dyDescent="0.2">
      <c r="A691" s="3">
        <f>A689+1</f>
        <v>3</v>
      </c>
      <c r="B691" s="1" t="s">
        <v>383</v>
      </c>
      <c r="C691" s="1"/>
      <c r="D691" s="325"/>
      <c r="E691" s="3">
        <f ca="1">Commodity!E736</f>
        <v>1837904</v>
      </c>
      <c r="F691" s="3">
        <f ca="1">Commodity!F736</f>
        <v>716803</v>
      </c>
      <c r="G691" s="3">
        <f ca="1">Commodity!G736</f>
        <v>485238</v>
      </c>
      <c r="H691" s="3">
        <f ca="1">Commodity!H736</f>
        <v>1049</v>
      </c>
      <c r="I691" s="3">
        <f ca="1">Commodity!I736</f>
        <v>495</v>
      </c>
      <c r="J691" s="3">
        <f ca="1">Commodity!J736</f>
        <v>634320</v>
      </c>
      <c r="K691" s="3">
        <f ca="1">Commodity!K736</f>
        <v>0</v>
      </c>
      <c r="L691" s="3">
        <f ca="1">Commodity!L736</f>
        <v>0</v>
      </c>
    </row>
    <row r="692" spans="1:12" ht="11.25" x14ac:dyDescent="0.2">
      <c r="A692" s="3"/>
      <c r="B692" s="3"/>
      <c r="C692" s="3"/>
      <c r="D692" s="325"/>
      <c r="E692" s="3"/>
      <c r="F692" s="3"/>
      <c r="G692" s="3"/>
      <c r="H692" s="3"/>
      <c r="I692" s="3"/>
      <c r="J692" s="3"/>
      <c r="K692" s="3"/>
      <c r="L692" s="3"/>
    </row>
    <row r="693" spans="1:12" ht="11.25" x14ac:dyDescent="0.2">
      <c r="A693" s="3">
        <f>A691+1</f>
        <v>4</v>
      </c>
      <c r="B693" s="3" t="str">
        <f>Input!A535</f>
        <v>TAX ACCELERATED DEPRECIATION</v>
      </c>
      <c r="C693" s="3"/>
      <c r="D693" s="325" t="str">
        <f>VLOOKUP(Input!C535,'Alloc Table Comm'!$A$7:$B$27,2,FALSE)</f>
        <v>19COMM</v>
      </c>
      <c r="E693" s="3">
        <f>Classification!G693</f>
        <v>4243929</v>
      </c>
      <c r="F693" s="3">
        <f ca="1">ROUND((VLOOKUP($D693,'Alloc Table Comm'!$B$7:$T$56,13,FALSE)*$E693),0)</f>
        <v>1654029</v>
      </c>
      <c r="G693" s="3">
        <f ca="1">ROUND((VLOOKUP($D693,'Alloc Table Comm'!$B$7:$T$56,14,FALSE)*$E693),0)</f>
        <v>1120100</v>
      </c>
      <c r="H693" s="3">
        <f ca="1">ROUND((VLOOKUP($D693,'Alloc Table Comm'!$B$7:$T$56,15,FALSE)*$E693),0)</f>
        <v>2419</v>
      </c>
      <c r="I693" s="3">
        <f ca="1">ROUND((VLOOKUP($D693,'Alloc Table Comm'!$B$7:$T$56,16,FALSE)*$E693),0)</f>
        <v>1019</v>
      </c>
      <c r="J693" s="3">
        <f ca="1">ROUND((VLOOKUP($D693,'Alloc Table Comm'!$B$7:$T$56,17,FALSE)*$E693),0)</f>
        <v>1466362</v>
      </c>
      <c r="K693" s="3">
        <f ca="1">ROUND((VLOOKUP($D693,'Alloc Table Comm'!$B$7:$T$56,18,FALSE)*$E693),0)</f>
        <v>0</v>
      </c>
      <c r="L693" s="3">
        <f ca="1">ROUND((VLOOKUP($D693,'Alloc Table Comm'!$B$7:$T$56,19,FALSE)*$E693),0)</f>
        <v>0</v>
      </c>
    </row>
    <row r="694" spans="1:12" ht="11.25" x14ac:dyDescent="0.2">
      <c r="A694" s="3">
        <f>A693+1</f>
        <v>5</v>
      </c>
      <c r="B694" s="3" t="str">
        <f>Commodity!B739</f>
        <v xml:space="preserve">  BOOK DEPRECIATION</v>
      </c>
      <c r="C694" s="3"/>
      <c r="D694" s="325"/>
      <c r="E694" s="26">
        <f>Commodity!E739</f>
        <v>3021656</v>
      </c>
      <c r="F694" s="26">
        <f ca="1">Commodity!F739</f>
        <v>1177764</v>
      </c>
      <c r="G694" s="26">
        <f ca="1">Commodity!G739</f>
        <v>797555</v>
      </c>
      <c r="H694" s="26">
        <f ca="1">Commodity!H739</f>
        <v>1720</v>
      </c>
      <c r="I694" s="26">
        <f ca="1">Commodity!I739</f>
        <v>508</v>
      </c>
      <c r="J694" s="26">
        <f ca="1">Commodity!J739</f>
        <v>1044108</v>
      </c>
      <c r="K694" s="26">
        <f ca="1">Commodity!K739</f>
        <v>0</v>
      </c>
      <c r="L694" s="26">
        <f ca="1">Commodity!L739</f>
        <v>0</v>
      </c>
    </row>
    <row r="695" spans="1:12" ht="11.25" x14ac:dyDescent="0.2">
      <c r="A695" s="3">
        <f>A694+1</f>
        <v>6</v>
      </c>
      <c r="B695" s="3" t="str">
        <f>Commodity!B740</f>
        <v xml:space="preserve">  EXCESS OF BOOK OVER TAX DEPRECIATION</v>
      </c>
      <c r="C695" s="3"/>
      <c r="D695" s="325"/>
      <c r="E695" s="3">
        <f t="shared" ref="E695:L695" si="85">E693-E694</f>
        <v>1222273</v>
      </c>
      <c r="F695" s="3">
        <f t="shared" ca="1" si="85"/>
        <v>476265</v>
      </c>
      <c r="G695" s="3">
        <f t="shared" ca="1" si="85"/>
        <v>322545</v>
      </c>
      <c r="H695" s="3">
        <f t="shared" ca="1" si="85"/>
        <v>699</v>
      </c>
      <c r="I695" s="3">
        <f t="shared" ca="1" si="85"/>
        <v>511</v>
      </c>
      <c r="J695" s="3">
        <f t="shared" ca="1" si="85"/>
        <v>422254</v>
      </c>
      <c r="K695" s="3">
        <f t="shared" ca="1" si="85"/>
        <v>0</v>
      </c>
      <c r="L695" s="3">
        <f t="shared" ca="1" si="85"/>
        <v>0</v>
      </c>
    </row>
    <row r="696" spans="1:12" ht="11.25" x14ac:dyDescent="0.2">
      <c r="A696" s="3"/>
      <c r="B696" s="3"/>
      <c r="C696" s="3"/>
      <c r="D696" s="325"/>
      <c r="E696" s="3"/>
      <c r="F696" s="3"/>
      <c r="G696" s="3"/>
      <c r="H696" s="3"/>
      <c r="I696" s="3"/>
      <c r="J696" s="3"/>
      <c r="K696" s="3"/>
      <c r="L696" s="3"/>
    </row>
    <row r="697" spans="1:12" ht="11.25" x14ac:dyDescent="0.2">
      <c r="A697" s="3">
        <f>A695+1</f>
        <v>7</v>
      </c>
      <c r="B697" s="3" t="str">
        <f>Commodity!B742</f>
        <v xml:space="preserve">  NON DEDUCTIBLE EMPLOYEE EXPENSE</v>
      </c>
      <c r="C697" s="3"/>
      <c r="D697" s="325" t="str">
        <f>Commodity!D742</f>
        <v>12COMM</v>
      </c>
      <c r="E697" s="26">
        <f>Commodity!E742</f>
        <v>-857</v>
      </c>
      <c r="F697" s="26">
        <f ca="1">ROUND((VLOOKUP($D697,'Alloc Table Comm'!$B$7:$T$56,13,FALSE)*$E697),0)</f>
        <v>-331</v>
      </c>
      <c r="G697" s="26">
        <f ca="1">ROUND((VLOOKUP($D697,'Alloc Table Comm'!$B$7:$T$56,14,FALSE)*$E697),0)</f>
        <v>-225</v>
      </c>
      <c r="H697" s="26">
        <f ca="1">ROUND((VLOOKUP($D697,'Alloc Table Comm'!$B$7:$T$56,15,FALSE)*$E697),0)</f>
        <v>0</v>
      </c>
      <c r="I697" s="26">
        <f ca="1">ROUND((VLOOKUP($D697,'Alloc Table Comm'!$B$7:$T$56,16,FALSE)*$E697),0)</f>
        <v>0</v>
      </c>
      <c r="J697" s="26">
        <f ca="1">ROUND((VLOOKUP($D697,'Alloc Table Comm'!$B$7:$T$56,17,FALSE)*$E697),0)</f>
        <v>-300</v>
      </c>
      <c r="K697" s="26">
        <f ca="1">ROUND((VLOOKUP($D697,'Alloc Table Comm'!$B$7:$T$56,18,FALSE)*$E697),0)</f>
        <v>0</v>
      </c>
      <c r="L697" s="26">
        <f ca="1">ROUND((VLOOKUP($D697,'Alloc Table Comm'!$B$7:$T$56,19,FALSE)*$E697),0)</f>
        <v>0</v>
      </c>
    </row>
    <row r="698" spans="1:12" ht="11.25" x14ac:dyDescent="0.2">
      <c r="A698" s="3"/>
      <c r="B698" s="3"/>
      <c r="C698" s="3"/>
      <c r="D698" s="325"/>
      <c r="E698" s="3"/>
      <c r="F698" s="3"/>
      <c r="G698" s="3"/>
      <c r="H698" s="3"/>
      <c r="I698" s="3"/>
      <c r="J698" s="3"/>
      <c r="K698" s="3"/>
      <c r="L698" s="3"/>
    </row>
    <row r="699" spans="1:12" ht="11.25" x14ac:dyDescent="0.2">
      <c r="A699" s="3">
        <f>A697+1</f>
        <v>8</v>
      </c>
      <c r="B699" s="3" t="s">
        <v>384</v>
      </c>
      <c r="C699" s="3"/>
      <c r="D699" s="325"/>
      <c r="E699" s="26">
        <f ca="1">E691+E695+E697</f>
        <v>3059320</v>
      </c>
      <c r="F699" s="26">
        <f t="shared" ref="F699:L699" ca="1" si="86">F691+F695+F697</f>
        <v>1192737</v>
      </c>
      <c r="G699" s="26">
        <f t="shared" ca="1" si="86"/>
        <v>807558</v>
      </c>
      <c r="H699" s="26">
        <f t="shared" ca="1" si="86"/>
        <v>1748</v>
      </c>
      <c r="I699" s="26">
        <f t="shared" ca="1" si="86"/>
        <v>1006</v>
      </c>
      <c r="J699" s="26">
        <f t="shared" ca="1" si="86"/>
        <v>1056274</v>
      </c>
      <c r="K699" s="26">
        <f t="shared" ca="1" si="86"/>
        <v>0</v>
      </c>
      <c r="L699" s="26">
        <f t="shared" ca="1" si="86"/>
        <v>0</v>
      </c>
    </row>
    <row r="700" spans="1:12" ht="11.25" x14ac:dyDescent="0.2">
      <c r="A700" s="3">
        <f>A699+1</f>
        <v>9</v>
      </c>
      <c r="B700" s="3" t="s">
        <v>385</v>
      </c>
      <c r="C700" s="3"/>
      <c r="D700" s="325"/>
      <c r="E700" s="3">
        <f t="shared" ref="E700:L700" ca="1" si="87">E687-E699</f>
        <v>-672715.96000000834</v>
      </c>
      <c r="F700" s="3">
        <f t="shared" ca="1" si="87"/>
        <v>3706652</v>
      </c>
      <c r="G700" s="3">
        <f t="shared" ca="1" si="87"/>
        <v>-135576.96000000089</v>
      </c>
      <c r="H700" s="3">
        <f t="shared" ca="1" si="87"/>
        <v>-4715.9999999999964</v>
      </c>
      <c r="I700" s="3">
        <f t="shared" ca="1" si="87"/>
        <v>108478</v>
      </c>
      <c r="J700" s="3">
        <f t="shared" ca="1" si="87"/>
        <v>-4347550</v>
      </c>
      <c r="K700" s="3">
        <f t="shared" ca="1" si="87"/>
        <v>0</v>
      </c>
      <c r="L700" s="3">
        <f t="shared" ca="1" si="87"/>
        <v>0</v>
      </c>
    </row>
    <row r="701" spans="1:12" ht="11.25" x14ac:dyDescent="0.2">
      <c r="A701" s="3"/>
      <c r="B701" s="3"/>
      <c r="C701" s="3"/>
      <c r="D701" s="325"/>
      <c r="E701" s="3"/>
      <c r="F701" s="3"/>
      <c r="G701" s="3"/>
      <c r="H701" s="3"/>
      <c r="I701" s="3"/>
      <c r="J701" s="3"/>
      <c r="K701" s="3"/>
      <c r="L701" s="3"/>
    </row>
    <row r="702" spans="1:12" ht="11.25" x14ac:dyDescent="0.2">
      <c r="A702" s="3">
        <f>A700+1</f>
        <v>10</v>
      </c>
      <c r="B702" s="3" t="str">
        <f>"STATE INCOME TAX @ "&amp;FIXED(ROUND(Input!$D$28*100,2),2,TRUE)&amp;"%"</f>
        <v>STATE INCOME TAX @ 6.00%</v>
      </c>
      <c r="C702" s="3"/>
      <c r="D702" s="325"/>
      <c r="E702" s="46">
        <f ca="1">Classification!G702</f>
        <v>-40362.737836084969</v>
      </c>
      <c r="F702" s="3">
        <f ca="1">IF($E$700=0,0,($E$702/$E$700)*F700)</f>
        <v>222397.90910505256</v>
      </c>
      <c r="G702" s="3">
        <f t="shared" ref="G702:L702" ca="1" si="88">IF($E$700=0,0,($E$702/$E$700)*G700)</f>
        <v>-8134.5733095039795</v>
      </c>
      <c r="H702" s="3">
        <f t="shared" ca="1" si="88"/>
        <v>-282.95845936964866</v>
      </c>
      <c r="I702" s="3">
        <f t="shared" ca="1" si="88"/>
        <v>6508.6445622351084</v>
      </c>
      <c r="J702" s="3">
        <f t="shared" ca="1" si="88"/>
        <v>-260851.57973547859</v>
      </c>
      <c r="K702" s="3">
        <f t="shared" ca="1" si="88"/>
        <v>0</v>
      </c>
      <c r="L702" s="3">
        <f t="shared" ca="1" si="88"/>
        <v>0</v>
      </c>
    </row>
    <row r="703" spans="1:12" ht="11.25" x14ac:dyDescent="0.2">
      <c r="A703" s="3">
        <f>A702+1</f>
        <v>11</v>
      </c>
      <c r="B703" s="3" t="str">
        <f>"PLUS: "&amp;+Input!A536</f>
        <v>PLUS: FOREIGN TAX PAYMENTS</v>
      </c>
      <c r="C703" s="3"/>
      <c r="D703" s="325" t="str">
        <f>VLOOKUP(Input!C536,'Alloc Table Comm'!$A$7:$B$27,2,FALSE)</f>
        <v>19COMM</v>
      </c>
      <c r="E703" s="26">
        <f>Classification!G703</f>
        <v>0</v>
      </c>
      <c r="F703" s="26">
        <f ca="1">ROUND((VLOOKUP($D703,'Alloc Table Comm'!$B$7:$T$56,13,FALSE)*$E703),0)</f>
        <v>0</v>
      </c>
      <c r="G703" s="26">
        <f ca="1">ROUND((VLOOKUP($D703,'Alloc Table Comm'!$B$7:$T$56,14,FALSE)*$E703),0)</f>
        <v>0</v>
      </c>
      <c r="H703" s="26">
        <f ca="1">ROUND((VLOOKUP($D703,'Alloc Table Comm'!$B$7:$T$56,15,FALSE)*$E703),0)</f>
        <v>0</v>
      </c>
      <c r="I703" s="26">
        <f ca="1">ROUND((VLOOKUP($D703,'Alloc Table Comm'!$B$7:$T$56,16,FALSE)*$E703),0)</f>
        <v>0</v>
      </c>
      <c r="J703" s="26">
        <f ca="1">ROUND((VLOOKUP($D703,'Alloc Table Comm'!$B$7:$T$56,17,FALSE)*$E703),0)</f>
        <v>0</v>
      </c>
      <c r="K703" s="26">
        <f ca="1">ROUND((VLOOKUP($D703,'Alloc Table Comm'!$B$7:$T$56,18,FALSE)*$E703),0)</f>
        <v>0</v>
      </c>
      <c r="L703" s="26">
        <f ca="1">ROUND((VLOOKUP($D703,'Alloc Table Comm'!$B$7:$T$56,19,FALSE)*$E703),0)</f>
        <v>0</v>
      </c>
    </row>
    <row r="704" spans="1:12" ht="11.25" x14ac:dyDescent="0.2">
      <c r="A704" s="3"/>
      <c r="B704" s="3"/>
      <c r="C704" s="3"/>
      <c r="D704" s="325"/>
      <c r="E704" s="3"/>
      <c r="F704" s="3"/>
      <c r="G704" s="3"/>
      <c r="H704" s="3"/>
      <c r="I704" s="3"/>
      <c r="J704" s="3"/>
      <c r="K704" s="3"/>
      <c r="L704" s="3"/>
    </row>
    <row r="705" spans="1:12" ht="11.25" x14ac:dyDescent="0.2">
      <c r="A705" s="3">
        <f>A703+1</f>
        <v>12</v>
      </c>
      <c r="B705" s="3" t="s">
        <v>46</v>
      </c>
      <c r="C705" s="3"/>
      <c r="D705" s="325"/>
      <c r="E705" s="3">
        <f t="shared" ref="E705:L705" ca="1" si="89">E702+E703</f>
        <v>-40362.737836084969</v>
      </c>
      <c r="F705" s="3">
        <f t="shared" ca="1" si="89"/>
        <v>222397.90910505256</v>
      </c>
      <c r="G705" s="3">
        <f t="shared" ca="1" si="89"/>
        <v>-8134.5733095039795</v>
      </c>
      <c r="H705" s="3">
        <f t="shared" ca="1" si="89"/>
        <v>-282.95845936964866</v>
      </c>
      <c r="I705" s="3">
        <f t="shared" ca="1" si="89"/>
        <v>6508.6445622351084</v>
      </c>
      <c r="J705" s="3">
        <f t="shared" ca="1" si="89"/>
        <v>-260851.57973547859</v>
      </c>
      <c r="K705" s="3">
        <f t="shared" ca="1" si="89"/>
        <v>0</v>
      </c>
      <c r="L705" s="3">
        <f t="shared" ca="1" si="89"/>
        <v>0</v>
      </c>
    </row>
    <row r="706" spans="1:12" ht="11.25" x14ac:dyDescent="0.2">
      <c r="A706" s="3" t="s">
        <v>818</v>
      </c>
      <c r="B706" s="3"/>
      <c r="C706" s="3"/>
      <c r="D706" s="325"/>
      <c r="E706" s="3"/>
      <c r="F706" s="325" t="str">
        <f>""&amp;+Input!$B$1</f>
        <v>COLUMBIA GAS OF KENTUCKY, INC.</v>
      </c>
      <c r="H706" s="3"/>
      <c r="I706" s="3"/>
      <c r="J706" s="3"/>
      <c r="K706" s="3"/>
      <c r="L706" s="32" t="str">
        <f>Input!$B$2</f>
        <v>ATTACHMENT CEN-2</v>
      </c>
    </row>
    <row r="707" spans="1:12" ht="11.25" x14ac:dyDescent="0.2">
      <c r="A707" s="3" t="str">
        <f>Input!$B$7</f>
        <v>DEMAND-COMMODITY</v>
      </c>
      <c r="B707" s="3"/>
      <c r="C707" s="3"/>
      <c r="D707" s="325"/>
      <c r="E707" s="3"/>
      <c r="F707" s="325" t="s">
        <v>425</v>
      </c>
      <c r="H707" s="3"/>
      <c r="I707" s="3"/>
      <c r="J707" s="3"/>
      <c r="K707" s="3"/>
      <c r="L707" s="32" t="str">
        <f>"PAGE 99 OF "&amp;FIXED(Input!$B$8,0,TRUE)</f>
        <v>PAGE 99 OF 129</v>
      </c>
    </row>
    <row r="708" spans="1:12" ht="11.25" x14ac:dyDescent="0.2">
      <c r="A708" s="17" t="str">
        <f>Input!$B$6</f>
        <v>FORECASTED TEST YEAR - ORIGINAL FILING</v>
      </c>
      <c r="B708" s="17"/>
      <c r="C708" s="17"/>
      <c r="D708" s="34"/>
      <c r="E708" s="17"/>
      <c r="F708" s="19" t="str">
        <f>"FOR THE TWELVE MONTHS ENDED "&amp;Input!$B$4</f>
        <v>FOR THE TWELVE MONTHS ENDED 12/31/2017</v>
      </c>
      <c r="G708" s="329"/>
      <c r="H708" s="17"/>
      <c r="I708" s="17"/>
      <c r="J708" s="17"/>
      <c r="K708" s="17"/>
      <c r="L708" s="183" t="str">
        <f>"WITNESS: "&amp;Input!$B$5</f>
        <v>WITNESS: C. NOTESTONE</v>
      </c>
    </row>
    <row r="709" spans="1:12" ht="11.25" x14ac:dyDescent="0.2">
      <c r="A709" s="325" t="s">
        <v>5</v>
      </c>
      <c r="B709" s="3" t="s">
        <v>6</v>
      </c>
      <c r="C709" s="3"/>
      <c r="D709" s="325" t="s">
        <v>7</v>
      </c>
      <c r="E709" s="325" t="s">
        <v>8</v>
      </c>
      <c r="F709" s="3"/>
      <c r="G709" s="3"/>
      <c r="H709" s="3"/>
      <c r="I709" s="3"/>
      <c r="J709" s="3"/>
      <c r="K709" s="3"/>
      <c r="L709" s="3"/>
    </row>
    <row r="710" spans="1:12" ht="11.25" x14ac:dyDescent="0.2">
      <c r="A710" s="341" t="s">
        <v>9</v>
      </c>
      <c r="B710" s="341" t="s">
        <v>9</v>
      </c>
      <c r="C710" s="341" t="str">
        <f>"                        ACCOUNT TITLE                "</f>
        <v xml:space="preserve">                        ACCOUNT TITLE                </v>
      </c>
      <c r="D710" s="341" t="s">
        <v>10</v>
      </c>
      <c r="E710" s="341" t="s">
        <v>812</v>
      </c>
      <c r="F710" s="341" t="str">
        <f>"  "&amp;+Input!$C$12</f>
        <v xml:space="preserve">  GS-RESIDENTIAL</v>
      </c>
      <c r="G710" s="341" t="str">
        <f>Input!$C$13</f>
        <v>GS-OTHER</v>
      </c>
      <c r="H710" s="341" t="str">
        <f>Input!$C$14</f>
        <v>IUS</v>
      </c>
      <c r="I710" s="341" t="str">
        <f>Input!$C$15</f>
        <v>DS-ML</v>
      </c>
      <c r="J710" s="341" t="str">
        <f>Input!$C$16</f>
        <v>DS/IS</v>
      </c>
      <c r="K710" s="341" t="str">
        <f>Input!$C$17</f>
        <v>NOT USED</v>
      </c>
      <c r="L710" s="341" t="str">
        <f>Input!$C$18</f>
        <v>NOT USED</v>
      </c>
    </row>
    <row r="711" spans="1:12" ht="11.25" x14ac:dyDescent="0.2">
      <c r="A711" s="3"/>
      <c r="B711" s="342" t="s">
        <v>13</v>
      </c>
      <c r="C711" s="342" t="s">
        <v>14</v>
      </c>
      <c r="D711" s="325" t="s">
        <v>15</v>
      </c>
      <c r="E711" s="325" t="s">
        <v>16</v>
      </c>
      <c r="F711" s="325" t="s">
        <v>17</v>
      </c>
      <c r="G711" s="325" t="s">
        <v>18</v>
      </c>
      <c r="H711" s="325" t="s">
        <v>19</v>
      </c>
      <c r="I711" s="325" t="s">
        <v>20</v>
      </c>
      <c r="J711" s="325" t="s">
        <v>21</v>
      </c>
      <c r="K711" s="325" t="s">
        <v>22</v>
      </c>
      <c r="L711" s="325" t="s">
        <v>23</v>
      </c>
    </row>
    <row r="712" spans="1:12" ht="11.25" x14ac:dyDescent="0.2">
      <c r="A712" s="3"/>
      <c r="B712" s="3"/>
      <c r="C712" s="3"/>
      <c r="D712" s="325"/>
      <c r="E712" s="325" t="s">
        <v>26</v>
      </c>
      <c r="F712" s="325" t="s">
        <v>26</v>
      </c>
      <c r="G712" s="325" t="s">
        <v>26</v>
      </c>
      <c r="H712" s="325" t="s">
        <v>26</v>
      </c>
      <c r="I712" s="325" t="s">
        <v>26</v>
      </c>
      <c r="J712" s="325" t="s">
        <v>26</v>
      </c>
      <c r="K712" s="325" t="s">
        <v>26</v>
      </c>
      <c r="L712" s="325" t="s">
        <v>26</v>
      </c>
    </row>
    <row r="713" spans="1:12" ht="11.25" x14ac:dyDescent="0.2">
      <c r="A713" s="3">
        <v>1</v>
      </c>
      <c r="B713" s="3"/>
      <c r="C713" s="3" t="s">
        <v>386</v>
      </c>
      <c r="D713" s="325"/>
      <c r="E713" s="3"/>
      <c r="F713" s="3"/>
      <c r="G713" s="3"/>
      <c r="H713" s="3"/>
      <c r="I713" s="3"/>
      <c r="J713" s="3"/>
      <c r="K713" s="3"/>
      <c r="L713" s="3"/>
    </row>
    <row r="714" spans="1:12" ht="11.25" x14ac:dyDescent="0.2">
      <c r="A714" s="3"/>
      <c r="B714" s="3"/>
      <c r="C714" s="3"/>
      <c r="D714" s="325"/>
      <c r="E714" s="3"/>
      <c r="F714" s="3"/>
      <c r="G714" s="3"/>
      <c r="H714" s="3"/>
      <c r="I714" s="3"/>
      <c r="J714" s="3"/>
      <c r="K714" s="3"/>
      <c r="L714" s="3"/>
    </row>
    <row r="715" spans="1:12" ht="11.25" x14ac:dyDescent="0.2">
      <c r="A715" s="3">
        <f>A713+1</f>
        <v>2</v>
      </c>
      <c r="B715" s="3" t="s">
        <v>387</v>
      </c>
      <c r="C715" s="3"/>
      <c r="D715" s="325"/>
      <c r="E715" s="3"/>
      <c r="F715" s="3"/>
      <c r="G715" s="3"/>
      <c r="H715" s="3"/>
      <c r="I715" s="3"/>
      <c r="J715" s="3"/>
      <c r="K715" s="3"/>
      <c r="L715" s="3"/>
    </row>
    <row r="716" spans="1:12" ht="11.25" x14ac:dyDescent="0.2">
      <c r="A716" s="3"/>
      <c r="B716" s="3"/>
      <c r="C716" s="3"/>
      <c r="D716" s="325"/>
      <c r="E716" s="3"/>
      <c r="F716" s="3"/>
      <c r="G716" s="3"/>
      <c r="H716" s="3"/>
      <c r="I716" s="3"/>
      <c r="J716" s="3"/>
      <c r="K716" s="3"/>
      <c r="L716" s="3"/>
    </row>
    <row r="717" spans="1:12" ht="11.25" x14ac:dyDescent="0.2">
      <c r="A717" s="3">
        <f>A715+1</f>
        <v>3</v>
      </c>
      <c r="B717" s="3" t="str">
        <f>Input!A538</f>
        <v>AMORTIZATION OF EXCESS ADIT-STATE</v>
      </c>
      <c r="C717" s="3"/>
      <c r="D717" s="325" t="str">
        <f>VLOOKUP(Input!C538,'Alloc Table Comm'!$A$7:$B$27,2,FALSE)</f>
        <v>19COMM</v>
      </c>
      <c r="E717" s="26">
        <f>Classification!G717</f>
        <v>-4945</v>
      </c>
      <c r="F717" s="26">
        <f ca="1">ROUND((VLOOKUP($D717,'Alloc Table Comm'!$B$7:$T$56,13,FALSE)*$E717),0)</f>
        <v>-1927</v>
      </c>
      <c r="G717" s="26">
        <f ca="1">ROUND((VLOOKUP($D717,'Alloc Table Comm'!$B$7:$T$56,14,FALSE)*$E717),0)</f>
        <v>-1305</v>
      </c>
      <c r="H717" s="26">
        <f ca="1">ROUND((VLOOKUP($D717,'Alloc Table Comm'!$B$7:$T$56,15,FALSE)*$E717),0)</f>
        <v>-3</v>
      </c>
      <c r="I717" s="26">
        <f ca="1">ROUND((VLOOKUP($D717,'Alloc Table Comm'!$B$7:$T$56,16,FALSE)*$E717),0)</f>
        <v>-1</v>
      </c>
      <c r="J717" s="26">
        <f ca="1">ROUND((VLOOKUP($D717,'Alloc Table Comm'!$B$7:$T$56,17,FALSE)*$E717),0)</f>
        <v>-1709</v>
      </c>
      <c r="K717" s="26">
        <f ca="1">ROUND((VLOOKUP($D717,'Alloc Table Comm'!$B$7:$T$56,18,FALSE)*$E717),0)</f>
        <v>0</v>
      </c>
      <c r="L717" s="26">
        <f ca="1">ROUND((VLOOKUP($D717,'Alloc Table Comm'!$B$7:$T$56,19,FALSE)*$E717),0)</f>
        <v>0</v>
      </c>
    </row>
    <row r="718" spans="1:12" ht="11.25" x14ac:dyDescent="0.2">
      <c r="A718" s="3"/>
      <c r="B718" s="3"/>
      <c r="C718" s="3"/>
      <c r="D718" s="325"/>
      <c r="E718" s="26"/>
      <c r="F718" s="26"/>
      <c r="G718" s="26"/>
      <c r="H718" s="26"/>
      <c r="I718" s="26"/>
      <c r="J718" s="26"/>
      <c r="K718" s="26"/>
      <c r="L718" s="26"/>
    </row>
    <row r="719" spans="1:12" ht="11.25" x14ac:dyDescent="0.2">
      <c r="A719" s="3">
        <f>A717+1</f>
        <v>4</v>
      </c>
      <c r="B719" s="3" t="s">
        <v>388</v>
      </c>
      <c r="C719" s="3"/>
      <c r="D719" s="325"/>
      <c r="E719" s="3">
        <f t="shared" ref="E719:L719" si="90">E717</f>
        <v>-4945</v>
      </c>
      <c r="F719" s="3">
        <f t="shared" ca="1" si="90"/>
        <v>-1927</v>
      </c>
      <c r="G719" s="3">
        <f t="shared" ca="1" si="90"/>
        <v>-1305</v>
      </c>
      <c r="H719" s="3">
        <f t="shared" ca="1" si="90"/>
        <v>-3</v>
      </c>
      <c r="I719" s="3">
        <f t="shared" ca="1" si="90"/>
        <v>-1</v>
      </c>
      <c r="J719" s="3">
        <f t="shared" ca="1" si="90"/>
        <v>-1709</v>
      </c>
      <c r="K719" s="3">
        <f t="shared" ca="1" si="90"/>
        <v>0</v>
      </c>
      <c r="L719" s="3">
        <f t="shared" ca="1" si="90"/>
        <v>0</v>
      </c>
    </row>
    <row r="720" spans="1:12" ht="11.25" x14ac:dyDescent="0.2">
      <c r="A720" s="3"/>
      <c r="B720" s="3"/>
      <c r="C720" s="3"/>
      <c r="D720" s="325"/>
      <c r="E720" s="3"/>
      <c r="F720" s="3"/>
      <c r="G720" s="3"/>
      <c r="H720" s="3"/>
      <c r="I720" s="3"/>
      <c r="J720" s="3"/>
      <c r="K720" s="3"/>
      <c r="L720" s="3"/>
    </row>
    <row r="721" spans="1:12" ht="11.25" x14ac:dyDescent="0.2">
      <c r="A721" s="3">
        <f>A719+1</f>
        <v>5</v>
      </c>
      <c r="B721" s="3" t="s">
        <v>389</v>
      </c>
      <c r="C721" s="3"/>
      <c r="D721" s="325"/>
      <c r="E721" s="3">
        <f ca="1">Commodity!E705+E719</f>
        <v>-45307.737836084969</v>
      </c>
      <c r="F721" s="3">
        <f ca="1">Commodity!F705+F719</f>
        <v>220470.90910505256</v>
      </c>
      <c r="G721" s="3">
        <f ca="1">Commodity!G705+G719</f>
        <v>-9439.5733095039795</v>
      </c>
      <c r="H721" s="3">
        <f ca="1">Commodity!H705+H719</f>
        <v>-285.95845936964866</v>
      </c>
      <c r="I721" s="3">
        <f ca="1">Commodity!I705+I719</f>
        <v>6507.6445622351084</v>
      </c>
      <c r="J721" s="3">
        <f ca="1">Commodity!J705+J719</f>
        <v>-262560.57973547862</v>
      </c>
      <c r="K721" s="3">
        <f ca="1">Commodity!K705+K719</f>
        <v>0</v>
      </c>
      <c r="L721" s="3">
        <f ca="1">Commodity!L705+L719</f>
        <v>0</v>
      </c>
    </row>
    <row r="722" spans="1:12" ht="11.25" x14ac:dyDescent="0.2">
      <c r="A722" s="3" t="s">
        <v>818</v>
      </c>
      <c r="B722" s="3"/>
      <c r="C722" s="3"/>
      <c r="D722" s="325"/>
      <c r="E722" s="3"/>
      <c r="F722" s="325" t="str">
        <f>""&amp;+Input!$B$1</f>
        <v>COLUMBIA GAS OF KENTUCKY, INC.</v>
      </c>
      <c r="H722" s="3"/>
      <c r="I722" s="3"/>
      <c r="J722" s="3"/>
      <c r="K722" s="3"/>
      <c r="L722" s="32" t="str">
        <f>Input!$B$2</f>
        <v>ATTACHMENT CEN-2</v>
      </c>
    </row>
    <row r="723" spans="1:12" ht="11.25" x14ac:dyDescent="0.2">
      <c r="A723" s="3" t="str">
        <f>Input!$B$7</f>
        <v>DEMAND-COMMODITY</v>
      </c>
      <c r="B723" s="3"/>
      <c r="C723" s="3"/>
      <c r="D723" s="325"/>
      <c r="E723" s="3"/>
      <c r="F723" s="325" t="s">
        <v>572</v>
      </c>
      <c r="H723" s="3"/>
      <c r="I723" s="3"/>
      <c r="J723" s="3"/>
      <c r="K723" s="3"/>
      <c r="L723" s="32" t="str">
        <f>"PAGE 100 OF "&amp;FIXED(Input!$B$8,0,TRUE)</f>
        <v>PAGE 100 OF 129</v>
      </c>
    </row>
    <row r="724" spans="1:12" ht="11.25" x14ac:dyDescent="0.2">
      <c r="A724" s="17" t="str">
        <f>Input!$B$6</f>
        <v>FORECASTED TEST YEAR - ORIGINAL FILING</v>
      </c>
      <c r="B724" s="17"/>
      <c r="C724" s="17"/>
      <c r="D724" s="34"/>
      <c r="E724" s="17"/>
      <c r="F724" s="19" t="str">
        <f>"FOR THE TWELVE MONTHS ENDED "&amp;Input!$B$4</f>
        <v>FOR THE TWELVE MONTHS ENDED 12/31/2017</v>
      </c>
      <c r="G724" s="329"/>
      <c r="H724" s="17"/>
      <c r="I724" s="17"/>
      <c r="J724" s="17"/>
      <c r="K724" s="17"/>
      <c r="L724" s="183" t="str">
        <f>"WITNESS: "&amp;Input!$B$5</f>
        <v>WITNESS: C. NOTESTONE</v>
      </c>
    </row>
    <row r="725" spans="1:12" ht="11.25" x14ac:dyDescent="0.2">
      <c r="A725" s="325" t="s">
        <v>5</v>
      </c>
      <c r="B725" s="3" t="s">
        <v>6</v>
      </c>
      <c r="C725" s="3"/>
      <c r="D725" s="325" t="s">
        <v>7</v>
      </c>
      <c r="E725" s="325" t="s">
        <v>8</v>
      </c>
      <c r="F725" s="3"/>
      <c r="G725" s="3"/>
      <c r="H725" s="3"/>
      <c r="I725" s="3"/>
      <c r="J725" s="3"/>
      <c r="K725" s="3"/>
      <c r="L725" s="3"/>
    </row>
    <row r="726" spans="1:12" ht="11.25" x14ac:dyDescent="0.2">
      <c r="A726" s="341" t="s">
        <v>9</v>
      </c>
      <c r="B726" s="341" t="s">
        <v>9</v>
      </c>
      <c r="C726" s="341" t="str">
        <f>"                        ACCOUNT TITLE                "</f>
        <v xml:space="preserve">                        ACCOUNT TITLE                </v>
      </c>
      <c r="D726" s="341" t="s">
        <v>10</v>
      </c>
      <c r="E726" s="341" t="s">
        <v>812</v>
      </c>
      <c r="F726" s="341" t="str">
        <f>"  "&amp;+Input!$C$12</f>
        <v xml:space="preserve">  GS-RESIDENTIAL</v>
      </c>
      <c r="G726" s="341" t="str">
        <f>Input!$C$13</f>
        <v>GS-OTHER</v>
      </c>
      <c r="H726" s="341" t="str">
        <f>Input!$C$14</f>
        <v>IUS</v>
      </c>
      <c r="I726" s="341" t="str">
        <f>Input!$C$15</f>
        <v>DS-ML</v>
      </c>
      <c r="J726" s="341" t="str">
        <f>Input!$C$16</f>
        <v>DS/IS</v>
      </c>
      <c r="K726" s="341" t="str">
        <f>Input!$C$17</f>
        <v>NOT USED</v>
      </c>
      <c r="L726" s="341" t="str">
        <f>Input!$C$18</f>
        <v>NOT USED</v>
      </c>
    </row>
    <row r="727" spans="1:12" ht="11.25" x14ac:dyDescent="0.2">
      <c r="A727" s="3"/>
      <c r="B727" s="342" t="s">
        <v>13</v>
      </c>
      <c r="C727" s="342" t="s">
        <v>14</v>
      </c>
      <c r="D727" s="325" t="s">
        <v>15</v>
      </c>
      <c r="E727" s="325" t="s">
        <v>16</v>
      </c>
      <c r="F727" s="325" t="s">
        <v>17</v>
      </c>
      <c r="G727" s="325" t="s">
        <v>18</v>
      </c>
      <c r="H727" s="325" t="s">
        <v>19</v>
      </c>
      <c r="I727" s="325" t="s">
        <v>20</v>
      </c>
      <c r="J727" s="325" t="s">
        <v>21</v>
      </c>
      <c r="K727" s="325" t="s">
        <v>22</v>
      </c>
      <c r="L727" s="325" t="s">
        <v>23</v>
      </c>
    </row>
    <row r="728" spans="1:12" ht="11.25" x14ac:dyDescent="0.2">
      <c r="A728" s="3"/>
      <c r="B728" s="3"/>
      <c r="C728" s="3"/>
      <c r="D728" s="325"/>
      <c r="E728" s="325" t="s">
        <v>26</v>
      </c>
      <c r="F728" s="325" t="s">
        <v>26</v>
      </c>
      <c r="G728" s="325" t="s">
        <v>26</v>
      </c>
      <c r="H728" s="325" t="s">
        <v>26</v>
      </c>
      <c r="I728" s="325" t="s">
        <v>26</v>
      </c>
      <c r="J728" s="325" t="s">
        <v>26</v>
      </c>
      <c r="K728" s="325" t="s">
        <v>26</v>
      </c>
      <c r="L728" s="325" t="s">
        <v>26</v>
      </c>
    </row>
    <row r="729" spans="1:12" ht="11.25" x14ac:dyDescent="0.2">
      <c r="A729" s="3"/>
      <c r="B729" s="3"/>
      <c r="C729" s="3"/>
      <c r="D729" s="325"/>
      <c r="E729" s="3"/>
      <c r="F729" s="3"/>
      <c r="G729" s="3"/>
      <c r="H729" s="3"/>
      <c r="I729" s="3"/>
      <c r="J729" s="3"/>
      <c r="K729" s="3"/>
      <c r="L729" s="3"/>
    </row>
    <row r="730" spans="1:12" ht="11.25" x14ac:dyDescent="0.2">
      <c r="A730" s="3">
        <v>1</v>
      </c>
      <c r="B730" s="3" t="s">
        <v>390</v>
      </c>
      <c r="C730" s="3"/>
      <c r="D730" s="325"/>
      <c r="E730" s="3">
        <f ca="1">Commodity!E396</f>
        <v>37773621.149999991</v>
      </c>
      <c r="F730" s="3">
        <f ca="1">Commodity!F396</f>
        <v>24264600.589999996</v>
      </c>
      <c r="G730" s="3">
        <f ca="1">Commodity!G396</f>
        <v>12036706</v>
      </c>
      <c r="H730" s="3">
        <f ca="1">Commodity!H396</f>
        <v>30284.560000000001</v>
      </c>
      <c r="I730" s="3">
        <f ca="1">Commodity!I396</f>
        <v>110813</v>
      </c>
      <c r="J730" s="3">
        <f ca="1">Commodity!J396</f>
        <v>1331217</v>
      </c>
      <c r="K730" s="3">
        <f>Commodity!K396</f>
        <v>0</v>
      </c>
      <c r="L730" s="3">
        <f>Commodity!L396</f>
        <v>0</v>
      </c>
    </row>
    <row r="731" spans="1:12" ht="11.25" x14ac:dyDescent="0.2">
      <c r="A731" s="3">
        <f>A730+1</f>
        <v>2</v>
      </c>
      <c r="B731" s="3" t="s">
        <v>391</v>
      </c>
      <c r="C731" s="3"/>
      <c r="D731" s="325"/>
      <c r="E731" s="26">
        <f ca="1">Commodity!E$663+Commodity!E$679+Commodity!E$375+Commodity!E427</f>
        <v>35387017.109999999</v>
      </c>
      <c r="F731" s="26">
        <f ca="1">Commodity!F$663+Commodity!F$679+Commodity!F$375+Commodity!F427</f>
        <v>19365211.589999996</v>
      </c>
      <c r="G731" s="26">
        <f ca="1">Commodity!G$663+Commodity!G$679+Commodity!G$375+Commodity!G427</f>
        <v>11364724.960000001</v>
      </c>
      <c r="H731" s="26">
        <f ca="1">Commodity!H$663+Commodity!H$679+Commodity!H$375+Commodity!H427</f>
        <v>33252.559999999998</v>
      </c>
      <c r="I731" s="26">
        <f ca="1">Commodity!I$663+Commodity!I$679+Commodity!I$375+Commodity!I427</f>
        <v>1329</v>
      </c>
      <c r="J731" s="26">
        <f ca="1">Commodity!J$663+Commodity!J$679+Commodity!J$375+Commodity!J427</f>
        <v>4622493</v>
      </c>
      <c r="K731" s="26">
        <f ca="1">Commodity!K$663+Commodity!K$679+Commodity!K$375+Commodity!K427</f>
        <v>0</v>
      </c>
      <c r="L731" s="26">
        <f ca="1">Commodity!L$663+Commodity!L$679+Commodity!L$375+Commodity!L427</f>
        <v>0</v>
      </c>
    </row>
    <row r="732" spans="1:12" ht="11.25" x14ac:dyDescent="0.2">
      <c r="A732" s="3">
        <f>A731+1</f>
        <v>3</v>
      </c>
      <c r="B732" s="3" t="s">
        <v>392</v>
      </c>
      <c r="C732" s="3"/>
      <c r="D732" s="325"/>
      <c r="E732" s="3">
        <f t="shared" ref="E732:L732" ca="1" si="91">E730-E731</f>
        <v>2386604.0399999917</v>
      </c>
      <c r="F732" s="3">
        <f t="shared" ca="1" si="91"/>
        <v>4899389</v>
      </c>
      <c r="G732" s="3">
        <f t="shared" ca="1" si="91"/>
        <v>671981.03999999911</v>
      </c>
      <c r="H732" s="3">
        <f t="shared" ca="1" si="91"/>
        <v>-2967.9999999999964</v>
      </c>
      <c r="I732" s="3">
        <f t="shared" ca="1" si="91"/>
        <v>109484</v>
      </c>
      <c r="J732" s="3">
        <f t="shared" ca="1" si="91"/>
        <v>-3291276</v>
      </c>
      <c r="K732" s="3">
        <f t="shared" ca="1" si="91"/>
        <v>0</v>
      </c>
      <c r="L732" s="3">
        <f t="shared" ca="1" si="91"/>
        <v>0</v>
      </c>
    </row>
    <row r="733" spans="1:12" ht="11.25" x14ac:dyDescent="0.2">
      <c r="A733" s="3"/>
      <c r="B733" s="3"/>
      <c r="C733" s="3"/>
      <c r="D733" s="325"/>
      <c r="E733" s="3"/>
      <c r="F733" s="3"/>
      <c r="G733" s="3"/>
      <c r="H733" s="3"/>
      <c r="I733" s="3"/>
      <c r="J733" s="3"/>
      <c r="K733" s="3"/>
      <c r="L733" s="3"/>
    </row>
    <row r="734" spans="1:12" ht="11.25" x14ac:dyDescent="0.2">
      <c r="A734" s="3">
        <f>A732+1</f>
        <v>4</v>
      </c>
      <c r="B734" s="3" t="s">
        <v>382</v>
      </c>
      <c r="C734" s="3"/>
      <c r="D734" s="325"/>
      <c r="E734" s="3"/>
      <c r="F734" s="3"/>
      <c r="G734" s="3"/>
      <c r="H734" s="3"/>
      <c r="I734" s="3"/>
      <c r="J734" s="3"/>
      <c r="K734" s="3"/>
      <c r="L734" s="3"/>
    </row>
    <row r="735" spans="1:12" ht="11.25" x14ac:dyDescent="0.2">
      <c r="A735" s="3"/>
      <c r="B735" s="3"/>
      <c r="C735" s="3"/>
      <c r="D735" s="325"/>
      <c r="E735" s="3"/>
      <c r="F735" s="3"/>
      <c r="G735" s="3"/>
      <c r="H735" s="3"/>
      <c r="I735" s="3"/>
      <c r="J735" s="3"/>
      <c r="K735" s="3"/>
      <c r="L735" s="3"/>
    </row>
    <row r="736" spans="1:12" ht="11.25" x14ac:dyDescent="0.2">
      <c r="A736" s="3">
        <f>A734+1</f>
        <v>5</v>
      </c>
      <c r="B736" s="3" t="s">
        <v>383</v>
      </c>
      <c r="C736" s="3"/>
      <c r="D736" s="325"/>
      <c r="E736" s="3">
        <f ca="1">ROUND(Commodity!E800*Input!$D$30,0)</f>
        <v>1837904</v>
      </c>
      <c r="F736" s="3">
        <f ca="1">ROUND(Commodity!F800*Input!$D$30,0)</f>
        <v>716803</v>
      </c>
      <c r="G736" s="3">
        <f ca="1">ROUND(Commodity!G800*Input!$D$30,0)</f>
        <v>485238</v>
      </c>
      <c r="H736" s="3">
        <f ca="1">ROUND(Commodity!H800*Input!$D$30,0)</f>
        <v>1049</v>
      </c>
      <c r="I736" s="3">
        <f ca="1">ROUND(Commodity!I800*Input!$D$30,0)</f>
        <v>495</v>
      </c>
      <c r="J736" s="3">
        <f ca="1">ROUND(Commodity!J800*Input!$D$30,0)</f>
        <v>634320</v>
      </c>
      <c r="K736" s="3">
        <f ca="1">ROUND(Commodity!K800*Input!$D$30,0)</f>
        <v>0</v>
      </c>
      <c r="L736" s="3">
        <f ca="1">ROUND(Commodity!L800*Input!$D$30,0)</f>
        <v>0</v>
      </c>
    </row>
    <row r="737" spans="1:12" ht="11.25" x14ac:dyDescent="0.2">
      <c r="A737" s="3"/>
      <c r="B737" s="3"/>
      <c r="C737" s="3"/>
      <c r="D737" s="325"/>
      <c r="E737" s="3"/>
      <c r="F737" s="3"/>
      <c r="G737" s="3"/>
      <c r="H737" s="3"/>
      <c r="I737" s="3"/>
      <c r="J737" s="3"/>
      <c r="K737" s="3"/>
      <c r="L737" s="3"/>
    </row>
    <row r="738" spans="1:12" ht="11.25" x14ac:dyDescent="0.2">
      <c r="A738" s="3">
        <f>A736+1</f>
        <v>6</v>
      </c>
      <c r="B738" s="3" t="str">
        <f>"  "&amp;+Input!A519</f>
        <v xml:space="preserve">  EXCESS OF BOOK OVER TAX S/L</v>
      </c>
      <c r="C738" s="3"/>
      <c r="D738" s="325" t="str">
        <f>VLOOKUP(Input!C519,'Alloc Table Comm'!$A$7:$B$27,2,FALSE)</f>
        <v>19COMM</v>
      </c>
      <c r="E738" s="3">
        <f>Classification!G738</f>
        <v>4243929</v>
      </c>
      <c r="F738" s="3">
        <f ca="1">ROUND((VLOOKUP($D738,'Alloc Table Comm'!$B$7:$T$56,13,FALSE)*$E738),0)</f>
        <v>1654029</v>
      </c>
      <c r="G738" s="3">
        <f ca="1">ROUND((VLOOKUP($D738,'Alloc Table Comm'!$B$7:$T$56,14,FALSE)*$E738),0)</f>
        <v>1120100</v>
      </c>
      <c r="H738" s="3">
        <f ca="1">ROUND((VLOOKUP($D738,'Alloc Table Comm'!$B$7:$T$56,15,FALSE)*$E738),0)</f>
        <v>2419</v>
      </c>
      <c r="I738" s="3">
        <f ca="1">ROUND((VLOOKUP($D738,'Alloc Table Comm'!$B$7:$T$56,16,FALSE)*$E738),0)</f>
        <v>1019</v>
      </c>
      <c r="J738" s="3">
        <f ca="1">ROUND((VLOOKUP($D738,'Alloc Table Comm'!$B$7:$T$56,17,FALSE)*$E738),0)</f>
        <v>1466362</v>
      </c>
      <c r="K738" s="3">
        <f ca="1">ROUND((VLOOKUP($D738,'Alloc Table Comm'!$B$7:$T$56,18,FALSE)*$E738),0)</f>
        <v>0</v>
      </c>
      <c r="L738" s="3">
        <f ca="1">ROUND((VLOOKUP($D738,'Alloc Table Comm'!$B$7:$T$56,19,FALSE)*$E738),0)</f>
        <v>0</v>
      </c>
    </row>
    <row r="739" spans="1:12" ht="11.25" x14ac:dyDescent="0.2">
      <c r="A739" s="3">
        <f>A738+1</f>
        <v>7</v>
      </c>
      <c r="B739" s="3" t="s">
        <v>393</v>
      </c>
      <c r="C739" s="3"/>
      <c r="D739" s="325"/>
      <c r="E739" s="26">
        <f>Commodity!E375-Commodity!E306</f>
        <v>3021656</v>
      </c>
      <c r="F739" s="26">
        <f ca="1">Commodity!F375-Commodity!F306</f>
        <v>1177764</v>
      </c>
      <c r="G739" s="26">
        <f ca="1">Commodity!G375-Commodity!G306</f>
        <v>797555</v>
      </c>
      <c r="H739" s="26">
        <f ca="1">Commodity!H375-Commodity!H306</f>
        <v>1720</v>
      </c>
      <c r="I739" s="26">
        <f ca="1">Commodity!I375-Commodity!I306</f>
        <v>508</v>
      </c>
      <c r="J739" s="26">
        <f ca="1">Commodity!J375-Commodity!J306</f>
        <v>1044108</v>
      </c>
      <c r="K739" s="26">
        <f ca="1">Commodity!K375-Commodity!K306</f>
        <v>0</v>
      </c>
      <c r="L739" s="26">
        <f ca="1">Commodity!L375-Commodity!L306</f>
        <v>0</v>
      </c>
    </row>
    <row r="740" spans="1:12" ht="11.25" x14ac:dyDescent="0.2">
      <c r="A740" s="3">
        <f>A739+1</f>
        <v>8</v>
      </c>
      <c r="B740" s="3" t="s">
        <v>551</v>
      </c>
      <c r="C740" s="3"/>
      <c r="D740" s="325"/>
      <c r="E740" s="3">
        <f t="shared" ref="E740:L740" si="92">E738-E739</f>
        <v>1222273</v>
      </c>
      <c r="F740" s="3">
        <f t="shared" ca="1" si="92"/>
        <v>476265</v>
      </c>
      <c r="G740" s="3">
        <f t="shared" ca="1" si="92"/>
        <v>322545</v>
      </c>
      <c r="H740" s="3">
        <f t="shared" ca="1" si="92"/>
        <v>699</v>
      </c>
      <c r="I740" s="3">
        <f t="shared" ca="1" si="92"/>
        <v>511</v>
      </c>
      <c r="J740" s="3">
        <f t="shared" ca="1" si="92"/>
        <v>422254</v>
      </c>
      <c r="K740" s="3">
        <f t="shared" ca="1" si="92"/>
        <v>0</v>
      </c>
      <c r="L740" s="3">
        <f t="shared" ca="1" si="92"/>
        <v>0</v>
      </c>
    </row>
    <row r="741" spans="1:12" ht="11.25" x14ac:dyDescent="0.2">
      <c r="A741" s="3"/>
      <c r="B741" s="3"/>
      <c r="C741" s="3"/>
      <c r="D741" s="325"/>
      <c r="E741" s="3"/>
      <c r="F741" s="3"/>
      <c r="G741" s="3"/>
      <c r="H741" s="3"/>
      <c r="I741" s="3"/>
      <c r="J741" s="3"/>
      <c r="K741" s="3"/>
      <c r="L741" s="3"/>
    </row>
    <row r="742" spans="1:12" ht="11.25" x14ac:dyDescent="0.2">
      <c r="A742" s="3">
        <f>A740+1</f>
        <v>9</v>
      </c>
      <c r="B742" s="3" t="str">
        <f>"  "&amp;+Input!A520</f>
        <v xml:space="preserve">  NON DEDUCTIBLE EMPLOYEE EXPENSE</v>
      </c>
      <c r="C742" s="3"/>
      <c r="D742" s="325" t="str">
        <f>VLOOKUP(Input!C520,'Alloc Table Comm'!$A$7:$B$27,2,FALSE)</f>
        <v>12COMM</v>
      </c>
      <c r="E742" s="3">
        <f>Classification!G742</f>
        <v>-857</v>
      </c>
      <c r="F742" s="3">
        <f ca="1">ROUND((VLOOKUP($D742,'Alloc Table Comm'!$B$7:$T$56,13,FALSE)*$E742),0)</f>
        <v>-331</v>
      </c>
      <c r="G742" s="3">
        <f ca="1">ROUND((VLOOKUP($D742,'Alloc Table Comm'!$B$7:$T$56,14,FALSE)*$E742),0)</f>
        <v>-225</v>
      </c>
      <c r="H742" s="3">
        <f ca="1">ROUND((VLOOKUP($D742,'Alloc Table Comm'!$B$7:$T$56,15,FALSE)*$E742),0)</f>
        <v>0</v>
      </c>
      <c r="I742" s="3">
        <f ca="1">ROUND((VLOOKUP($D742,'Alloc Table Comm'!$B$7:$T$56,16,FALSE)*$E742),0)</f>
        <v>0</v>
      </c>
      <c r="J742" s="3">
        <f ca="1">ROUND((VLOOKUP($D742,'Alloc Table Comm'!$B$7:$T$56,17,FALSE)*$E742),0)</f>
        <v>-300</v>
      </c>
      <c r="K742" s="3">
        <f ca="1">ROUND((VLOOKUP($D742,'Alloc Table Comm'!$B$7:$T$56,18,FALSE)*$E742),0)</f>
        <v>0</v>
      </c>
      <c r="L742" s="3">
        <f ca="1">ROUND((VLOOKUP($D742,'Alloc Table Comm'!$B$7:$T$56,19,FALSE)*$E742),0)</f>
        <v>0</v>
      </c>
    </row>
    <row r="743" spans="1:12" ht="11.25" x14ac:dyDescent="0.2">
      <c r="A743" s="3">
        <f>A742+1</f>
        <v>10</v>
      </c>
      <c r="B743" s="3" t="s">
        <v>394</v>
      </c>
      <c r="C743" s="3"/>
      <c r="D743" s="325"/>
      <c r="E743" s="26">
        <f ca="1">Commodity!E705</f>
        <v>-40362.737836084969</v>
      </c>
      <c r="F743" s="26">
        <f ca="1">Commodity!F705</f>
        <v>222397.90910505256</v>
      </c>
      <c r="G743" s="26">
        <f ca="1">Commodity!G705</f>
        <v>-8134.5733095039795</v>
      </c>
      <c r="H743" s="26">
        <f ca="1">Commodity!H705</f>
        <v>-282.95845936964866</v>
      </c>
      <c r="I743" s="26">
        <f ca="1">Commodity!I705</f>
        <v>6508.6445622351084</v>
      </c>
      <c r="J743" s="26">
        <f ca="1">Commodity!J705</f>
        <v>-260851.57973547859</v>
      </c>
      <c r="K743" s="26">
        <f ca="1">Commodity!K705</f>
        <v>0</v>
      </c>
      <c r="L743" s="26">
        <f ca="1">Commodity!L705</f>
        <v>0</v>
      </c>
    </row>
    <row r="744" spans="1:12" ht="11.25" x14ac:dyDescent="0.2">
      <c r="A744" s="3"/>
      <c r="B744" s="3"/>
      <c r="C744" s="3"/>
      <c r="D744" s="325"/>
      <c r="E744" s="3"/>
      <c r="F744" s="3"/>
      <c r="G744" s="3"/>
      <c r="H744" s="3"/>
      <c r="I744" s="3"/>
      <c r="J744" s="3"/>
      <c r="K744" s="3"/>
      <c r="L744" s="3"/>
    </row>
    <row r="745" spans="1:12" ht="11.25" x14ac:dyDescent="0.2">
      <c r="A745" s="3">
        <f>A743+1</f>
        <v>11</v>
      </c>
      <c r="B745" s="3" t="s">
        <v>384</v>
      </c>
      <c r="C745" s="3"/>
      <c r="D745" s="325"/>
      <c r="E745" s="23">
        <f t="shared" ref="E745:L745" ca="1" si="93">E736+E740+SUM(E742:E743)</f>
        <v>3018957.2621639152</v>
      </c>
      <c r="F745" s="23">
        <f t="shared" ca="1" si="93"/>
        <v>1415134.9091050525</v>
      </c>
      <c r="G745" s="23">
        <f t="shared" ca="1" si="93"/>
        <v>799423.42669049604</v>
      </c>
      <c r="H745" s="23">
        <f t="shared" ca="1" si="93"/>
        <v>1465.0415406303514</v>
      </c>
      <c r="I745" s="23">
        <f t="shared" ca="1" si="93"/>
        <v>7514.6445622351084</v>
      </c>
      <c r="J745" s="23">
        <f t="shared" ca="1" si="93"/>
        <v>795422.42026452138</v>
      </c>
      <c r="K745" s="23">
        <f t="shared" ca="1" si="93"/>
        <v>0</v>
      </c>
      <c r="L745" s="23">
        <f t="shared" ca="1" si="93"/>
        <v>0</v>
      </c>
    </row>
    <row r="746" spans="1:12" ht="11.25" x14ac:dyDescent="0.2">
      <c r="A746" s="3"/>
      <c r="B746" s="3"/>
      <c r="C746" s="3"/>
      <c r="D746" s="325"/>
      <c r="E746" s="3"/>
      <c r="F746" s="3"/>
      <c r="G746" s="3"/>
      <c r="H746" s="3"/>
      <c r="I746" s="3"/>
      <c r="J746" s="3"/>
      <c r="K746" s="3"/>
      <c r="L746" s="3"/>
    </row>
    <row r="747" spans="1:12" ht="11.25" x14ac:dyDescent="0.2">
      <c r="A747" s="3">
        <f>A745+1</f>
        <v>12</v>
      </c>
      <c r="B747" s="3" t="s">
        <v>385</v>
      </c>
      <c r="C747" s="3"/>
      <c r="D747" s="325"/>
      <c r="E747" s="3">
        <f t="shared" ref="E747:L747" ca="1" si="94">E732-E745</f>
        <v>-632353.22216392355</v>
      </c>
      <c r="F747" s="3">
        <f t="shared" ca="1" si="94"/>
        <v>3484254.0908949478</v>
      </c>
      <c r="G747" s="3">
        <f t="shared" ca="1" si="94"/>
        <v>-127442.38669049693</v>
      </c>
      <c r="H747" s="3">
        <f t="shared" ca="1" si="94"/>
        <v>-4433.0415406303473</v>
      </c>
      <c r="I747" s="3">
        <f t="shared" ca="1" si="94"/>
        <v>101969.3554377649</v>
      </c>
      <c r="J747" s="3">
        <f t="shared" ca="1" si="94"/>
        <v>-4086698.4202645216</v>
      </c>
      <c r="K747" s="3">
        <f t="shared" ca="1" si="94"/>
        <v>0</v>
      </c>
      <c r="L747" s="3">
        <f t="shared" ca="1" si="94"/>
        <v>0</v>
      </c>
    </row>
    <row r="748" spans="1:12" ht="11.25" x14ac:dyDescent="0.2">
      <c r="A748" s="3"/>
      <c r="B748" s="3"/>
      <c r="C748" s="3"/>
      <c r="D748" s="325"/>
      <c r="E748" s="3"/>
      <c r="F748" s="3"/>
      <c r="G748" s="3"/>
      <c r="H748" s="3"/>
      <c r="I748" s="3"/>
      <c r="J748" s="3"/>
      <c r="K748" s="3"/>
      <c r="L748" s="3"/>
    </row>
    <row r="749" spans="1:12" ht="11.25" x14ac:dyDescent="0.2">
      <c r="A749" s="3">
        <f>A747+1</f>
        <v>13</v>
      </c>
      <c r="B749" s="3" t="str">
        <f>"CURRENT FEDERAL INCOME TAX @ "&amp;FIXED(ROUND(Input!$D$27*100,0),0,TRUE)&amp;"%"</f>
        <v>CURRENT FEDERAL INCOME TAX @ 35%</v>
      </c>
      <c r="C749" s="3"/>
      <c r="D749" s="325"/>
      <c r="E749" s="46">
        <f ca="1">Classification!G749</f>
        <v>-215000</v>
      </c>
      <c r="F749" s="3">
        <f ca="1">IF($E$747=0,0,ROUND(+F747*($E$749/$E$747),0))</f>
        <v>1184646</v>
      </c>
      <c r="G749" s="3">
        <f t="shared" ref="G749:L749" ca="1" si="95">IF($E$747=0,0,ROUND(+G747*($E$749/$E$747),0))</f>
        <v>-43330</v>
      </c>
      <c r="H749" s="3">
        <f t="shared" ca="1" si="95"/>
        <v>-1507</v>
      </c>
      <c r="I749" s="3">
        <f t="shared" ca="1" si="95"/>
        <v>34670</v>
      </c>
      <c r="J749" s="3">
        <f t="shared" ca="1" si="95"/>
        <v>-1389477</v>
      </c>
      <c r="K749" s="3">
        <f t="shared" ca="1" si="95"/>
        <v>0</v>
      </c>
      <c r="L749" s="3">
        <f t="shared" ca="1" si="95"/>
        <v>0</v>
      </c>
    </row>
    <row r="750" spans="1:12" ht="11.25" x14ac:dyDescent="0.2">
      <c r="A750" s="3">
        <f>A749+1</f>
        <v>14</v>
      </c>
      <c r="B750" s="3" t="str">
        <f>"PLUS: "&amp;+Input!A528</f>
        <v>PLUS: DIRECT ADJUSTMENT TO F.I.T.</v>
      </c>
      <c r="C750" s="3"/>
      <c r="D750" s="325" t="str">
        <f>VLOOKUP(Input!C528,'Alloc Table Comm'!$A$7:$B$27,2,FALSE)</f>
        <v>19COMM</v>
      </c>
      <c r="E750" s="26">
        <f>Classification!G750</f>
        <v>0</v>
      </c>
      <c r="F750" s="26">
        <f ca="1">ROUND((VLOOKUP($D750,'Alloc Table Comm'!$B$7:$T$56,13,FALSE)*$E750),0)</f>
        <v>0</v>
      </c>
      <c r="G750" s="26">
        <f ca="1">ROUND((VLOOKUP($D750,'Alloc Table Comm'!$B$7:$T$56,14,FALSE)*$E750),0)</f>
        <v>0</v>
      </c>
      <c r="H750" s="26">
        <f ca="1">ROUND((VLOOKUP($D750,'Alloc Table Comm'!$B$7:$T$56,15,FALSE)*$E750),0)</f>
        <v>0</v>
      </c>
      <c r="I750" s="26">
        <f ca="1">ROUND((VLOOKUP($D750,'Alloc Table Comm'!$B$7:$T$56,16,FALSE)*$E750),0)</f>
        <v>0</v>
      </c>
      <c r="J750" s="26">
        <f ca="1">ROUND((VLOOKUP($D750,'Alloc Table Comm'!$B$7:$T$56,17,FALSE)*$E750),0)</f>
        <v>0</v>
      </c>
      <c r="K750" s="26">
        <f ca="1">ROUND((VLOOKUP($D750,'Alloc Table Comm'!$B$7:$T$56,18,FALSE)*$E750),0)</f>
        <v>0</v>
      </c>
      <c r="L750" s="26">
        <f ca="1">ROUND((VLOOKUP($D750,'Alloc Table Comm'!$B$7:$T$56,19,FALSE)*$E750),0)</f>
        <v>0</v>
      </c>
    </row>
    <row r="751" spans="1:12" ht="11.25" x14ac:dyDescent="0.2">
      <c r="A751" s="3">
        <f>A750+1</f>
        <v>15</v>
      </c>
      <c r="B751" s="3" t="str">
        <f>"CURRENT FEDERAL INCOME TAX @ "&amp;FIXED(ROUND(Input!$D$27*100,0),0,TRUE)&amp;"%"</f>
        <v>CURRENT FEDERAL INCOME TAX @ 35%</v>
      </c>
      <c r="C751" s="3"/>
      <c r="D751" s="325"/>
      <c r="E751" s="3">
        <f t="shared" ref="E751:L751" ca="1" si="96">E749+E750</f>
        <v>-215000</v>
      </c>
      <c r="F751" s="3">
        <f t="shared" ca="1" si="96"/>
        <v>1184646</v>
      </c>
      <c r="G751" s="3">
        <f t="shared" ca="1" si="96"/>
        <v>-43330</v>
      </c>
      <c r="H751" s="3">
        <f t="shared" ca="1" si="96"/>
        <v>-1507</v>
      </c>
      <c r="I751" s="3">
        <f t="shared" ca="1" si="96"/>
        <v>34670</v>
      </c>
      <c r="J751" s="3">
        <f t="shared" ca="1" si="96"/>
        <v>-1389477</v>
      </c>
      <c r="K751" s="3">
        <f t="shared" ca="1" si="96"/>
        <v>0</v>
      </c>
      <c r="L751" s="3">
        <f t="shared" ca="1" si="96"/>
        <v>0</v>
      </c>
    </row>
    <row r="752" spans="1:12" ht="11.25" x14ac:dyDescent="0.2">
      <c r="A752" s="3" t="s">
        <v>818</v>
      </c>
      <c r="B752" s="3"/>
      <c r="C752" s="3"/>
      <c r="D752" s="325"/>
      <c r="E752" s="3"/>
      <c r="F752" s="325" t="str">
        <f>""&amp;+Input!$B$1</f>
        <v>COLUMBIA GAS OF KENTUCKY, INC.</v>
      </c>
      <c r="H752" s="3"/>
      <c r="I752" s="3"/>
      <c r="J752" s="3"/>
      <c r="K752" s="3"/>
      <c r="L752" s="32" t="str">
        <f>Input!$B$2</f>
        <v>ATTACHMENT CEN-2</v>
      </c>
    </row>
    <row r="753" spans="1:12" ht="11.25" x14ac:dyDescent="0.2">
      <c r="A753" s="3" t="str">
        <f>Input!$B$7</f>
        <v>DEMAND-COMMODITY</v>
      </c>
      <c r="B753" s="3"/>
      <c r="C753" s="3"/>
      <c r="D753" s="325"/>
      <c r="E753" s="3"/>
      <c r="F753" s="325" t="s">
        <v>572</v>
      </c>
      <c r="H753" s="3"/>
      <c r="I753" s="3"/>
      <c r="J753" s="3"/>
      <c r="K753" s="3"/>
      <c r="L753" s="32" t="str">
        <f>"PAGE 101 OF "&amp;FIXED(Input!$B$8,0,TRUE)</f>
        <v>PAGE 101 OF 129</v>
      </c>
    </row>
    <row r="754" spans="1:12" ht="11.25" x14ac:dyDescent="0.2">
      <c r="A754" s="17" t="str">
        <f>Input!$B$6</f>
        <v>FORECASTED TEST YEAR - ORIGINAL FILING</v>
      </c>
      <c r="B754" s="17"/>
      <c r="C754" s="17"/>
      <c r="D754" s="34"/>
      <c r="E754" s="17"/>
      <c r="F754" s="19" t="str">
        <f>"FOR THE TWELVE MONTHS ENDED "&amp;Input!$B$4</f>
        <v>FOR THE TWELVE MONTHS ENDED 12/31/2017</v>
      </c>
      <c r="G754" s="329"/>
      <c r="H754" s="17"/>
      <c r="I754" s="17"/>
      <c r="J754" s="17"/>
      <c r="K754" s="17"/>
      <c r="L754" s="183" t="str">
        <f>"WITNESS: "&amp;Input!$B$5</f>
        <v>WITNESS: C. NOTESTONE</v>
      </c>
    </row>
    <row r="755" spans="1:12" ht="11.25" x14ac:dyDescent="0.2">
      <c r="A755" s="325" t="s">
        <v>5</v>
      </c>
      <c r="B755" s="3" t="s">
        <v>6</v>
      </c>
      <c r="C755" s="3"/>
      <c r="D755" s="325" t="s">
        <v>7</v>
      </c>
      <c r="E755" s="325" t="s">
        <v>8</v>
      </c>
      <c r="F755" s="3"/>
      <c r="G755" s="3"/>
      <c r="H755" s="3"/>
      <c r="I755" s="3"/>
      <c r="J755" s="3"/>
      <c r="K755" s="3"/>
      <c r="L755" s="3"/>
    </row>
    <row r="756" spans="1:12" ht="11.25" x14ac:dyDescent="0.2">
      <c r="A756" s="341" t="s">
        <v>9</v>
      </c>
      <c r="B756" s="341" t="s">
        <v>9</v>
      </c>
      <c r="C756" s="341" t="str">
        <f>"                        ACCOUNT TITLE                "</f>
        <v xml:space="preserve">                        ACCOUNT TITLE                </v>
      </c>
      <c r="D756" s="341" t="s">
        <v>10</v>
      </c>
      <c r="E756" s="341" t="s">
        <v>812</v>
      </c>
      <c r="F756" s="341" t="str">
        <f>"  "&amp;+Input!$C$12</f>
        <v xml:space="preserve">  GS-RESIDENTIAL</v>
      </c>
      <c r="G756" s="341" t="str">
        <f>Input!$C$13</f>
        <v>GS-OTHER</v>
      </c>
      <c r="H756" s="341" t="str">
        <f>Input!$C$14</f>
        <v>IUS</v>
      </c>
      <c r="I756" s="341" t="str">
        <f>Input!$C$15</f>
        <v>DS-ML</v>
      </c>
      <c r="J756" s="341" t="str">
        <f>Input!$C$16</f>
        <v>DS/IS</v>
      </c>
      <c r="K756" s="341" t="str">
        <f>Input!$C$17</f>
        <v>NOT USED</v>
      </c>
      <c r="L756" s="341" t="str">
        <f>Input!$C$18</f>
        <v>NOT USED</v>
      </c>
    </row>
    <row r="757" spans="1:12" ht="11.25" x14ac:dyDescent="0.2">
      <c r="A757" s="3"/>
      <c r="B757" s="342" t="s">
        <v>13</v>
      </c>
      <c r="C757" s="342" t="s">
        <v>14</v>
      </c>
      <c r="D757" s="325" t="s">
        <v>15</v>
      </c>
      <c r="E757" s="325" t="s">
        <v>16</v>
      </c>
      <c r="F757" s="325" t="s">
        <v>17</v>
      </c>
      <c r="G757" s="325" t="s">
        <v>18</v>
      </c>
      <c r="H757" s="325" t="s">
        <v>19</v>
      </c>
      <c r="I757" s="325" t="s">
        <v>20</v>
      </c>
      <c r="J757" s="325" t="s">
        <v>21</v>
      </c>
      <c r="K757" s="325" t="s">
        <v>22</v>
      </c>
      <c r="L757" s="325" t="s">
        <v>23</v>
      </c>
    </row>
    <row r="758" spans="1:12" ht="11.25" x14ac:dyDescent="0.2">
      <c r="A758" s="3"/>
      <c r="B758" s="3"/>
      <c r="C758" s="3"/>
      <c r="D758" s="325"/>
      <c r="E758" s="325" t="s">
        <v>26</v>
      </c>
      <c r="F758" s="325" t="s">
        <v>26</v>
      </c>
      <c r="G758" s="325" t="s">
        <v>26</v>
      </c>
      <c r="H758" s="325" t="s">
        <v>26</v>
      </c>
      <c r="I758" s="325" t="s">
        <v>26</v>
      </c>
      <c r="J758" s="325" t="s">
        <v>26</v>
      </c>
      <c r="K758" s="325" t="s">
        <v>26</v>
      </c>
      <c r="L758" s="325" t="s">
        <v>26</v>
      </c>
    </row>
    <row r="759" spans="1:12" ht="11.25" x14ac:dyDescent="0.2">
      <c r="A759" s="3"/>
      <c r="B759" s="3"/>
      <c r="C759" s="3"/>
      <c r="D759" s="325"/>
      <c r="E759" s="3"/>
      <c r="F759" s="3"/>
      <c r="G759" s="3"/>
      <c r="H759" s="3"/>
      <c r="I759" s="3"/>
      <c r="J759" s="3"/>
      <c r="K759" s="3"/>
      <c r="L759" s="3"/>
    </row>
    <row r="760" spans="1:12" ht="11.25" x14ac:dyDescent="0.2">
      <c r="A760" s="3">
        <v>1</v>
      </c>
      <c r="B760" s="3"/>
      <c r="C760" s="3" t="s">
        <v>395</v>
      </c>
      <c r="D760" s="325"/>
      <c r="E760" s="3"/>
      <c r="F760" s="3"/>
      <c r="G760" s="3"/>
      <c r="H760" s="3"/>
      <c r="I760" s="3"/>
      <c r="J760" s="3"/>
      <c r="K760" s="3"/>
      <c r="L760" s="3"/>
    </row>
    <row r="761" spans="1:12" ht="11.25" x14ac:dyDescent="0.2">
      <c r="A761" s="3"/>
      <c r="B761" s="3"/>
      <c r="C761" s="3"/>
      <c r="D761" s="325"/>
      <c r="E761" s="3"/>
      <c r="F761" s="3"/>
      <c r="G761" s="3"/>
      <c r="H761" s="3"/>
      <c r="I761" s="3"/>
      <c r="J761" s="3"/>
      <c r="K761" s="3"/>
      <c r="L761" s="3"/>
    </row>
    <row r="762" spans="1:12" ht="11.25" x14ac:dyDescent="0.2">
      <c r="A762" s="3">
        <f>A760+1</f>
        <v>2</v>
      </c>
      <c r="B762" s="3" t="str">
        <f>"LESS: "&amp;Input!A526</f>
        <v>LESS: AMORT. OF PRIOR YEARS ITC</v>
      </c>
      <c r="C762" s="3"/>
      <c r="D762" s="325" t="str">
        <f>VLOOKUP(Input!C526,'Alloc Table Comm'!$A$7:$B$27,2,FALSE)</f>
        <v>19COMM</v>
      </c>
      <c r="E762" s="3">
        <f>Classification!G762</f>
        <v>10398</v>
      </c>
      <c r="F762" s="3">
        <f ca="1">ROUND((VLOOKUP($D762,'Alloc Table Comm'!$B$7:$T$56,13,FALSE)*$E762),0)</f>
        <v>4053</v>
      </c>
      <c r="G762" s="3">
        <f ca="1">ROUND((VLOOKUP($D762,'Alloc Table Comm'!$B$7:$T$56,14,FALSE)*$E762),0)</f>
        <v>2744</v>
      </c>
      <c r="H762" s="3">
        <f ca="1">ROUND((VLOOKUP($D762,'Alloc Table Comm'!$B$7:$T$56,15,FALSE)*$E762),0)</f>
        <v>6</v>
      </c>
      <c r="I762" s="3">
        <f ca="1">ROUND((VLOOKUP($D762,'Alloc Table Comm'!$B$7:$T$56,16,FALSE)*$E762),0)</f>
        <v>2</v>
      </c>
      <c r="J762" s="3">
        <f ca="1">ROUND((VLOOKUP($D762,'Alloc Table Comm'!$B$7:$T$56,17,FALSE)*$E762),0)</f>
        <v>3593</v>
      </c>
      <c r="K762" s="3">
        <f ca="1">ROUND((VLOOKUP($D762,'Alloc Table Comm'!$B$7:$T$56,18,FALSE)*$E762),0)</f>
        <v>0</v>
      </c>
      <c r="L762" s="3">
        <f ca="1">ROUND((VLOOKUP($D762,'Alloc Table Comm'!$B$7:$T$56,19,FALSE)*$E762),0)</f>
        <v>0</v>
      </c>
    </row>
    <row r="763" spans="1:12" ht="11.25" x14ac:dyDescent="0.2">
      <c r="A763" s="3"/>
      <c r="B763" s="3"/>
      <c r="C763" s="3"/>
      <c r="D763" s="325"/>
      <c r="E763" s="3"/>
      <c r="F763" s="3"/>
      <c r="G763" s="3"/>
      <c r="H763" s="3"/>
      <c r="I763" s="3"/>
      <c r="J763" s="3"/>
      <c r="K763" s="3"/>
      <c r="L763" s="3"/>
    </row>
    <row r="764" spans="1:12" ht="11.25" x14ac:dyDescent="0.2">
      <c r="A764" s="3">
        <f>A762+1</f>
        <v>3</v>
      </c>
      <c r="B764" s="3" t="s">
        <v>396</v>
      </c>
      <c r="C764" s="3"/>
      <c r="D764" s="325"/>
      <c r="E764" s="3"/>
      <c r="F764" s="3"/>
      <c r="G764" s="3"/>
      <c r="H764" s="3"/>
      <c r="I764" s="3"/>
      <c r="J764" s="3"/>
      <c r="K764" s="3"/>
      <c r="L764" s="3"/>
    </row>
    <row r="765" spans="1:12" ht="11.25" x14ac:dyDescent="0.2">
      <c r="A765" s="3"/>
      <c r="B765" s="3"/>
      <c r="C765" s="3"/>
      <c r="D765" s="325"/>
      <c r="E765" s="3"/>
      <c r="F765" s="3"/>
      <c r="G765" s="3"/>
      <c r="H765" s="3"/>
      <c r="I765" s="3"/>
      <c r="J765" s="3"/>
      <c r="K765" s="3"/>
      <c r="L765" s="3"/>
    </row>
    <row r="766" spans="1:12" ht="11.25" x14ac:dyDescent="0.2">
      <c r="A766" s="3">
        <f>A764+1</f>
        <v>4</v>
      </c>
      <c r="B766" s="3" t="str">
        <f>Input!A524</f>
        <v>AMORTIZATION OF EXCESS ADIT-FEDERAL</v>
      </c>
      <c r="C766" s="3"/>
      <c r="D766" s="325" t="str">
        <f>VLOOKUP(Input!C524,'Alloc Table Comm'!$A$7:$B$27,2,FALSE)</f>
        <v>19COMM</v>
      </c>
      <c r="E766" s="26">
        <f>Classification!G766</f>
        <v>-15854</v>
      </c>
      <c r="F766" s="26">
        <f ca="1">ROUND((VLOOKUP($D766,'Alloc Table Comm'!$B$7:$T$56,13,FALSE)*$E766),0)</f>
        <v>-6179</v>
      </c>
      <c r="G766" s="26">
        <f ca="1">ROUND((VLOOKUP($D766,'Alloc Table Comm'!$B$7:$T$56,14,FALSE)*$E766),0)</f>
        <v>-4184</v>
      </c>
      <c r="H766" s="26">
        <f ca="1">ROUND((VLOOKUP($D766,'Alloc Table Comm'!$B$7:$T$56,15,FALSE)*$E766),0)</f>
        <v>-9</v>
      </c>
      <c r="I766" s="26">
        <f ca="1">ROUND((VLOOKUP($D766,'Alloc Table Comm'!$B$7:$T$56,16,FALSE)*$E766),0)</f>
        <v>-4</v>
      </c>
      <c r="J766" s="26">
        <f ca="1">ROUND((VLOOKUP($D766,'Alloc Table Comm'!$B$7:$T$56,17,FALSE)*$E766),0)</f>
        <v>-5478</v>
      </c>
      <c r="K766" s="26">
        <f ca="1">ROUND((VLOOKUP($D766,'Alloc Table Comm'!$B$7:$T$56,18,FALSE)*$E766),0)</f>
        <v>0</v>
      </c>
      <c r="L766" s="26">
        <f ca="1">ROUND((VLOOKUP($D766,'Alloc Table Comm'!$B$7:$T$56,19,FALSE)*$E766),0)</f>
        <v>0</v>
      </c>
    </row>
    <row r="767" spans="1:12" ht="11.25" x14ac:dyDescent="0.2">
      <c r="A767" s="3">
        <f>A766+1</f>
        <v>5</v>
      </c>
      <c r="B767" s="3" t="s">
        <v>397</v>
      </c>
      <c r="C767" s="3"/>
      <c r="D767" s="325"/>
      <c r="E767" s="23">
        <f t="shared" ref="E767:L767" si="97">SUM(E766:E766)</f>
        <v>-15854</v>
      </c>
      <c r="F767" s="23">
        <f t="shared" ca="1" si="97"/>
        <v>-6179</v>
      </c>
      <c r="G767" s="23">
        <f t="shared" ca="1" si="97"/>
        <v>-4184</v>
      </c>
      <c r="H767" s="23">
        <f t="shared" ca="1" si="97"/>
        <v>-9</v>
      </c>
      <c r="I767" s="23">
        <f t="shared" ca="1" si="97"/>
        <v>-4</v>
      </c>
      <c r="J767" s="23">
        <f t="shared" ca="1" si="97"/>
        <v>-5478</v>
      </c>
      <c r="K767" s="23">
        <f t="shared" ca="1" si="97"/>
        <v>0</v>
      </c>
      <c r="L767" s="23">
        <f t="shared" ca="1" si="97"/>
        <v>0</v>
      </c>
    </row>
    <row r="768" spans="1:12" ht="11.25" x14ac:dyDescent="0.2">
      <c r="A768" s="3"/>
      <c r="B768" s="3"/>
      <c r="C768" s="3"/>
      <c r="D768" s="325"/>
      <c r="E768" s="3"/>
      <c r="F768" s="3"/>
      <c r="G768" s="3"/>
      <c r="H768" s="3"/>
      <c r="I768" s="3"/>
      <c r="J768" s="3"/>
      <c r="K768" s="3"/>
      <c r="L768" s="3"/>
    </row>
    <row r="769" spans="1:12" ht="11.25" x14ac:dyDescent="0.2">
      <c r="A769" s="3">
        <f>A767+1</f>
        <v>6</v>
      </c>
      <c r="B769" s="3" t="s">
        <v>388</v>
      </c>
      <c r="C769" s="3"/>
      <c r="D769" s="325"/>
      <c r="E769" s="26">
        <f t="shared" ref="E769:L769" si="98">-E762+E767</f>
        <v>-26252</v>
      </c>
      <c r="F769" s="26">
        <f t="shared" ca="1" si="98"/>
        <v>-10232</v>
      </c>
      <c r="G769" s="26">
        <f t="shared" ca="1" si="98"/>
        <v>-6928</v>
      </c>
      <c r="H769" s="26">
        <f t="shared" ca="1" si="98"/>
        <v>-15</v>
      </c>
      <c r="I769" s="26">
        <f t="shared" ca="1" si="98"/>
        <v>-6</v>
      </c>
      <c r="J769" s="26">
        <f t="shared" ca="1" si="98"/>
        <v>-9071</v>
      </c>
      <c r="K769" s="26">
        <f t="shared" ca="1" si="98"/>
        <v>0</v>
      </c>
      <c r="L769" s="26">
        <f t="shared" ca="1" si="98"/>
        <v>0</v>
      </c>
    </row>
    <row r="770" spans="1:12" ht="11.25" x14ac:dyDescent="0.2">
      <c r="A770" s="3"/>
      <c r="B770" s="3"/>
      <c r="C770" s="3"/>
      <c r="D770" s="325"/>
      <c r="E770" s="3"/>
      <c r="F770" s="3"/>
      <c r="G770" s="3"/>
      <c r="H770" s="3"/>
      <c r="I770" s="3"/>
      <c r="J770" s="3"/>
      <c r="K770" s="3"/>
      <c r="L770" s="3"/>
    </row>
    <row r="771" spans="1:12" ht="11.25" x14ac:dyDescent="0.2">
      <c r="A771" s="3">
        <f>A769+1</f>
        <v>7</v>
      </c>
      <c r="B771" s="3" t="s">
        <v>398</v>
      </c>
      <c r="C771" s="3"/>
      <c r="D771" s="325"/>
      <c r="E771" s="3">
        <f ca="1">Commodity!E751+E769</f>
        <v>-241252</v>
      </c>
      <c r="F771" s="3">
        <f ca="1">Commodity!F751+F769</f>
        <v>1174414</v>
      </c>
      <c r="G771" s="3">
        <f ca="1">Commodity!G751+G769</f>
        <v>-50258</v>
      </c>
      <c r="H771" s="3">
        <f ca="1">Commodity!H751+H769</f>
        <v>-1522</v>
      </c>
      <c r="I771" s="3">
        <f ca="1">Commodity!I751+I769</f>
        <v>34664</v>
      </c>
      <c r="J771" s="3">
        <f ca="1">Commodity!J751+J769</f>
        <v>-1398548</v>
      </c>
      <c r="K771" s="3">
        <f ca="1">Commodity!K751+K769</f>
        <v>0</v>
      </c>
      <c r="L771" s="3">
        <f ca="1">Commodity!L751+L769</f>
        <v>0</v>
      </c>
    </row>
    <row r="772" spans="1:12" ht="11.25" x14ac:dyDescent="0.2">
      <c r="A772" s="3" t="s">
        <v>818</v>
      </c>
      <c r="B772" s="3"/>
      <c r="C772" s="14"/>
      <c r="D772" s="325"/>
      <c r="E772" s="15"/>
      <c r="F772" s="325" t="str">
        <f>""&amp;+Input!$B$1</f>
        <v>COLUMBIA GAS OF KENTUCKY, INC.</v>
      </c>
      <c r="H772" s="3"/>
      <c r="I772" s="3"/>
      <c r="J772" s="3"/>
      <c r="K772" s="3"/>
      <c r="L772" s="32" t="str">
        <f>Input!$B$2</f>
        <v>ATTACHMENT CEN-2</v>
      </c>
    </row>
    <row r="773" spans="1:12" ht="11.25" x14ac:dyDescent="0.2">
      <c r="A773" s="3" t="str">
        <f>Input!$B$7</f>
        <v>DEMAND-COMMODITY</v>
      </c>
      <c r="B773" s="3"/>
      <c r="C773" s="3"/>
      <c r="D773" s="325"/>
      <c r="E773" s="3"/>
      <c r="F773" s="325" t="s">
        <v>573</v>
      </c>
      <c r="H773" s="3"/>
      <c r="I773" s="3"/>
      <c r="J773" s="3"/>
      <c r="K773" s="3"/>
      <c r="L773" s="32" t="str">
        <f>"PAGE 102 OF "&amp;FIXED(Input!$B$8,0,TRUE)</f>
        <v>PAGE 102 OF 129</v>
      </c>
    </row>
    <row r="774" spans="1:12" ht="11.25" x14ac:dyDescent="0.2">
      <c r="A774" s="17" t="str">
        <f>Input!$B$6</f>
        <v>FORECASTED TEST YEAR - ORIGINAL FILING</v>
      </c>
      <c r="B774" s="17"/>
      <c r="C774" s="17"/>
      <c r="D774" s="34"/>
      <c r="E774" s="17"/>
      <c r="F774" s="19" t="str">
        <f>"FOR THE TWELVE MONTHS ENDED "&amp;Input!$B$4</f>
        <v>FOR THE TWELVE MONTHS ENDED 12/31/2017</v>
      </c>
      <c r="G774" s="329"/>
      <c r="H774" s="17"/>
      <c r="I774" s="17"/>
      <c r="J774" s="17"/>
      <c r="K774" s="17"/>
      <c r="L774" s="183" t="str">
        <f>"WITNESS: "&amp;Input!$B$5</f>
        <v>WITNESS: C. NOTESTONE</v>
      </c>
    </row>
    <row r="775" spans="1:12" ht="11.25" x14ac:dyDescent="0.2">
      <c r="A775" s="325" t="s">
        <v>5</v>
      </c>
      <c r="B775" s="3" t="s">
        <v>6</v>
      </c>
      <c r="C775" s="3"/>
      <c r="D775" s="325" t="s">
        <v>7</v>
      </c>
      <c r="E775" s="325" t="s">
        <v>8</v>
      </c>
      <c r="F775" s="3"/>
      <c r="G775" s="3"/>
      <c r="H775" s="3"/>
      <c r="I775" s="3"/>
      <c r="J775" s="3"/>
      <c r="K775" s="3"/>
      <c r="L775" s="3"/>
    </row>
    <row r="776" spans="1:12" ht="11.25" x14ac:dyDescent="0.2">
      <c r="A776" s="341" t="s">
        <v>9</v>
      </c>
      <c r="B776" s="341" t="s">
        <v>9</v>
      </c>
      <c r="C776" s="341" t="str">
        <f>"                        ACCOUNT TITLE                "</f>
        <v xml:space="preserve">                        ACCOUNT TITLE                </v>
      </c>
      <c r="D776" s="341" t="s">
        <v>10</v>
      </c>
      <c r="E776" s="341" t="s">
        <v>812</v>
      </c>
      <c r="F776" s="341" t="str">
        <f>"  "&amp;+Input!$C$12</f>
        <v xml:space="preserve">  GS-RESIDENTIAL</v>
      </c>
      <c r="G776" s="341" t="str">
        <f>Input!$C$13</f>
        <v>GS-OTHER</v>
      </c>
      <c r="H776" s="341" t="str">
        <f>Input!$C$14</f>
        <v>IUS</v>
      </c>
      <c r="I776" s="341" t="str">
        <f>Input!$C$15</f>
        <v>DS-ML</v>
      </c>
      <c r="J776" s="341" t="str">
        <f>Input!$C$16</f>
        <v>DS/IS</v>
      </c>
      <c r="K776" s="341" t="str">
        <f>Input!$C$17</f>
        <v>NOT USED</v>
      </c>
      <c r="L776" s="341" t="str">
        <f>Input!$C$18</f>
        <v>NOT USED</v>
      </c>
    </row>
    <row r="777" spans="1:12" ht="11.25" x14ac:dyDescent="0.2">
      <c r="A777" s="3"/>
      <c r="B777" s="342" t="s">
        <v>13</v>
      </c>
      <c r="C777" s="342" t="s">
        <v>14</v>
      </c>
      <c r="D777" s="325" t="s">
        <v>15</v>
      </c>
      <c r="E777" s="325" t="s">
        <v>16</v>
      </c>
      <c r="F777" s="325" t="s">
        <v>17</v>
      </c>
      <c r="G777" s="325" t="s">
        <v>18</v>
      </c>
      <c r="H777" s="325" t="s">
        <v>19</v>
      </c>
      <c r="I777" s="325" t="s">
        <v>20</v>
      </c>
      <c r="J777" s="325" t="s">
        <v>21</v>
      </c>
      <c r="K777" s="325" t="s">
        <v>22</v>
      </c>
      <c r="L777" s="325" t="s">
        <v>23</v>
      </c>
    </row>
    <row r="778" spans="1:12" ht="11.25" x14ac:dyDescent="0.2">
      <c r="A778" s="3"/>
      <c r="B778" s="3"/>
      <c r="C778" s="3"/>
      <c r="D778" s="325"/>
      <c r="E778" s="325" t="s">
        <v>26</v>
      </c>
      <c r="F778" s="325" t="s">
        <v>26</v>
      </c>
      <c r="G778" s="325" t="s">
        <v>26</v>
      </c>
      <c r="H778" s="325" t="s">
        <v>26</v>
      </c>
      <c r="I778" s="325" t="s">
        <v>26</v>
      </c>
      <c r="J778" s="325" t="s">
        <v>26</v>
      </c>
      <c r="K778" s="325" t="s">
        <v>26</v>
      </c>
      <c r="L778" s="325" t="s">
        <v>26</v>
      </c>
    </row>
    <row r="779" spans="1:12" ht="11.25" x14ac:dyDescent="0.2">
      <c r="A779" s="3">
        <v>1</v>
      </c>
      <c r="B779" s="3" t="s">
        <v>807</v>
      </c>
      <c r="C779" s="3"/>
      <c r="D779" s="325"/>
      <c r="E779" s="23">
        <f>Commodity!E205</f>
        <v>127322843</v>
      </c>
      <c r="F779" s="23">
        <f ca="1">Commodity!F205</f>
        <v>49623412</v>
      </c>
      <c r="G779" s="23">
        <f ca="1">Commodity!G205</f>
        <v>33603809</v>
      </c>
      <c r="H779" s="23">
        <f ca="1">Commodity!H205</f>
        <v>72557</v>
      </c>
      <c r="I779" s="23">
        <f ca="1">Commodity!I205</f>
        <v>30967</v>
      </c>
      <c r="J779" s="23">
        <f ca="1">Commodity!J205</f>
        <v>43992096</v>
      </c>
      <c r="K779" s="23">
        <f ca="1">Commodity!K205</f>
        <v>0</v>
      </c>
      <c r="L779" s="23">
        <f ca="1">Commodity!L205</f>
        <v>0</v>
      </c>
    </row>
    <row r="780" spans="1:12" ht="11.25" x14ac:dyDescent="0.2">
      <c r="A780" s="3"/>
      <c r="B780" s="3" t="s">
        <v>399</v>
      </c>
      <c r="C780" s="3"/>
      <c r="D780" s="325"/>
      <c r="E780" s="3"/>
      <c r="F780" s="3"/>
      <c r="G780" s="3"/>
      <c r="H780" s="3"/>
      <c r="I780" s="3"/>
      <c r="J780" s="3"/>
      <c r="K780" s="3"/>
      <c r="L780" s="3"/>
    </row>
    <row r="781" spans="1:12" ht="11.25" x14ac:dyDescent="0.2">
      <c r="A781" s="3">
        <f>A779+1</f>
        <v>2</v>
      </c>
      <c r="B781" s="3" t="s">
        <v>400</v>
      </c>
      <c r="C781" s="3" t="s">
        <v>401</v>
      </c>
      <c r="D781" s="325"/>
      <c r="E781" s="26">
        <f>Commodity!E291</f>
        <v>35488999</v>
      </c>
      <c r="F781" s="26">
        <f ca="1">Commodity!F291</f>
        <v>13832426</v>
      </c>
      <c r="G781" s="26">
        <f ca="1">Commodity!G291</f>
        <v>9367000</v>
      </c>
      <c r="H781" s="26">
        <f ca="1">Commodity!H291</f>
        <v>20224</v>
      </c>
      <c r="I781" s="26">
        <f ca="1">Commodity!I291</f>
        <v>6634</v>
      </c>
      <c r="J781" s="26">
        <f ca="1">Commodity!J291</f>
        <v>12262713</v>
      </c>
      <c r="K781" s="26">
        <f ca="1">Commodity!K291</f>
        <v>0</v>
      </c>
      <c r="L781" s="26">
        <f ca="1">Commodity!L291</f>
        <v>0</v>
      </c>
    </row>
    <row r="782" spans="1:12" ht="11.25" x14ac:dyDescent="0.2">
      <c r="A782" s="3">
        <f>A781+1</f>
        <v>3</v>
      </c>
      <c r="B782" s="3"/>
      <c r="C782" s="3" t="s">
        <v>402</v>
      </c>
      <c r="D782" s="325"/>
      <c r="E782" s="23">
        <f t="shared" ref="E782:L782" si="99">E779-E781</f>
        <v>91833844</v>
      </c>
      <c r="F782" s="23">
        <f t="shared" ca="1" si="99"/>
        <v>35790986</v>
      </c>
      <c r="G782" s="23">
        <f t="shared" ca="1" si="99"/>
        <v>24236809</v>
      </c>
      <c r="H782" s="23">
        <f t="shared" ca="1" si="99"/>
        <v>52333</v>
      </c>
      <c r="I782" s="23">
        <f t="shared" ca="1" si="99"/>
        <v>24333</v>
      </c>
      <c r="J782" s="23">
        <f t="shared" ca="1" si="99"/>
        <v>31729383</v>
      </c>
      <c r="K782" s="23">
        <f t="shared" ca="1" si="99"/>
        <v>0</v>
      </c>
      <c r="L782" s="23">
        <f t="shared" ca="1" si="99"/>
        <v>0</v>
      </c>
    </row>
    <row r="783" spans="1:12" ht="11.25" x14ac:dyDescent="0.2">
      <c r="A783" s="3"/>
      <c r="B783" s="3"/>
      <c r="C783" s="3"/>
      <c r="D783" s="325"/>
      <c r="E783" s="3"/>
      <c r="F783" s="3"/>
      <c r="G783" s="3"/>
      <c r="H783" s="3"/>
      <c r="I783" s="3"/>
      <c r="J783" s="3"/>
      <c r="K783" s="3"/>
      <c r="L783" s="3"/>
    </row>
    <row r="784" spans="1:12" ht="11.25" x14ac:dyDescent="0.2">
      <c r="A784" s="3">
        <f>A782+1</f>
        <v>4</v>
      </c>
      <c r="B784" s="24">
        <f>Input!A69</f>
        <v>190</v>
      </c>
      <c r="C784" s="3" t="str">
        <f>Input!B69</f>
        <v>ACCUMULATED DEF INCOME TAX</v>
      </c>
      <c r="D784" s="325" t="str">
        <f>VLOOKUP(Input!C69,'Alloc Table Comm'!$A$7:$B$27,2,FALSE)</f>
        <v>19COMM</v>
      </c>
      <c r="E784" s="3">
        <f>Classification!G784</f>
        <v>1566050</v>
      </c>
      <c r="F784" s="3">
        <f ca="1">ROUND((VLOOKUP($D784,'Alloc Table Comm'!$B$7:$T$56,13,FALSE)*$E784),0)</f>
        <v>610352</v>
      </c>
      <c r="G784" s="3">
        <f ca="1">ROUND((VLOOKUP($D784,'Alloc Table Comm'!$B$7:$T$56,14,FALSE)*$E784),0)</f>
        <v>413328</v>
      </c>
      <c r="H784" s="3">
        <f ca="1">ROUND((VLOOKUP($D784,'Alloc Table Comm'!$B$7:$T$56,15,FALSE)*$E784),0)</f>
        <v>893</v>
      </c>
      <c r="I784" s="3">
        <f ca="1">ROUND((VLOOKUP($D784,'Alloc Table Comm'!$B$7:$T$56,16,FALSE)*$E784),0)</f>
        <v>376</v>
      </c>
      <c r="J784" s="3">
        <f ca="1">ROUND((VLOOKUP($D784,'Alloc Table Comm'!$B$7:$T$56,17,FALSE)*$E784),0)</f>
        <v>541102</v>
      </c>
      <c r="K784" s="3">
        <f ca="1">ROUND((VLOOKUP($D784,'Alloc Table Comm'!$B$7:$T$56,18,FALSE)*$E784),0)</f>
        <v>0</v>
      </c>
      <c r="L784" s="3">
        <f ca="1">ROUND((VLOOKUP($D784,'Alloc Table Comm'!$B$7:$T$56,19,FALSE)*$E784),0)</f>
        <v>0</v>
      </c>
    </row>
    <row r="785" spans="1:12" ht="11.25" x14ac:dyDescent="0.2">
      <c r="A785" s="3"/>
      <c r="B785" s="3" t="s">
        <v>399</v>
      </c>
      <c r="C785" s="3"/>
      <c r="D785" s="325"/>
      <c r="E785" s="3"/>
      <c r="F785" s="3"/>
      <c r="G785" s="3"/>
      <c r="H785" s="3"/>
      <c r="I785" s="3"/>
      <c r="J785" s="3"/>
      <c r="K785" s="3"/>
      <c r="L785" s="3"/>
    </row>
    <row r="786" spans="1:12" ht="11.25" x14ac:dyDescent="0.2">
      <c r="A786" s="3">
        <f>A784+1</f>
        <v>5</v>
      </c>
      <c r="B786" s="24">
        <f>Input!A70</f>
        <v>252</v>
      </c>
      <c r="C786" s="3" t="str">
        <f>Input!B70</f>
        <v>CUSTOMER ADVANCES</v>
      </c>
      <c r="D786" s="325">
        <f>Input!C70</f>
        <v>5</v>
      </c>
      <c r="E786" s="3">
        <f>Classification!G786</f>
        <v>0</v>
      </c>
      <c r="F786" s="3">
        <f>ROUND((VLOOKUP($D786,'Alloc Table Comm'!$B$7:$T$56,13,FALSE)*$E786),0)</f>
        <v>0</v>
      </c>
      <c r="G786" s="3">
        <f>ROUND((VLOOKUP($D786,'Alloc Table Comm'!$B$7:$T$56,14,FALSE)*$E786),0)</f>
        <v>0</v>
      </c>
      <c r="H786" s="3">
        <f>ROUND((VLOOKUP($D786,'Alloc Table Comm'!$B$7:$T$56,15,FALSE)*$E786),0)</f>
        <v>0</v>
      </c>
      <c r="I786" s="3">
        <f>ROUND((VLOOKUP($D786,'Alloc Table Comm'!$B$7:$T$56,16,FALSE)*$E786),0)</f>
        <v>0</v>
      </c>
      <c r="J786" s="3">
        <f>ROUND((VLOOKUP($D786,'Alloc Table Comm'!$B$7:$T$56,17,FALSE)*$E786),0)</f>
        <v>0</v>
      </c>
      <c r="K786" s="3">
        <f>ROUND((VLOOKUP($D786,'Alloc Table Comm'!$B$7:$T$56,18,FALSE)*$E786),0)</f>
        <v>0</v>
      </c>
      <c r="L786" s="3">
        <f>ROUND((VLOOKUP($D786,'Alloc Table Comm'!$B$7:$T$56,19,FALSE)*$E786),0)</f>
        <v>0</v>
      </c>
    </row>
    <row r="787" spans="1:12" ht="11.25" x14ac:dyDescent="0.2">
      <c r="A787" s="3">
        <f>A786+1</f>
        <v>6</v>
      </c>
      <c r="B787" s="24">
        <f>Input!A71</f>
        <v>255</v>
      </c>
      <c r="C787" s="3" t="str">
        <f>Input!B71</f>
        <v>(1962 - 69) INVESTMENT TAX CREDIT</v>
      </c>
      <c r="D787" s="325" t="str">
        <f>VLOOKUP(Input!C71,'Alloc Table Comm'!$A$7:$B$27,2,FALSE)</f>
        <v>19COMM</v>
      </c>
      <c r="E787" s="3">
        <f>Classification!G787</f>
        <v>0</v>
      </c>
      <c r="F787" s="3">
        <f ca="1">ROUND((VLOOKUP($D787,'Alloc Table Comm'!$B$7:$T$56,13,FALSE)*$E787),0)</f>
        <v>0</v>
      </c>
      <c r="G787" s="3">
        <f ca="1">ROUND((VLOOKUP($D787,'Alloc Table Comm'!$B$7:$T$56,14,FALSE)*$E787),0)</f>
        <v>0</v>
      </c>
      <c r="H787" s="3">
        <f ca="1">ROUND((VLOOKUP($D787,'Alloc Table Comm'!$B$7:$T$56,15,FALSE)*$E787),0)</f>
        <v>0</v>
      </c>
      <c r="I787" s="3">
        <f ca="1">ROUND((VLOOKUP($D787,'Alloc Table Comm'!$B$7:$T$56,16,FALSE)*$E787),0)</f>
        <v>0</v>
      </c>
      <c r="J787" s="3">
        <f ca="1">ROUND((VLOOKUP($D787,'Alloc Table Comm'!$B$7:$T$56,17,FALSE)*$E787),0)</f>
        <v>0</v>
      </c>
      <c r="K787" s="3">
        <f ca="1">ROUND((VLOOKUP($D787,'Alloc Table Comm'!$B$7:$T$56,18,FALSE)*$E787),0)</f>
        <v>0</v>
      </c>
      <c r="L787" s="3">
        <f ca="1">ROUND((VLOOKUP($D787,'Alloc Table Comm'!$B$7:$T$56,19,FALSE)*$E787),0)</f>
        <v>0</v>
      </c>
    </row>
    <row r="788" spans="1:12" ht="11.25" x14ac:dyDescent="0.2">
      <c r="A788" s="3">
        <f>A787+1</f>
        <v>7</v>
      </c>
      <c r="B788" s="24">
        <f>Input!A72</f>
        <v>282</v>
      </c>
      <c r="C788" s="3" t="str">
        <f>Input!B72</f>
        <v>ACCUMULATED DEF INCOME TAX</v>
      </c>
      <c r="D788" s="325" t="str">
        <f>VLOOKUP(Input!C72,'Alloc Table Comm'!$A$7:$B$27,2,FALSE)</f>
        <v>19COMM</v>
      </c>
      <c r="E788" s="3">
        <f>Classification!G788</f>
        <v>25054513</v>
      </c>
      <c r="F788" s="3">
        <f ca="1">ROUND((VLOOKUP($D788,'Alloc Table Comm'!$B$7:$T$56,13,FALSE)*$E788),0)</f>
        <v>9764746</v>
      </c>
      <c r="G788" s="3">
        <f ca="1">ROUND((VLOOKUP($D788,'Alloc Table Comm'!$B$7:$T$56,14,FALSE)*$E788),0)</f>
        <v>6612638</v>
      </c>
      <c r="H788" s="3">
        <f ca="1">ROUND((VLOOKUP($D788,'Alloc Table Comm'!$B$7:$T$56,15,FALSE)*$E788),0)</f>
        <v>14281</v>
      </c>
      <c r="I788" s="3">
        <f ca="1">ROUND((VLOOKUP($D788,'Alloc Table Comm'!$B$7:$T$56,16,FALSE)*$E788),0)</f>
        <v>6013</v>
      </c>
      <c r="J788" s="3">
        <f ca="1">ROUND((VLOOKUP($D788,'Alloc Table Comm'!$B$7:$T$56,17,FALSE)*$E788),0)</f>
        <v>8656835</v>
      </c>
      <c r="K788" s="3">
        <f ca="1">ROUND((VLOOKUP($D788,'Alloc Table Comm'!$B$7:$T$56,18,FALSE)*$E788),0)</f>
        <v>0</v>
      </c>
      <c r="L788" s="3">
        <f ca="1">ROUND((VLOOKUP($D788,'Alloc Table Comm'!$B$7:$T$56,19,FALSE)*$E788),0)</f>
        <v>0</v>
      </c>
    </row>
    <row r="789" spans="1:12" ht="11.25" x14ac:dyDescent="0.2">
      <c r="A789" s="3">
        <f>A788+1</f>
        <v>8</v>
      </c>
      <c r="B789" s="24">
        <f>Input!A73</f>
        <v>283</v>
      </c>
      <c r="C789" s="3" t="str">
        <f>Input!B73</f>
        <v>ACCUMULATED DEF INCOME TAX</v>
      </c>
      <c r="D789" s="325" t="str">
        <f>VLOOKUP(Input!C73,'Alloc Table Comm'!$A$7:$B$27,2,FALSE)</f>
        <v>19COMM</v>
      </c>
      <c r="E789" s="26">
        <f>Classification!G789</f>
        <v>0</v>
      </c>
      <c r="F789" s="26">
        <f ca="1">ROUND((VLOOKUP($D789,'Alloc Table Comm'!$B$7:$T$56,13,FALSE)*$E789),0)</f>
        <v>0</v>
      </c>
      <c r="G789" s="26">
        <f ca="1">ROUND((VLOOKUP($D789,'Alloc Table Comm'!$B$7:$T$56,14,FALSE)*$E789),0)</f>
        <v>0</v>
      </c>
      <c r="H789" s="26">
        <f ca="1">ROUND((VLOOKUP($D789,'Alloc Table Comm'!$B$7:$T$56,15,FALSE)*$E789),0)</f>
        <v>0</v>
      </c>
      <c r="I789" s="26">
        <f ca="1">ROUND((VLOOKUP($D789,'Alloc Table Comm'!$B$7:$T$56,16,FALSE)*$E789),0)</f>
        <v>0</v>
      </c>
      <c r="J789" s="26">
        <f ca="1">ROUND((VLOOKUP($D789,'Alloc Table Comm'!$B$7:$T$56,17,FALSE)*$E789),0)</f>
        <v>0</v>
      </c>
      <c r="K789" s="26">
        <f ca="1">ROUND((VLOOKUP($D789,'Alloc Table Comm'!$B$7:$T$56,18,FALSE)*$E789),0)</f>
        <v>0</v>
      </c>
      <c r="L789" s="26">
        <f ca="1">ROUND((VLOOKUP($D789,'Alloc Table Comm'!$B$7:$T$56,19,FALSE)*$E789),0)</f>
        <v>0</v>
      </c>
    </row>
    <row r="790" spans="1:12" ht="11.25" x14ac:dyDescent="0.2">
      <c r="A790" s="3">
        <f>A789+1</f>
        <v>9</v>
      </c>
      <c r="B790" s="3"/>
      <c r="C790" s="3" t="s">
        <v>403</v>
      </c>
      <c r="D790" s="325"/>
      <c r="E790" s="23">
        <f t="shared" ref="E790:L790" si="100">E782-SUM(E786:E789)+E784</f>
        <v>68345381</v>
      </c>
      <c r="F790" s="23">
        <f t="shared" ca="1" si="100"/>
        <v>26636592</v>
      </c>
      <c r="G790" s="23">
        <f t="shared" ca="1" si="100"/>
        <v>18037499</v>
      </c>
      <c r="H790" s="23">
        <f t="shared" ca="1" si="100"/>
        <v>38945</v>
      </c>
      <c r="I790" s="23">
        <f t="shared" ca="1" si="100"/>
        <v>18696</v>
      </c>
      <c r="J790" s="23">
        <f t="shared" ca="1" si="100"/>
        <v>23613650</v>
      </c>
      <c r="K790" s="23">
        <f t="shared" ca="1" si="100"/>
        <v>0</v>
      </c>
      <c r="L790" s="23">
        <f t="shared" ca="1" si="100"/>
        <v>0</v>
      </c>
    </row>
    <row r="791" spans="1:12" ht="11.25" x14ac:dyDescent="0.2">
      <c r="A791" s="3"/>
      <c r="B791" s="3"/>
      <c r="C791" s="3"/>
      <c r="D791" s="325"/>
      <c r="E791" s="3"/>
      <c r="F791" s="3"/>
      <c r="G791" s="3"/>
      <c r="H791" s="3"/>
      <c r="I791" s="3"/>
      <c r="J791" s="3"/>
      <c r="K791" s="3"/>
      <c r="L791" s="3"/>
    </row>
    <row r="792" spans="1:12" ht="11.25" x14ac:dyDescent="0.2">
      <c r="A792" s="3">
        <f>A790+1</f>
        <v>10</v>
      </c>
      <c r="B792" s="3" t="s">
        <v>404</v>
      </c>
      <c r="C792" s="3"/>
      <c r="D792" s="325"/>
      <c r="E792" s="3"/>
      <c r="F792" s="3"/>
      <c r="G792" s="3"/>
      <c r="H792" s="3"/>
      <c r="I792" s="3"/>
      <c r="J792" s="3"/>
      <c r="K792" s="3"/>
      <c r="L792" s="3"/>
    </row>
    <row r="793" spans="1:12" ht="11.25" x14ac:dyDescent="0.2">
      <c r="A793" s="3"/>
      <c r="B793" s="3"/>
      <c r="C793" s="3"/>
      <c r="D793" s="325"/>
      <c r="E793" s="3"/>
      <c r="F793" s="3"/>
      <c r="G793" s="3"/>
      <c r="H793" s="3"/>
      <c r="I793" s="3"/>
      <c r="J793" s="3"/>
      <c r="K793" s="3"/>
      <c r="L793" s="3"/>
    </row>
    <row r="794" spans="1:12" ht="11.25" x14ac:dyDescent="0.2">
      <c r="A794" s="3">
        <f>A792+1</f>
        <v>11</v>
      </c>
      <c r="B794" s="3" t="s">
        <v>405</v>
      </c>
      <c r="C794" s="3"/>
      <c r="D794" s="325"/>
      <c r="E794" s="3"/>
      <c r="F794" s="3"/>
      <c r="G794" s="3"/>
      <c r="H794" s="3"/>
      <c r="I794" s="3"/>
      <c r="J794" s="3"/>
      <c r="K794" s="3"/>
      <c r="L794" s="3"/>
    </row>
    <row r="795" spans="1:12" ht="11.25" x14ac:dyDescent="0.2">
      <c r="A795" s="3">
        <f t="shared" ref="A795:A800" si="101">A794+1</f>
        <v>12</v>
      </c>
      <c r="B795" s="3" t="s">
        <v>406</v>
      </c>
      <c r="C795" s="3"/>
      <c r="D795" s="325"/>
      <c r="E795" s="3">
        <f t="shared" ref="E795:L795" ca="1" si="102">ROUND(E806/8,0)</f>
        <v>1150380</v>
      </c>
      <c r="F795" s="3">
        <f t="shared" ca="1" si="102"/>
        <v>465431</v>
      </c>
      <c r="G795" s="3">
        <f t="shared" ca="1" si="102"/>
        <v>309797</v>
      </c>
      <c r="H795" s="3">
        <f t="shared" ca="1" si="102"/>
        <v>696</v>
      </c>
      <c r="I795" s="3">
        <f t="shared" ca="1" si="102"/>
        <v>55</v>
      </c>
      <c r="J795" s="3">
        <f t="shared" ca="1" si="102"/>
        <v>374401</v>
      </c>
      <c r="K795" s="3">
        <f t="shared" ca="1" si="102"/>
        <v>0</v>
      </c>
      <c r="L795" s="3">
        <f t="shared" ca="1" si="102"/>
        <v>0</v>
      </c>
    </row>
    <row r="796" spans="1:12" ht="11.25" x14ac:dyDescent="0.2">
      <c r="A796" s="3">
        <f t="shared" si="101"/>
        <v>13</v>
      </c>
      <c r="B796" s="24">
        <f>Input!A68</f>
        <v>151</v>
      </c>
      <c r="C796" s="3" t="str">
        <f>Input!B68</f>
        <v>FUEL STOCK</v>
      </c>
      <c r="D796" s="325">
        <f>Input!C68</f>
        <v>2</v>
      </c>
      <c r="E796" s="3">
        <f>Classification!G796</f>
        <v>0</v>
      </c>
      <c r="F796" s="3">
        <f>ROUND((VLOOKUP($D796,'Alloc Table Comm'!$B$7:$T$56,13,FALSE)*$E796),0)</f>
        <v>0</v>
      </c>
      <c r="G796" s="3">
        <f>ROUND((VLOOKUP($D796,'Alloc Table Comm'!$B$7:$T$56,14,FALSE)*$E796),0)</f>
        <v>0</v>
      </c>
      <c r="H796" s="3">
        <f>ROUND((VLOOKUP($D796,'Alloc Table Comm'!$B$7:$T$56,15,FALSE)*$E796),0)</f>
        <v>0</v>
      </c>
      <c r="I796" s="3">
        <f>ROUND((VLOOKUP($D796,'Alloc Table Comm'!$B$7:$T$56,16,FALSE)*$E796),0)</f>
        <v>0</v>
      </c>
      <c r="J796" s="3">
        <f>ROUND((VLOOKUP($D796,'Alloc Table Comm'!$B$7:$T$56,17,FALSE)*$E796),0)</f>
        <v>0</v>
      </c>
      <c r="K796" s="3">
        <f>ROUND((VLOOKUP($D796,'Alloc Table Comm'!$B$7:$T$56,18,FALSE)*$E796),0)</f>
        <v>0</v>
      </c>
      <c r="L796" s="3">
        <f>ROUND((VLOOKUP($D796,'Alloc Table Comm'!$B$7:$T$56,19,FALSE)*$E796),0)</f>
        <v>0</v>
      </c>
    </row>
    <row r="797" spans="1:12" ht="11.25" x14ac:dyDescent="0.2">
      <c r="A797" s="3">
        <f t="shared" si="101"/>
        <v>14</v>
      </c>
      <c r="B797" s="24">
        <f>Input!A74</f>
        <v>154</v>
      </c>
      <c r="C797" s="3" t="str">
        <f>Input!B74</f>
        <v>MATERIALS &amp; SUPPLIES</v>
      </c>
      <c r="D797" s="325" t="str">
        <f>VLOOKUP(Input!C74,'Alloc Table Comm'!$A$7:$B$27,2,FALSE)</f>
        <v>7COMM</v>
      </c>
      <c r="E797" s="3">
        <f>Classification!G797</f>
        <v>23846</v>
      </c>
      <c r="F797" s="3">
        <f ca="1">ROUND((VLOOKUP($D797,'Alloc Table Comm'!$B$7:$T$56,13,FALSE)*$E797),0)</f>
        <v>9294</v>
      </c>
      <c r="G797" s="3">
        <f ca="1">ROUND((VLOOKUP($D797,'Alloc Table Comm'!$B$7:$T$56,14,FALSE)*$E797),0)</f>
        <v>6294</v>
      </c>
      <c r="H797" s="3">
        <f ca="1">ROUND((VLOOKUP($D797,'Alloc Table Comm'!$B$7:$T$56,15,FALSE)*$E797),0)</f>
        <v>14</v>
      </c>
      <c r="I797" s="3">
        <f ca="1">ROUND((VLOOKUP($D797,'Alloc Table Comm'!$B$7:$T$56,16,FALSE)*$E797),0)</f>
        <v>6</v>
      </c>
      <c r="J797" s="3">
        <f ca="1">ROUND((VLOOKUP($D797,'Alloc Table Comm'!$B$7:$T$56,17,FALSE)*$E797),0)</f>
        <v>8239</v>
      </c>
      <c r="K797" s="3">
        <f ca="1">ROUND((VLOOKUP($D797,'Alloc Table Comm'!$B$7:$T$56,18,FALSE)*$E797),0)</f>
        <v>0</v>
      </c>
      <c r="L797" s="3">
        <f ca="1">ROUND((VLOOKUP($D797,'Alloc Table Comm'!$B$7:$T$56,19,FALSE)*$E797),0)</f>
        <v>0</v>
      </c>
    </row>
    <row r="798" spans="1:12" ht="11.25" x14ac:dyDescent="0.2">
      <c r="A798" s="3">
        <f t="shared" si="101"/>
        <v>15</v>
      </c>
      <c r="B798" s="24">
        <f>Input!A75</f>
        <v>165</v>
      </c>
      <c r="C798" s="3" t="str">
        <f>Input!B75</f>
        <v>PREPAYMENTS</v>
      </c>
      <c r="D798" s="325" t="str">
        <f>VLOOKUP(Input!C75,'Alloc Table Comm'!$A$7:$B$27,2,FALSE)</f>
        <v>13COMM</v>
      </c>
      <c r="E798" s="3">
        <f>Classification!G798</f>
        <v>97986</v>
      </c>
      <c r="F798" s="3">
        <f ca="1">ROUND((VLOOKUP($D798,'Alloc Table Comm'!$B$7:$T$56,13,FALSE)*$E798),0)</f>
        <v>40310</v>
      </c>
      <c r="G798" s="3">
        <f ca="1">ROUND((VLOOKUP($D798,'Alloc Table Comm'!$B$7:$T$56,14,FALSE)*$E798),0)</f>
        <v>26633</v>
      </c>
      <c r="H798" s="3">
        <f ca="1">ROUND((VLOOKUP($D798,'Alloc Table Comm'!$B$7:$T$56,15,FALSE)*$E798),0)</f>
        <v>61</v>
      </c>
      <c r="I798" s="3">
        <f ca="1">ROUND((VLOOKUP($D798,'Alloc Table Comm'!$B$7:$T$56,16,FALSE)*$E798),0)</f>
        <v>5</v>
      </c>
      <c r="J798" s="3">
        <f ca="1">ROUND((VLOOKUP($D798,'Alloc Table Comm'!$B$7:$T$56,17,FALSE)*$E798),0)</f>
        <v>30977</v>
      </c>
      <c r="K798" s="3">
        <f ca="1">ROUND((VLOOKUP($D798,'Alloc Table Comm'!$B$7:$T$56,18,FALSE)*$E798),0)</f>
        <v>0</v>
      </c>
      <c r="L798" s="3">
        <f ca="1">ROUND((VLOOKUP($D798,'Alloc Table Comm'!$B$7:$T$56,19,FALSE)*$E798),0)</f>
        <v>0</v>
      </c>
    </row>
    <row r="799" spans="1:12" ht="11.25" x14ac:dyDescent="0.2">
      <c r="A799" s="3">
        <f t="shared" si="101"/>
        <v>16</v>
      </c>
      <c r="B799" s="24">
        <f>Input!A76</f>
        <v>164</v>
      </c>
      <c r="C799" s="3" t="str">
        <f>Input!B76</f>
        <v>GAS STORED UNDERGROUND - FSS</v>
      </c>
      <c r="D799" s="325">
        <f>Input!C76</f>
        <v>2</v>
      </c>
      <c r="E799" s="26">
        <f>Classification!G799</f>
        <v>0</v>
      </c>
      <c r="F799" s="26">
        <f>ROUND((VLOOKUP($D799,'Alloc Table Comm'!$B$7:$T$56,13,FALSE)*$E799),0)</f>
        <v>0</v>
      </c>
      <c r="G799" s="26">
        <f>ROUND((VLOOKUP($D799,'Alloc Table Comm'!$B$7:$T$56,14,FALSE)*$E799),0)</f>
        <v>0</v>
      </c>
      <c r="H799" s="26">
        <f>ROUND((VLOOKUP($D799,'Alloc Table Comm'!$B$7:$T$56,15,FALSE)*$E799),0)</f>
        <v>0</v>
      </c>
      <c r="I799" s="26">
        <f>ROUND((VLOOKUP($D799,'Alloc Table Comm'!$B$7:$T$56,16,FALSE)*$E799),0)</f>
        <v>0</v>
      </c>
      <c r="J799" s="26">
        <f>ROUND((VLOOKUP($D799,'Alloc Table Comm'!$B$7:$T$56,17,FALSE)*$E799),0)</f>
        <v>0</v>
      </c>
      <c r="K799" s="26">
        <f>ROUND((VLOOKUP($D799,'Alloc Table Comm'!$B$7:$T$56,18,FALSE)*$E799),0)</f>
        <v>0</v>
      </c>
      <c r="L799" s="26">
        <f>ROUND((VLOOKUP($D799,'Alloc Table Comm'!$B$7:$T$56,19,FALSE)*$E799),0)</f>
        <v>0</v>
      </c>
    </row>
    <row r="800" spans="1:12" ht="11.25" x14ac:dyDescent="0.2">
      <c r="A800" s="3">
        <f t="shared" si="101"/>
        <v>17</v>
      </c>
      <c r="B800" s="3"/>
      <c r="C800" s="3" t="s">
        <v>407</v>
      </c>
      <c r="D800" s="325"/>
      <c r="E800" s="23">
        <f t="shared" ref="E800:L800" ca="1" si="103">E790+SUM(E795:E799)</f>
        <v>69617593</v>
      </c>
      <c r="F800" s="23">
        <f t="shared" ca="1" si="103"/>
        <v>27151627</v>
      </c>
      <c r="G800" s="23">
        <f t="shared" ca="1" si="103"/>
        <v>18380223</v>
      </c>
      <c r="H800" s="23">
        <f t="shared" ca="1" si="103"/>
        <v>39716</v>
      </c>
      <c r="I800" s="23">
        <f t="shared" ca="1" si="103"/>
        <v>18762</v>
      </c>
      <c r="J800" s="23">
        <f t="shared" ca="1" si="103"/>
        <v>24027267</v>
      </c>
      <c r="K800" s="23">
        <f t="shared" ca="1" si="103"/>
        <v>0</v>
      </c>
      <c r="L800" s="23">
        <f t="shared" ca="1" si="103"/>
        <v>0</v>
      </c>
    </row>
    <row r="801" spans="1:12" ht="11.25" x14ac:dyDescent="0.2">
      <c r="A801" s="3"/>
      <c r="B801" s="3"/>
      <c r="C801" s="3"/>
      <c r="D801" s="325"/>
      <c r="E801" s="3"/>
      <c r="F801" s="3"/>
      <c r="G801" s="3"/>
      <c r="H801" s="3"/>
      <c r="I801" s="3"/>
      <c r="J801" s="3"/>
      <c r="K801" s="3"/>
      <c r="L801" s="3"/>
    </row>
    <row r="802" spans="1:12" ht="11.25" x14ac:dyDescent="0.2">
      <c r="A802" s="3"/>
      <c r="B802" s="3"/>
      <c r="C802" s="3"/>
      <c r="D802" s="325"/>
      <c r="E802" s="3"/>
      <c r="F802" s="3"/>
      <c r="G802" s="3"/>
      <c r="H802" s="3"/>
      <c r="I802" s="3"/>
      <c r="J802" s="3"/>
      <c r="K802" s="3"/>
      <c r="L802" s="3"/>
    </row>
    <row r="803" spans="1:12" ht="11.25" x14ac:dyDescent="0.2">
      <c r="A803" s="3" t="s">
        <v>1141</v>
      </c>
      <c r="B803" s="3"/>
      <c r="C803" s="3"/>
      <c r="D803" s="325"/>
      <c r="E803" s="3"/>
      <c r="F803" s="3"/>
      <c r="G803" s="3"/>
      <c r="H803" s="3"/>
      <c r="I803" s="3"/>
      <c r="J803" s="3"/>
      <c r="K803" s="3"/>
      <c r="L803" s="3"/>
    </row>
    <row r="804" spans="1:12" ht="11.25" x14ac:dyDescent="0.2">
      <c r="A804" s="3"/>
      <c r="B804" s="47" t="s">
        <v>574</v>
      </c>
      <c r="C804" s="3"/>
      <c r="D804" s="325"/>
      <c r="E804" s="3">
        <f ca="1">Commodity!E663+Commodity!E427</f>
        <v>30678988.109999996</v>
      </c>
      <c r="F804" s="3">
        <f ca="1">Commodity!F663+Commodity!F427</f>
        <v>17530543.589999996</v>
      </c>
      <c r="G804" s="3">
        <f ca="1">Commodity!G663+Commodity!G427</f>
        <v>10122221.960000001</v>
      </c>
      <c r="H804" s="3">
        <f ca="1">Commodity!H663+Commodity!H427</f>
        <v>30572.560000000001</v>
      </c>
      <c r="I804" s="3">
        <f ca="1">Commodity!I663+Commodity!I427</f>
        <v>437</v>
      </c>
      <c r="J804" s="3">
        <f ca="1">Commodity!J663+Commodity!J427</f>
        <v>2995207</v>
      </c>
      <c r="K804" s="3">
        <f ca="1">Commodity!K663+Commodity!K427</f>
        <v>0</v>
      </c>
      <c r="L804" s="3">
        <f ca="1">Commodity!L663+Commodity!L427</f>
        <v>0</v>
      </c>
    </row>
    <row r="805" spans="1:12" ht="11.25" x14ac:dyDescent="0.2">
      <c r="A805" s="3"/>
      <c r="B805" s="3"/>
      <c r="C805" s="47" t="s">
        <v>575</v>
      </c>
      <c r="D805" s="325"/>
      <c r="E805" s="26">
        <f>Commodity!E427+Commodity!E430</f>
        <v>21475950.109999996</v>
      </c>
      <c r="F805" s="26">
        <f>Commodity!F427+Commodity!F430</f>
        <v>13807094.589999998</v>
      </c>
      <c r="G805" s="26">
        <f>Commodity!G427+Commodity!G430</f>
        <v>7643846.9600000009</v>
      </c>
      <c r="H805" s="26">
        <f>Commodity!H427+Commodity!H430</f>
        <v>25008.560000000001</v>
      </c>
      <c r="I805" s="26">
        <f>Commodity!I427+Commodity!I430</f>
        <v>0</v>
      </c>
      <c r="J805" s="26">
        <f>Commodity!J427+Commodity!J430</f>
        <v>0</v>
      </c>
      <c r="K805" s="26">
        <f>Commodity!K427+Commodity!K430</f>
        <v>0</v>
      </c>
      <c r="L805" s="26">
        <f>Commodity!L427</f>
        <v>0</v>
      </c>
    </row>
    <row r="806" spans="1:12" ht="11.25" x14ac:dyDescent="0.2">
      <c r="A806" s="3"/>
      <c r="B806" s="3"/>
      <c r="C806" s="47" t="s">
        <v>576</v>
      </c>
      <c r="D806" s="325"/>
      <c r="E806" s="3">
        <f t="shared" ref="E806:L806" ca="1" si="104">E804-E805</f>
        <v>9203038</v>
      </c>
      <c r="F806" s="3">
        <f t="shared" ca="1" si="104"/>
        <v>3723448.9999999981</v>
      </c>
      <c r="G806" s="3">
        <f t="shared" ca="1" si="104"/>
        <v>2478375</v>
      </c>
      <c r="H806" s="3">
        <f t="shared" ca="1" si="104"/>
        <v>5564</v>
      </c>
      <c r="I806" s="3">
        <f t="shared" ca="1" si="104"/>
        <v>437</v>
      </c>
      <c r="J806" s="3">
        <f t="shared" ca="1" si="104"/>
        <v>2995207</v>
      </c>
      <c r="K806" s="3">
        <f t="shared" ca="1" si="104"/>
        <v>0</v>
      </c>
      <c r="L806" s="3">
        <f t="shared" ca="1" si="104"/>
        <v>0</v>
      </c>
    </row>
    <row r="807" spans="1:12" ht="11.25" x14ac:dyDescent="0.2">
      <c r="B807" s="3"/>
      <c r="C807" s="14"/>
      <c r="D807" s="3"/>
      <c r="E807" s="15"/>
      <c r="F807" s="325" t="str">
        <f>""&amp;+Input!$B$1</f>
        <v>COLUMBIA GAS OF KENTUCKY, INC.</v>
      </c>
      <c r="H807" s="3"/>
      <c r="I807" s="3"/>
      <c r="J807" s="3"/>
      <c r="K807" s="32"/>
      <c r="L807" s="32" t="str">
        <f>Input!$B$2</f>
        <v>ATTACHMENT CEN-2</v>
      </c>
    </row>
    <row r="808" spans="1:12" ht="11.25" x14ac:dyDescent="0.2">
      <c r="A808" s="3" t="s">
        <v>818</v>
      </c>
      <c r="B808" s="3"/>
      <c r="C808" s="3"/>
      <c r="D808" s="3"/>
      <c r="E808" s="3"/>
      <c r="F808" s="325" t="s">
        <v>577</v>
      </c>
      <c r="H808" s="3"/>
      <c r="I808" s="3"/>
      <c r="J808" s="3"/>
      <c r="K808" s="32"/>
      <c r="L808" s="32" t="str">
        <f>"PAGE 103 OF "&amp;FIXED(Input!$B$8,0,TRUE)</f>
        <v>PAGE 103 OF 129</v>
      </c>
    </row>
    <row r="809" spans="1:12" ht="11.25" x14ac:dyDescent="0.2">
      <c r="A809" s="17" t="str">
        <f>Input!$B$6</f>
        <v>FORECASTED TEST YEAR - ORIGINAL FILING</v>
      </c>
      <c r="B809" s="17"/>
      <c r="C809" s="17"/>
      <c r="D809" s="18"/>
      <c r="E809" s="17"/>
      <c r="F809" s="19" t="str">
        <f>"FOR THE TWELVE MONTHS ENDED "&amp;Input!$B$4</f>
        <v>FOR THE TWELVE MONTHS ENDED 12/31/2017</v>
      </c>
      <c r="G809" s="329"/>
      <c r="H809" s="17"/>
      <c r="I809" s="17"/>
      <c r="J809" s="17"/>
      <c r="K809" s="183"/>
      <c r="L809" s="183" t="str">
        <f>"WITNESS: "&amp;Input!$B$5</f>
        <v>WITNESS: C. NOTESTONE</v>
      </c>
    </row>
    <row r="810" spans="1:12" ht="11.25" x14ac:dyDescent="0.2">
      <c r="A810" s="325" t="s">
        <v>5</v>
      </c>
      <c r="B810" s="3"/>
      <c r="C810" s="3"/>
      <c r="D810" s="325" t="s">
        <v>7</v>
      </c>
      <c r="E810" s="325" t="s">
        <v>8</v>
      </c>
      <c r="F810" s="3"/>
      <c r="G810" s="3"/>
      <c r="H810" s="3"/>
      <c r="I810" s="3"/>
      <c r="J810" s="3"/>
      <c r="K810" s="3"/>
      <c r="L810" s="3"/>
    </row>
    <row r="811" spans="1:12" ht="11.25" x14ac:dyDescent="0.2">
      <c r="A811" s="341" t="s">
        <v>9</v>
      </c>
      <c r="B811" s="447" t="str">
        <f>"DESCRIPTION"</f>
        <v>DESCRIPTION</v>
      </c>
      <c r="C811" s="447"/>
      <c r="D811" s="341" t="s">
        <v>10</v>
      </c>
      <c r="E811" s="341" t="s">
        <v>812</v>
      </c>
      <c r="F811" s="341" t="str">
        <f>"  "&amp;+Input!$C$12</f>
        <v xml:space="preserve">  GS-RESIDENTIAL</v>
      </c>
      <c r="G811" s="341" t="str">
        <f>Input!$C$13</f>
        <v>GS-OTHER</v>
      </c>
      <c r="H811" s="341" t="str">
        <f>Input!$C$14</f>
        <v>IUS</v>
      </c>
      <c r="I811" s="341" t="str">
        <f>Input!$C$15</f>
        <v>DS-ML</v>
      </c>
      <c r="J811" s="341" t="str">
        <f>Input!$C$16</f>
        <v>DS/IS</v>
      </c>
      <c r="K811" s="341" t="str">
        <f>Input!$C$17</f>
        <v>NOT USED</v>
      </c>
      <c r="L811" s="341" t="str">
        <f>Input!$C$18</f>
        <v>NOT USED</v>
      </c>
    </row>
    <row r="812" spans="1:12" ht="11.25" x14ac:dyDescent="0.2">
      <c r="A812" s="3"/>
      <c r="B812" s="448" t="s">
        <v>13</v>
      </c>
      <c r="C812" s="448"/>
      <c r="D812" s="342" t="s">
        <v>14</v>
      </c>
      <c r="E812" s="325" t="s">
        <v>15</v>
      </c>
      <c r="F812" s="325" t="s">
        <v>16</v>
      </c>
      <c r="G812" s="325" t="s">
        <v>17</v>
      </c>
      <c r="H812" s="325" t="s">
        <v>18</v>
      </c>
      <c r="I812" s="325" t="s">
        <v>19</v>
      </c>
      <c r="J812" s="325" t="s">
        <v>20</v>
      </c>
      <c r="K812" s="325" t="s">
        <v>21</v>
      </c>
      <c r="L812" s="325" t="s">
        <v>23</v>
      </c>
    </row>
    <row r="813" spans="1:12" ht="11.25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25"/>
      <c r="K813" s="325"/>
    </row>
    <row r="814" spans="1:12" ht="11.25" x14ac:dyDescent="0.2">
      <c r="A814" s="325">
        <v>1</v>
      </c>
      <c r="B814" s="23" t="str">
        <f>'Alloc Table Comm'!C7</f>
        <v>DESIGN DAY EXCL. DS-ML</v>
      </c>
      <c r="C814" s="3"/>
      <c r="D814" s="32">
        <f>'Alloc Table Comm'!B7</f>
        <v>1</v>
      </c>
      <c r="E814" s="43">
        <v>1</v>
      </c>
      <c r="F814" s="43">
        <f>'Alloc Table Comm'!N7</f>
        <v>0.44549</v>
      </c>
      <c r="G814" s="43">
        <f>'Alloc Table Comm'!O7</f>
        <v>0.28649999999999998</v>
      </c>
      <c r="H814" s="43">
        <f>'Alloc Table Comm'!P7</f>
        <v>6.4999999999999997E-4</v>
      </c>
      <c r="I814" s="43">
        <f>'Alloc Table Comm'!Q7</f>
        <v>0</v>
      </c>
      <c r="J814" s="43">
        <f>'Alloc Table Comm'!R7</f>
        <v>0.26735999999999999</v>
      </c>
      <c r="K814" s="43">
        <f>'Alloc Table Comm'!S7</f>
        <v>0</v>
      </c>
      <c r="L814" s="43">
        <f>'Alloc Table Comm'!T7</f>
        <v>0</v>
      </c>
    </row>
    <row r="815" spans="1:12" ht="11.25" x14ac:dyDescent="0.2">
      <c r="A815" s="325">
        <f t="shared" ref="A815:A823" si="105">A814+1</f>
        <v>2</v>
      </c>
      <c r="B815" s="23" t="str">
        <f>'Alloc Table Comm'!C8</f>
        <v>DESIGN DAY EXCL. INTERR DEMAND (MCF)</v>
      </c>
      <c r="C815" s="3"/>
      <c r="D815" s="32">
        <f>'Alloc Table Comm'!B8</f>
        <v>2</v>
      </c>
      <c r="E815" s="43">
        <v>1</v>
      </c>
      <c r="F815" s="43">
        <f>'Alloc Table Comm'!N8</f>
        <v>0.60941000000000001</v>
      </c>
      <c r="G815" s="43">
        <f>'Alloc Table Comm'!O8</f>
        <v>0.37239</v>
      </c>
      <c r="H815" s="43">
        <f>'Alloc Table Comm'!P8</f>
        <v>8.8999999999999995E-4</v>
      </c>
      <c r="I815" s="43">
        <f>'Alloc Table Comm'!Q8</f>
        <v>0</v>
      </c>
      <c r="J815" s="43">
        <f>'Alloc Table Comm'!R8</f>
        <v>1.7309999999999999E-2</v>
      </c>
      <c r="K815" s="43">
        <f>'Alloc Table Comm'!S8</f>
        <v>0</v>
      </c>
      <c r="L815" s="43">
        <f>'Alloc Table Comm'!T8</f>
        <v>0</v>
      </c>
    </row>
    <row r="816" spans="1:12" ht="11.25" x14ac:dyDescent="0.2">
      <c r="A816" s="325">
        <f t="shared" si="105"/>
        <v>3</v>
      </c>
      <c r="B816" s="23" t="str">
        <f>'Alloc Table Comm'!C9</f>
        <v>MINIMUM SYSTEM MAINS</v>
      </c>
      <c r="C816" s="3"/>
      <c r="D816" s="32">
        <f>'Alloc Table Comm'!B9</f>
        <v>3</v>
      </c>
      <c r="E816" s="43">
        <v>1</v>
      </c>
      <c r="F816" s="43">
        <f>'Alloc Table Comm'!N9</f>
        <v>0.73792999999999997</v>
      </c>
      <c r="G816" s="43">
        <f>'Alloc Table Comm'!O9</f>
        <v>0.16741</v>
      </c>
      <c r="H816" s="43">
        <f>'Alloc Table Comm'!P9</f>
        <v>2.4000000000000001E-4</v>
      </c>
      <c r="I816" s="43">
        <f>'Alloc Table Comm'!Q9</f>
        <v>0</v>
      </c>
      <c r="J816" s="43">
        <f>'Alloc Table Comm'!R9</f>
        <v>9.4420000000000004E-2</v>
      </c>
      <c r="K816" s="43">
        <f>'Alloc Table Comm'!S9</f>
        <v>0</v>
      </c>
      <c r="L816" s="43">
        <f>'Alloc Table Comm'!T9</f>
        <v>0</v>
      </c>
    </row>
    <row r="817" spans="1:12" ht="11.25" x14ac:dyDescent="0.2">
      <c r="A817" s="325">
        <f t="shared" si="105"/>
        <v>4</v>
      </c>
      <c r="B817" s="23" t="str">
        <f>'Alloc Table Comm'!C10</f>
        <v>THROUGHPUT EXCL MLS</v>
      </c>
      <c r="C817" s="3"/>
      <c r="D817" s="32">
        <f>'Alloc Table Comm'!B10</f>
        <v>4</v>
      </c>
      <c r="E817" s="43">
        <v>1</v>
      </c>
      <c r="F817" s="43">
        <f>'Alloc Table Comm'!N10</f>
        <v>0.33421000000000001</v>
      </c>
      <c r="G817" s="43">
        <f>'Alloc Table Comm'!O10</f>
        <v>0.24146999999999999</v>
      </c>
      <c r="H817" s="43">
        <f>'Alloc Table Comm'!P10</f>
        <v>4.8000000000000001E-4</v>
      </c>
      <c r="I817" s="43">
        <f>'Alloc Table Comm'!Q10</f>
        <v>0</v>
      </c>
      <c r="J817" s="43">
        <f>'Alloc Table Comm'!R10</f>
        <v>0.42383999999999999</v>
      </c>
      <c r="K817" s="43">
        <f>'Alloc Table Comm'!S10</f>
        <v>0</v>
      </c>
      <c r="L817" s="43">
        <f>'Alloc Table Comm'!T10</f>
        <v>0</v>
      </c>
    </row>
    <row r="818" spans="1:12" ht="11.25" x14ac:dyDescent="0.2">
      <c r="A818" s="325">
        <f t="shared" si="105"/>
        <v>5</v>
      </c>
      <c r="B818" s="23" t="str">
        <f>'Alloc Table Comm'!C11</f>
        <v>COMPOSIT OF ALLOC #1 &amp; #4</v>
      </c>
      <c r="C818" s="3"/>
      <c r="D818" s="32">
        <f>'Alloc Table Comm'!B11</f>
        <v>5</v>
      </c>
      <c r="E818" s="43">
        <v>1</v>
      </c>
      <c r="F818" s="43">
        <f>'Alloc Table Comm'!N11</f>
        <v>0.38984000000000002</v>
      </c>
      <c r="G818" s="43">
        <f>'Alloc Table Comm'!O11</f>
        <v>0.26399</v>
      </c>
      <c r="H818" s="43">
        <f>'Alloc Table Comm'!P11</f>
        <v>5.6999999999999998E-4</v>
      </c>
      <c r="I818" s="43">
        <f>'Alloc Table Comm'!Q11</f>
        <v>0</v>
      </c>
      <c r="J818" s="43">
        <f>'Alloc Table Comm'!R11</f>
        <v>0.34560000000000002</v>
      </c>
      <c r="K818" s="43">
        <f>'Alloc Table Comm'!S11</f>
        <v>0</v>
      </c>
      <c r="L818" s="43">
        <f>'Alloc Table Comm'!T11</f>
        <v>0</v>
      </c>
    </row>
    <row r="819" spans="1:12" ht="11.25" x14ac:dyDescent="0.2">
      <c r="A819" s="325">
        <f t="shared" si="105"/>
        <v>6</v>
      </c>
      <c r="B819" s="23" t="str">
        <f>'Alloc Table Comm'!C12</f>
        <v>AVERAGE NO. OF CUSTOMERS</v>
      </c>
      <c r="C819" s="3"/>
      <c r="D819" s="32">
        <f>'Alloc Table Comm'!B12</f>
        <v>6</v>
      </c>
      <c r="E819" s="43">
        <v>1</v>
      </c>
      <c r="F819" s="43">
        <f>'Alloc Table Comm'!N12</f>
        <v>0.89658000000000004</v>
      </c>
      <c r="G819" s="43">
        <f>'Alloc Table Comm'!O12</f>
        <v>0.10279000000000001</v>
      </c>
      <c r="H819" s="43">
        <f>'Alloc Table Comm'!P12</f>
        <v>1.0000000000000001E-5</v>
      </c>
      <c r="I819" s="43">
        <f>'Alloc Table Comm'!Q12</f>
        <v>4.0000000000000003E-5</v>
      </c>
      <c r="J819" s="43">
        <f>'Alloc Table Comm'!R12</f>
        <v>5.8E-4</v>
      </c>
      <c r="K819" s="43">
        <f>'Alloc Table Comm'!S12</f>
        <v>0</v>
      </c>
      <c r="L819" s="43">
        <f>'Alloc Table Comm'!T12</f>
        <v>0</v>
      </c>
    </row>
    <row r="820" spans="1:12" ht="11.25" x14ac:dyDescent="0.2">
      <c r="A820" s="325">
        <f t="shared" si="105"/>
        <v>7</v>
      </c>
      <c r="B820" s="23" t="str">
        <f>'Alloc Table Comm'!C13</f>
        <v>DIST. PLANT EXCL. ACCTS 375.70,375.71,387</v>
      </c>
      <c r="C820" s="3"/>
      <c r="D820" s="32" t="str">
        <f>'Alloc Table Comm'!B13</f>
        <v>7COMM</v>
      </c>
      <c r="E820" s="43">
        <v>1</v>
      </c>
      <c r="F820" s="43">
        <f ca="1">'Alloc Table Comm'!N13</f>
        <v>0.38973999999999998</v>
      </c>
      <c r="G820" s="43">
        <f ca="1">'Alloc Table Comm'!O13</f>
        <v>0.26393</v>
      </c>
      <c r="H820" s="43">
        <f ca="1">'Alloc Table Comm'!P13</f>
        <v>5.6999999999999998E-4</v>
      </c>
      <c r="I820" s="43">
        <f ca="1">'Alloc Table Comm'!Q13</f>
        <v>2.4000000000000001E-4</v>
      </c>
      <c r="J820" s="43">
        <f ca="1">'Alloc Table Comm'!R13</f>
        <v>0.34551999999999999</v>
      </c>
      <c r="K820" s="43">
        <f ca="1">'Alloc Table Comm'!S13</f>
        <v>0</v>
      </c>
      <c r="L820" s="43">
        <f ca="1">'Alloc Table Comm'!T13</f>
        <v>0</v>
      </c>
    </row>
    <row r="821" spans="1:12" ht="11.25" x14ac:dyDescent="0.2">
      <c r="A821" s="325">
        <f t="shared" si="105"/>
        <v>8</v>
      </c>
      <c r="B821" s="23" t="str">
        <f>'Alloc Table Comm'!C14</f>
        <v>TOTAL PLANT ACCOUNT 385</v>
      </c>
      <c r="C821" s="3"/>
      <c r="D821" s="32">
        <f>'Alloc Table Comm'!B14</f>
        <v>8</v>
      </c>
      <c r="E821" s="43">
        <v>1</v>
      </c>
      <c r="F821" s="43">
        <f>'Alloc Table Comm'!N14</f>
        <v>0</v>
      </c>
      <c r="G821" s="43">
        <f>'Alloc Table Comm'!O14</f>
        <v>1</v>
      </c>
      <c r="H821" s="43">
        <f>'Alloc Table Comm'!P14</f>
        <v>0</v>
      </c>
      <c r="I821" s="43">
        <f>'Alloc Table Comm'!Q14</f>
        <v>0</v>
      </c>
      <c r="J821" s="43">
        <f>'Alloc Table Comm'!R14</f>
        <v>0</v>
      </c>
      <c r="K821" s="43">
        <f>'Alloc Table Comm'!S14</f>
        <v>0</v>
      </c>
      <c r="L821" s="43">
        <f>'Alloc Table Comm'!T14</f>
        <v>0</v>
      </c>
    </row>
    <row r="822" spans="1:12" ht="11.25" x14ac:dyDescent="0.2">
      <c r="A822" s="325">
        <f t="shared" si="105"/>
        <v>9</v>
      </c>
      <c r="B822" s="23" t="str">
        <f>'Alloc Table Comm'!C15</f>
        <v>GAS PURCHASE EXPENSE EX OFF SYST</v>
      </c>
      <c r="C822" s="3"/>
      <c r="D822" s="32">
        <f>'Alloc Table Comm'!B15</f>
        <v>9</v>
      </c>
      <c r="E822" s="43">
        <v>1</v>
      </c>
      <c r="F822" s="43">
        <f>'Alloc Table Comm'!N15</f>
        <v>0.64290999999999998</v>
      </c>
      <c r="G822" s="43">
        <f>'Alloc Table Comm'!O15</f>
        <v>0.35593000000000002</v>
      </c>
      <c r="H822" s="43">
        <f>'Alloc Table Comm'!P15</f>
        <v>1.16E-3</v>
      </c>
      <c r="I822" s="43">
        <f>'Alloc Table Comm'!Q15</f>
        <v>0</v>
      </c>
      <c r="J822" s="43">
        <f>'Alloc Table Comm'!R15</f>
        <v>0</v>
      </c>
      <c r="K822" s="43">
        <f>'Alloc Table Comm'!S15</f>
        <v>0</v>
      </c>
      <c r="L822" s="43">
        <f>'Alloc Table Comm'!T15</f>
        <v>0</v>
      </c>
    </row>
    <row r="823" spans="1:12" ht="11.25" x14ac:dyDescent="0.2">
      <c r="A823" s="325">
        <f t="shared" si="105"/>
        <v>10</v>
      </c>
      <c r="B823" s="23" t="str">
        <f>'Alloc Table Comm'!C16</f>
        <v>OTHER DIST. EXP - LABOR</v>
      </c>
      <c r="C823" s="3"/>
      <c r="D823" s="32" t="str">
        <f>'Alloc Table Comm'!B16</f>
        <v>10COMM</v>
      </c>
      <c r="E823" s="43">
        <v>1</v>
      </c>
      <c r="F823" s="43">
        <f ca="1">'Alloc Table Comm'!N16</f>
        <v>0.38669999999999999</v>
      </c>
      <c r="G823" s="43">
        <f ca="1">'Alloc Table Comm'!O16</f>
        <v>0.26272000000000001</v>
      </c>
      <c r="H823" s="43">
        <f ca="1">'Alloc Table Comm'!P16</f>
        <v>5.5999999999999995E-4</v>
      </c>
      <c r="I823" s="43">
        <f ca="1">'Alloc Table Comm'!Q16</f>
        <v>5.0000000000000002E-5</v>
      </c>
      <c r="J823" s="43">
        <f ca="1">'Alloc Table Comm'!R16</f>
        <v>0.34997</v>
      </c>
      <c r="K823" s="43">
        <f ca="1">'Alloc Table Comm'!S16</f>
        <v>0</v>
      </c>
      <c r="L823" s="43">
        <f ca="1">'Alloc Table Comm'!T16</f>
        <v>0</v>
      </c>
    </row>
    <row r="824" spans="1:12" ht="11.25" x14ac:dyDescent="0.2">
      <c r="A824" s="325">
        <f t="shared" ref="A824:A834" si="106">A823+1</f>
        <v>11</v>
      </c>
      <c r="B824" s="23" t="str">
        <f>'Alloc Table Comm'!C17</f>
        <v>OTHER DIST. EXP EXCL - M &amp; E</v>
      </c>
      <c r="C824" s="3"/>
      <c r="D824" s="32" t="str">
        <f>'Alloc Table Comm'!B17</f>
        <v>11COMM</v>
      </c>
      <c r="E824" s="43">
        <v>1</v>
      </c>
      <c r="F824" s="43">
        <f ca="1">'Alloc Table Comm'!N17</f>
        <v>0.38947999999999999</v>
      </c>
      <c r="G824" s="43">
        <f ca="1">'Alloc Table Comm'!O17</f>
        <v>0.26384000000000002</v>
      </c>
      <c r="H824" s="43">
        <f ca="1">'Alloc Table Comm'!P17</f>
        <v>5.6999999999999998E-4</v>
      </c>
      <c r="I824" s="43">
        <f ca="1">'Alloc Table Comm'!Q17</f>
        <v>5.0000000000000002E-5</v>
      </c>
      <c r="J824" s="43">
        <f ca="1">'Alloc Table Comm'!R17</f>
        <v>0.34605999999999998</v>
      </c>
      <c r="K824" s="43">
        <f ca="1">'Alloc Table Comm'!S17</f>
        <v>0</v>
      </c>
      <c r="L824" s="43">
        <f ca="1">'Alloc Table Comm'!T17</f>
        <v>0</v>
      </c>
    </row>
    <row r="825" spans="1:12" ht="11.25" x14ac:dyDescent="0.2">
      <c r="A825" s="325">
        <f t="shared" si="106"/>
        <v>12</v>
      </c>
      <c r="B825" s="23" t="str">
        <f>'Alloc Table Comm'!C18</f>
        <v>O &amp; M EXCL A &amp; G - LABOR</v>
      </c>
      <c r="C825" s="3"/>
      <c r="D825" s="32" t="str">
        <f>'Alloc Table Comm'!B18</f>
        <v>12COMM</v>
      </c>
      <c r="E825" s="43">
        <v>1</v>
      </c>
      <c r="F825" s="43">
        <f ca="1">'Alloc Table Comm'!N18</f>
        <v>0.38669999999999999</v>
      </c>
      <c r="G825" s="43">
        <f ca="1">'Alloc Table Comm'!O18</f>
        <v>0.26272000000000001</v>
      </c>
      <c r="H825" s="43">
        <f ca="1">'Alloc Table Comm'!P18</f>
        <v>5.5999999999999995E-4</v>
      </c>
      <c r="I825" s="43">
        <f ca="1">'Alloc Table Comm'!Q18</f>
        <v>5.0000000000000002E-5</v>
      </c>
      <c r="J825" s="43">
        <f ca="1">'Alloc Table Comm'!R18</f>
        <v>0.34997</v>
      </c>
      <c r="K825" s="43">
        <f ca="1">'Alloc Table Comm'!S18</f>
        <v>0</v>
      </c>
      <c r="L825" s="43">
        <f ca="1">'Alloc Table Comm'!T18</f>
        <v>0</v>
      </c>
    </row>
    <row r="826" spans="1:12" ht="11.25" x14ac:dyDescent="0.2">
      <c r="A826" s="325">
        <f t="shared" si="106"/>
        <v>13</v>
      </c>
      <c r="B826" s="23" t="str">
        <f>'Alloc Table Comm'!C19</f>
        <v>O &amp; M EXCL GAS PUR, UNCOL, AND A &amp; G - M&amp;E</v>
      </c>
      <c r="C826" s="3"/>
      <c r="D826" s="32" t="str">
        <f>'Alloc Table Comm'!B19</f>
        <v>13COMM</v>
      </c>
      <c r="E826" s="43">
        <v>1</v>
      </c>
      <c r="F826" s="43">
        <f ca="1">'Alloc Table Comm'!N19</f>
        <v>0.41138999999999998</v>
      </c>
      <c r="G826" s="43">
        <f ca="1">'Alloc Table Comm'!O19</f>
        <v>0.27179999999999999</v>
      </c>
      <c r="H826" s="43">
        <f ca="1">'Alloc Table Comm'!P19</f>
        <v>6.2E-4</v>
      </c>
      <c r="I826" s="43">
        <f ca="1">'Alloc Table Comm'!Q19</f>
        <v>5.0000000000000002E-5</v>
      </c>
      <c r="J826" s="43">
        <f ca="1">'Alloc Table Comm'!R19</f>
        <v>0.31613999999999998</v>
      </c>
      <c r="K826" s="43">
        <f ca="1">'Alloc Table Comm'!S19</f>
        <v>0</v>
      </c>
      <c r="L826" s="43">
        <f ca="1">'Alloc Table Comm'!T19</f>
        <v>0</v>
      </c>
    </row>
    <row r="827" spans="1:12" ht="11.25" x14ac:dyDescent="0.2">
      <c r="A827" s="325">
        <f t="shared" si="106"/>
        <v>14</v>
      </c>
      <c r="B827" s="23" t="str">
        <f>'Alloc Table Comm'!C20</f>
        <v>ACCT 376/380 - MAINS/SERVICES</v>
      </c>
      <c r="C827" s="3"/>
      <c r="D827" s="32" t="str">
        <f>'Alloc Table Comm'!B20</f>
        <v>14COMM</v>
      </c>
      <c r="E827" s="43">
        <v>1</v>
      </c>
      <c r="F827" s="43">
        <f ca="1">'Alloc Table Comm'!N20</f>
        <v>0.38982</v>
      </c>
      <c r="G827" s="43">
        <f ca="1">'Alloc Table Comm'!O20</f>
        <v>0.26397999999999999</v>
      </c>
      <c r="H827" s="43">
        <f ca="1">'Alloc Table Comm'!P20</f>
        <v>5.6999999999999998E-4</v>
      </c>
      <c r="I827" s="43">
        <f ca="1">'Alloc Table Comm'!Q20</f>
        <v>5.0000000000000002E-5</v>
      </c>
      <c r="J827" s="43">
        <f ca="1">'Alloc Table Comm'!R20</f>
        <v>0.34558</v>
      </c>
      <c r="K827" s="43">
        <f ca="1">'Alloc Table Comm'!S20</f>
        <v>0</v>
      </c>
      <c r="L827" s="43">
        <f ca="1">'Alloc Table Comm'!T20</f>
        <v>0</v>
      </c>
    </row>
    <row r="828" spans="1:12" ht="11.25" x14ac:dyDescent="0.2">
      <c r="A828" s="325">
        <f t="shared" si="106"/>
        <v>15</v>
      </c>
      <c r="B828" s="23" t="str">
        <f>'Alloc Table Comm'!C21</f>
        <v xml:space="preserve">DIRECT PLANT ACCT 380 </v>
      </c>
      <c r="C828" s="3"/>
      <c r="D828" s="32">
        <f>'Alloc Table Comm'!B21</f>
        <v>15</v>
      </c>
      <c r="E828" s="43">
        <v>1</v>
      </c>
      <c r="F828" s="43">
        <f ca="1">'Alloc Table Comm'!N21</f>
        <v>0.88227999999999995</v>
      </c>
      <c r="G828" s="43">
        <f ca="1">'Alloc Table Comm'!O21</f>
        <v>0.11418</v>
      </c>
      <c r="H828" s="43">
        <f ca="1">'Alloc Table Comm'!P21</f>
        <v>1.0000000000000001E-5</v>
      </c>
      <c r="I828" s="43">
        <f ca="1">'Alloc Table Comm'!Q21</f>
        <v>0</v>
      </c>
      <c r="J828" s="43">
        <f ca="1">'Alloc Table Comm'!R21</f>
        <v>3.5300000000000002E-3</v>
      </c>
      <c r="K828" s="43">
        <f ca="1">'Alloc Table Comm'!S21</f>
        <v>0</v>
      </c>
      <c r="L828" s="43">
        <f ca="1">'Alloc Table Comm'!T21</f>
        <v>0</v>
      </c>
    </row>
    <row r="829" spans="1:12" ht="11.25" x14ac:dyDescent="0.2">
      <c r="A829" s="325">
        <f t="shared" si="106"/>
        <v>16</v>
      </c>
      <c r="B829" s="23" t="str">
        <f>'Alloc Table Comm'!C22</f>
        <v xml:space="preserve">DIRECT PLANT ACCTS 381 </v>
      </c>
      <c r="C829" s="3"/>
      <c r="D829" s="32">
        <f>'Alloc Table Comm'!B22</f>
        <v>16</v>
      </c>
      <c r="E829" s="43">
        <v>1</v>
      </c>
      <c r="F829" s="43">
        <f>'Alloc Table Comm'!N22</f>
        <v>0.71941999999999995</v>
      </c>
      <c r="G829" s="43">
        <f>'Alloc Table Comm'!O22</f>
        <v>0.27611999999999998</v>
      </c>
      <c r="H829" s="43">
        <f>'Alloc Table Comm'!P22</f>
        <v>1.2999999999999999E-4</v>
      </c>
      <c r="I829" s="43">
        <f>'Alloc Table Comm'!Q22</f>
        <v>0</v>
      </c>
      <c r="J829" s="43">
        <f>'Alloc Table Comm'!R22</f>
        <v>4.3299999999999996E-3</v>
      </c>
      <c r="K829" s="43">
        <f>'Alloc Table Comm'!S22</f>
        <v>0</v>
      </c>
      <c r="L829" s="43">
        <f>'Alloc Table Comm'!T22</f>
        <v>0</v>
      </c>
    </row>
    <row r="830" spans="1:12" ht="11.25" x14ac:dyDescent="0.2">
      <c r="A830" s="325">
        <f t="shared" si="106"/>
        <v>17</v>
      </c>
      <c r="B830" s="23" t="str">
        <f>'Alloc Table Comm'!C23</f>
        <v xml:space="preserve">DIRECT PLANT ACCT 385 </v>
      </c>
      <c r="C830" s="3"/>
      <c r="D830" s="32">
        <f>'Alloc Table Comm'!B23</f>
        <v>17</v>
      </c>
      <c r="E830" s="43">
        <v>1</v>
      </c>
      <c r="F830" s="43">
        <f>'Alloc Table Comm'!N23</f>
        <v>0</v>
      </c>
      <c r="G830" s="43">
        <f>'Alloc Table Comm'!O23</f>
        <v>0.25977</v>
      </c>
      <c r="H830" s="43">
        <f>'Alloc Table Comm'!P23</f>
        <v>2.9E-4</v>
      </c>
      <c r="I830" s="43">
        <f>'Alloc Table Comm'!Q23</f>
        <v>0</v>
      </c>
      <c r="J830" s="43">
        <f>'Alloc Table Comm'!R23</f>
        <v>0.73995</v>
      </c>
      <c r="K830" s="43">
        <f>'Alloc Table Comm'!S23</f>
        <v>0</v>
      </c>
      <c r="L830" s="43">
        <f>'Alloc Table Comm'!T23</f>
        <v>0</v>
      </c>
    </row>
    <row r="831" spans="1:12" ht="11.25" x14ac:dyDescent="0.2">
      <c r="A831" s="325">
        <f t="shared" si="106"/>
        <v>18</v>
      </c>
      <c r="B831" s="23" t="str">
        <f>'Alloc Table Comm'!C24</f>
        <v>ACCOUNT 376 MAINS - COMPOSITE/PLANT</v>
      </c>
      <c r="C831" s="3"/>
      <c r="D831" s="32" t="str">
        <f>'Alloc Table Comm'!B24</f>
        <v>18COMM</v>
      </c>
      <c r="E831" s="43">
        <v>1</v>
      </c>
      <c r="F831" s="43">
        <f>'Alloc Table Comm'!N24</f>
        <v>0.38982</v>
      </c>
      <c r="G831" s="43">
        <f>'Alloc Table Comm'!O24</f>
        <v>0.26397999999999999</v>
      </c>
      <c r="H831" s="43">
        <f>'Alloc Table Comm'!P24</f>
        <v>5.6999999999999998E-4</v>
      </c>
      <c r="I831" s="43">
        <f>'Alloc Table Comm'!Q24</f>
        <v>5.0000000000000002E-5</v>
      </c>
      <c r="J831" s="43">
        <f>'Alloc Table Comm'!R24</f>
        <v>0.34558</v>
      </c>
      <c r="K831" s="43">
        <f>'Alloc Table Comm'!S24</f>
        <v>0</v>
      </c>
      <c r="L831" s="43">
        <f>'Alloc Table Comm'!T24</f>
        <v>0</v>
      </c>
    </row>
    <row r="832" spans="1:12" ht="11.25" x14ac:dyDescent="0.2">
      <c r="A832" s="325">
        <f t="shared" si="106"/>
        <v>19</v>
      </c>
      <c r="B832" s="23" t="str">
        <f>'Alloc Table Comm'!C25</f>
        <v>TOTAL PLANT</v>
      </c>
      <c r="C832" s="3"/>
      <c r="D832" s="32" t="str">
        <f>'Alloc Table Comm'!B25</f>
        <v>19COMM</v>
      </c>
      <c r="E832" s="43">
        <v>1</v>
      </c>
      <c r="F832" s="43">
        <f ca="1">'Alloc Table Comm'!N25</f>
        <v>0.38973999999999998</v>
      </c>
      <c r="G832" s="43">
        <f ca="1">'Alloc Table Comm'!O25</f>
        <v>0.26393</v>
      </c>
      <c r="H832" s="43">
        <f ca="1">'Alloc Table Comm'!P25</f>
        <v>5.6999999999999998E-4</v>
      </c>
      <c r="I832" s="43">
        <f ca="1">'Alloc Table Comm'!Q25</f>
        <v>2.4000000000000001E-4</v>
      </c>
      <c r="J832" s="43">
        <f ca="1">'Alloc Table Comm'!R25</f>
        <v>0.34551999999999999</v>
      </c>
      <c r="K832" s="43">
        <f ca="1">'Alloc Table Comm'!S25</f>
        <v>0</v>
      </c>
      <c r="L832" s="43">
        <f ca="1">'Alloc Table Comm'!T25</f>
        <v>0</v>
      </c>
    </row>
    <row r="833" spans="1:12" ht="11.25" x14ac:dyDescent="0.2">
      <c r="A833" s="325">
        <f t="shared" si="106"/>
        <v>20</v>
      </c>
      <c r="B833" s="23" t="str">
        <f>'Alloc Table Comm'!C26</f>
        <v>AVG DEM/COM #5 &amp; CUS/DEM #3</v>
      </c>
      <c r="C833" s="3"/>
      <c r="D833" s="32">
        <f>'Alloc Table Comm'!B26</f>
        <v>20</v>
      </c>
      <c r="E833" s="43">
        <v>1</v>
      </c>
      <c r="F833" s="43">
        <f>'Alloc Table Comm'!N26</f>
        <v>0.56387999999999994</v>
      </c>
      <c r="G833" s="43">
        <f>'Alloc Table Comm'!O26</f>
        <v>0.2157</v>
      </c>
      <c r="H833" s="43">
        <f>'Alloc Table Comm'!P26</f>
        <v>4.0999999999999999E-4</v>
      </c>
      <c r="I833" s="43">
        <f>'Alloc Table Comm'!Q26</f>
        <v>0</v>
      </c>
      <c r="J833" s="43">
        <f>'Alloc Table Comm'!R26</f>
        <v>0.22001000000000001</v>
      </c>
      <c r="K833" s="43">
        <f>'Alloc Table Comm'!S26</f>
        <v>0</v>
      </c>
      <c r="L833" s="43">
        <f>'Alloc Table Comm'!T26</f>
        <v>0</v>
      </c>
    </row>
    <row r="834" spans="1:12" ht="11.25" x14ac:dyDescent="0.2">
      <c r="A834" s="325">
        <f t="shared" si="106"/>
        <v>21</v>
      </c>
      <c r="B834" s="23" t="str">
        <f>'Alloc Table Comm'!C27</f>
        <v>UNCOLLECTIBLES</v>
      </c>
      <c r="C834" s="3"/>
      <c r="D834" s="32">
        <f>'Alloc Table Comm'!B27</f>
        <v>21</v>
      </c>
      <c r="E834" s="43">
        <v>1</v>
      </c>
      <c r="F834" s="43">
        <f>'Alloc Table Comm'!N27</f>
        <v>0.86777000000000004</v>
      </c>
      <c r="G834" s="43">
        <f>'Alloc Table Comm'!O27</f>
        <v>0.13141</v>
      </c>
      <c r="H834" s="43">
        <f>'Alloc Table Comm'!P27</f>
        <v>2.0000000000000002E-5</v>
      </c>
      <c r="I834" s="43">
        <f>'Alloc Table Comm'!Q27</f>
        <v>6.0000000000000002E-5</v>
      </c>
      <c r="J834" s="43">
        <f>'Alloc Table Comm'!R27</f>
        <v>7.3999999999999999E-4</v>
      </c>
      <c r="K834" s="43">
        <f>'Alloc Table Comm'!S27</f>
        <v>0</v>
      </c>
      <c r="L834" s="43">
        <f>'Alloc Table Comm'!T27</f>
        <v>0</v>
      </c>
    </row>
    <row r="835" spans="1:12" ht="11.25" x14ac:dyDescent="0.2">
      <c r="A835" s="325"/>
      <c r="B835" s="23"/>
      <c r="C835" s="3"/>
      <c r="D835" s="32"/>
      <c r="E835" s="43"/>
      <c r="F835" s="43"/>
      <c r="G835" s="43"/>
      <c r="H835" s="43"/>
      <c r="I835" s="43"/>
      <c r="J835" s="43"/>
      <c r="K835" s="43"/>
      <c r="L835" s="43"/>
    </row>
    <row r="836" spans="1:12" ht="11.25" x14ac:dyDescent="0.2">
      <c r="A836" s="325"/>
      <c r="B836" s="23"/>
      <c r="C836" s="3"/>
      <c r="D836" s="32"/>
      <c r="E836" s="43"/>
      <c r="F836" s="43"/>
      <c r="G836" s="43"/>
      <c r="H836" s="43"/>
      <c r="I836" s="43"/>
      <c r="J836" s="43"/>
      <c r="K836" s="43"/>
    </row>
    <row r="837" spans="1:12" ht="11.25" x14ac:dyDescent="0.2">
      <c r="A837" s="325"/>
      <c r="B837" s="23"/>
      <c r="C837" s="3"/>
      <c r="D837" s="32"/>
      <c r="E837" s="43"/>
      <c r="F837" s="43"/>
      <c r="G837" s="43"/>
      <c r="H837" s="43"/>
      <c r="I837" s="43"/>
      <c r="J837" s="43"/>
      <c r="K837" s="43"/>
    </row>
    <row r="838" spans="1:12" ht="11.25" x14ac:dyDescent="0.2">
      <c r="A838" s="325"/>
      <c r="B838" s="23"/>
      <c r="C838" s="3"/>
      <c r="D838" s="32"/>
      <c r="E838" s="43"/>
      <c r="F838" s="43"/>
      <c r="G838" s="43"/>
      <c r="H838" s="43"/>
      <c r="I838" s="43"/>
      <c r="J838" s="43"/>
      <c r="K838" s="43"/>
    </row>
    <row r="839" spans="1:12" ht="11.25" x14ac:dyDescent="0.2">
      <c r="A839" s="325"/>
      <c r="B839" s="23"/>
      <c r="C839" s="3"/>
      <c r="D839" s="32"/>
      <c r="E839" s="43"/>
      <c r="F839" s="43"/>
      <c r="G839" s="43"/>
      <c r="H839" s="43"/>
      <c r="I839" s="43"/>
      <c r="J839" s="43"/>
      <c r="K839" s="43"/>
    </row>
    <row r="840" spans="1:12" ht="11.25" x14ac:dyDescent="0.2">
      <c r="A840" s="325"/>
      <c r="B840" s="23"/>
      <c r="C840" s="3"/>
      <c r="D840" s="32"/>
      <c r="E840" s="43"/>
      <c r="F840" s="43"/>
      <c r="G840" s="43"/>
      <c r="H840" s="43"/>
      <c r="I840" s="43"/>
      <c r="J840" s="43"/>
      <c r="K840" s="43"/>
    </row>
    <row r="841" spans="1:12" ht="11.25" x14ac:dyDescent="0.2">
      <c r="A841" s="325"/>
      <c r="B841" s="23"/>
      <c r="C841" s="3"/>
      <c r="D841" s="32"/>
      <c r="E841" s="43"/>
      <c r="F841" s="43"/>
      <c r="G841" s="43"/>
      <c r="H841" s="43"/>
      <c r="I841" s="43"/>
      <c r="J841" s="43"/>
      <c r="K841" s="43"/>
    </row>
  </sheetData>
  <mergeCells count="2">
    <mergeCell ref="B811:C811"/>
    <mergeCell ref="B812:C812"/>
  </mergeCells>
  <pageMargins left="0" right="0" top="0.75" bottom="0.75" header="0.3" footer="0.3"/>
  <pageSetup scale="94" orientation="landscape" r:id="rId1"/>
  <rowBreaks count="25" manualBreakCount="25">
    <brk id="34" max="11" man="1"/>
    <brk id="66" max="11" man="1"/>
    <brk id="89" max="16383" man="1"/>
    <brk id="123" max="16383" man="1"/>
    <brk id="167" max="16383" man="1"/>
    <brk id="205" max="16383" man="1"/>
    <brk id="250" max="16383" man="1"/>
    <brk id="291" max="16383" man="1"/>
    <brk id="336" max="16383" man="1"/>
    <brk id="375" max="16383" man="1"/>
    <brk id="396" max="16383" man="1"/>
    <brk id="433" max="16383" man="1"/>
    <brk id="464" max="16383" man="1"/>
    <brk id="495" max="16383" man="1"/>
    <brk id="532" max="16383" man="1"/>
    <brk id="563" max="16383" man="1"/>
    <brk id="594" max="16383" man="1"/>
    <brk id="633" max="16383" man="1"/>
    <brk id="663" max="16383" man="1"/>
    <brk id="679" max="16383" man="1"/>
    <brk id="705" max="16383" man="1"/>
    <brk id="721" max="16383" man="1"/>
    <brk id="751" max="16383" man="1"/>
    <brk id="771" max="16383" man="1"/>
    <brk id="806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5"/>
  <sheetViews>
    <sheetView zoomScaleNormal="100" zoomScaleSheetLayoutView="90" workbookViewId="0">
      <selection activeCell="C39" sqref="C39"/>
    </sheetView>
  </sheetViews>
  <sheetFormatPr defaultRowHeight="10.5" x14ac:dyDescent="0.15"/>
  <cols>
    <col min="1" max="1" width="4.83203125" style="330" customWidth="1"/>
    <col min="2" max="2" width="7.6640625" style="330" customWidth="1"/>
    <col min="3" max="3" width="44.33203125" style="330" customWidth="1"/>
    <col min="4" max="4" width="8.6640625" style="337" customWidth="1"/>
    <col min="5" max="5" width="11.83203125" style="330" customWidth="1"/>
    <col min="6" max="6" width="16.1640625" style="330" bestFit="1" customWidth="1"/>
    <col min="7" max="7" width="12.5" style="330" customWidth="1"/>
    <col min="8" max="8" width="11.5" style="330" bestFit="1" customWidth="1"/>
    <col min="9" max="9" width="12" style="330" customWidth="1"/>
    <col min="10" max="10" width="12.6640625" style="330" customWidth="1"/>
    <col min="11" max="12" width="9.6640625" style="330" bestFit="1" customWidth="1"/>
    <col min="13" max="13" width="9.33203125" style="330"/>
    <col min="14" max="15" width="10.6640625" style="330" bestFit="1" customWidth="1"/>
    <col min="16" max="16384" width="9.33203125" style="330"/>
  </cols>
  <sheetData>
    <row r="1" spans="1:13" ht="11.25" x14ac:dyDescent="0.2">
      <c r="A1" s="3" t="s">
        <v>819</v>
      </c>
      <c r="B1" s="3"/>
      <c r="C1" s="3"/>
      <c r="D1" s="325"/>
      <c r="E1" s="3"/>
      <c r="F1" s="325" t="str">
        <f>""&amp;+Input!$B$1</f>
        <v>COLUMBIA GAS OF KENTUCKY, INC.</v>
      </c>
      <c r="H1" s="3"/>
      <c r="I1" s="3"/>
      <c r="J1" s="3"/>
      <c r="K1" s="3"/>
      <c r="L1" s="32" t="str">
        <f>Input!$B$2</f>
        <v>ATTACHMENT CEN-2</v>
      </c>
    </row>
    <row r="2" spans="1:13" ht="11.25" x14ac:dyDescent="0.2">
      <c r="A2" s="3" t="str">
        <f>Input!$B$7</f>
        <v>DEMAND-COMMODITY</v>
      </c>
      <c r="B2" s="3"/>
      <c r="C2" s="3"/>
      <c r="D2" s="325"/>
      <c r="E2" s="3"/>
      <c r="F2" s="325" t="s">
        <v>564</v>
      </c>
      <c r="H2" s="3"/>
      <c r="I2" s="3"/>
      <c r="J2" s="3"/>
      <c r="K2" s="3"/>
      <c r="L2" s="32" t="str">
        <f>"PAGE 104 OF "&amp;FIXED(Input!$B$8,0,TRUE)</f>
        <v>PAGE 104 OF 129</v>
      </c>
    </row>
    <row r="3" spans="1:13" ht="11.25" x14ac:dyDescent="0.2">
      <c r="A3" s="17" t="str">
        <f>Input!$B$6</f>
        <v>FORECASTED TEST YEAR - ORIGINAL FILING</v>
      </c>
      <c r="B3" s="17"/>
      <c r="C3" s="17"/>
      <c r="D3" s="34"/>
      <c r="E3" s="17"/>
      <c r="F3" s="19" t="str">
        <f>"FOR THE TWELVE MONTHS ENDED "&amp;Input!$B$4</f>
        <v>FOR THE TWELVE MONTHS ENDED 12/31/2017</v>
      </c>
      <c r="G3" s="329"/>
      <c r="H3" s="17"/>
      <c r="I3" s="17"/>
      <c r="J3" s="17"/>
      <c r="K3" s="17"/>
      <c r="L3" s="183" t="str">
        <f>"WITNESS: "&amp;Input!$B$5</f>
        <v>WITNESS: C. NOTESTONE</v>
      </c>
    </row>
    <row r="4" spans="1:13" ht="11.25" x14ac:dyDescent="0.2">
      <c r="A4" s="325" t="s">
        <v>5</v>
      </c>
      <c r="B4" s="3" t="s">
        <v>6</v>
      </c>
      <c r="C4" s="3"/>
      <c r="D4" s="325" t="s">
        <v>7</v>
      </c>
      <c r="E4" s="325" t="s">
        <v>8</v>
      </c>
      <c r="F4" s="3"/>
      <c r="G4" s="3"/>
      <c r="H4" s="3"/>
      <c r="I4" s="3"/>
      <c r="J4" s="3"/>
      <c r="K4" s="3"/>
      <c r="L4" s="3"/>
    </row>
    <row r="5" spans="1:13" ht="11.25" x14ac:dyDescent="0.2">
      <c r="A5" s="341" t="s">
        <v>9</v>
      </c>
      <c r="B5" s="341" t="s">
        <v>9</v>
      </c>
      <c r="C5" s="341" t="str">
        <f>"                        ACCOUNT TITLE                "</f>
        <v xml:space="preserve">                        ACCOUNT TITLE                </v>
      </c>
      <c r="D5" s="341" t="s">
        <v>10</v>
      </c>
      <c r="E5" s="341" t="s">
        <v>813</v>
      </c>
      <c r="F5" s="341" t="str">
        <f>"  "&amp;+Input!$C$12</f>
        <v xml:space="preserve">  GS-RESIDENTIAL</v>
      </c>
      <c r="G5" s="341" t="str">
        <f>Input!$C$13</f>
        <v>GS-OTHER</v>
      </c>
      <c r="H5" s="341" t="str">
        <f>Input!$C$14</f>
        <v>IUS</v>
      </c>
      <c r="I5" s="341" t="str">
        <f>Input!$C$15</f>
        <v>DS-ML</v>
      </c>
      <c r="J5" s="341" t="str">
        <f>Input!$C$16</f>
        <v>DS/IS</v>
      </c>
      <c r="K5" s="341" t="str">
        <f>Input!$C$17</f>
        <v>NOT USED</v>
      </c>
      <c r="L5" s="341" t="str">
        <f>Input!$C$18</f>
        <v>NOT USED</v>
      </c>
    </row>
    <row r="6" spans="1:13" ht="11.25" x14ac:dyDescent="0.2">
      <c r="A6" s="3"/>
      <c r="B6" s="342" t="s">
        <v>13</v>
      </c>
      <c r="C6" s="342" t="s">
        <v>14</v>
      </c>
      <c r="D6" s="325" t="s">
        <v>15</v>
      </c>
      <c r="E6" s="325" t="s">
        <v>16</v>
      </c>
      <c r="F6" s="325" t="s">
        <v>17</v>
      </c>
      <c r="G6" s="325" t="s">
        <v>18</v>
      </c>
      <c r="H6" s="325" t="s">
        <v>19</v>
      </c>
      <c r="I6" s="325" t="s">
        <v>20</v>
      </c>
      <c r="J6" s="325" t="s">
        <v>21</v>
      </c>
      <c r="K6" s="325" t="s">
        <v>22</v>
      </c>
      <c r="L6" s="325" t="s">
        <v>23</v>
      </c>
    </row>
    <row r="7" spans="1:13" ht="11.25" x14ac:dyDescent="0.2">
      <c r="A7" s="3"/>
      <c r="B7" s="3"/>
      <c r="C7" s="3"/>
      <c r="D7" s="325"/>
      <c r="E7" s="325" t="s">
        <v>26</v>
      </c>
      <c r="F7" s="325" t="s">
        <v>26</v>
      </c>
      <c r="G7" s="325" t="s">
        <v>26</v>
      </c>
      <c r="H7" s="325" t="s">
        <v>26</v>
      </c>
      <c r="I7" s="325" t="s">
        <v>26</v>
      </c>
      <c r="J7" s="325" t="s">
        <v>26</v>
      </c>
      <c r="K7" s="325" t="s">
        <v>26</v>
      </c>
      <c r="L7" s="325" t="s">
        <v>26</v>
      </c>
    </row>
    <row r="8" spans="1:13" ht="11.25" x14ac:dyDescent="0.2">
      <c r="A8" s="3">
        <v>1</v>
      </c>
      <c r="B8" s="3" t="s">
        <v>421</v>
      </c>
      <c r="C8" s="3"/>
      <c r="D8" s="325"/>
      <c r="E8" s="3">
        <f ca="1">E97</f>
        <v>19842085.600000001</v>
      </c>
      <c r="F8" s="3">
        <f t="shared" ref="F8:L8" ca="1" si="0">F97</f>
        <v>12730896.850000005</v>
      </c>
      <c r="G8" s="3">
        <f t="shared" ca="1" si="0"/>
        <v>5332480.0099999961</v>
      </c>
      <c r="H8" s="3">
        <f t="shared" ca="1" si="0"/>
        <v>6550.7700000000077</v>
      </c>
      <c r="I8" s="3">
        <f t="shared" ca="1" si="0"/>
        <v>136181.93999999994</v>
      </c>
      <c r="J8" s="3">
        <f t="shared" ca="1" si="0"/>
        <v>1635976.0300000003</v>
      </c>
      <c r="K8" s="3">
        <f t="shared" si="0"/>
        <v>0</v>
      </c>
      <c r="L8" s="3">
        <f t="shared" si="0"/>
        <v>0</v>
      </c>
      <c r="M8" s="3"/>
    </row>
    <row r="9" spans="1:13" ht="11.25" x14ac:dyDescent="0.2">
      <c r="A9" s="3">
        <f>A8+1</f>
        <v>2</v>
      </c>
      <c r="B9" s="3" t="s">
        <v>833</v>
      </c>
      <c r="C9" s="3"/>
      <c r="D9" s="325"/>
      <c r="E9" s="26">
        <f ca="1">E10-E8</f>
        <v>7505989.6599999815</v>
      </c>
      <c r="F9" s="26">
        <f t="shared" ref="F9:L9" ca="1" si="1">F10-F8</f>
        <v>4969835.8000000007</v>
      </c>
      <c r="G9" s="26">
        <f t="shared" ca="1" si="1"/>
        <v>1949718.3899999987</v>
      </c>
      <c r="H9" s="26">
        <f t="shared" ca="1" si="1"/>
        <v>2238.4300000000003</v>
      </c>
      <c r="I9" s="26">
        <f t="shared" ca="1" si="1"/>
        <v>-568.57999999995809</v>
      </c>
      <c r="J9" s="26">
        <f t="shared" ca="1" si="1"/>
        <v>584765.61999999918</v>
      </c>
      <c r="K9" s="26">
        <f t="shared" si="1"/>
        <v>0</v>
      </c>
      <c r="L9" s="26">
        <f t="shared" si="1"/>
        <v>0</v>
      </c>
      <c r="M9" s="3"/>
    </row>
    <row r="10" spans="1:13" ht="11.25" x14ac:dyDescent="0.2">
      <c r="A10" s="3">
        <f>A9+1</f>
        <v>3</v>
      </c>
      <c r="B10" s="3" t="s">
        <v>834</v>
      </c>
      <c r="C10" s="3"/>
      <c r="D10" s="325"/>
      <c r="E10" s="3">
        <f ca="1">Classification!E10-Classification!F10-Classification!G10</f>
        <v>27348075.259999983</v>
      </c>
      <c r="F10" s="3">
        <f ca="1">SUM(Input!E580:E585)</f>
        <v>17700732.650000006</v>
      </c>
      <c r="G10" s="3">
        <f ca="1">SUM(Input!F580:F585)</f>
        <v>7282198.3999999948</v>
      </c>
      <c r="H10" s="3">
        <f ca="1">SUM(Input!G580:G585)</f>
        <v>8789.200000000008</v>
      </c>
      <c r="I10" s="3">
        <f ca="1">SUM(Input!H580:H585)</f>
        <v>135613.35999999999</v>
      </c>
      <c r="J10" s="3">
        <f ca="1">SUM(Input!I580:I585)</f>
        <v>2220741.6499999994</v>
      </c>
      <c r="K10" s="3">
        <f>SUM(Input!J580:J585)</f>
        <v>0</v>
      </c>
      <c r="L10" s="3">
        <f>SUM(Input!K580:K585)</f>
        <v>0</v>
      </c>
      <c r="M10" s="3"/>
    </row>
    <row r="11" spans="1:13" ht="11.25" x14ac:dyDescent="0.2">
      <c r="A11" s="3"/>
      <c r="B11" s="3"/>
      <c r="C11" s="3"/>
      <c r="D11" s="325"/>
      <c r="E11" s="3"/>
      <c r="F11" s="3"/>
      <c r="G11" s="3"/>
      <c r="H11" s="3"/>
      <c r="I11" s="3"/>
      <c r="J11" s="3"/>
      <c r="K11" s="3"/>
      <c r="L11" s="3"/>
      <c r="M11" s="3"/>
    </row>
    <row r="12" spans="1:13" ht="11.25" x14ac:dyDescent="0.2">
      <c r="A12" s="3">
        <f>A10+1</f>
        <v>4</v>
      </c>
      <c r="B12" s="3" t="s">
        <v>409</v>
      </c>
      <c r="C12" s="3"/>
      <c r="D12" s="325"/>
      <c r="E12" s="3">
        <f>E99</f>
        <v>0.10999999567866325</v>
      </c>
      <c r="F12" s="3">
        <f t="shared" ref="F12:L12" si="2">F99</f>
        <v>0</v>
      </c>
      <c r="G12" s="3">
        <f t="shared" si="2"/>
        <v>0</v>
      </c>
      <c r="H12" s="3">
        <f t="shared" si="2"/>
        <v>0</v>
      </c>
      <c r="I12" s="3">
        <f t="shared" si="2"/>
        <v>0</v>
      </c>
      <c r="J12" s="3">
        <f t="shared" si="2"/>
        <v>0</v>
      </c>
      <c r="K12" s="3">
        <f t="shared" si="2"/>
        <v>0</v>
      </c>
      <c r="L12" s="3">
        <f t="shared" si="2"/>
        <v>0</v>
      </c>
      <c r="M12" s="3"/>
    </row>
    <row r="13" spans="1:13" ht="11.25" x14ac:dyDescent="0.2">
      <c r="A13" s="3">
        <f t="shared" ref="A13:A18" si="3">A12+1</f>
        <v>5</v>
      </c>
      <c r="B13" s="3" t="s">
        <v>422</v>
      </c>
      <c r="C13" s="3"/>
      <c r="D13" s="325"/>
      <c r="E13" s="3">
        <f ca="1">SUM(F13:L13)</f>
        <v>9158044</v>
      </c>
      <c r="F13" s="3">
        <f ca="1">F100+ROUND(F9*(Input!$E$40+Input!$E$41),0)</f>
        <v>3593630</v>
      </c>
      <c r="G13" s="3">
        <f ca="1">G100+ROUND(G9*(Input!$E$40+Input!$E$41),0)</f>
        <v>2417598</v>
      </c>
      <c r="H13" s="3">
        <f ca="1">H100+ROUND(H9*(Input!$E$40+Input!$E$41),0)</f>
        <v>5198</v>
      </c>
      <c r="I13" s="3">
        <f ca="1">I100+ROUND(I9*(Input!$E$40+Input!$E$41),0)</f>
        <v>445</v>
      </c>
      <c r="J13" s="3">
        <f ca="1">J100+ROUND(J9*(Input!$E$40+Input!$E$41),0)</f>
        <v>3141173</v>
      </c>
      <c r="K13" s="3">
        <f ca="1">K100+ROUND(K9*(Input!$E$40+Input!$E$41),0)</f>
        <v>0</v>
      </c>
      <c r="L13" s="3">
        <f ca="1">L100+ROUND(L9*(Input!$E$40+Input!$E$41),0)</f>
        <v>0</v>
      </c>
      <c r="M13" s="3"/>
    </row>
    <row r="14" spans="1:13" ht="11.25" x14ac:dyDescent="0.2">
      <c r="A14" s="3">
        <f t="shared" si="3"/>
        <v>6</v>
      </c>
      <c r="B14" s="3" t="s">
        <v>423</v>
      </c>
      <c r="C14" s="3"/>
      <c r="D14" s="325"/>
      <c r="E14" s="3">
        <f ca="1">SUM(F14:L14)</f>
        <v>3392112.86</v>
      </c>
      <c r="F14" s="3">
        <f ca="1">F101</f>
        <v>1322146</v>
      </c>
      <c r="G14" s="3">
        <f t="shared" ref="G14:L14" ca="1" si="4">G101</f>
        <v>895328</v>
      </c>
      <c r="H14" s="3">
        <f t="shared" ca="1" si="4"/>
        <v>1931</v>
      </c>
      <c r="I14" s="3">
        <f t="shared" ca="1" si="4"/>
        <v>597.86000000000013</v>
      </c>
      <c r="J14" s="3">
        <f t="shared" ca="1" si="4"/>
        <v>1172110</v>
      </c>
      <c r="K14" s="3">
        <f t="shared" ca="1" si="4"/>
        <v>0</v>
      </c>
      <c r="L14" s="3">
        <f t="shared" ca="1" si="4"/>
        <v>0</v>
      </c>
      <c r="M14" s="3"/>
    </row>
    <row r="15" spans="1:13" ht="11.25" x14ac:dyDescent="0.2">
      <c r="A15" s="3">
        <f t="shared" si="3"/>
        <v>7</v>
      </c>
      <c r="B15" s="3" t="s">
        <v>424</v>
      </c>
      <c r="C15" s="3"/>
      <c r="D15" s="325"/>
      <c r="E15" s="3">
        <f ca="1">SUM(F15:L15)</f>
        <v>3024229</v>
      </c>
      <c r="F15" s="1">
        <f ca="1">F102+ROUND(F9*Input!$E$45,0)</f>
        <v>3363105</v>
      </c>
      <c r="G15" s="1">
        <f ca="1">G102+ROUND(G9*Input!$E$45,0)</f>
        <v>780031</v>
      </c>
      <c r="H15" s="1">
        <f ca="1">H102+ROUND(H9*Input!$E$45,0)</f>
        <v>-574</v>
      </c>
      <c r="I15" s="1">
        <f ca="1">I102+ROUND(I9*Input!$E$45,0)</f>
        <v>42582</v>
      </c>
      <c r="J15" s="1">
        <f ca="1">J102+ROUND(J9*Input!$E$45,0)</f>
        <v>-1160915</v>
      </c>
      <c r="K15" s="1">
        <f ca="1">K102+ROUND(K9*Input!$E$45,0)</f>
        <v>0</v>
      </c>
      <c r="L15" s="1">
        <f ca="1">L102+ROUND(L9*Input!$E$45,0)</f>
        <v>0</v>
      </c>
      <c r="M15" s="3"/>
    </row>
    <row r="16" spans="1:13" ht="11.25" x14ac:dyDescent="0.2">
      <c r="A16" s="3">
        <f t="shared" si="3"/>
        <v>8</v>
      </c>
      <c r="B16" s="3" t="s">
        <v>425</v>
      </c>
      <c r="C16" s="3"/>
      <c r="D16" s="325"/>
      <c r="E16" s="3">
        <f ca="1">SUM(F16:L16)</f>
        <v>554635.32849306008</v>
      </c>
      <c r="F16" s="1">
        <f ca="1">F103+ROUND(F9*Input!$E$43,0)</f>
        <v>622688.52280157874</v>
      </c>
      <c r="G16" s="1">
        <f ca="1">G103+ROUND(G9*Input!$E$43,0)</f>
        <v>143032.40786490066</v>
      </c>
      <c r="H16" s="1">
        <f ca="1">H103+ROUND(H9*Input!$E$43,0)</f>
        <v>-111.69166840108957</v>
      </c>
      <c r="I16" s="1">
        <f ca="1">I103+ROUND(I9*Input!$E$43,0)</f>
        <v>7994.9655797437999</v>
      </c>
      <c r="J16" s="1">
        <f ca="1">J103+ROUND(J9*Input!$E$43,0)</f>
        <v>-218968.8760847621</v>
      </c>
      <c r="K16" s="1">
        <f ca="1">K103+ROUND(K9*Input!$E$43,0)</f>
        <v>0</v>
      </c>
      <c r="L16" s="1">
        <f ca="1">L103+ROUND(L9*Input!$E$43,0)</f>
        <v>0</v>
      </c>
      <c r="M16" s="3"/>
    </row>
    <row r="17" spans="1:13" ht="11.25" x14ac:dyDescent="0.2">
      <c r="A17" s="3">
        <f t="shared" si="3"/>
        <v>9</v>
      </c>
      <c r="B17" s="3" t="s">
        <v>426</v>
      </c>
      <c r="C17" s="3"/>
      <c r="D17" s="325"/>
      <c r="E17" s="26">
        <f ca="1">SUM(F17:L17)</f>
        <v>1309575</v>
      </c>
      <c r="F17" s="26">
        <f ca="1">F104</f>
        <v>510402</v>
      </c>
      <c r="G17" s="26">
        <f t="shared" ref="G17:L17" ca="1" si="5">G104</f>
        <v>345642</v>
      </c>
      <c r="H17" s="26">
        <f t="shared" ca="1" si="5"/>
        <v>747</v>
      </c>
      <c r="I17" s="26">
        <f t="shared" ca="1" si="5"/>
        <v>294</v>
      </c>
      <c r="J17" s="26">
        <f t="shared" ca="1" si="5"/>
        <v>452490</v>
      </c>
      <c r="K17" s="26">
        <f t="shared" ca="1" si="5"/>
        <v>0</v>
      </c>
      <c r="L17" s="26">
        <f t="shared" ca="1" si="5"/>
        <v>0</v>
      </c>
      <c r="M17" s="3"/>
    </row>
    <row r="18" spans="1:13" ht="11.25" x14ac:dyDescent="0.2">
      <c r="A18" s="3">
        <f t="shared" si="3"/>
        <v>10</v>
      </c>
      <c r="B18" s="3" t="s">
        <v>415</v>
      </c>
      <c r="C18" s="3"/>
      <c r="D18" s="325"/>
      <c r="E18" s="3">
        <f t="shared" ref="E18:L18" ca="1" si="6">SUM(E12:E17)</f>
        <v>17438596.298493057</v>
      </c>
      <c r="F18" s="3">
        <f t="shared" ca="1" si="6"/>
        <v>9411971.522801578</v>
      </c>
      <c r="G18" s="3">
        <f t="shared" ca="1" si="6"/>
        <v>4581631.4078649003</v>
      </c>
      <c r="H18" s="3">
        <f t="shared" ca="1" si="6"/>
        <v>7190.3083315989106</v>
      </c>
      <c r="I18" s="3">
        <f t="shared" ca="1" si="6"/>
        <v>51913.825579743803</v>
      </c>
      <c r="J18" s="3">
        <f t="shared" ca="1" si="6"/>
        <v>3385889.1239152378</v>
      </c>
      <c r="K18" s="3">
        <f t="shared" ca="1" si="6"/>
        <v>0</v>
      </c>
      <c r="L18" s="3">
        <f t="shared" ca="1" si="6"/>
        <v>0</v>
      </c>
      <c r="M18" s="3"/>
    </row>
    <row r="19" spans="1:13" ht="11.25" x14ac:dyDescent="0.2">
      <c r="A19" s="3"/>
      <c r="B19" s="3"/>
      <c r="C19" s="3"/>
      <c r="D19" s="325"/>
      <c r="E19" s="3"/>
      <c r="F19" s="3"/>
      <c r="G19" s="3"/>
      <c r="H19" s="3"/>
      <c r="I19" s="3"/>
      <c r="J19" s="3"/>
      <c r="K19" s="3"/>
      <c r="L19" s="3"/>
      <c r="M19" s="3"/>
    </row>
    <row r="20" spans="1:13" ht="11.25" x14ac:dyDescent="0.2">
      <c r="A20" s="3">
        <f>A18+1</f>
        <v>11</v>
      </c>
      <c r="B20" s="3" t="s">
        <v>48</v>
      </c>
      <c r="C20" s="3"/>
      <c r="D20" s="325"/>
      <c r="E20" s="3">
        <f ca="1">E10-E18</f>
        <v>9909478.9615069255</v>
      </c>
      <c r="F20" s="3">
        <f t="shared" ref="F20:L20" ca="1" si="7">F10-F18</f>
        <v>8288761.1271984279</v>
      </c>
      <c r="G20" s="3">
        <f t="shared" ca="1" si="7"/>
        <v>2700566.9921350945</v>
      </c>
      <c r="H20" s="3">
        <f t="shared" ca="1" si="7"/>
        <v>1598.8916684010974</v>
      </c>
      <c r="I20" s="3">
        <f t="shared" ca="1" si="7"/>
        <v>83699.534420256183</v>
      </c>
      <c r="J20" s="3">
        <f t="shared" ca="1" si="7"/>
        <v>-1165147.4739152384</v>
      </c>
      <c r="K20" s="3">
        <f t="shared" ca="1" si="7"/>
        <v>0</v>
      </c>
      <c r="L20" s="3">
        <f t="shared" ca="1" si="7"/>
        <v>0</v>
      </c>
      <c r="M20" s="3"/>
    </row>
    <row r="21" spans="1:13" ht="11.25" x14ac:dyDescent="0.2">
      <c r="A21" s="3"/>
      <c r="B21" s="3"/>
      <c r="C21" s="3"/>
      <c r="D21" s="325"/>
      <c r="E21" s="3"/>
      <c r="F21" s="3"/>
      <c r="G21" s="3"/>
      <c r="H21" s="3"/>
      <c r="I21" s="3"/>
      <c r="J21" s="3"/>
      <c r="K21" s="3"/>
      <c r="L21" s="3"/>
      <c r="M21" s="3"/>
    </row>
    <row r="22" spans="1:13" ht="11.25" x14ac:dyDescent="0.2">
      <c r="A22" s="3">
        <f>A20+1</f>
        <v>12</v>
      </c>
      <c r="B22" s="3" t="s">
        <v>427</v>
      </c>
      <c r="C22" s="3"/>
      <c r="D22" s="325"/>
      <c r="E22" s="26">
        <f ca="1">SUM(F22:L22)</f>
        <v>2940506</v>
      </c>
      <c r="F22" s="26">
        <f ca="1">F109</f>
        <v>1388281</v>
      </c>
      <c r="G22" s="26">
        <f t="shared" ref="G22:L22" ca="1" si="8">G109</f>
        <v>895676</v>
      </c>
      <c r="H22" s="26">
        <f t="shared" ca="1" si="8"/>
        <v>2029</v>
      </c>
      <c r="I22" s="26">
        <f t="shared" ca="1" si="8"/>
        <v>495</v>
      </c>
      <c r="J22" s="26">
        <f t="shared" ca="1" si="8"/>
        <v>654025</v>
      </c>
      <c r="K22" s="26">
        <f t="shared" ca="1" si="8"/>
        <v>0</v>
      </c>
      <c r="L22" s="26">
        <f t="shared" ca="1" si="8"/>
        <v>0</v>
      </c>
      <c r="M22" s="3"/>
    </row>
    <row r="23" spans="1:13" ht="11.25" x14ac:dyDescent="0.2">
      <c r="A23" s="3">
        <f>A22+1</f>
        <v>13</v>
      </c>
      <c r="B23" s="3" t="s">
        <v>417</v>
      </c>
      <c r="C23" s="3"/>
      <c r="D23" s="325"/>
      <c r="E23" s="3">
        <f t="shared" ref="E23:L23" ca="1" si="9">E20-E22</f>
        <v>6968972.9615069255</v>
      </c>
      <c r="F23" s="3">
        <f t="shared" ca="1" si="9"/>
        <v>6900480.1271984279</v>
      </c>
      <c r="G23" s="3">
        <f t="shared" ca="1" si="9"/>
        <v>1804890.9921350945</v>
      </c>
      <c r="H23" s="3">
        <f t="shared" ca="1" si="9"/>
        <v>-430.10833159890262</v>
      </c>
      <c r="I23" s="3">
        <f t="shared" ca="1" si="9"/>
        <v>83204.534420256183</v>
      </c>
      <c r="J23" s="3">
        <f t="shared" ca="1" si="9"/>
        <v>-1819172.4739152384</v>
      </c>
      <c r="K23" s="3">
        <f t="shared" ca="1" si="9"/>
        <v>0</v>
      </c>
      <c r="L23" s="3">
        <f t="shared" ca="1" si="9"/>
        <v>0</v>
      </c>
      <c r="M23" s="3"/>
    </row>
    <row r="24" spans="1:13" ht="11.25" x14ac:dyDescent="0.2">
      <c r="A24" s="3"/>
      <c r="B24" s="3"/>
      <c r="C24" s="3"/>
      <c r="D24" s="325"/>
      <c r="E24" s="3"/>
      <c r="F24" s="3"/>
      <c r="G24" s="3"/>
      <c r="H24" s="3"/>
      <c r="I24" s="3"/>
      <c r="J24" s="3"/>
      <c r="K24" s="3"/>
      <c r="L24" s="3"/>
      <c r="M24" s="3"/>
    </row>
    <row r="25" spans="1:13" ht="11.25" x14ac:dyDescent="0.2">
      <c r="A25" s="3">
        <f>A23+1</f>
        <v>14</v>
      </c>
      <c r="B25" s="3" t="s">
        <v>428</v>
      </c>
      <c r="C25" s="3"/>
      <c r="D25" s="325"/>
      <c r="E25" s="3">
        <f ca="1">E113</f>
        <v>111382801.86538464</v>
      </c>
      <c r="F25" s="3">
        <f ca="1">F113</f>
        <v>52586401</v>
      </c>
      <c r="G25" s="3">
        <f t="shared" ref="G25:L25" ca="1" si="10">G113</f>
        <v>33927136</v>
      </c>
      <c r="H25" s="3">
        <f t="shared" ca="1" si="10"/>
        <v>76845</v>
      </c>
      <c r="I25" s="3">
        <f t="shared" ca="1" si="10"/>
        <v>18764.449999999997</v>
      </c>
      <c r="J25" s="3">
        <f t="shared" ca="1" si="10"/>
        <v>24773661</v>
      </c>
      <c r="K25" s="3">
        <f t="shared" ca="1" si="10"/>
        <v>0</v>
      </c>
      <c r="L25" s="3">
        <f t="shared" ca="1" si="10"/>
        <v>0</v>
      </c>
      <c r="M25" s="3"/>
    </row>
    <row r="26" spans="1:13" ht="11.25" x14ac:dyDescent="0.2">
      <c r="A26" s="3"/>
      <c r="B26" s="3"/>
      <c r="C26" s="3"/>
      <c r="D26" s="325"/>
      <c r="E26" s="48"/>
      <c r="F26" s="48"/>
      <c r="G26" s="48"/>
      <c r="H26" s="48"/>
      <c r="I26" s="48"/>
      <c r="J26" s="48"/>
      <c r="K26" s="48"/>
      <c r="L26" s="48"/>
      <c r="M26" s="3"/>
    </row>
    <row r="27" spans="1:13" ht="11.25" x14ac:dyDescent="0.2">
      <c r="A27" s="3">
        <f>A25+1</f>
        <v>15</v>
      </c>
      <c r="B27" s="3" t="s">
        <v>429</v>
      </c>
      <c r="C27" s="3"/>
      <c r="D27" s="325"/>
      <c r="E27" s="49">
        <f t="shared" ref="E27:L27" ca="1" si="11">IF(E25=0,0,ROUND(E20/E25,4))</f>
        <v>8.8999999999999996E-2</v>
      </c>
      <c r="F27" s="49">
        <f t="shared" ca="1" si="11"/>
        <v>0.15759999999999999</v>
      </c>
      <c r="G27" s="49">
        <f t="shared" ca="1" si="11"/>
        <v>7.9600000000000004E-2</v>
      </c>
      <c r="H27" s="49">
        <f t="shared" ca="1" si="11"/>
        <v>2.0799999999999999E-2</v>
      </c>
      <c r="I27" s="49">
        <f t="shared" ca="1" si="11"/>
        <v>4.4604999999999997</v>
      </c>
      <c r="J27" s="49">
        <f t="shared" ca="1" si="11"/>
        <v>-4.7E-2</v>
      </c>
      <c r="K27" s="49">
        <f t="shared" ca="1" si="11"/>
        <v>0</v>
      </c>
      <c r="L27" s="49">
        <f t="shared" ca="1" si="11"/>
        <v>0</v>
      </c>
      <c r="M27" s="3"/>
    </row>
    <row r="28" spans="1:13" ht="11.25" x14ac:dyDescent="0.2">
      <c r="A28" s="3"/>
      <c r="B28" s="3"/>
      <c r="C28" s="3"/>
      <c r="D28" s="325"/>
      <c r="E28" s="3"/>
      <c r="F28" s="3"/>
      <c r="G28" s="3"/>
      <c r="H28" s="3"/>
      <c r="I28" s="3"/>
      <c r="J28" s="3"/>
      <c r="K28" s="3"/>
      <c r="L28" s="3"/>
      <c r="M28" s="3"/>
    </row>
    <row r="29" spans="1:13" ht="11.25" x14ac:dyDescent="0.2">
      <c r="A29" s="3">
        <f>A27+1</f>
        <v>16</v>
      </c>
      <c r="B29" s="3" t="s">
        <v>420</v>
      </c>
      <c r="C29" s="3"/>
      <c r="D29" s="325"/>
      <c r="E29" s="24">
        <v>1</v>
      </c>
      <c r="F29" s="24">
        <f ca="1">IF($E$59=0,0,ROUND(F27/$E$59,2))</f>
        <v>1.87</v>
      </c>
      <c r="G29" s="24">
        <f t="shared" ref="G29:L29" ca="1" si="12">IF($E$59=0,0,ROUND(G27/$E$59,2))</f>
        <v>0.95</v>
      </c>
      <c r="H29" s="24">
        <f t="shared" ca="1" si="12"/>
        <v>0.25</v>
      </c>
      <c r="I29" s="24">
        <f t="shared" ca="1" si="12"/>
        <v>53.04</v>
      </c>
      <c r="J29" s="24">
        <f t="shared" ca="1" si="12"/>
        <v>-0.56000000000000005</v>
      </c>
      <c r="K29" s="24">
        <f t="shared" ca="1" si="12"/>
        <v>0</v>
      </c>
      <c r="L29" s="24">
        <f t="shared" ca="1" si="12"/>
        <v>0</v>
      </c>
      <c r="M29" s="3"/>
    </row>
    <row r="30" spans="1:13" ht="11.25" x14ac:dyDescent="0.2">
      <c r="A30" s="3"/>
      <c r="B30" s="3"/>
      <c r="C30" s="3"/>
      <c r="D30" s="325"/>
      <c r="E30" s="31"/>
      <c r="F30" s="31"/>
      <c r="G30" s="31"/>
      <c r="H30" s="31"/>
      <c r="I30" s="31"/>
      <c r="J30" s="31"/>
      <c r="K30" s="31"/>
      <c r="L30" s="31"/>
    </row>
    <row r="31" spans="1:13" ht="11.25" x14ac:dyDescent="0.2">
      <c r="A31" s="3"/>
      <c r="B31" s="3"/>
      <c r="C31" s="3"/>
      <c r="D31" s="325"/>
      <c r="E31" s="31"/>
      <c r="F31" s="31"/>
      <c r="G31" s="31"/>
      <c r="H31" s="31"/>
      <c r="I31" s="31"/>
      <c r="J31" s="31"/>
      <c r="K31" s="31"/>
      <c r="L31" s="31"/>
    </row>
    <row r="32" spans="1:13" ht="11.25" x14ac:dyDescent="0.2">
      <c r="A32" s="3"/>
      <c r="B32" s="3"/>
      <c r="C32" s="3"/>
      <c r="D32" s="325"/>
      <c r="E32" s="3"/>
      <c r="F32" s="3"/>
      <c r="G32" s="3"/>
      <c r="H32" s="3"/>
      <c r="I32" s="3"/>
      <c r="J32" s="3"/>
      <c r="K32" s="3"/>
      <c r="L32" s="3"/>
    </row>
    <row r="33" spans="1:12" ht="11.25" x14ac:dyDescent="0.2">
      <c r="A33" s="3"/>
      <c r="B33" s="3"/>
      <c r="C33" s="3"/>
      <c r="D33" s="325"/>
      <c r="E33" s="24"/>
      <c r="F33" s="24"/>
      <c r="G33" s="24"/>
      <c r="H33" s="24"/>
      <c r="I33" s="24"/>
      <c r="J33" s="24"/>
      <c r="K33" s="24"/>
      <c r="L33" s="24"/>
    </row>
    <row r="34" spans="1:12" ht="11.25" x14ac:dyDescent="0.2">
      <c r="A34" s="3"/>
      <c r="B34" s="3"/>
      <c r="C34" s="3"/>
      <c r="D34" s="325"/>
      <c r="E34" s="3"/>
      <c r="F34" s="3"/>
      <c r="G34" s="3"/>
      <c r="H34" s="3"/>
      <c r="I34" s="3"/>
      <c r="J34" s="3"/>
      <c r="K34" s="3"/>
      <c r="L34" s="3"/>
    </row>
    <row r="35" spans="1:12" ht="11.25" x14ac:dyDescent="0.2">
      <c r="A35" s="3" t="s">
        <v>819</v>
      </c>
      <c r="B35" s="3"/>
      <c r="C35" s="3"/>
      <c r="D35" s="325"/>
      <c r="E35" s="3"/>
      <c r="F35" s="325" t="str">
        <f>""&amp;+Input!$B$1</f>
        <v>COLUMBIA GAS OF KENTUCKY, INC.</v>
      </c>
      <c r="H35" s="3"/>
      <c r="I35" s="3"/>
      <c r="J35" s="3"/>
      <c r="K35" s="3"/>
      <c r="L35" s="32" t="str">
        <f>Input!$B$2</f>
        <v>ATTACHMENT CEN-2</v>
      </c>
    </row>
    <row r="36" spans="1:12" ht="11.25" x14ac:dyDescent="0.2">
      <c r="A36" s="3" t="str">
        <f>Input!$B$7</f>
        <v>DEMAND-COMMODITY</v>
      </c>
      <c r="B36" s="3"/>
      <c r="C36" s="3"/>
      <c r="D36" s="325"/>
      <c r="E36" s="3"/>
      <c r="F36" s="325" t="s">
        <v>831</v>
      </c>
      <c r="H36" s="3"/>
      <c r="I36" s="3"/>
      <c r="J36" s="3"/>
      <c r="K36" s="3"/>
      <c r="L36" s="32" t="str">
        <f>"PAGE 105 OF "&amp;FIXED(Input!$B$8,0,TRUE)</f>
        <v>PAGE 105 OF 129</v>
      </c>
    </row>
    <row r="37" spans="1:12" ht="11.25" x14ac:dyDescent="0.2">
      <c r="A37" s="17" t="str">
        <f>Input!$B$6</f>
        <v>FORECASTED TEST YEAR - ORIGINAL FILING</v>
      </c>
      <c r="B37" s="17"/>
      <c r="C37" s="17"/>
      <c r="D37" s="34"/>
      <c r="E37" s="17"/>
      <c r="F37" s="19" t="str">
        <f>"FOR THE TWELVE MONTHS ENDED "&amp;Input!$B$4</f>
        <v>FOR THE TWELVE MONTHS ENDED 12/31/2017</v>
      </c>
      <c r="G37" s="329"/>
      <c r="H37" s="17"/>
      <c r="I37" s="17"/>
      <c r="J37" s="17"/>
      <c r="K37" s="17"/>
      <c r="L37" s="183" t="str">
        <f>"WITNESS: "&amp;Input!$B$5</f>
        <v>WITNESS: C. NOTESTONE</v>
      </c>
    </row>
    <row r="38" spans="1:12" ht="11.25" x14ac:dyDescent="0.2">
      <c r="A38" s="325" t="s">
        <v>5</v>
      </c>
      <c r="B38" s="3" t="s">
        <v>6</v>
      </c>
      <c r="C38" s="3"/>
      <c r="D38" s="325" t="s">
        <v>7</v>
      </c>
      <c r="E38" s="325" t="s">
        <v>8</v>
      </c>
      <c r="F38" s="3"/>
      <c r="G38" s="3"/>
      <c r="H38" s="3"/>
      <c r="I38" s="3"/>
      <c r="J38" s="3"/>
      <c r="K38" s="3"/>
      <c r="L38" s="3"/>
    </row>
    <row r="39" spans="1:12" ht="11.25" x14ac:dyDescent="0.2">
      <c r="A39" s="341" t="s">
        <v>9</v>
      </c>
      <c r="B39" s="341" t="s">
        <v>9</v>
      </c>
      <c r="C39" s="341" t="str">
        <f>"                        ACCOUNT TITLE                "</f>
        <v xml:space="preserve">                        ACCOUNT TITLE                </v>
      </c>
      <c r="D39" s="341" t="s">
        <v>10</v>
      </c>
      <c r="E39" s="341" t="s">
        <v>813</v>
      </c>
      <c r="F39" s="341" t="str">
        <f>"  "&amp;+Input!$C$12</f>
        <v xml:space="preserve">  GS-RESIDENTIAL</v>
      </c>
      <c r="G39" s="341" t="str">
        <f>Input!$C$13</f>
        <v>GS-OTHER</v>
      </c>
      <c r="H39" s="341" t="str">
        <f>Input!$C$14</f>
        <v>IUS</v>
      </c>
      <c r="I39" s="341" t="str">
        <f>Input!$C$15</f>
        <v>DS-ML</v>
      </c>
      <c r="J39" s="341" t="str">
        <f>Input!$C$16</f>
        <v>DS/IS</v>
      </c>
      <c r="K39" s="341" t="str">
        <f>Input!$C$17</f>
        <v>NOT USED</v>
      </c>
      <c r="L39" s="341" t="str">
        <f>Input!$C$18</f>
        <v>NOT USED</v>
      </c>
    </row>
    <row r="40" spans="1:12" ht="11.25" x14ac:dyDescent="0.2">
      <c r="A40" s="3"/>
      <c r="B40" s="342" t="s">
        <v>13</v>
      </c>
      <c r="C40" s="342" t="s">
        <v>14</v>
      </c>
      <c r="D40" s="325" t="s">
        <v>15</v>
      </c>
      <c r="E40" s="325" t="s">
        <v>16</v>
      </c>
      <c r="F40" s="325" t="s">
        <v>17</v>
      </c>
      <c r="G40" s="325" t="s">
        <v>18</v>
      </c>
      <c r="H40" s="325" t="s">
        <v>19</v>
      </c>
      <c r="I40" s="325" t="s">
        <v>20</v>
      </c>
      <c r="J40" s="325" t="s">
        <v>21</v>
      </c>
      <c r="K40" s="325" t="s">
        <v>22</v>
      </c>
      <c r="L40" s="325" t="s">
        <v>23</v>
      </c>
    </row>
    <row r="41" spans="1:12" ht="11.25" x14ac:dyDescent="0.2">
      <c r="A41" s="3"/>
      <c r="B41" s="3"/>
      <c r="C41" s="3"/>
      <c r="D41" s="325"/>
      <c r="E41" s="325" t="s">
        <v>26</v>
      </c>
      <c r="F41" s="325" t="s">
        <v>26</v>
      </c>
      <c r="G41" s="325" t="s">
        <v>26</v>
      </c>
      <c r="H41" s="325" t="s">
        <v>26</v>
      </c>
      <c r="I41" s="325" t="s">
        <v>26</v>
      </c>
      <c r="J41" s="325" t="s">
        <v>26</v>
      </c>
      <c r="K41" s="325" t="s">
        <v>26</v>
      </c>
      <c r="L41" s="325" t="s">
        <v>26</v>
      </c>
    </row>
    <row r="42" spans="1:12" ht="11.25" x14ac:dyDescent="0.2">
      <c r="A42" s="3">
        <v>1</v>
      </c>
      <c r="B42" s="3" t="s">
        <v>421</v>
      </c>
      <c r="C42" s="3"/>
      <c r="D42" s="325"/>
      <c r="E42" s="1">
        <f ca="1">E73+E97</f>
        <v>26450710.621716771</v>
      </c>
      <c r="F42" s="1">
        <f ca="1">F73+F97</f>
        <v>11301749.736180697</v>
      </c>
      <c r="G42" s="1">
        <f ca="1">G73+G97</f>
        <v>7534937.9965499761</v>
      </c>
      <c r="H42" s="1">
        <f t="shared" ref="H42:L42" ca="1" si="13">H73+H97</f>
        <v>16839.697033016106</v>
      </c>
      <c r="I42" s="1">
        <f t="shared" ca="1" si="13"/>
        <v>-305.20119986933423</v>
      </c>
      <c r="J42" s="1">
        <f t="shared" ca="1" si="13"/>
        <v>7597485.9221265242</v>
      </c>
      <c r="K42" s="1">
        <f t="shared" ca="1" si="13"/>
        <v>0</v>
      </c>
      <c r="L42" s="1">
        <f t="shared" ca="1" si="13"/>
        <v>0</v>
      </c>
    </row>
    <row r="43" spans="1:12" ht="11.25" x14ac:dyDescent="0.2">
      <c r="A43" s="3"/>
      <c r="B43" s="3"/>
      <c r="C43" s="3"/>
      <c r="D43" s="325"/>
      <c r="E43" s="3"/>
      <c r="F43" s="3"/>
      <c r="G43" s="3"/>
      <c r="H43" s="3"/>
      <c r="I43" s="3"/>
      <c r="J43" s="3"/>
      <c r="K43" s="3"/>
      <c r="L43" s="3"/>
    </row>
    <row r="44" spans="1:12" ht="11.25" x14ac:dyDescent="0.2">
      <c r="A44" s="3">
        <f>A42+1</f>
        <v>2</v>
      </c>
      <c r="B44" s="3" t="s">
        <v>409</v>
      </c>
      <c r="C44" s="3"/>
      <c r="D44" s="325"/>
      <c r="E44" s="3">
        <f>Demand!E99+Demand!E75</f>
        <v>0.10999999567866325</v>
      </c>
      <c r="F44" s="3">
        <f>Demand!F99+Demand!F75</f>
        <v>0</v>
      </c>
      <c r="G44" s="3">
        <f>Demand!G99+Demand!G75</f>
        <v>0</v>
      </c>
      <c r="H44" s="3">
        <f>Demand!H99+Demand!H75</f>
        <v>0</v>
      </c>
      <c r="I44" s="3">
        <f>Demand!I99+Demand!I75</f>
        <v>0</v>
      </c>
      <c r="J44" s="3">
        <f>Demand!J99+Demand!J75</f>
        <v>0</v>
      </c>
      <c r="K44" s="3">
        <f>Demand!K99+Demand!K75</f>
        <v>0</v>
      </c>
      <c r="L44" s="3">
        <f>Demand!L99+Demand!L75</f>
        <v>0</v>
      </c>
    </row>
    <row r="45" spans="1:12" ht="11.25" x14ac:dyDescent="0.2">
      <c r="A45" s="3">
        <f t="shared" ref="A45:A50" si="14">A44+1</f>
        <v>3</v>
      </c>
      <c r="B45" s="3" t="s">
        <v>422</v>
      </c>
      <c r="C45" s="3"/>
      <c r="D45" s="325"/>
      <c r="E45" s="3">
        <f ca="1">SUM(F45:L45)</f>
        <v>9148052</v>
      </c>
      <c r="F45" s="3">
        <f ca="1">Demand!F100+Demand!F77+Demand!F79</f>
        <v>3522381</v>
      </c>
      <c r="G45" s="3">
        <f ca="1">Demand!G100+Demand!G77+Demand!G79</f>
        <v>2420412</v>
      </c>
      <c r="H45" s="3">
        <f ca="1">Demand!H100+Demand!H77+Demand!H79</f>
        <v>5288</v>
      </c>
      <c r="I45" s="3">
        <f ca="1">Demand!I100+Demand!I77+Demand!I79</f>
        <v>-1068</v>
      </c>
      <c r="J45" s="3">
        <f ca="1">Demand!J100+Demand!J77+Demand!J79</f>
        <v>3201039</v>
      </c>
      <c r="K45" s="3">
        <f ca="1">Demand!K100+Demand!K77+Demand!K79</f>
        <v>0</v>
      </c>
      <c r="L45" s="3">
        <f ca="1">Demand!L100+Demand!L77+Demand!L79</f>
        <v>0</v>
      </c>
    </row>
    <row r="46" spans="1:12" ht="11.25" x14ac:dyDescent="0.2">
      <c r="A46" s="3">
        <f t="shared" si="14"/>
        <v>4</v>
      </c>
      <c r="B46" s="3" t="s">
        <v>423</v>
      </c>
      <c r="C46" s="3"/>
      <c r="D46" s="325"/>
      <c r="E46" s="3">
        <f>Demand!E101</f>
        <v>3392114.5633508228</v>
      </c>
      <c r="F46" s="3">
        <f ca="1">Demand!F101</f>
        <v>1322146</v>
      </c>
      <c r="G46" s="3">
        <f ca="1">Demand!G101</f>
        <v>895328</v>
      </c>
      <c r="H46" s="3">
        <f ca="1">Demand!H101</f>
        <v>1931</v>
      </c>
      <c r="I46" s="3">
        <f ca="1">Demand!I101</f>
        <v>597.86000000000013</v>
      </c>
      <c r="J46" s="3">
        <f ca="1">Demand!J101</f>
        <v>1172110</v>
      </c>
      <c r="K46" s="3">
        <f ca="1">Demand!K101</f>
        <v>0</v>
      </c>
      <c r="L46" s="3">
        <f ca="1">Demand!L101</f>
        <v>0</v>
      </c>
    </row>
    <row r="47" spans="1:12" ht="11.25" x14ac:dyDescent="0.2">
      <c r="A47" s="3">
        <f t="shared" si="14"/>
        <v>5</v>
      </c>
      <c r="B47" s="3" t="s">
        <v>424</v>
      </c>
      <c r="C47" s="3"/>
      <c r="D47" s="325"/>
      <c r="E47" s="3">
        <f ca="1">SUM(F47:L47)</f>
        <v>2732282</v>
      </c>
      <c r="F47" s="3">
        <f ca="1">Demand!F102+Demand!F87</f>
        <v>1281280</v>
      </c>
      <c r="G47" s="3">
        <f ca="1">Demand!G102+Demand!G87</f>
        <v>862257</v>
      </c>
      <c r="H47" s="3">
        <f ca="1">Demand!H102+Demand!H87</f>
        <v>2045</v>
      </c>
      <c r="I47" s="3">
        <f ca="1">Demand!I102+Demand!I87</f>
        <v>-1638</v>
      </c>
      <c r="J47" s="3">
        <f ca="1">Demand!J102+Demand!J87</f>
        <v>588338</v>
      </c>
      <c r="K47" s="3">
        <f ca="1">Demand!K102+Demand!K87</f>
        <v>0</v>
      </c>
      <c r="L47" s="3">
        <f ca="1">Demand!L102+Demand!L87</f>
        <v>0</v>
      </c>
    </row>
    <row r="48" spans="1:12" ht="11.25" x14ac:dyDescent="0.2">
      <c r="A48" s="3">
        <f t="shared" si="14"/>
        <v>6</v>
      </c>
      <c r="B48" s="3" t="s">
        <v>425</v>
      </c>
      <c r="C48" s="3"/>
      <c r="D48" s="325"/>
      <c r="E48" s="3">
        <f ca="1">SUM(F48:L48)</f>
        <v>501392.32849305996</v>
      </c>
      <c r="F48" s="3">
        <f ca="1">Demand!F103+Demand!F83</f>
        <v>243024.52280157869</v>
      </c>
      <c r="G48" s="3">
        <f ca="1">Demand!G103+Demand!G83</f>
        <v>158027.40786490066</v>
      </c>
      <c r="H48" s="3">
        <f ca="1">Demand!H103+Demand!H83</f>
        <v>365.3083315989104</v>
      </c>
      <c r="I48" s="3">
        <f ca="1">Demand!I103+Demand!I83</f>
        <v>-69.034420256200065</v>
      </c>
      <c r="J48" s="3">
        <f ca="1">Demand!J103+Demand!J83</f>
        <v>100044.1239152379</v>
      </c>
      <c r="K48" s="3">
        <f ca="1">Demand!K103+Demand!K83</f>
        <v>0</v>
      </c>
      <c r="L48" s="3">
        <f ca="1">Demand!L103+Demand!L83</f>
        <v>0</v>
      </c>
    </row>
    <row r="49" spans="1:12" ht="11.25" x14ac:dyDescent="0.2">
      <c r="A49" s="3">
        <f t="shared" si="14"/>
        <v>7</v>
      </c>
      <c r="B49" s="3" t="s">
        <v>426</v>
      </c>
      <c r="C49" s="3"/>
      <c r="D49" s="325"/>
      <c r="E49" s="26">
        <f ca="1">SUM(F49:L49)</f>
        <v>1309575</v>
      </c>
      <c r="F49" s="26">
        <f ca="1">Demand!F104</f>
        <v>510402</v>
      </c>
      <c r="G49" s="26">
        <f ca="1">Demand!G104</f>
        <v>345642</v>
      </c>
      <c r="H49" s="26">
        <f ca="1">Demand!H104</f>
        <v>747</v>
      </c>
      <c r="I49" s="26">
        <f ca="1">Demand!I104</f>
        <v>294</v>
      </c>
      <c r="J49" s="26">
        <f ca="1">Demand!J104</f>
        <v>452490</v>
      </c>
      <c r="K49" s="26">
        <f ca="1">Demand!K104</f>
        <v>0</v>
      </c>
      <c r="L49" s="26">
        <f ca="1">Demand!L104</f>
        <v>0</v>
      </c>
    </row>
    <row r="50" spans="1:12" ht="11.25" x14ac:dyDescent="0.2">
      <c r="A50" s="3">
        <f t="shared" si="14"/>
        <v>8</v>
      </c>
      <c r="B50" s="3" t="s">
        <v>415</v>
      </c>
      <c r="C50" s="3"/>
      <c r="D50" s="325"/>
      <c r="E50" s="3">
        <f t="shared" ref="E50:L50" ca="1" si="15">SUM(E44:E49)</f>
        <v>17083416.001843877</v>
      </c>
      <c r="F50" s="3">
        <f t="shared" ca="1" si="15"/>
        <v>6879233.522801579</v>
      </c>
      <c r="G50" s="3">
        <f t="shared" ca="1" si="15"/>
        <v>4681666.4078649003</v>
      </c>
      <c r="H50" s="3">
        <f t="shared" ca="1" si="15"/>
        <v>10376.30833159891</v>
      </c>
      <c r="I50" s="3">
        <f t="shared" ca="1" si="15"/>
        <v>-1883.1744202561999</v>
      </c>
      <c r="J50" s="3">
        <f t="shared" ca="1" si="15"/>
        <v>5514021.1239152383</v>
      </c>
      <c r="K50" s="3">
        <f t="shared" ca="1" si="15"/>
        <v>0</v>
      </c>
      <c r="L50" s="3">
        <f t="shared" ca="1" si="15"/>
        <v>0</v>
      </c>
    </row>
    <row r="51" spans="1:12" ht="11.25" x14ac:dyDescent="0.2">
      <c r="A51" s="3"/>
      <c r="B51" s="3"/>
      <c r="C51" s="3"/>
      <c r="D51" s="325"/>
      <c r="E51" s="3"/>
      <c r="F51" s="3"/>
      <c r="G51" s="3"/>
      <c r="H51" s="3"/>
      <c r="I51" s="3"/>
      <c r="J51" s="3"/>
      <c r="K51" s="3"/>
      <c r="L51" s="3"/>
    </row>
    <row r="52" spans="1:12" ht="11.25" x14ac:dyDescent="0.2">
      <c r="A52" s="3">
        <f>A50+1</f>
        <v>9</v>
      </c>
      <c r="B52" s="3" t="s">
        <v>48</v>
      </c>
      <c r="C52" s="3"/>
      <c r="D52" s="325"/>
      <c r="E52" s="3">
        <f t="shared" ref="E52:L52" ca="1" si="16">E42-E50</f>
        <v>9367294.6198728941</v>
      </c>
      <c r="F52" s="3">
        <f t="shared" ca="1" si="16"/>
        <v>4422516.2133791177</v>
      </c>
      <c r="G52" s="3">
        <f t="shared" ca="1" si="16"/>
        <v>2853271.5886850758</v>
      </c>
      <c r="H52" s="3">
        <f t="shared" ca="1" si="16"/>
        <v>6463.388701417196</v>
      </c>
      <c r="I52" s="3">
        <f t="shared" ca="1" si="16"/>
        <v>1577.9732203868657</v>
      </c>
      <c r="J52" s="3">
        <f t="shared" ca="1" si="16"/>
        <v>2083464.7982112858</v>
      </c>
      <c r="K52" s="3">
        <f t="shared" ca="1" si="16"/>
        <v>0</v>
      </c>
      <c r="L52" s="3">
        <f t="shared" ca="1" si="16"/>
        <v>0</v>
      </c>
    </row>
    <row r="53" spans="1:12" ht="11.25" x14ac:dyDescent="0.2">
      <c r="A53" s="3"/>
      <c r="B53" s="3"/>
      <c r="C53" s="3"/>
      <c r="D53" s="325"/>
      <c r="E53" s="3"/>
      <c r="F53" s="3"/>
      <c r="G53" s="3"/>
      <c r="H53" s="3"/>
      <c r="I53" s="3"/>
      <c r="J53" s="3"/>
      <c r="K53" s="3"/>
      <c r="L53" s="3"/>
    </row>
    <row r="54" spans="1:12" ht="11.25" x14ac:dyDescent="0.2">
      <c r="A54" s="3">
        <f>A52+1</f>
        <v>10</v>
      </c>
      <c r="B54" s="3" t="s">
        <v>427</v>
      </c>
      <c r="C54" s="3"/>
      <c r="D54" s="325"/>
      <c r="E54" s="26">
        <f ca="1">SUM(F54:L54)</f>
        <v>2940506</v>
      </c>
      <c r="F54" s="26">
        <f ca="1">Demand!F109</f>
        <v>1388281</v>
      </c>
      <c r="G54" s="26">
        <f ca="1">Demand!G109</f>
        <v>895676</v>
      </c>
      <c r="H54" s="26">
        <f ca="1">Demand!H109</f>
        <v>2029</v>
      </c>
      <c r="I54" s="26">
        <f ca="1">Demand!I109</f>
        <v>495</v>
      </c>
      <c r="J54" s="26">
        <f ca="1">Demand!J109</f>
        <v>654025</v>
      </c>
      <c r="K54" s="26">
        <f ca="1">Demand!K109</f>
        <v>0</v>
      </c>
      <c r="L54" s="26">
        <f ca="1">Demand!L109</f>
        <v>0</v>
      </c>
    </row>
    <row r="55" spans="1:12" ht="11.25" x14ac:dyDescent="0.2">
      <c r="A55" s="3">
        <f>A54+1</f>
        <v>11</v>
      </c>
      <c r="B55" s="3" t="s">
        <v>417</v>
      </c>
      <c r="C55" s="3"/>
      <c r="D55" s="325"/>
      <c r="E55" s="3">
        <f t="shared" ref="E55:L55" ca="1" si="17">E52-E54</f>
        <v>6426788.6198728941</v>
      </c>
      <c r="F55" s="3">
        <f t="shared" ca="1" si="17"/>
        <v>3034235.2133791177</v>
      </c>
      <c r="G55" s="3">
        <f t="shared" ca="1" si="17"/>
        <v>1957595.5886850758</v>
      </c>
      <c r="H55" s="3">
        <f t="shared" ca="1" si="17"/>
        <v>4434.388701417196</v>
      </c>
      <c r="I55" s="3">
        <f t="shared" ca="1" si="17"/>
        <v>1082.9732203868657</v>
      </c>
      <c r="J55" s="3">
        <f t="shared" ca="1" si="17"/>
        <v>1429439.7982112858</v>
      </c>
      <c r="K55" s="3">
        <f t="shared" ca="1" si="17"/>
        <v>0</v>
      </c>
      <c r="L55" s="3">
        <f t="shared" ca="1" si="17"/>
        <v>0</v>
      </c>
    </row>
    <row r="56" spans="1:12" ht="11.25" x14ac:dyDescent="0.2">
      <c r="A56" s="3"/>
      <c r="B56" s="3"/>
      <c r="C56" s="3"/>
      <c r="D56" s="325"/>
      <c r="E56" s="3"/>
      <c r="F56" s="3"/>
      <c r="G56" s="3"/>
      <c r="H56" s="3"/>
      <c r="I56" s="3"/>
      <c r="J56" s="3"/>
      <c r="K56" s="3"/>
      <c r="L56" s="3"/>
    </row>
    <row r="57" spans="1:12" ht="11.25" x14ac:dyDescent="0.2">
      <c r="A57" s="3">
        <f>A55+1</f>
        <v>12</v>
      </c>
      <c r="B57" s="3" t="s">
        <v>428</v>
      </c>
      <c r="C57" s="3"/>
      <c r="D57" s="325"/>
      <c r="E57" s="3">
        <f ca="1">Demand!E113</f>
        <v>111382801.86538464</v>
      </c>
      <c r="F57" s="3">
        <f ca="1">Demand!F113</f>
        <v>52586401</v>
      </c>
      <c r="G57" s="3">
        <f ca="1">Demand!G113</f>
        <v>33927136</v>
      </c>
      <c r="H57" s="3">
        <f ca="1">Demand!H113</f>
        <v>76845</v>
      </c>
      <c r="I57" s="3">
        <f ca="1">Demand!I113</f>
        <v>18764.449999999997</v>
      </c>
      <c r="J57" s="3">
        <f ca="1">Demand!J113</f>
        <v>24773661</v>
      </c>
      <c r="K57" s="3">
        <f ca="1">Demand!K113</f>
        <v>0</v>
      </c>
      <c r="L57" s="3">
        <f ca="1">Demand!L113</f>
        <v>0</v>
      </c>
    </row>
    <row r="58" spans="1:12" ht="11.25" x14ac:dyDescent="0.2">
      <c r="A58" s="3"/>
      <c r="B58" s="3"/>
      <c r="C58" s="3"/>
      <c r="D58" s="325"/>
      <c r="E58" s="48"/>
      <c r="F58" s="48"/>
      <c r="G58" s="48"/>
      <c r="H58" s="48"/>
      <c r="I58" s="48"/>
      <c r="J58" s="48"/>
      <c r="K58" s="48"/>
      <c r="L58" s="48"/>
    </row>
    <row r="59" spans="1:12" ht="11.25" x14ac:dyDescent="0.2">
      <c r="A59" s="3">
        <f>A57+1</f>
        <v>13</v>
      </c>
      <c r="B59" s="3" t="s">
        <v>429</v>
      </c>
      <c r="C59" s="3"/>
      <c r="D59" s="325"/>
      <c r="E59" s="49">
        <f t="shared" ref="E59:L59" ca="1" si="18">IF(E57=0,0,ROUND(E52/E57,4))</f>
        <v>8.4099999999999994E-2</v>
      </c>
      <c r="F59" s="49">
        <f t="shared" ca="1" si="18"/>
        <v>8.4099999999999994E-2</v>
      </c>
      <c r="G59" s="49">
        <f t="shared" ca="1" si="18"/>
        <v>8.4099999999999994E-2</v>
      </c>
      <c r="H59" s="49">
        <f t="shared" ca="1" si="18"/>
        <v>8.4099999999999994E-2</v>
      </c>
      <c r="I59" s="49">
        <f t="shared" ca="1" si="18"/>
        <v>8.4099999999999994E-2</v>
      </c>
      <c r="J59" s="49">
        <f t="shared" ca="1" si="18"/>
        <v>8.4099999999999994E-2</v>
      </c>
      <c r="K59" s="49">
        <f t="shared" ca="1" si="18"/>
        <v>0</v>
      </c>
      <c r="L59" s="49">
        <f t="shared" ca="1" si="18"/>
        <v>0</v>
      </c>
    </row>
    <row r="60" spans="1:12" ht="11.25" x14ac:dyDescent="0.2">
      <c r="A60" s="3"/>
      <c r="B60" s="3"/>
      <c r="C60" s="3"/>
      <c r="D60" s="325"/>
      <c r="E60" s="3"/>
      <c r="F60" s="3"/>
      <c r="G60" s="3"/>
      <c r="H60" s="3"/>
      <c r="I60" s="3"/>
      <c r="J60" s="3"/>
      <c r="K60" s="3"/>
      <c r="L60" s="3"/>
    </row>
    <row r="61" spans="1:12" ht="11.25" x14ac:dyDescent="0.2">
      <c r="A61" s="3">
        <f>A59+1</f>
        <v>14</v>
      </c>
      <c r="B61" s="3" t="s">
        <v>420</v>
      </c>
      <c r="C61" s="3"/>
      <c r="D61" s="325"/>
      <c r="E61" s="24">
        <v>1</v>
      </c>
      <c r="F61" s="24">
        <f ca="1">IF($E$59=0,0,ROUND(F59/$E$59,2))</f>
        <v>1</v>
      </c>
      <c r="G61" s="24">
        <f t="shared" ref="G61:L61" ca="1" si="19">IF($E$59=0,0,ROUND(G59/$E$59,2))</f>
        <v>1</v>
      </c>
      <c r="H61" s="24">
        <f t="shared" ca="1" si="19"/>
        <v>1</v>
      </c>
      <c r="I61" s="24">
        <f t="shared" ca="1" si="19"/>
        <v>1</v>
      </c>
      <c r="J61" s="24">
        <f t="shared" ca="1" si="19"/>
        <v>1</v>
      </c>
      <c r="K61" s="24">
        <f t="shared" ca="1" si="19"/>
        <v>0</v>
      </c>
      <c r="L61" s="24">
        <f t="shared" ca="1" si="19"/>
        <v>0</v>
      </c>
    </row>
    <row r="62" spans="1:12" ht="11.25" x14ac:dyDescent="0.2">
      <c r="A62" s="3"/>
      <c r="B62" s="3"/>
      <c r="C62" s="3"/>
      <c r="D62" s="325"/>
      <c r="E62" s="31"/>
      <c r="F62" s="31"/>
      <c r="G62" s="31"/>
      <c r="H62" s="31"/>
      <c r="I62" s="31"/>
      <c r="J62" s="31"/>
      <c r="K62" s="31"/>
      <c r="L62" s="31"/>
    </row>
    <row r="63" spans="1:12" ht="11.25" x14ac:dyDescent="0.2">
      <c r="A63" s="3"/>
      <c r="B63" s="3"/>
      <c r="C63" s="3"/>
      <c r="D63" s="325"/>
      <c r="E63" s="31"/>
      <c r="F63" s="31"/>
      <c r="G63" s="31"/>
      <c r="H63" s="31"/>
      <c r="I63" s="31"/>
      <c r="J63" s="31"/>
      <c r="K63" s="31"/>
      <c r="L63" s="31"/>
    </row>
    <row r="64" spans="1:12" ht="11.25" x14ac:dyDescent="0.2">
      <c r="A64" s="3"/>
      <c r="B64" s="3"/>
      <c r="C64" s="3"/>
      <c r="D64" s="325"/>
      <c r="E64" s="3"/>
      <c r="F64" s="3"/>
      <c r="G64" s="3"/>
      <c r="H64" s="3"/>
      <c r="I64" s="3"/>
      <c r="J64" s="3"/>
      <c r="K64" s="3"/>
      <c r="L64" s="3"/>
    </row>
    <row r="65" spans="1:12" ht="11.25" x14ac:dyDescent="0.2">
      <c r="A65" s="3"/>
      <c r="B65" s="3"/>
      <c r="C65" s="3"/>
      <c r="D65" s="325"/>
      <c r="E65" s="24"/>
      <c r="F65" s="24"/>
      <c r="G65" s="24"/>
      <c r="H65" s="24"/>
      <c r="I65" s="24"/>
      <c r="J65" s="24"/>
      <c r="K65" s="24"/>
      <c r="L65" s="24"/>
    </row>
    <row r="66" spans="1:12" ht="11.25" x14ac:dyDescent="0.2">
      <c r="A66" s="3"/>
      <c r="B66" s="3"/>
      <c r="C66" s="3"/>
      <c r="D66" s="325"/>
      <c r="E66" s="3"/>
      <c r="F66" s="3"/>
      <c r="G66" s="3"/>
      <c r="H66" s="3"/>
      <c r="I66" s="3"/>
      <c r="J66" s="3"/>
      <c r="K66" s="3"/>
      <c r="L66" s="3"/>
    </row>
    <row r="67" spans="1:12" ht="11.25" x14ac:dyDescent="0.2">
      <c r="A67" s="3" t="s">
        <v>819</v>
      </c>
      <c r="B67" s="3"/>
      <c r="C67" s="3"/>
      <c r="E67" s="3"/>
      <c r="F67" s="325" t="str">
        <f>""&amp;+Input!$B$1</f>
        <v>COLUMBIA GAS OF KENTUCKY, INC.</v>
      </c>
      <c r="H67" s="3"/>
      <c r="I67" s="3"/>
      <c r="J67" s="3"/>
      <c r="K67" s="3"/>
      <c r="L67" s="32" t="str">
        <f>Input!$B$2</f>
        <v>ATTACHMENT CEN-2</v>
      </c>
    </row>
    <row r="68" spans="1:12" ht="11.25" x14ac:dyDescent="0.2">
      <c r="A68" s="3" t="str">
        <f>Input!$B$7</f>
        <v>DEMAND-COMMODITY</v>
      </c>
      <c r="B68" s="3"/>
      <c r="C68" s="3"/>
      <c r="E68" s="3"/>
      <c r="F68" s="325" t="s">
        <v>4</v>
      </c>
      <c r="H68" s="3"/>
      <c r="I68" s="3"/>
      <c r="J68" s="3"/>
      <c r="K68" s="3"/>
      <c r="L68" s="32" t="str">
        <f>"PAGE 106 OF "&amp;FIXED(Input!$B$8,0,TRUE)</f>
        <v>PAGE 106 OF 129</v>
      </c>
    </row>
    <row r="69" spans="1:12" ht="11.25" x14ac:dyDescent="0.2">
      <c r="A69" s="17" t="str">
        <f>Input!$B$6</f>
        <v>FORECASTED TEST YEAR - ORIGINAL FILING</v>
      </c>
      <c r="B69" s="17"/>
      <c r="C69" s="17"/>
      <c r="D69" s="34"/>
      <c r="E69" s="18"/>
      <c r="F69" s="19" t="str">
        <f>"FOR THE TWELVE MONTHS ENDED "&amp;Input!$B$4</f>
        <v>FOR THE TWELVE MONTHS ENDED 12/31/2017</v>
      </c>
      <c r="G69" s="329"/>
      <c r="H69" s="17"/>
      <c r="I69" s="17"/>
      <c r="J69" s="17"/>
      <c r="K69" s="17"/>
      <c r="L69" s="183" t="str">
        <f>"WITNESS: "&amp;Input!$B$5</f>
        <v>WITNESS: C. NOTESTONE</v>
      </c>
    </row>
    <row r="70" spans="1:12" ht="11.25" x14ac:dyDescent="0.2">
      <c r="A70" s="21" t="s">
        <v>5</v>
      </c>
      <c r="C70" s="3"/>
      <c r="D70" s="325" t="s">
        <v>7</v>
      </c>
      <c r="E70" s="325" t="s">
        <v>12</v>
      </c>
      <c r="F70" s="325"/>
      <c r="G70" s="325"/>
      <c r="H70" s="325"/>
      <c r="I70" s="325"/>
      <c r="J70" s="325"/>
      <c r="K70" s="325"/>
      <c r="L70" s="325"/>
    </row>
    <row r="71" spans="1:12" ht="11.25" x14ac:dyDescent="0.2">
      <c r="A71" s="22" t="s">
        <v>9</v>
      </c>
      <c r="C71" s="341" t="s">
        <v>24</v>
      </c>
      <c r="D71" s="341" t="s">
        <v>10</v>
      </c>
      <c r="E71" s="341" t="s">
        <v>813</v>
      </c>
      <c r="F71" s="341" t="str">
        <f>Input!$C$12</f>
        <v>GS-RESIDENTIAL</v>
      </c>
      <c r="G71" s="341" t="str">
        <f>Input!$C$13</f>
        <v>GS-OTHER</v>
      </c>
      <c r="H71" s="341" t="str">
        <f>Input!$C$14</f>
        <v>IUS</v>
      </c>
      <c r="I71" s="341" t="str">
        <f>Input!$C$15</f>
        <v>DS-ML</v>
      </c>
      <c r="J71" s="341" t="str">
        <f>Input!$C$16</f>
        <v>DS/IS</v>
      </c>
      <c r="K71" s="341" t="str">
        <f>Input!$C$17</f>
        <v>NOT USED</v>
      </c>
      <c r="L71" s="341" t="str">
        <f>Input!$C$18</f>
        <v>NOT USED</v>
      </c>
    </row>
    <row r="72" spans="1:12" ht="11.25" x14ac:dyDescent="0.2">
      <c r="A72" s="325"/>
      <c r="C72" s="342" t="s">
        <v>13</v>
      </c>
      <c r="D72" s="342" t="s">
        <v>14</v>
      </c>
      <c r="E72" s="325" t="s">
        <v>15</v>
      </c>
      <c r="F72" s="325" t="s">
        <v>16</v>
      </c>
      <c r="G72" s="325" t="s">
        <v>17</v>
      </c>
      <c r="H72" s="325" t="s">
        <v>18</v>
      </c>
      <c r="I72" s="325" t="s">
        <v>19</v>
      </c>
      <c r="J72" s="325" t="s">
        <v>20</v>
      </c>
      <c r="K72" s="325" t="s">
        <v>21</v>
      </c>
      <c r="L72" s="325" t="s">
        <v>22</v>
      </c>
    </row>
    <row r="73" spans="1:12" ht="11.25" x14ac:dyDescent="0.2">
      <c r="A73" s="325">
        <v>1</v>
      </c>
      <c r="B73" s="3" t="s">
        <v>27</v>
      </c>
      <c r="C73" s="3"/>
      <c r="E73" s="3">
        <f ca="1">((ROUND(E113*Input!$D$24,0)-E107)*Input!$E$49)</f>
        <v>6608625.0217167689</v>
      </c>
      <c r="F73" s="3">
        <f ca="1">((ROUND(F113*Input!$D$24,0)-F107)*Input!$E$49)</f>
        <v>-1429147.1138193086</v>
      </c>
      <c r="G73" s="3">
        <f ca="1">((ROUND(G113*Input!$D$24,0)-G107)*Input!$E$49)</f>
        <v>2202457.98654998</v>
      </c>
      <c r="H73" s="3">
        <f ca="1">((ROUND(H113*Input!$D$24,0)-H107)*Input!$E$49)</f>
        <v>10288.9270330161</v>
      </c>
      <c r="I73" s="3">
        <f ca="1">((ROUND(I113*Input!$D$24,0)-I107)*Input!$E$49)</f>
        <v>-136487.14119986928</v>
      </c>
      <c r="J73" s="3">
        <f ca="1">((ROUND(J113*Input!$D$24,0)-J107)*Input!$E$49)</f>
        <v>5961509.8921265239</v>
      </c>
      <c r="K73" s="3">
        <f ca="1">((ROUND(K113*Input!$D$24,0)-K107)*Input!$E$49)</f>
        <v>0</v>
      </c>
      <c r="L73" s="3">
        <f ca="1">((ROUND(L113*Input!$D$24,0)-L107)*Input!$E$49)</f>
        <v>0</v>
      </c>
    </row>
    <row r="74" spans="1:12" ht="11.25" x14ac:dyDescent="0.2">
      <c r="A74" s="325"/>
      <c r="B74" s="3"/>
      <c r="C74" s="3"/>
      <c r="E74" s="23"/>
      <c r="F74" s="23"/>
      <c r="G74" s="23"/>
      <c r="H74" s="23"/>
      <c r="I74" s="23"/>
      <c r="J74" s="23"/>
      <c r="K74" s="23"/>
      <c r="L74" s="23"/>
    </row>
    <row r="75" spans="1:12" ht="11.25" x14ac:dyDescent="0.2">
      <c r="A75" s="325">
        <f>A73+1</f>
        <v>2</v>
      </c>
      <c r="B75" s="25" t="s">
        <v>28</v>
      </c>
      <c r="C75" s="3"/>
      <c r="E75" s="23">
        <f>SUM(F75:L75)</f>
        <v>0</v>
      </c>
      <c r="F75" s="23">
        <f>Input!E556</f>
        <v>0</v>
      </c>
      <c r="G75" s="23">
        <f>Input!F556</f>
        <v>0</v>
      </c>
      <c r="H75" s="23">
        <f>Input!G556</f>
        <v>0</v>
      </c>
      <c r="I75" s="23">
        <f>Input!H556</f>
        <v>0</v>
      </c>
      <c r="J75" s="23">
        <f>Input!I556</f>
        <v>0</v>
      </c>
      <c r="K75" s="23">
        <f>Input!J556</f>
        <v>0</v>
      </c>
      <c r="L75" s="23">
        <f>Input!K556</f>
        <v>0</v>
      </c>
    </row>
    <row r="76" spans="1:12" ht="11.25" x14ac:dyDescent="0.2">
      <c r="A76" s="325"/>
      <c r="B76" s="3"/>
      <c r="C76" s="3"/>
      <c r="E76" s="3"/>
      <c r="F76" s="3"/>
      <c r="G76" s="3"/>
      <c r="H76" s="3"/>
      <c r="I76" s="3"/>
      <c r="J76" s="3"/>
      <c r="K76" s="3"/>
      <c r="L76" s="3"/>
    </row>
    <row r="77" spans="1:12" ht="11.25" x14ac:dyDescent="0.2">
      <c r="A77" s="325">
        <f>A75+1</f>
        <v>3</v>
      </c>
      <c r="B77" s="25" t="str">
        <f>"LESS: UNCOLLECTIBLES @ "&amp;FIXED(Input!$D$26,8,TRUE)</f>
        <v>LESS: UNCOLLECTIBLES @ 0.00923329</v>
      </c>
      <c r="C77" s="3"/>
      <c r="E77" s="23">
        <f ca="1">SUM(F77:L77)</f>
        <v>61019</v>
      </c>
      <c r="F77" s="23">
        <f ca="1">ROUND(F73*Input!$D$26,0)</f>
        <v>-13196</v>
      </c>
      <c r="G77" s="23">
        <f ca="1">ROUND(G73*Input!$D$26,0)</f>
        <v>20336</v>
      </c>
      <c r="H77" s="23">
        <f ca="1">ROUND(H73*Input!$D$26,0)</f>
        <v>95</v>
      </c>
      <c r="I77" s="23">
        <f ca="1">ROUND(I73*Input!$D$26,0)</f>
        <v>-1260</v>
      </c>
      <c r="J77" s="23">
        <f ca="1">ROUND(J73*Input!$D$26,0)</f>
        <v>55044</v>
      </c>
      <c r="K77" s="23">
        <f ca="1">ROUND(K73*Input!$D$26,0)</f>
        <v>0</v>
      </c>
      <c r="L77" s="23">
        <f ca="1">ROUND(L73*Input!$D$26,0)</f>
        <v>0</v>
      </c>
    </row>
    <row r="78" spans="1:12" ht="11.25" x14ac:dyDescent="0.2">
      <c r="A78" s="325"/>
      <c r="B78" s="3"/>
      <c r="C78" s="3"/>
      <c r="E78" s="23"/>
      <c r="F78" s="23"/>
      <c r="G78" s="23"/>
      <c r="H78" s="23"/>
      <c r="I78" s="23"/>
      <c r="J78" s="23"/>
      <c r="K78" s="23"/>
      <c r="L78" s="23"/>
    </row>
    <row r="79" spans="1:12" ht="11.25" x14ac:dyDescent="0.2">
      <c r="A79" s="325">
        <f>A77+1</f>
        <v>4</v>
      </c>
      <c r="B79" s="25" t="str">
        <f>"LESS: PSC FEES @ "&amp;FIXED(Input!$D$31,8,TRUE)</f>
        <v>LESS: PSC FEES @ 0.00190100</v>
      </c>
      <c r="C79" s="3"/>
      <c r="E79" s="27">
        <f ca="1">SUM(F79:L79)</f>
        <v>12564</v>
      </c>
      <c r="F79" s="27">
        <f ca="1">ROUND(F73*Input!$D$31,0)</f>
        <v>-2717</v>
      </c>
      <c r="G79" s="27">
        <f ca="1">ROUND(G73*Input!$D$31,0)</f>
        <v>4187</v>
      </c>
      <c r="H79" s="27">
        <f ca="1">ROUND(H73*Input!$D$31,0)</f>
        <v>20</v>
      </c>
      <c r="I79" s="27">
        <f ca="1">ROUND(I73*Input!$D$31,0)</f>
        <v>-259</v>
      </c>
      <c r="J79" s="27">
        <f ca="1">ROUND(J73*Input!$D$31,0)</f>
        <v>11333</v>
      </c>
      <c r="K79" s="27">
        <f ca="1">ROUND(K73*Input!$D$31,0)</f>
        <v>0</v>
      </c>
      <c r="L79" s="27">
        <f ca="1">ROUND(L73*Input!$D$31,0)</f>
        <v>0</v>
      </c>
    </row>
    <row r="80" spans="1:12" ht="11.25" x14ac:dyDescent="0.2">
      <c r="A80" s="325"/>
      <c r="B80" s="3"/>
      <c r="C80" s="3"/>
      <c r="E80" s="3"/>
      <c r="F80" s="3"/>
      <c r="G80" s="3"/>
      <c r="H80" s="3"/>
      <c r="I80" s="3"/>
      <c r="J80" s="3"/>
      <c r="K80" s="3"/>
      <c r="L80" s="3"/>
    </row>
    <row r="81" spans="1:12" ht="11.25" x14ac:dyDescent="0.2">
      <c r="A81" s="325">
        <f>A79+1</f>
        <v>5</v>
      </c>
      <c r="B81" s="25" t="s">
        <v>31</v>
      </c>
      <c r="C81" s="3"/>
      <c r="E81" s="23">
        <f t="shared" ref="E81:L81" ca="1" si="20">E73-E75-E77-E79</f>
        <v>6535042.0217167689</v>
      </c>
      <c r="F81" s="23">
        <f t="shared" ca="1" si="20"/>
        <v>-1413234.1138193086</v>
      </c>
      <c r="G81" s="23">
        <f t="shared" ca="1" si="20"/>
        <v>2177934.98654998</v>
      </c>
      <c r="H81" s="23">
        <f t="shared" ca="1" si="20"/>
        <v>10173.9270330161</v>
      </c>
      <c r="I81" s="23">
        <f t="shared" ca="1" si="20"/>
        <v>-134968.14119986928</v>
      </c>
      <c r="J81" s="23">
        <f t="shared" ca="1" si="20"/>
        <v>5895132.8921265239</v>
      </c>
      <c r="K81" s="23">
        <f t="shared" ca="1" si="20"/>
        <v>0</v>
      </c>
      <c r="L81" s="23">
        <f t="shared" ca="1" si="20"/>
        <v>0</v>
      </c>
    </row>
    <row r="82" spans="1:12" ht="11.25" x14ac:dyDescent="0.2">
      <c r="A82" s="325"/>
      <c r="B82" s="3"/>
      <c r="C82" s="3"/>
      <c r="E82" s="3"/>
      <c r="F82" s="3"/>
      <c r="G82" s="3"/>
      <c r="H82" s="3"/>
      <c r="I82" s="3"/>
      <c r="J82" s="3"/>
      <c r="K82" s="3"/>
      <c r="L82" s="3"/>
    </row>
    <row r="83" spans="1:12" ht="11.25" x14ac:dyDescent="0.2">
      <c r="A83" s="325">
        <f>A81+1</f>
        <v>6</v>
      </c>
      <c r="B83" s="25" t="str">
        <f>"LESS: KENTUCKY STATE INCOME TAX @ "&amp;FIXED(Input!$D$28,4,TRUE)</f>
        <v>LESS: KENTUCKY STATE INCOME TAX @ 0.0600</v>
      </c>
      <c r="C83" s="3"/>
      <c r="E83" s="27">
        <f ca="1">ROUND(E81*Input!$D$28,0)</f>
        <v>392103</v>
      </c>
      <c r="F83" s="27">
        <f ca="1">ROUND(F81*Input!$D$28,0)</f>
        <v>-84794</v>
      </c>
      <c r="G83" s="27">
        <f ca="1">ROUND(G81*Input!$D$28,0)</f>
        <v>130676</v>
      </c>
      <c r="H83" s="27">
        <f ca="1">ROUND(H81*Input!$D$28,0)</f>
        <v>610</v>
      </c>
      <c r="I83" s="27">
        <f ca="1">ROUND(I81*Input!$D$28,0)</f>
        <v>-8098</v>
      </c>
      <c r="J83" s="27">
        <f ca="1">ROUND(J81*Input!$D$28,0)</f>
        <v>353708</v>
      </c>
      <c r="K83" s="27">
        <f ca="1">ROUND(K81*Input!$D$28,0)</f>
        <v>0</v>
      </c>
      <c r="L83" s="27">
        <f ca="1">ROUND(L81*Input!$D$28,0)</f>
        <v>0</v>
      </c>
    </row>
    <row r="84" spans="1:12" ht="11.25" x14ac:dyDescent="0.2">
      <c r="A84" s="325"/>
      <c r="B84" s="3"/>
      <c r="C84" s="3"/>
      <c r="E84" s="23"/>
      <c r="F84" s="23"/>
      <c r="G84" s="23"/>
      <c r="H84" s="23"/>
      <c r="I84" s="23"/>
      <c r="J84" s="23"/>
      <c r="K84" s="23"/>
      <c r="L84" s="23"/>
    </row>
    <row r="85" spans="1:12" ht="11.25" x14ac:dyDescent="0.2">
      <c r="A85" s="325">
        <f>A83+1</f>
        <v>7</v>
      </c>
      <c r="B85" s="25" t="s">
        <v>38</v>
      </c>
      <c r="C85" s="3"/>
      <c r="E85" s="23">
        <f t="shared" ref="E85:L85" ca="1" si="21">E81-E83</f>
        <v>6142939.0217167689</v>
      </c>
      <c r="F85" s="23">
        <f t="shared" ca="1" si="21"/>
        <v>-1328440.1138193086</v>
      </c>
      <c r="G85" s="23">
        <f t="shared" ca="1" si="21"/>
        <v>2047258.98654998</v>
      </c>
      <c r="H85" s="23">
        <f t="shared" ca="1" si="21"/>
        <v>9563.9270330160998</v>
      </c>
      <c r="I85" s="23">
        <f t="shared" ca="1" si="21"/>
        <v>-126870.14119986928</v>
      </c>
      <c r="J85" s="23">
        <f t="shared" ca="1" si="21"/>
        <v>5541424.8921265239</v>
      </c>
      <c r="K85" s="23">
        <f t="shared" ca="1" si="21"/>
        <v>0</v>
      </c>
      <c r="L85" s="23">
        <f t="shared" ca="1" si="21"/>
        <v>0</v>
      </c>
    </row>
    <row r="86" spans="1:12" ht="11.25" x14ac:dyDescent="0.2">
      <c r="A86" s="325"/>
      <c r="B86" s="3"/>
      <c r="C86" s="3"/>
      <c r="E86" s="23"/>
      <c r="F86" s="23"/>
      <c r="G86" s="23"/>
      <c r="H86" s="23"/>
      <c r="I86" s="23"/>
      <c r="J86" s="23"/>
      <c r="K86" s="23"/>
      <c r="L86" s="23"/>
    </row>
    <row r="87" spans="1:12" ht="11.25" x14ac:dyDescent="0.2">
      <c r="A87" s="325">
        <f>A85+1</f>
        <v>8</v>
      </c>
      <c r="B87" s="25" t="str">
        <f>"LESS: FEDERAL INCOME TAX @ "&amp;FIXED(Input!$D$33,8,TRUE)</f>
        <v>LESS: FEDERAL INCOME TAX @ 0.35000000</v>
      </c>
      <c r="C87" s="3"/>
      <c r="E87" s="27">
        <f ca="1">SUM(F87:L87)</f>
        <v>2150028</v>
      </c>
      <c r="F87" s="27">
        <f ca="1">ROUND(F85*Input!$D$33,0)</f>
        <v>-464954</v>
      </c>
      <c r="G87" s="27">
        <f ca="1">ROUND(G85*Input!$D$33,0)</f>
        <v>716541</v>
      </c>
      <c r="H87" s="27">
        <f ca="1">ROUND(H85*Input!$D$33,0)</f>
        <v>3347</v>
      </c>
      <c r="I87" s="27">
        <f ca="1">ROUND(I85*Input!$D$33,0)</f>
        <v>-44405</v>
      </c>
      <c r="J87" s="27">
        <f ca="1">ROUND(J85*Input!$D$33,0)</f>
        <v>1939499</v>
      </c>
      <c r="K87" s="27">
        <f ca="1">ROUND(K85*Input!$D$33,0)</f>
        <v>0</v>
      </c>
      <c r="L87" s="27">
        <f ca="1">ROUND(L85*Input!$D$33,0)</f>
        <v>0</v>
      </c>
    </row>
    <row r="88" spans="1:12" ht="11.25" x14ac:dyDescent="0.2">
      <c r="A88" s="325"/>
      <c r="B88" s="3"/>
      <c r="C88" s="3"/>
      <c r="E88" s="23"/>
      <c r="F88" s="23"/>
      <c r="G88" s="23"/>
      <c r="H88" s="23"/>
      <c r="I88" s="23"/>
      <c r="J88" s="23"/>
      <c r="K88" s="23"/>
      <c r="L88" s="23"/>
    </row>
    <row r="89" spans="1:12" ht="11.25" x14ac:dyDescent="0.2">
      <c r="A89" s="325">
        <f>A87+1</f>
        <v>9</v>
      </c>
      <c r="B89" s="25" t="s">
        <v>48</v>
      </c>
      <c r="C89" s="3"/>
      <c r="E89" s="23">
        <f t="shared" ref="E89:L89" ca="1" si="22">E85-E87</f>
        <v>3992911.0217167689</v>
      </c>
      <c r="F89" s="23">
        <f t="shared" ca="1" si="22"/>
        <v>-863486.11381930858</v>
      </c>
      <c r="G89" s="23">
        <f t="shared" ca="1" si="22"/>
        <v>1330717.98654998</v>
      </c>
      <c r="H89" s="23">
        <f t="shared" ca="1" si="22"/>
        <v>6216.9270330160998</v>
      </c>
      <c r="I89" s="23">
        <f t="shared" ca="1" si="22"/>
        <v>-82465.141199869278</v>
      </c>
      <c r="J89" s="23">
        <f t="shared" ca="1" si="22"/>
        <v>3601925.8921265239</v>
      </c>
      <c r="K89" s="23">
        <f t="shared" ca="1" si="22"/>
        <v>0</v>
      </c>
      <c r="L89" s="23">
        <f t="shared" ca="1" si="22"/>
        <v>0</v>
      </c>
    </row>
    <row r="90" spans="1:12" ht="11.25" x14ac:dyDescent="0.2">
      <c r="A90" s="3" t="s">
        <v>819</v>
      </c>
      <c r="B90" s="3"/>
      <c r="C90" s="14"/>
      <c r="D90" s="325"/>
      <c r="E90" s="15"/>
      <c r="F90" s="325" t="str">
        <f>""&amp;+Input!$B$1</f>
        <v>COLUMBIA GAS OF KENTUCKY, INC.</v>
      </c>
      <c r="H90" s="3"/>
      <c r="I90" s="3"/>
      <c r="J90" s="3"/>
      <c r="K90" s="3"/>
      <c r="L90" s="32" t="str">
        <f>Input!$B$2</f>
        <v>ATTACHMENT CEN-2</v>
      </c>
    </row>
    <row r="91" spans="1:12" ht="11.25" x14ac:dyDescent="0.2">
      <c r="A91" s="3" t="str">
        <f>Input!$B$7</f>
        <v>DEMAND-COMMODITY</v>
      </c>
      <c r="B91" s="3"/>
      <c r="C91" s="3"/>
      <c r="D91" s="325"/>
      <c r="E91" s="3"/>
      <c r="F91" s="325" t="s">
        <v>578</v>
      </c>
      <c r="H91" s="3"/>
      <c r="I91" s="3"/>
      <c r="J91" s="3"/>
      <c r="K91" s="3"/>
      <c r="L91" s="32" t="str">
        <f>"PAGE 107 OF "&amp;FIXED(Input!$B$8,0,TRUE)</f>
        <v>PAGE 107 OF 129</v>
      </c>
    </row>
    <row r="92" spans="1:12" ht="11.25" x14ac:dyDescent="0.2">
      <c r="A92" s="17" t="str">
        <f>Input!$B$6</f>
        <v>FORECASTED TEST YEAR - ORIGINAL FILING</v>
      </c>
      <c r="B92" s="17"/>
      <c r="C92" s="17"/>
      <c r="D92" s="34"/>
      <c r="E92" s="17"/>
      <c r="F92" s="19" t="str">
        <f>"FOR THE TWELVE MONTHS ENDED "&amp;Input!$B$4</f>
        <v>FOR THE TWELVE MONTHS ENDED 12/31/2017</v>
      </c>
      <c r="G92" s="329"/>
      <c r="H92" s="17"/>
      <c r="I92" s="17"/>
      <c r="J92" s="17"/>
      <c r="K92" s="17"/>
      <c r="L92" s="183" t="str">
        <f>"WITNESS: "&amp;Input!$B$5</f>
        <v>WITNESS: C. NOTESTONE</v>
      </c>
    </row>
    <row r="93" spans="1:12" ht="11.25" x14ac:dyDescent="0.2">
      <c r="A93" s="325" t="s">
        <v>5</v>
      </c>
      <c r="B93" s="3" t="s">
        <v>6</v>
      </c>
      <c r="C93" s="3"/>
      <c r="D93" s="325" t="s">
        <v>7</v>
      </c>
      <c r="E93" s="325" t="s">
        <v>8</v>
      </c>
      <c r="F93" s="325"/>
      <c r="G93" s="325"/>
      <c r="H93" s="325"/>
      <c r="I93" s="325"/>
      <c r="J93" s="325"/>
      <c r="K93" s="325"/>
      <c r="L93" s="325"/>
    </row>
    <row r="94" spans="1:12" ht="11.25" x14ac:dyDescent="0.2">
      <c r="A94" s="341" t="s">
        <v>9</v>
      </c>
      <c r="B94" s="341" t="s">
        <v>9</v>
      </c>
      <c r="C94" s="341" t="str">
        <f>"                        ACCOUNT TITLE                "</f>
        <v xml:space="preserve">                        ACCOUNT TITLE                </v>
      </c>
      <c r="D94" s="341" t="s">
        <v>10</v>
      </c>
      <c r="E94" s="341" t="s">
        <v>813</v>
      </c>
      <c r="F94" s="341" t="str">
        <f>"  "&amp;+Input!$C$12</f>
        <v xml:space="preserve">  GS-RESIDENTIAL</v>
      </c>
      <c r="G94" s="341" t="str">
        <f>Input!$C$13</f>
        <v>GS-OTHER</v>
      </c>
      <c r="H94" s="341" t="str">
        <f>Input!$C$14</f>
        <v>IUS</v>
      </c>
      <c r="I94" s="341" t="str">
        <f>Input!$C$15</f>
        <v>DS-ML</v>
      </c>
      <c r="J94" s="341" t="str">
        <f>Input!$C$16</f>
        <v>DS/IS</v>
      </c>
      <c r="K94" s="341" t="str">
        <f>Input!$C$17</f>
        <v>NOT USED</v>
      </c>
      <c r="L94" s="341" t="str">
        <f>Input!$C$18</f>
        <v>NOT USED</v>
      </c>
    </row>
    <row r="95" spans="1:12" ht="11.25" x14ac:dyDescent="0.2">
      <c r="A95" s="3"/>
      <c r="B95" s="342" t="s">
        <v>13</v>
      </c>
      <c r="C95" s="342" t="s">
        <v>14</v>
      </c>
      <c r="D95" s="325" t="s">
        <v>15</v>
      </c>
      <c r="E95" s="325" t="s">
        <v>16</v>
      </c>
      <c r="F95" s="325" t="s">
        <v>17</v>
      </c>
      <c r="G95" s="325" t="s">
        <v>18</v>
      </c>
      <c r="H95" s="325" t="s">
        <v>19</v>
      </c>
      <c r="I95" s="325" t="s">
        <v>20</v>
      </c>
      <c r="J95" s="325" t="s">
        <v>21</v>
      </c>
      <c r="K95" s="325" t="s">
        <v>22</v>
      </c>
      <c r="L95" s="325" t="s">
        <v>23</v>
      </c>
    </row>
    <row r="96" spans="1:12" ht="11.25" x14ac:dyDescent="0.2">
      <c r="A96" s="3"/>
      <c r="B96" s="3"/>
      <c r="C96" s="3"/>
      <c r="D96" s="325"/>
      <c r="E96" s="325" t="s">
        <v>26</v>
      </c>
      <c r="F96" s="325" t="s">
        <v>26</v>
      </c>
      <c r="G96" s="325" t="s">
        <v>26</v>
      </c>
      <c r="H96" s="325" t="s">
        <v>26</v>
      </c>
      <c r="I96" s="325" t="s">
        <v>26</v>
      </c>
      <c r="J96" s="325" t="s">
        <v>26</v>
      </c>
      <c r="K96" s="325" t="s">
        <v>26</v>
      </c>
      <c r="L96" s="325" t="s">
        <v>26</v>
      </c>
    </row>
    <row r="97" spans="1:12" ht="11.25" x14ac:dyDescent="0.2">
      <c r="A97" s="3">
        <v>1</v>
      </c>
      <c r="B97" s="3" t="s">
        <v>408</v>
      </c>
      <c r="C97" s="3"/>
      <c r="D97" s="325"/>
      <c r="E97" s="3">
        <f ca="1">Demand!E396</f>
        <v>19842085.600000001</v>
      </c>
      <c r="F97" s="3">
        <f ca="1">Demand!F396</f>
        <v>12730896.850000005</v>
      </c>
      <c r="G97" s="3">
        <f ca="1">Demand!G396</f>
        <v>5332480.0099999961</v>
      </c>
      <c r="H97" s="3">
        <f ca="1">Demand!H396</f>
        <v>6550.7700000000077</v>
      </c>
      <c r="I97" s="3">
        <f ca="1">Demand!I396</f>
        <v>136181.93999999994</v>
      </c>
      <c r="J97" s="3">
        <f ca="1">Demand!J396</f>
        <v>1635976.0300000003</v>
      </c>
      <c r="K97" s="3">
        <f>Demand!K396</f>
        <v>0</v>
      </c>
      <c r="L97" s="3">
        <f>Demand!L396</f>
        <v>0</v>
      </c>
    </row>
    <row r="98" spans="1:12" ht="11.25" x14ac:dyDescent="0.2">
      <c r="A98" s="3"/>
      <c r="B98" s="3"/>
      <c r="C98" s="3"/>
      <c r="D98" s="325"/>
      <c r="E98" s="3"/>
      <c r="F98" s="3"/>
      <c r="G98" s="3"/>
      <c r="H98" s="3"/>
      <c r="I98" s="3"/>
      <c r="J98" s="3"/>
      <c r="K98" s="3"/>
      <c r="L98" s="3"/>
    </row>
    <row r="99" spans="1:12" ht="11.25" x14ac:dyDescent="0.2">
      <c r="A99" s="3">
        <f>A97+1</f>
        <v>2</v>
      </c>
      <c r="B99" s="3" t="s">
        <v>409</v>
      </c>
      <c r="C99" s="3"/>
      <c r="D99" s="325"/>
      <c r="E99" s="3">
        <f>Demand!E427</f>
        <v>0.10999999567866325</v>
      </c>
      <c r="F99" s="3">
        <f>Demand!F427</f>
        <v>0</v>
      </c>
      <c r="G99" s="3">
        <f>Demand!G427</f>
        <v>0</v>
      </c>
      <c r="H99" s="3">
        <f>Demand!H427</f>
        <v>0</v>
      </c>
      <c r="I99" s="3">
        <f>Demand!I427</f>
        <v>0</v>
      </c>
      <c r="J99" s="3">
        <f>Demand!J427</f>
        <v>0</v>
      </c>
      <c r="K99" s="3">
        <f>Demand!K427</f>
        <v>0</v>
      </c>
      <c r="L99" s="3">
        <f>Demand!L427</f>
        <v>0</v>
      </c>
    </row>
    <row r="100" spans="1:12" ht="11.25" x14ac:dyDescent="0.2">
      <c r="A100" s="3">
        <f t="shared" ref="A100:A105" si="23">A99+1</f>
        <v>3</v>
      </c>
      <c r="B100" s="3" t="s">
        <v>410</v>
      </c>
      <c r="C100" s="3"/>
      <c r="D100" s="325"/>
      <c r="E100" s="3">
        <f ca="1">Demand!E663</f>
        <v>9074470.5899600014</v>
      </c>
      <c r="F100" s="3">
        <f ca="1">Demand!F663</f>
        <v>3538294</v>
      </c>
      <c r="G100" s="3">
        <f ca="1">Demand!G663</f>
        <v>2395889</v>
      </c>
      <c r="H100" s="3">
        <f ca="1">Demand!H663</f>
        <v>5173</v>
      </c>
      <c r="I100" s="3">
        <f ca="1">Demand!I663</f>
        <v>451</v>
      </c>
      <c r="J100" s="3">
        <f ca="1">Demand!J663</f>
        <v>3134662</v>
      </c>
      <c r="K100" s="3">
        <f ca="1">Demand!K663</f>
        <v>0</v>
      </c>
      <c r="L100" s="3">
        <f ca="1">Demand!L663</f>
        <v>0</v>
      </c>
    </row>
    <row r="101" spans="1:12" ht="11.25" x14ac:dyDescent="0.2">
      <c r="A101" s="3">
        <f t="shared" si="23"/>
        <v>4</v>
      </c>
      <c r="B101" s="3" t="s">
        <v>411</v>
      </c>
      <c r="C101" s="3"/>
      <c r="D101" s="325"/>
      <c r="E101" s="3">
        <f>Demand!E375</f>
        <v>3392114.5633508228</v>
      </c>
      <c r="F101" s="3">
        <f ca="1">Demand!F375</f>
        <v>1322146</v>
      </c>
      <c r="G101" s="3">
        <f ca="1">Demand!G375</f>
        <v>895328</v>
      </c>
      <c r="H101" s="3">
        <f ca="1">Demand!H375</f>
        <v>1931</v>
      </c>
      <c r="I101" s="3">
        <f ca="1">Demand!I375</f>
        <v>597.86000000000013</v>
      </c>
      <c r="J101" s="3">
        <f ca="1">Demand!J375</f>
        <v>1172110</v>
      </c>
      <c r="K101" s="3">
        <f ca="1">Demand!K375</f>
        <v>0</v>
      </c>
      <c r="L101" s="3">
        <f ca="1">Demand!L375</f>
        <v>0</v>
      </c>
    </row>
    <row r="102" spans="1:12" ht="11.25" x14ac:dyDescent="0.2">
      <c r="A102" s="3">
        <f t="shared" si="23"/>
        <v>5</v>
      </c>
      <c r="B102" s="3" t="s">
        <v>412</v>
      </c>
      <c r="C102" s="3"/>
      <c r="D102" s="325"/>
      <c r="E102" s="3">
        <f ca="1">Demand!E771</f>
        <v>582253.10547432117</v>
      </c>
      <c r="F102" s="3">
        <f ca="1">Demand!F771</f>
        <v>1746234</v>
      </c>
      <c r="G102" s="3">
        <f ca="1">Demand!G771</f>
        <v>145716</v>
      </c>
      <c r="H102" s="3">
        <f ca="1">Demand!H771</f>
        <v>-1302</v>
      </c>
      <c r="I102" s="3">
        <f ca="1">Demand!I771</f>
        <v>42767</v>
      </c>
      <c r="J102" s="3">
        <f ca="1">Demand!J771</f>
        <v>-1351161</v>
      </c>
      <c r="K102" s="3">
        <f ca="1">Demand!K771</f>
        <v>0</v>
      </c>
      <c r="L102" s="3">
        <f ca="1">Demand!L771</f>
        <v>0</v>
      </c>
    </row>
    <row r="103" spans="1:12" ht="11.25" x14ac:dyDescent="0.2">
      <c r="A103" s="3">
        <f t="shared" si="23"/>
        <v>6</v>
      </c>
      <c r="B103" s="3" t="s">
        <v>413</v>
      </c>
      <c r="C103" s="3"/>
      <c r="D103" s="325"/>
      <c r="E103" s="3">
        <f ca="1">Demand!E721</f>
        <v>109290.31269455007</v>
      </c>
      <c r="F103" s="3">
        <f ca="1">Demand!F721</f>
        <v>327818.52280157869</v>
      </c>
      <c r="G103" s="3">
        <f ca="1">Demand!G721</f>
        <v>27351.407864900651</v>
      </c>
      <c r="H103" s="3">
        <f ca="1">Demand!H721</f>
        <v>-244.69166840108957</v>
      </c>
      <c r="I103" s="3">
        <f ca="1">Demand!I721</f>
        <v>8028.9655797437999</v>
      </c>
      <c r="J103" s="3">
        <f ca="1">Demand!J721</f>
        <v>-253663.8760847621</v>
      </c>
      <c r="K103" s="3">
        <f ca="1">Demand!K721</f>
        <v>0</v>
      </c>
      <c r="L103" s="3">
        <f ca="1">Demand!L721</f>
        <v>0</v>
      </c>
    </row>
    <row r="104" spans="1:12" ht="11.25" x14ac:dyDescent="0.2">
      <c r="A104" s="3">
        <f t="shared" si="23"/>
        <v>7</v>
      </c>
      <c r="B104" s="3" t="s">
        <v>414</v>
      </c>
      <c r="C104" s="3"/>
      <c r="D104" s="325"/>
      <c r="E104" s="26">
        <f>Demand!E679</f>
        <v>1309574</v>
      </c>
      <c r="F104" s="26">
        <f ca="1">Demand!F679</f>
        <v>510402</v>
      </c>
      <c r="G104" s="26">
        <f ca="1">Demand!G679</f>
        <v>345642</v>
      </c>
      <c r="H104" s="26">
        <f ca="1">Demand!H679</f>
        <v>747</v>
      </c>
      <c r="I104" s="26">
        <f ca="1">Demand!I679</f>
        <v>294</v>
      </c>
      <c r="J104" s="26">
        <f ca="1">Demand!J679</f>
        <v>452490</v>
      </c>
      <c r="K104" s="26">
        <f ca="1">Demand!K679</f>
        <v>0</v>
      </c>
      <c r="L104" s="26">
        <f ca="1">Demand!L679</f>
        <v>0</v>
      </c>
    </row>
    <row r="105" spans="1:12" ht="11.25" x14ac:dyDescent="0.2">
      <c r="A105" s="3">
        <f t="shared" si="23"/>
        <v>8</v>
      </c>
      <c r="B105" s="3" t="s">
        <v>415</v>
      </c>
      <c r="C105" s="3"/>
      <c r="D105" s="325"/>
      <c r="E105" s="3">
        <f t="shared" ref="E105:L105" ca="1" si="24">SUM(E99:E104)</f>
        <v>14467702.681479691</v>
      </c>
      <c r="F105" s="3">
        <f t="shared" ca="1" si="24"/>
        <v>7444894.522801579</v>
      </c>
      <c r="G105" s="3">
        <f t="shared" ca="1" si="24"/>
        <v>3809926.4078649008</v>
      </c>
      <c r="H105" s="3">
        <f t="shared" ca="1" si="24"/>
        <v>6304.3083315989106</v>
      </c>
      <c r="I105" s="3">
        <f t="shared" ca="1" si="24"/>
        <v>52138.825579743803</v>
      </c>
      <c r="J105" s="3">
        <f t="shared" ca="1" si="24"/>
        <v>3154437.1239152378</v>
      </c>
      <c r="K105" s="3">
        <f t="shared" ca="1" si="24"/>
        <v>0</v>
      </c>
      <c r="L105" s="3">
        <f t="shared" ca="1" si="24"/>
        <v>0</v>
      </c>
    </row>
    <row r="106" spans="1:12" ht="11.25" x14ac:dyDescent="0.2">
      <c r="A106" s="3"/>
      <c r="B106" s="3"/>
      <c r="C106" s="3"/>
      <c r="D106" s="325"/>
      <c r="E106" s="3"/>
      <c r="F106" s="3"/>
      <c r="G106" s="3"/>
      <c r="H106" s="3"/>
      <c r="I106" s="3"/>
      <c r="J106" s="3"/>
      <c r="K106" s="3"/>
      <c r="L106" s="3"/>
    </row>
    <row r="107" spans="1:12" ht="11.25" x14ac:dyDescent="0.2">
      <c r="A107" s="3">
        <f>A105+1</f>
        <v>9</v>
      </c>
      <c r="B107" s="3" t="s">
        <v>48</v>
      </c>
      <c r="C107" s="3"/>
      <c r="D107" s="325"/>
      <c r="E107" s="3">
        <f t="shared" ref="E107:L107" ca="1" si="25">E97-E105</f>
        <v>5374382.9185203109</v>
      </c>
      <c r="F107" s="3">
        <f t="shared" ca="1" si="25"/>
        <v>5286002.3271984262</v>
      </c>
      <c r="G107" s="3">
        <f t="shared" ca="1" si="25"/>
        <v>1522553.6021350953</v>
      </c>
      <c r="H107" s="3">
        <f t="shared" ca="1" si="25"/>
        <v>246.46166840109709</v>
      </c>
      <c r="I107" s="3">
        <f t="shared" ca="1" si="25"/>
        <v>84043.114420256141</v>
      </c>
      <c r="J107" s="3">
        <f t="shared" ca="1" si="25"/>
        <v>-1518461.0939152376</v>
      </c>
      <c r="K107" s="3">
        <f t="shared" ca="1" si="25"/>
        <v>0</v>
      </c>
      <c r="L107" s="3">
        <f t="shared" ca="1" si="25"/>
        <v>0</v>
      </c>
    </row>
    <row r="108" spans="1:12" ht="11.25" x14ac:dyDescent="0.2">
      <c r="A108" s="3"/>
      <c r="B108" s="3"/>
      <c r="C108" s="3"/>
      <c r="D108" s="325"/>
      <c r="E108" s="3"/>
      <c r="F108" s="3"/>
      <c r="G108" s="3"/>
      <c r="H108" s="3"/>
      <c r="I108" s="3"/>
      <c r="J108" s="3"/>
      <c r="K108" s="3"/>
      <c r="L108" s="3"/>
    </row>
    <row r="109" spans="1:12" ht="11.25" x14ac:dyDescent="0.2">
      <c r="A109" s="3">
        <f>A107+1</f>
        <v>10</v>
      </c>
      <c r="B109" s="3" t="s">
        <v>416</v>
      </c>
      <c r="C109" s="3"/>
      <c r="D109" s="325"/>
      <c r="E109" s="26">
        <f ca="1">Demand!E736</f>
        <v>2940506</v>
      </c>
      <c r="F109" s="26">
        <f ca="1">Demand!F736</f>
        <v>1388281</v>
      </c>
      <c r="G109" s="26">
        <f ca="1">Demand!G736</f>
        <v>895676</v>
      </c>
      <c r="H109" s="26">
        <f ca="1">Demand!H736</f>
        <v>2029</v>
      </c>
      <c r="I109" s="26">
        <f ca="1">Demand!I736</f>
        <v>495</v>
      </c>
      <c r="J109" s="26">
        <f ca="1">Demand!J736</f>
        <v>654025</v>
      </c>
      <c r="K109" s="26">
        <f ca="1">Demand!K736</f>
        <v>0</v>
      </c>
      <c r="L109" s="26">
        <f ca="1">Demand!L736</f>
        <v>0</v>
      </c>
    </row>
    <row r="110" spans="1:12" ht="11.25" x14ac:dyDescent="0.2">
      <c r="A110" s="3"/>
      <c r="B110" s="3"/>
      <c r="C110" s="3"/>
      <c r="D110" s="325"/>
      <c r="E110" s="3"/>
      <c r="F110" s="3"/>
      <c r="G110" s="3"/>
      <c r="H110" s="3"/>
      <c r="I110" s="3"/>
      <c r="J110" s="3"/>
      <c r="K110" s="3"/>
      <c r="L110" s="3"/>
    </row>
    <row r="111" spans="1:12" ht="11.25" x14ac:dyDescent="0.2">
      <c r="A111" s="3">
        <f>A109+1</f>
        <v>11</v>
      </c>
      <c r="B111" s="3" t="s">
        <v>417</v>
      </c>
      <c r="C111" s="3"/>
      <c r="D111" s="325"/>
      <c r="E111" s="3">
        <f t="shared" ref="E111:L111" ca="1" si="26">E107-E109</f>
        <v>2433876.9185203109</v>
      </c>
      <c r="F111" s="3">
        <f t="shared" ca="1" si="26"/>
        <v>3897721.3271984262</v>
      </c>
      <c r="G111" s="3">
        <f t="shared" ca="1" si="26"/>
        <v>626877.60213509528</v>
      </c>
      <c r="H111" s="3">
        <f t="shared" ca="1" si="26"/>
        <v>-1782.5383315989029</v>
      </c>
      <c r="I111" s="3">
        <f t="shared" ca="1" si="26"/>
        <v>83548.114420256141</v>
      </c>
      <c r="J111" s="3">
        <f t="shared" ca="1" si="26"/>
        <v>-2172486.0939152376</v>
      </c>
      <c r="K111" s="3">
        <f t="shared" ca="1" si="26"/>
        <v>0</v>
      </c>
      <c r="L111" s="3">
        <f t="shared" ca="1" si="26"/>
        <v>0</v>
      </c>
    </row>
    <row r="112" spans="1:12" ht="11.25" x14ac:dyDescent="0.2">
      <c r="A112" s="3"/>
      <c r="B112" s="3"/>
      <c r="C112" s="3"/>
      <c r="D112" s="325"/>
      <c r="E112" s="3"/>
      <c r="F112" s="3"/>
      <c r="G112" s="3"/>
      <c r="H112" s="3"/>
      <c r="I112" s="3"/>
      <c r="J112" s="3"/>
      <c r="K112" s="3"/>
      <c r="L112" s="3"/>
    </row>
    <row r="113" spans="1:12" ht="11.25" x14ac:dyDescent="0.2">
      <c r="A113" s="3">
        <f>A111+1</f>
        <v>12</v>
      </c>
      <c r="B113" s="3" t="s">
        <v>418</v>
      </c>
      <c r="C113" s="3"/>
      <c r="D113" s="325"/>
      <c r="E113" s="3">
        <f ca="1">Demand!E800</f>
        <v>111382801.86538464</v>
      </c>
      <c r="F113" s="3">
        <f ca="1">Demand!F800</f>
        <v>52586401</v>
      </c>
      <c r="G113" s="3">
        <f ca="1">Demand!G800</f>
        <v>33927136</v>
      </c>
      <c r="H113" s="3">
        <f ca="1">Demand!H800</f>
        <v>76845</v>
      </c>
      <c r="I113" s="3">
        <f ca="1">Demand!I800</f>
        <v>18764.449999999997</v>
      </c>
      <c r="J113" s="3">
        <f ca="1">Demand!J800</f>
        <v>24773661</v>
      </c>
      <c r="K113" s="3">
        <f ca="1">Demand!K800</f>
        <v>0</v>
      </c>
      <c r="L113" s="3">
        <f ca="1">Demand!L800</f>
        <v>0</v>
      </c>
    </row>
    <row r="114" spans="1:12" ht="11.25" x14ac:dyDescent="0.2">
      <c r="A114" s="3"/>
      <c r="B114" s="3"/>
      <c r="C114" s="3"/>
      <c r="D114" s="325"/>
      <c r="E114" s="48"/>
      <c r="F114" s="48"/>
      <c r="G114" s="48"/>
      <c r="H114" s="48"/>
      <c r="I114" s="48"/>
      <c r="J114" s="48"/>
      <c r="K114" s="48"/>
      <c r="L114" s="48"/>
    </row>
    <row r="115" spans="1:12" ht="11.25" x14ac:dyDescent="0.2">
      <c r="A115" s="3">
        <f>A113+1</f>
        <v>13</v>
      </c>
      <c r="B115" s="3" t="s">
        <v>419</v>
      </c>
      <c r="C115" s="3"/>
      <c r="D115" s="325"/>
      <c r="E115" s="49">
        <f t="shared" ref="E115:L115" ca="1" si="27">IF(E113=0,0,ROUND(E107/E113,4))</f>
        <v>4.8300000000000003E-2</v>
      </c>
      <c r="F115" s="49">
        <f t="shared" ca="1" si="27"/>
        <v>0.10050000000000001</v>
      </c>
      <c r="G115" s="49">
        <f t="shared" ca="1" si="27"/>
        <v>4.4900000000000002E-2</v>
      </c>
      <c r="H115" s="49">
        <f t="shared" ca="1" si="27"/>
        <v>3.2000000000000002E-3</v>
      </c>
      <c r="I115" s="49">
        <f t="shared" ca="1" si="27"/>
        <v>4.4787999999999997</v>
      </c>
      <c r="J115" s="49">
        <f t="shared" ca="1" si="27"/>
        <v>-6.13E-2</v>
      </c>
      <c r="K115" s="49">
        <f t="shared" ca="1" si="27"/>
        <v>0</v>
      </c>
      <c r="L115" s="49">
        <f t="shared" ca="1" si="27"/>
        <v>0</v>
      </c>
    </row>
    <row r="116" spans="1:12" ht="11.25" x14ac:dyDescent="0.2">
      <c r="A116" s="3"/>
      <c r="B116" s="3"/>
      <c r="C116" s="3"/>
      <c r="D116" s="325"/>
      <c r="E116" s="3"/>
      <c r="F116" s="3"/>
      <c r="G116" s="3"/>
      <c r="H116" s="3"/>
      <c r="I116" s="3"/>
      <c r="J116" s="3"/>
      <c r="K116" s="3"/>
      <c r="L116" s="3"/>
    </row>
    <row r="117" spans="1:12" ht="11.25" x14ac:dyDescent="0.2">
      <c r="A117" s="3">
        <f>A115+1</f>
        <v>14</v>
      </c>
      <c r="B117" s="3" t="s">
        <v>420</v>
      </c>
      <c r="C117" s="3"/>
      <c r="D117" s="325"/>
      <c r="E117" s="24">
        <v>1</v>
      </c>
      <c r="F117" s="24">
        <f ca="1">IF($E$115=0,0,ROUND(F115/$E$115,2))</f>
        <v>2.08</v>
      </c>
      <c r="G117" s="24">
        <f t="shared" ref="G117:L117" ca="1" si="28">IF($E$115=0,0,ROUND(G115/$E$115,2))</f>
        <v>0.93</v>
      </c>
      <c r="H117" s="24">
        <f t="shared" ca="1" si="28"/>
        <v>7.0000000000000007E-2</v>
      </c>
      <c r="I117" s="24">
        <f t="shared" ca="1" si="28"/>
        <v>92.73</v>
      </c>
      <c r="J117" s="24">
        <f t="shared" ca="1" si="28"/>
        <v>-1.27</v>
      </c>
      <c r="K117" s="24">
        <f t="shared" ca="1" si="28"/>
        <v>0</v>
      </c>
      <c r="L117" s="24">
        <f t="shared" ca="1" si="28"/>
        <v>0</v>
      </c>
    </row>
    <row r="118" spans="1:12" ht="11.25" x14ac:dyDescent="0.2">
      <c r="A118" s="3"/>
      <c r="B118" s="3"/>
      <c r="C118" s="3"/>
      <c r="D118" s="325"/>
      <c r="E118" s="31"/>
      <c r="F118" s="31"/>
      <c r="G118" s="31"/>
      <c r="H118" s="31"/>
      <c r="I118" s="31"/>
      <c r="J118" s="31"/>
      <c r="K118" s="31"/>
      <c r="L118" s="31"/>
    </row>
    <row r="119" spans="1:12" ht="11.25" x14ac:dyDescent="0.2">
      <c r="A119" s="3"/>
      <c r="B119" s="3"/>
      <c r="C119" s="3"/>
      <c r="D119" s="325"/>
      <c r="E119" s="31"/>
      <c r="F119" s="31"/>
      <c r="G119" s="31"/>
      <c r="H119" s="31"/>
      <c r="I119" s="31"/>
      <c r="J119" s="31"/>
      <c r="K119" s="31"/>
      <c r="L119" s="31"/>
    </row>
    <row r="120" spans="1:12" ht="11.25" x14ac:dyDescent="0.2">
      <c r="A120" s="3"/>
      <c r="B120" s="3"/>
      <c r="C120" s="3"/>
      <c r="D120" s="325"/>
      <c r="E120" s="3"/>
      <c r="F120" s="3"/>
      <c r="G120" s="3"/>
      <c r="H120" s="3"/>
      <c r="I120" s="3"/>
      <c r="J120" s="3"/>
      <c r="K120" s="3"/>
      <c r="L120" s="3"/>
    </row>
    <row r="121" spans="1:12" ht="11.25" x14ac:dyDescent="0.2">
      <c r="A121" s="3"/>
      <c r="B121" s="3"/>
      <c r="C121" s="3"/>
      <c r="D121" s="325"/>
      <c r="E121" s="3"/>
      <c r="F121" s="3"/>
      <c r="G121" s="3"/>
      <c r="H121" s="3"/>
      <c r="I121" s="3"/>
      <c r="J121" s="3"/>
      <c r="K121" s="3"/>
      <c r="L121" s="3"/>
    </row>
    <row r="122" spans="1:12" ht="11.25" x14ac:dyDescent="0.2">
      <c r="A122" s="3" t="s">
        <v>1137</v>
      </c>
      <c r="B122" s="3"/>
      <c r="C122" s="3"/>
      <c r="D122" s="325"/>
      <c r="E122" s="3"/>
      <c r="F122" s="3"/>
      <c r="G122" s="3"/>
      <c r="H122" s="3"/>
      <c r="I122" s="3"/>
      <c r="J122" s="3"/>
      <c r="K122" s="3"/>
      <c r="L122" s="3"/>
    </row>
    <row r="123" spans="1:12" ht="11.25" x14ac:dyDescent="0.2">
      <c r="A123" s="3"/>
      <c r="B123" s="3"/>
      <c r="C123" s="3"/>
      <c r="D123" s="325"/>
      <c r="E123" s="3"/>
      <c r="F123" s="3"/>
      <c r="G123" s="3"/>
      <c r="H123" s="3"/>
      <c r="I123" s="3"/>
      <c r="J123" s="3"/>
      <c r="K123" s="3"/>
      <c r="L123" s="3"/>
    </row>
    <row r="124" spans="1:12" ht="11.25" x14ac:dyDescent="0.2">
      <c r="A124" s="3" t="s">
        <v>819</v>
      </c>
      <c r="B124" s="14"/>
      <c r="C124" s="3"/>
      <c r="D124" s="325"/>
      <c r="E124" s="3"/>
      <c r="F124" s="325" t="str">
        <f>""&amp;+Input!$B$1</f>
        <v>COLUMBIA GAS OF KENTUCKY, INC.</v>
      </c>
      <c r="H124" s="3"/>
      <c r="I124" s="15"/>
      <c r="J124" s="3"/>
      <c r="K124" s="3"/>
      <c r="L124" s="32" t="str">
        <f>Input!$B$2</f>
        <v>ATTACHMENT CEN-2</v>
      </c>
    </row>
    <row r="125" spans="1:12" ht="11.25" x14ac:dyDescent="0.2">
      <c r="A125" s="3" t="str">
        <f>Input!$B$7</f>
        <v>DEMAND-COMMODITY</v>
      </c>
      <c r="B125" s="3"/>
      <c r="C125" s="3"/>
      <c r="D125" s="325"/>
      <c r="E125" s="3"/>
      <c r="F125" s="325" t="s">
        <v>805</v>
      </c>
      <c r="H125" s="3"/>
      <c r="I125" s="3"/>
      <c r="J125" s="3"/>
      <c r="K125" s="3"/>
      <c r="L125" s="32" t="str">
        <f>"PAGE 108 OF "&amp;FIXED(Input!$B$8,0,TRUE)</f>
        <v>PAGE 108 OF 129</v>
      </c>
    </row>
    <row r="126" spans="1:12" ht="11.25" x14ac:dyDescent="0.2">
      <c r="A126" s="17" t="str">
        <f>Input!$B$6</f>
        <v>FORECASTED TEST YEAR - ORIGINAL FILING</v>
      </c>
      <c r="B126" s="17"/>
      <c r="C126" s="17"/>
      <c r="D126" s="19"/>
      <c r="E126" s="18"/>
      <c r="F126" s="19" t="str">
        <f>"FOR THE TWELVE MONTHS ENDED "&amp;Input!$B$4</f>
        <v>FOR THE TWELVE MONTHS ENDED 12/31/2017</v>
      </c>
      <c r="G126" s="329"/>
      <c r="H126" s="17"/>
      <c r="I126" s="17"/>
      <c r="J126" s="17"/>
      <c r="K126" s="17"/>
      <c r="L126" s="183" t="str">
        <f>"WITNESS: "&amp;Input!$B$5</f>
        <v>WITNESS: C. NOTESTONE</v>
      </c>
    </row>
    <row r="127" spans="1:12" ht="11.25" x14ac:dyDescent="0.2">
      <c r="A127" s="325" t="s">
        <v>5</v>
      </c>
      <c r="B127" s="3" t="s">
        <v>6</v>
      </c>
      <c r="C127" s="3"/>
      <c r="D127" s="325" t="s">
        <v>7</v>
      </c>
      <c r="E127" s="325" t="s">
        <v>8</v>
      </c>
      <c r="F127" s="325"/>
      <c r="G127" s="325"/>
      <c r="H127" s="325"/>
      <c r="I127" s="325"/>
      <c r="J127" s="325"/>
      <c r="K127" s="325"/>
      <c r="L127" s="325"/>
    </row>
    <row r="128" spans="1:12" ht="11.25" x14ac:dyDescent="0.2">
      <c r="A128" s="341" t="s">
        <v>9</v>
      </c>
      <c r="B128" s="341" t="s">
        <v>9</v>
      </c>
      <c r="C128" s="20" t="s">
        <v>484</v>
      </c>
      <c r="D128" s="341" t="s">
        <v>10</v>
      </c>
      <c r="E128" s="341" t="s">
        <v>813</v>
      </c>
      <c r="F128" s="341" t="str">
        <f>"  "&amp;+Input!$C$12</f>
        <v xml:space="preserve">  GS-RESIDENTIAL</v>
      </c>
      <c r="G128" s="341" t="str">
        <f>Input!$C$13</f>
        <v>GS-OTHER</v>
      </c>
      <c r="H128" s="341" t="str">
        <f>Input!$C$14</f>
        <v>IUS</v>
      </c>
      <c r="I128" s="341" t="str">
        <f>Input!$C$15</f>
        <v>DS-ML</v>
      </c>
      <c r="J128" s="341" t="str">
        <f>Input!$C$16</f>
        <v>DS/IS</v>
      </c>
      <c r="K128" s="341" t="str">
        <f>Input!$C$17</f>
        <v>NOT USED</v>
      </c>
      <c r="L128" s="341" t="str">
        <f>Input!$C$18</f>
        <v>NOT USED</v>
      </c>
    </row>
    <row r="129" spans="1:12" ht="11.25" x14ac:dyDescent="0.2">
      <c r="A129" s="325"/>
      <c r="B129" s="342" t="s">
        <v>13</v>
      </c>
      <c r="C129" s="342" t="s">
        <v>14</v>
      </c>
      <c r="D129" s="325" t="s">
        <v>15</v>
      </c>
      <c r="E129" s="325" t="s">
        <v>16</v>
      </c>
      <c r="F129" s="325" t="s">
        <v>17</v>
      </c>
      <c r="G129" s="325" t="s">
        <v>18</v>
      </c>
      <c r="H129" s="325" t="s">
        <v>19</v>
      </c>
      <c r="I129" s="325" t="s">
        <v>20</v>
      </c>
      <c r="J129" s="325" t="s">
        <v>21</v>
      </c>
      <c r="K129" s="325" t="s">
        <v>22</v>
      </c>
      <c r="L129" s="325" t="s">
        <v>23</v>
      </c>
    </row>
    <row r="130" spans="1:12" ht="11.25" x14ac:dyDescent="0.2">
      <c r="A130" s="325"/>
      <c r="B130" s="3"/>
      <c r="C130" s="3"/>
      <c r="D130" s="325"/>
      <c r="E130" s="325" t="s">
        <v>26</v>
      </c>
      <c r="F130" s="325" t="s">
        <v>26</v>
      </c>
      <c r="G130" s="325" t="s">
        <v>26</v>
      </c>
      <c r="H130" s="325" t="s">
        <v>26</v>
      </c>
      <c r="I130" s="325" t="s">
        <v>26</v>
      </c>
      <c r="J130" s="325" t="s">
        <v>26</v>
      </c>
      <c r="K130" s="325" t="s">
        <v>26</v>
      </c>
      <c r="L130" s="325" t="s">
        <v>26</v>
      </c>
    </row>
    <row r="131" spans="1:12" ht="11.25" x14ac:dyDescent="0.2">
      <c r="A131" s="325">
        <v>1</v>
      </c>
      <c r="B131" s="3"/>
      <c r="C131" s="3" t="str">
        <f>Input!A85</f>
        <v>INTANGIBLE PLANT</v>
      </c>
      <c r="D131" s="325"/>
      <c r="E131" s="3"/>
      <c r="F131" s="3"/>
      <c r="G131" s="3"/>
      <c r="H131" s="3"/>
      <c r="I131" s="3"/>
      <c r="J131" s="3"/>
      <c r="K131" s="3"/>
      <c r="L131" s="3"/>
    </row>
    <row r="132" spans="1:12" ht="11.25" x14ac:dyDescent="0.2">
      <c r="A132" s="325"/>
      <c r="B132" s="3"/>
      <c r="C132" s="3"/>
      <c r="D132" s="325"/>
      <c r="E132" s="3"/>
      <c r="F132" s="3"/>
      <c r="G132" s="3"/>
      <c r="H132" s="3"/>
      <c r="I132" s="3"/>
      <c r="J132" s="3"/>
      <c r="K132" s="3"/>
      <c r="L132" s="3"/>
    </row>
    <row r="133" spans="1:12" ht="11.25" x14ac:dyDescent="0.2">
      <c r="A133" s="325">
        <f>A131+1</f>
        <v>2</v>
      </c>
      <c r="B133" s="24">
        <f>Input!A86</f>
        <v>301</v>
      </c>
      <c r="C133" s="3" t="str">
        <f>Input!B86</f>
        <v>ORGANIZATION</v>
      </c>
      <c r="D133" s="325" t="str">
        <f>VLOOKUP(Input!C86,'Alloc Table Dem'!$A$7:$B$27,2,FALSE)</f>
        <v>7DEM</v>
      </c>
      <c r="E133" s="3">
        <f>Classification!E133-Classification!F133-Classification!G133</f>
        <v>152</v>
      </c>
      <c r="F133" s="3">
        <f ca="1">ROUND((VLOOKUP($D133,'Alloc Table Dem'!$B$7:$T$56,13,FALSE)*$E133),0)</f>
        <v>59</v>
      </c>
      <c r="G133" s="3">
        <f ca="1">ROUND((VLOOKUP($D133,'Alloc Table Dem'!$B$7:$T$56,14,FALSE)*$E133),0)</f>
        <v>40</v>
      </c>
      <c r="H133" s="3">
        <f ca="1">ROUND((VLOOKUP($D133,'Alloc Table Dem'!$B$7:$T$56,15,FALSE)*$E133),0)</f>
        <v>0</v>
      </c>
      <c r="I133" s="3">
        <f ca="1">ROUND((VLOOKUP($D133,'Alloc Table Dem'!$B$7:$T$56,16,FALSE)*$E133),0)</f>
        <v>0</v>
      </c>
      <c r="J133" s="3">
        <f ca="1">ROUND((VLOOKUP($D133,'Alloc Table Dem'!$B$7:$T$56,17,FALSE)*$E133),0)</f>
        <v>53</v>
      </c>
      <c r="K133" s="3">
        <f ca="1">ROUND((VLOOKUP($D133,'Alloc Table Dem'!$B$7:$T$56,18,FALSE)*$E133),0)</f>
        <v>0</v>
      </c>
      <c r="L133" s="3">
        <f ca="1">ROUND((VLOOKUP($D133,'Alloc Table Dem'!$B$7:$T$56,19,FALSE)*$E133),0)</f>
        <v>0</v>
      </c>
    </row>
    <row r="134" spans="1:12" ht="11.25" x14ac:dyDescent="0.2">
      <c r="A134" s="325">
        <f>A133+1</f>
        <v>3</v>
      </c>
      <c r="B134" s="24">
        <f>Input!A87</f>
        <v>303</v>
      </c>
      <c r="C134" s="3" t="str">
        <f>Input!B87</f>
        <v>MISC. INTANGIBLE PLANT</v>
      </c>
      <c r="D134" s="325" t="str">
        <f>VLOOKUP(Input!C87,'Alloc Table Dem'!$A$7:$B$27,2,FALSE)</f>
        <v>7DEM</v>
      </c>
      <c r="E134" s="3">
        <f>Classification!E134-Classification!F134-Classification!G134</f>
        <v>21618</v>
      </c>
      <c r="F134" s="3">
        <f ca="1">ROUND((VLOOKUP($D134,'Alloc Table Dem'!$B$7:$T$56,13,FALSE)*$E134),0)</f>
        <v>8425</v>
      </c>
      <c r="G134" s="3">
        <f ca="1">ROUND((VLOOKUP($D134,'Alloc Table Dem'!$B$7:$T$56,14,FALSE)*$E134),0)</f>
        <v>5706</v>
      </c>
      <c r="H134" s="3">
        <f ca="1">ROUND((VLOOKUP($D134,'Alloc Table Dem'!$B$7:$T$56,15,FALSE)*$E134),0)</f>
        <v>12</v>
      </c>
      <c r="I134" s="3">
        <f ca="1">ROUND((VLOOKUP($D134,'Alloc Table Dem'!$B$7:$T$56,16,FALSE)*$E134),0)</f>
        <v>5</v>
      </c>
      <c r="J134" s="3">
        <f ca="1">ROUND((VLOOKUP($D134,'Alloc Table Dem'!$B$7:$T$56,17,FALSE)*$E134),0)</f>
        <v>7469</v>
      </c>
      <c r="K134" s="3">
        <f ca="1">ROUND((VLOOKUP($D134,'Alloc Table Dem'!$B$7:$T$56,18,FALSE)*$E134),0)</f>
        <v>0</v>
      </c>
      <c r="L134" s="3">
        <f ca="1">ROUND((VLOOKUP($D134,'Alloc Table Dem'!$B$7:$T$56,19,FALSE)*$E134),0)</f>
        <v>0</v>
      </c>
    </row>
    <row r="135" spans="1:12" ht="11.25" x14ac:dyDescent="0.2">
      <c r="A135" s="325">
        <f>A134+1</f>
        <v>4</v>
      </c>
      <c r="B135" s="24">
        <f>Input!A88</f>
        <v>303.10000000000002</v>
      </c>
      <c r="C135" s="3" t="str">
        <f>Input!B88</f>
        <v>DIS SOFTWARE</v>
      </c>
      <c r="D135" s="325" t="str">
        <f>VLOOKUP(Input!C88,'Alloc Table Dem'!$A$7:$B$27,2,FALSE)</f>
        <v>7DEM</v>
      </c>
      <c r="E135" s="3">
        <f>Classification!E135-Classification!F135-Classification!G135</f>
        <v>0</v>
      </c>
      <c r="F135" s="3">
        <f ca="1">ROUND((VLOOKUP($D135,'Alloc Table Dem'!$B$7:$T$56,13,FALSE)*$E135),0)</f>
        <v>0</v>
      </c>
      <c r="G135" s="3">
        <f ca="1">ROUND((VLOOKUP($D135,'Alloc Table Dem'!$B$7:$T$56,14,FALSE)*$E135),0)</f>
        <v>0</v>
      </c>
      <c r="H135" s="3">
        <f ca="1">ROUND((VLOOKUP($D135,'Alloc Table Dem'!$B$7:$T$56,15,FALSE)*$E135),0)</f>
        <v>0</v>
      </c>
      <c r="I135" s="3">
        <f ca="1">ROUND((VLOOKUP($D135,'Alloc Table Dem'!$B$7:$T$56,16,FALSE)*$E135),0)</f>
        <v>0</v>
      </c>
      <c r="J135" s="3">
        <f ca="1">ROUND((VLOOKUP($D135,'Alloc Table Dem'!$B$7:$T$56,17,FALSE)*$E135),0)</f>
        <v>0</v>
      </c>
      <c r="K135" s="3">
        <f ca="1">ROUND((VLOOKUP($D135,'Alloc Table Dem'!$B$7:$T$56,18,FALSE)*$E135),0)</f>
        <v>0</v>
      </c>
      <c r="L135" s="3">
        <f ca="1">ROUND((VLOOKUP($D135,'Alloc Table Dem'!$B$7:$T$56,19,FALSE)*$E135),0)</f>
        <v>0</v>
      </c>
    </row>
    <row r="136" spans="1:12" ht="11.25" x14ac:dyDescent="0.2">
      <c r="A136" s="325">
        <f>A135+1</f>
        <v>5</v>
      </c>
      <c r="B136" s="24">
        <f>Input!A89</f>
        <v>303.2</v>
      </c>
      <c r="C136" s="3" t="str">
        <f>Input!B89</f>
        <v>FARA SOFTWARE</v>
      </c>
      <c r="D136" s="325" t="str">
        <f>VLOOKUP(Input!C89,'Alloc Table Dem'!$A$7:$B$27,2,FALSE)</f>
        <v>7DEM</v>
      </c>
      <c r="E136" s="3">
        <f>Classification!E136-Classification!F136-Classification!G136</f>
        <v>0</v>
      </c>
      <c r="F136" s="3">
        <f ca="1">ROUND((VLOOKUP($D136,'Alloc Table Dem'!$B$7:$T$56,13,FALSE)*$E136),0)</f>
        <v>0</v>
      </c>
      <c r="G136" s="3">
        <f ca="1">ROUND((VLOOKUP($D136,'Alloc Table Dem'!$B$7:$T$56,14,FALSE)*$E136),0)</f>
        <v>0</v>
      </c>
      <c r="H136" s="3">
        <f ca="1">ROUND((VLOOKUP($D136,'Alloc Table Dem'!$B$7:$T$56,15,FALSE)*$E136),0)</f>
        <v>0</v>
      </c>
      <c r="I136" s="3">
        <f ca="1">ROUND((VLOOKUP($D136,'Alloc Table Dem'!$B$7:$T$56,16,FALSE)*$E136),0)</f>
        <v>0</v>
      </c>
      <c r="J136" s="3">
        <f ca="1">ROUND((VLOOKUP($D136,'Alloc Table Dem'!$B$7:$T$56,17,FALSE)*$E136),0)</f>
        <v>0</v>
      </c>
      <c r="K136" s="3">
        <f ca="1">ROUND((VLOOKUP($D136,'Alloc Table Dem'!$B$7:$T$56,18,FALSE)*$E136),0)</f>
        <v>0</v>
      </c>
      <c r="L136" s="3">
        <f ca="1">ROUND((VLOOKUP($D136,'Alloc Table Dem'!$B$7:$T$56,19,FALSE)*$E136),0)</f>
        <v>0</v>
      </c>
    </row>
    <row r="137" spans="1:12" ht="11.25" x14ac:dyDescent="0.2">
      <c r="A137" s="325">
        <f>A136+1</f>
        <v>6</v>
      </c>
      <c r="B137" s="24">
        <f>Input!A90</f>
        <v>303.3</v>
      </c>
      <c r="C137" s="3" t="str">
        <f>Input!B90</f>
        <v>OTHER SOFTWARE</v>
      </c>
      <c r="D137" s="325" t="str">
        <f>VLOOKUP(Input!C90,'Alloc Table Dem'!$A$7:$B$27,2,FALSE)</f>
        <v>7DEM</v>
      </c>
      <c r="E137" s="26">
        <f>Classification!E137-Classification!F137-Classification!G137</f>
        <v>2425361</v>
      </c>
      <c r="F137" s="26">
        <f ca="1">ROUND((VLOOKUP($D137,'Alloc Table Dem'!$B$7:$T$56,13,FALSE)*$E137),0)</f>
        <v>945260</v>
      </c>
      <c r="G137" s="26">
        <f ca="1">ROUND((VLOOKUP($D137,'Alloc Table Dem'!$B$7:$T$56,14,FALSE)*$E137),0)</f>
        <v>640126</v>
      </c>
      <c r="H137" s="26">
        <f ca="1">ROUND((VLOOKUP($D137,'Alloc Table Dem'!$B$7:$T$56,15,FALSE)*$E137),0)</f>
        <v>1382</v>
      </c>
      <c r="I137" s="26">
        <f ca="1">ROUND((VLOOKUP($D137,'Alloc Table Dem'!$B$7:$T$56,16,FALSE)*$E137),0)</f>
        <v>582</v>
      </c>
      <c r="J137" s="26">
        <f ca="1">ROUND((VLOOKUP($D137,'Alloc Table Dem'!$B$7:$T$56,17,FALSE)*$E137),0)</f>
        <v>838011</v>
      </c>
      <c r="K137" s="26">
        <f ca="1">ROUND((VLOOKUP($D137,'Alloc Table Dem'!$B$7:$T$56,18,FALSE)*$E137),0)</f>
        <v>0</v>
      </c>
      <c r="L137" s="26">
        <f ca="1">ROUND((VLOOKUP($D137,'Alloc Table Dem'!$B$7:$T$56,19,FALSE)*$E137),0)</f>
        <v>0</v>
      </c>
    </row>
    <row r="138" spans="1:12" ht="11.25" x14ac:dyDescent="0.2">
      <c r="A138" s="325">
        <f>A137+1</f>
        <v>7</v>
      </c>
      <c r="B138" s="3"/>
      <c r="C138" s="3" t="s">
        <v>30</v>
      </c>
      <c r="D138" s="325"/>
      <c r="E138" s="3">
        <f t="shared" ref="E138:L138" si="29">SUM(E133:E137)</f>
        <v>2447131</v>
      </c>
      <c r="F138" s="3">
        <f t="shared" ca="1" si="29"/>
        <v>953744</v>
      </c>
      <c r="G138" s="3">
        <f t="shared" ca="1" si="29"/>
        <v>645872</v>
      </c>
      <c r="H138" s="3">
        <f t="shared" ca="1" si="29"/>
        <v>1394</v>
      </c>
      <c r="I138" s="3">
        <f t="shared" ca="1" si="29"/>
        <v>587</v>
      </c>
      <c r="J138" s="3">
        <f t="shared" ca="1" si="29"/>
        <v>845533</v>
      </c>
      <c r="K138" s="3">
        <f t="shared" ca="1" si="29"/>
        <v>0</v>
      </c>
      <c r="L138" s="3">
        <f t="shared" ca="1" si="29"/>
        <v>0</v>
      </c>
    </row>
    <row r="139" spans="1:12" ht="11.25" x14ac:dyDescent="0.2">
      <c r="A139" s="325"/>
      <c r="B139" s="3"/>
      <c r="C139" s="3"/>
      <c r="D139" s="325"/>
      <c r="E139" s="3"/>
      <c r="F139" s="3"/>
      <c r="G139" s="3"/>
      <c r="H139" s="3"/>
      <c r="I139" s="3"/>
      <c r="J139" s="3"/>
      <c r="K139" s="3"/>
      <c r="L139" s="3"/>
    </row>
    <row r="140" spans="1:12" ht="11.25" x14ac:dyDescent="0.2">
      <c r="A140" s="325">
        <f>A138+1</f>
        <v>8</v>
      </c>
      <c r="B140" s="3"/>
      <c r="C140" s="25" t="str">
        <f>Input!A91</f>
        <v>PRODUCTION PLANT</v>
      </c>
      <c r="D140" s="325"/>
      <c r="E140" s="3"/>
      <c r="F140" s="3"/>
      <c r="G140" s="3"/>
      <c r="H140" s="3"/>
      <c r="I140" s="3"/>
      <c r="J140" s="3"/>
      <c r="K140" s="3"/>
      <c r="L140" s="3"/>
    </row>
    <row r="141" spans="1:12" ht="11.25" x14ac:dyDescent="0.2">
      <c r="A141" s="325"/>
      <c r="B141" s="3"/>
      <c r="C141" s="3"/>
      <c r="D141" s="325"/>
      <c r="E141" s="3"/>
      <c r="F141" s="3"/>
      <c r="G141" s="3"/>
      <c r="H141" s="3"/>
      <c r="I141" s="3"/>
      <c r="J141" s="3"/>
      <c r="K141" s="3"/>
      <c r="L141" s="3"/>
    </row>
    <row r="142" spans="1:12" ht="11.25" x14ac:dyDescent="0.2">
      <c r="A142" s="325">
        <f>A140+1</f>
        <v>9</v>
      </c>
      <c r="B142" s="24">
        <f>Input!A92</f>
        <v>304.10000000000002</v>
      </c>
      <c r="C142" s="3" t="str">
        <f>Input!B92</f>
        <v>LAND</v>
      </c>
      <c r="D142" s="325">
        <f>Input!C92</f>
        <v>2</v>
      </c>
      <c r="E142" s="3">
        <f>'Total Co'!E142-Customer!E142-Commodity!E142</f>
        <v>0</v>
      </c>
      <c r="F142" s="3">
        <f>ROUND((VLOOKUP($D142,'Alloc Table Dem'!$B$7:$T$56,13,FALSE)*$E142),0)</f>
        <v>0</v>
      </c>
      <c r="G142" s="3">
        <f>ROUND((VLOOKUP($D142,'Alloc Table Dem'!$B$7:$T$56,14,FALSE)*$E142),0)</f>
        <v>0</v>
      </c>
      <c r="H142" s="3">
        <f>ROUND((VLOOKUP($D142,'Alloc Table Dem'!$B$7:$T$56,15,FALSE)*$E142),0)</f>
        <v>0</v>
      </c>
      <c r="I142" s="3">
        <f>ROUND((VLOOKUP($D142,'Alloc Table Dem'!$B$7:$T$56,16,FALSE)*$E142),0)</f>
        <v>0</v>
      </c>
      <c r="J142" s="3">
        <f>ROUND((VLOOKUP($D142,'Alloc Table Dem'!$B$7:$T$56,17,FALSE)*$E142),0)</f>
        <v>0</v>
      </c>
      <c r="K142" s="3">
        <f>ROUND((VLOOKUP($D142,'Alloc Table Dem'!$B$7:$T$56,18,FALSE)*$E142),0)</f>
        <v>0</v>
      </c>
      <c r="L142" s="3">
        <f>ROUND((VLOOKUP($D142,'Alloc Table Dem'!$B$7:$T$56,19,FALSE)*$E142),0)</f>
        <v>0</v>
      </c>
    </row>
    <row r="143" spans="1:12" ht="11.25" x14ac:dyDescent="0.2">
      <c r="A143" s="325">
        <f>A142+1</f>
        <v>10</v>
      </c>
      <c r="B143" s="24">
        <f>Input!A93</f>
        <v>305</v>
      </c>
      <c r="C143" s="3" t="str">
        <f>Input!B93</f>
        <v>STRUCTURES &amp; IMPROVEMENTS</v>
      </c>
      <c r="D143" s="325">
        <f>Input!C93</f>
        <v>2</v>
      </c>
      <c r="E143" s="3">
        <f>'Total Co'!E143-Customer!E143-Commodity!E143</f>
        <v>0</v>
      </c>
      <c r="F143" s="3">
        <f>ROUND((VLOOKUP($D143,'Alloc Table Dem'!$B$7:$T$56,13,FALSE)*$E143),0)</f>
        <v>0</v>
      </c>
      <c r="G143" s="3">
        <f>ROUND((VLOOKUP($D143,'Alloc Table Dem'!$B$7:$T$56,14,FALSE)*$E143),0)</f>
        <v>0</v>
      </c>
      <c r="H143" s="3">
        <f>ROUND((VLOOKUP($D143,'Alloc Table Dem'!$B$7:$T$56,15,FALSE)*$E143),0)</f>
        <v>0</v>
      </c>
      <c r="I143" s="3">
        <f>ROUND((VLOOKUP($D143,'Alloc Table Dem'!$B$7:$T$56,16,FALSE)*$E143),0)</f>
        <v>0</v>
      </c>
      <c r="J143" s="3">
        <f>ROUND((VLOOKUP($D143,'Alloc Table Dem'!$B$7:$T$56,17,FALSE)*$E143),0)</f>
        <v>0</v>
      </c>
      <c r="K143" s="3">
        <f>ROUND((VLOOKUP($D143,'Alloc Table Dem'!$B$7:$T$56,18,FALSE)*$E143),0)</f>
        <v>0</v>
      </c>
      <c r="L143" s="3">
        <f>ROUND((VLOOKUP($D143,'Alloc Table Dem'!$B$7:$T$56,19,FALSE)*$E143),0)</f>
        <v>0</v>
      </c>
    </row>
    <row r="144" spans="1:12" ht="11.25" x14ac:dyDescent="0.2">
      <c r="A144" s="325">
        <f>A143+1</f>
        <v>11</v>
      </c>
      <c r="B144" s="24">
        <f>Input!A94</f>
        <v>311</v>
      </c>
      <c r="C144" s="3" t="str">
        <f>Input!B94</f>
        <v>LIQUEFIED PETROLEUM GAS EQUIP</v>
      </c>
      <c r="D144" s="325">
        <f>Input!C94</f>
        <v>2</v>
      </c>
      <c r="E144" s="26">
        <f>'Total Co'!E144-Customer!E144-Commodity!E144</f>
        <v>0</v>
      </c>
      <c r="F144" s="26">
        <f>ROUND((VLOOKUP($D144,'Alloc Table Dem'!$B$7:$T$56,13,FALSE)*$E144),0)</f>
        <v>0</v>
      </c>
      <c r="G144" s="26">
        <f>ROUND((VLOOKUP($D144,'Alloc Table Dem'!$B$7:$T$56,14,FALSE)*$E144),0)</f>
        <v>0</v>
      </c>
      <c r="H144" s="26">
        <f>ROUND((VLOOKUP($D144,'Alloc Table Dem'!$B$7:$T$56,15,FALSE)*$E144),0)</f>
        <v>0</v>
      </c>
      <c r="I144" s="26">
        <f>ROUND((VLOOKUP($D144,'Alloc Table Dem'!$B$7:$T$56,16,FALSE)*$E144),0)</f>
        <v>0</v>
      </c>
      <c r="J144" s="26">
        <f>ROUND((VLOOKUP($D144,'Alloc Table Dem'!$B$7:$T$56,17,FALSE)*$E144),0)</f>
        <v>0</v>
      </c>
      <c r="K144" s="26">
        <f>ROUND((VLOOKUP($D144,'Alloc Table Dem'!$B$7:$T$56,18,FALSE)*$E144),0)</f>
        <v>0</v>
      </c>
      <c r="L144" s="26">
        <f>ROUND((VLOOKUP($D144,'Alloc Table Dem'!$B$7:$T$56,19,FALSE)*$E144),0)</f>
        <v>0</v>
      </c>
    </row>
    <row r="145" spans="1:12" ht="11.25" x14ac:dyDescent="0.2">
      <c r="A145" s="325">
        <f>A144+1</f>
        <v>12</v>
      </c>
      <c r="B145" s="3"/>
      <c r="C145" s="3" t="s">
        <v>41</v>
      </c>
      <c r="D145" s="325"/>
      <c r="E145" s="3">
        <f t="shared" ref="E145:L145" si="30">SUM(E142:E144)</f>
        <v>0</v>
      </c>
      <c r="F145" s="3">
        <f t="shared" si="30"/>
        <v>0</v>
      </c>
      <c r="G145" s="3">
        <f t="shared" si="30"/>
        <v>0</v>
      </c>
      <c r="H145" s="3">
        <f t="shared" si="30"/>
        <v>0</v>
      </c>
      <c r="I145" s="3">
        <f t="shared" si="30"/>
        <v>0</v>
      </c>
      <c r="J145" s="3">
        <f t="shared" si="30"/>
        <v>0</v>
      </c>
      <c r="K145" s="3">
        <f t="shared" si="30"/>
        <v>0</v>
      </c>
      <c r="L145" s="3">
        <f t="shared" si="30"/>
        <v>0</v>
      </c>
    </row>
    <row r="146" spans="1:12" ht="11.25" x14ac:dyDescent="0.2">
      <c r="A146" s="325"/>
      <c r="B146" s="3"/>
      <c r="C146" s="3"/>
      <c r="D146" s="325"/>
      <c r="E146" s="3"/>
      <c r="F146" s="3"/>
      <c r="G146" s="3"/>
      <c r="H146" s="3"/>
      <c r="I146" s="3"/>
      <c r="J146" s="3"/>
      <c r="K146" s="3"/>
      <c r="L146" s="3"/>
    </row>
    <row r="147" spans="1:12" ht="11.25" x14ac:dyDescent="0.2">
      <c r="A147" s="325">
        <f>A145+1</f>
        <v>13</v>
      </c>
      <c r="B147" s="24"/>
      <c r="C147" s="25" t="str">
        <f>Input!A95</f>
        <v>DISTRIBUTION PLANT</v>
      </c>
      <c r="D147" s="325"/>
      <c r="E147" s="3"/>
      <c r="F147" s="3"/>
      <c r="G147" s="3"/>
      <c r="H147" s="3"/>
      <c r="I147" s="3"/>
      <c r="J147" s="3"/>
      <c r="K147" s="3"/>
      <c r="L147" s="3"/>
    </row>
    <row r="148" spans="1:12" ht="11.25" x14ac:dyDescent="0.2">
      <c r="A148" s="325"/>
      <c r="B148" s="3"/>
      <c r="C148" s="3"/>
      <c r="D148" s="325"/>
      <c r="E148" s="3"/>
      <c r="F148" s="3"/>
      <c r="G148" s="3"/>
      <c r="H148" s="3"/>
      <c r="I148" s="3"/>
      <c r="J148" s="3"/>
      <c r="K148" s="3"/>
      <c r="L148" s="3"/>
    </row>
    <row r="149" spans="1:12" ht="11.25" x14ac:dyDescent="0.2">
      <c r="A149" s="325">
        <f>A147+1</f>
        <v>14</v>
      </c>
      <c r="B149" s="24">
        <f>Input!A96</f>
        <v>374.1</v>
      </c>
      <c r="C149" s="25" t="str">
        <f>Input!B96</f>
        <v>LAND - CITY GATE &amp; M/L IND M&amp;R</v>
      </c>
      <c r="D149" s="325">
        <f>Input!C96</f>
        <v>5</v>
      </c>
      <c r="E149" s="3">
        <f>Classification!E149-Classification!F149-Classification!G149</f>
        <v>103</v>
      </c>
      <c r="F149" s="3">
        <f>ROUND((VLOOKUP($D149,'Alloc Table Dem'!$B$7:$T$56,13,FALSE)*$E149),0)</f>
        <v>40</v>
      </c>
      <c r="G149" s="3">
        <f>ROUND((VLOOKUP($D149,'Alloc Table Dem'!$B$7:$T$56,14,FALSE)*$E149),0)</f>
        <v>27</v>
      </c>
      <c r="H149" s="3">
        <f>ROUND((VLOOKUP($D149,'Alloc Table Dem'!$B$7:$T$56,15,FALSE)*$E149),0)</f>
        <v>0</v>
      </c>
      <c r="I149" s="3">
        <f>ROUND((VLOOKUP($D149,'Alloc Table Dem'!$B$7:$T$56,16,FALSE)*$E149),0)</f>
        <v>0</v>
      </c>
      <c r="J149" s="3">
        <f>ROUND((VLOOKUP($D149,'Alloc Table Dem'!$B$7:$T$56,17,FALSE)*$E149),0)</f>
        <v>36</v>
      </c>
      <c r="K149" s="3">
        <f>ROUND((VLOOKUP($D149,'Alloc Table Dem'!$B$7:$T$56,18,FALSE)*$E149),0)</f>
        <v>0</v>
      </c>
      <c r="L149" s="3">
        <f>ROUND((VLOOKUP($D149,'Alloc Table Dem'!$B$7:$T$56,19,FALSE)*$E149),0)</f>
        <v>0</v>
      </c>
    </row>
    <row r="150" spans="1:12" ht="11.25" x14ac:dyDescent="0.2">
      <c r="A150" s="325">
        <f t="shared" ref="A150:A167" si="31">A149+1</f>
        <v>15</v>
      </c>
      <c r="B150" s="24">
        <f>Input!A97</f>
        <v>374.2</v>
      </c>
      <c r="C150" s="25" t="str">
        <f>Input!B97</f>
        <v>LAND - OTHER DISTRIBUTION</v>
      </c>
      <c r="D150" s="325">
        <f>Input!C97</f>
        <v>5</v>
      </c>
      <c r="E150" s="3">
        <f>Classification!E150-Classification!F150-Classification!G150</f>
        <v>438878</v>
      </c>
      <c r="F150" s="3">
        <f>ROUND((VLOOKUP($D150,'Alloc Table Dem'!$B$7:$T$56,13,FALSE)*$E150),0)</f>
        <v>171092</v>
      </c>
      <c r="G150" s="3">
        <f>ROUND((VLOOKUP($D150,'Alloc Table Dem'!$B$7:$T$56,14,FALSE)*$E150),0)</f>
        <v>115859</v>
      </c>
      <c r="H150" s="3">
        <f>ROUND((VLOOKUP($D150,'Alloc Table Dem'!$B$7:$T$56,15,FALSE)*$E150),0)</f>
        <v>250</v>
      </c>
      <c r="I150" s="3">
        <f>ROUND((VLOOKUP($D150,'Alloc Table Dem'!$B$7:$T$56,16,FALSE)*$E150),0)</f>
        <v>0</v>
      </c>
      <c r="J150" s="3">
        <f>ROUND((VLOOKUP($D150,'Alloc Table Dem'!$B$7:$T$56,17,FALSE)*$E150),0)</f>
        <v>151676</v>
      </c>
      <c r="K150" s="3">
        <f>ROUND((VLOOKUP($D150,'Alloc Table Dem'!$B$7:$T$56,18,FALSE)*$E150),0)</f>
        <v>0</v>
      </c>
      <c r="L150" s="3">
        <f>ROUND((VLOOKUP($D150,'Alloc Table Dem'!$B$7:$T$56,19,FALSE)*$E150),0)</f>
        <v>0</v>
      </c>
    </row>
    <row r="151" spans="1:12" ht="11.25" x14ac:dyDescent="0.2">
      <c r="A151" s="325">
        <f t="shared" si="31"/>
        <v>16</v>
      </c>
      <c r="B151" s="24">
        <f>Input!A98</f>
        <v>374.4</v>
      </c>
      <c r="C151" s="25" t="str">
        <f>Input!B98</f>
        <v>LAND RIGHTS - OTHER DISTRIBUTION</v>
      </c>
      <c r="D151" s="325">
        <f>Input!C98</f>
        <v>5</v>
      </c>
      <c r="E151" s="3">
        <f>Classification!E151-Classification!F151-Classification!G151</f>
        <v>330653</v>
      </c>
      <c r="F151" s="3">
        <f>ROUND((VLOOKUP($D151,'Alloc Table Dem'!$B$7:$T$56,13,FALSE)*$E151),0)</f>
        <v>128902</v>
      </c>
      <c r="G151" s="3">
        <f>ROUND((VLOOKUP($D151,'Alloc Table Dem'!$B$7:$T$56,14,FALSE)*$E151),0)</f>
        <v>87289</v>
      </c>
      <c r="H151" s="3">
        <f>ROUND((VLOOKUP($D151,'Alloc Table Dem'!$B$7:$T$56,15,FALSE)*$E151),0)</f>
        <v>188</v>
      </c>
      <c r="I151" s="3">
        <f>ROUND((VLOOKUP($D151,'Alloc Table Dem'!$B$7:$T$56,16,FALSE)*$E151),0)</f>
        <v>0</v>
      </c>
      <c r="J151" s="3">
        <f>ROUND((VLOOKUP($D151,'Alloc Table Dem'!$B$7:$T$56,17,FALSE)*$E151),0)</f>
        <v>114274</v>
      </c>
      <c r="K151" s="3">
        <f>ROUND((VLOOKUP($D151,'Alloc Table Dem'!$B$7:$T$56,18,FALSE)*$E151),0)</f>
        <v>0</v>
      </c>
      <c r="L151" s="3">
        <f>ROUND((VLOOKUP($D151,'Alloc Table Dem'!$B$7:$T$56,19,FALSE)*$E151),0)</f>
        <v>0</v>
      </c>
    </row>
    <row r="152" spans="1:12" ht="11.25" x14ac:dyDescent="0.2">
      <c r="A152" s="325">
        <f t="shared" si="31"/>
        <v>17</v>
      </c>
      <c r="B152" s="24">
        <f>Input!A99</f>
        <v>374.5</v>
      </c>
      <c r="C152" s="25" t="str">
        <f>Input!B99</f>
        <v>RIGHTS OF WAY</v>
      </c>
      <c r="D152" s="325">
        <f>Input!C99</f>
        <v>5</v>
      </c>
      <c r="E152" s="3">
        <f>Classification!E152-Classification!F152-Classification!G152</f>
        <v>1364914</v>
      </c>
      <c r="F152" s="3">
        <f>ROUND((VLOOKUP($D152,'Alloc Table Dem'!$B$7:$T$56,13,FALSE)*$E152),0)</f>
        <v>532098</v>
      </c>
      <c r="G152" s="3">
        <f>ROUND((VLOOKUP($D152,'Alloc Table Dem'!$B$7:$T$56,14,FALSE)*$E152),0)</f>
        <v>360324</v>
      </c>
      <c r="H152" s="3">
        <f>ROUND((VLOOKUP($D152,'Alloc Table Dem'!$B$7:$T$56,15,FALSE)*$E152),0)</f>
        <v>778</v>
      </c>
      <c r="I152" s="3">
        <f>ROUND((VLOOKUP($D152,'Alloc Table Dem'!$B$7:$T$56,16,FALSE)*$E152),0)</f>
        <v>0</v>
      </c>
      <c r="J152" s="3">
        <f>ROUND((VLOOKUP($D152,'Alloc Table Dem'!$B$7:$T$56,17,FALSE)*$E152),0)</f>
        <v>471714</v>
      </c>
      <c r="K152" s="3">
        <f>ROUND((VLOOKUP($D152,'Alloc Table Dem'!$B$7:$T$56,18,FALSE)*$E152),0)</f>
        <v>0</v>
      </c>
      <c r="L152" s="3">
        <f>ROUND((VLOOKUP($D152,'Alloc Table Dem'!$B$7:$T$56,19,FALSE)*$E152),0)</f>
        <v>0</v>
      </c>
    </row>
    <row r="153" spans="1:12" ht="11.25" x14ac:dyDescent="0.2">
      <c r="A153" s="325">
        <f t="shared" si="31"/>
        <v>18</v>
      </c>
      <c r="B153" s="24">
        <f>Input!A100</f>
        <v>375.2</v>
      </c>
      <c r="C153" s="25" t="str">
        <f>Input!B100</f>
        <v>CITY GATE - MEAS &amp; REG STRUCTURES</v>
      </c>
      <c r="D153" s="325">
        <f>Input!C100</f>
        <v>5</v>
      </c>
      <c r="E153" s="3">
        <f>Classification!E153-Classification!F153-Classification!G153</f>
        <v>1062</v>
      </c>
      <c r="F153" s="3">
        <f>ROUND((VLOOKUP($D153,'Alloc Table Dem'!$B$7:$T$56,13,FALSE)*$E153),0)</f>
        <v>414</v>
      </c>
      <c r="G153" s="3">
        <f>ROUND((VLOOKUP($D153,'Alloc Table Dem'!$B$7:$T$56,14,FALSE)*$E153),0)</f>
        <v>280</v>
      </c>
      <c r="H153" s="3">
        <f>ROUND((VLOOKUP($D153,'Alloc Table Dem'!$B$7:$T$56,15,FALSE)*$E153),0)</f>
        <v>1</v>
      </c>
      <c r="I153" s="3">
        <f>ROUND((VLOOKUP($D153,'Alloc Table Dem'!$B$7:$T$56,16,FALSE)*$E153),0)</f>
        <v>0</v>
      </c>
      <c r="J153" s="3">
        <f>ROUND((VLOOKUP($D153,'Alloc Table Dem'!$B$7:$T$56,17,FALSE)*$E153),0)</f>
        <v>367</v>
      </c>
      <c r="K153" s="3">
        <f>ROUND((VLOOKUP($D153,'Alloc Table Dem'!$B$7:$T$56,18,FALSE)*$E153),0)</f>
        <v>0</v>
      </c>
      <c r="L153" s="3">
        <f>ROUND((VLOOKUP($D153,'Alloc Table Dem'!$B$7:$T$56,19,FALSE)*$E153),0)</f>
        <v>0</v>
      </c>
    </row>
    <row r="154" spans="1:12" ht="11.25" x14ac:dyDescent="0.2">
      <c r="A154" s="325">
        <f t="shared" si="31"/>
        <v>19</v>
      </c>
      <c r="B154" s="24">
        <f>Input!A101</f>
        <v>375.3</v>
      </c>
      <c r="C154" s="25" t="str">
        <f>Input!B101</f>
        <v>STRUC &amp; IMPROV-GENERAL M&amp;R</v>
      </c>
      <c r="D154" s="325">
        <f>Input!C101</f>
        <v>5</v>
      </c>
      <c r="E154" s="3">
        <f>Classification!E154-Classification!F154-Classification!G154</f>
        <v>0</v>
      </c>
      <c r="F154" s="3">
        <f>ROUND((VLOOKUP($D154,'Alloc Table Dem'!$B$7:$T$56,13,FALSE)*$E154),0)</f>
        <v>0</v>
      </c>
      <c r="G154" s="3">
        <f>ROUND((VLOOKUP($D154,'Alloc Table Dem'!$B$7:$T$56,14,FALSE)*$E154),0)</f>
        <v>0</v>
      </c>
      <c r="H154" s="3">
        <f>ROUND((VLOOKUP($D154,'Alloc Table Dem'!$B$7:$T$56,15,FALSE)*$E154),0)</f>
        <v>0</v>
      </c>
      <c r="I154" s="3">
        <f>ROUND((VLOOKUP($D154,'Alloc Table Dem'!$B$7:$T$56,16,FALSE)*$E154),0)</f>
        <v>0</v>
      </c>
      <c r="J154" s="3">
        <f>ROUND((VLOOKUP($D154,'Alloc Table Dem'!$B$7:$T$56,17,FALSE)*$E154),0)</f>
        <v>0</v>
      </c>
      <c r="K154" s="3">
        <f>ROUND((VLOOKUP($D154,'Alloc Table Dem'!$B$7:$T$56,18,FALSE)*$E154),0)</f>
        <v>0</v>
      </c>
      <c r="L154" s="3">
        <f>ROUND((VLOOKUP($D154,'Alloc Table Dem'!$B$7:$T$56,19,FALSE)*$E154),0)</f>
        <v>0</v>
      </c>
    </row>
    <row r="155" spans="1:12" ht="11.25" x14ac:dyDescent="0.2">
      <c r="A155" s="325">
        <f t="shared" si="31"/>
        <v>20</v>
      </c>
      <c r="B155" s="24">
        <f>Input!A102</f>
        <v>375.4</v>
      </c>
      <c r="C155" s="25" t="str">
        <f>Input!B102</f>
        <v>STRUC &amp; IMPROV-REGULATING</v>
      </c>
      <c r="D155" s="325">
        <f>Input!C102</f>
        <v>5</v>
      </c>
      <c r="E155" s="3">
        <f>Classification!E155-Classification!F155-Classification!G155</f>
        <v>1088343.2400000002</v>
      </c>
      <c r="F155" s="3">
        <f>ROUND((VLOOKUP($D155,'Alloc Table Dem'!$B$7:$T$56,13,FALSE)*$E155),0)</f>
        <v>424280</v>
      </c>
      <c r="G155" s="3">
        <f>ROUND((VLOOKUP($D155,'Alloc Table Dem'!$B$7:$T$56,14,FALSE)*$E155),0)</f>
        <v>287312</v>
      </c>
      <c r="H155" s="3">
        <f>ROUND((VLOOKUP($D155,'Alloc Table Dem'!$B$7:$T$56,15,FALSE)*$E155),0)</f>
        <v>620</v>
      </c>
      <c r="I155" s="3">
        <f>ROUND((VLOOKUP($D155,'Alloc Table Dem'!$B$7:$T$56,16,FALSE)*$E155),0)</f>
        <v>0</v>
      </c>
      <c r="J155" s="3">
        <f>ROUND((VLOOKUP($D155,'Alloc Table Dem'!$B$7:$T$56,17,FALSE)*$E155),0)</f>
        <v>376131</v>
      </c>
      <c r="K155" s="3">
        <f>ROUND((VLOOKUP($D155,'Alloc Table Dem'!$B$7:$T$56,18,FALSE)*$E155),0)</f>
        <v>0</v>
      </c>
      <c r="L155" s="3">
        <f>ROUND((VLOOKUP($D155,'Alloc Table Dem'!$B$7:$T$56,19,FALSE)*$E155),0)</f>
        <v>0</v>
      </c>
    </row>
    <row r="156" spans="1:12" ht="11.25" x14ac:dyDescent="0.2">
      <c r="A156" s="325">
        <f t="shared" si="31"/>
        <v>21</v>
      </c>
      <c r="B156" s="24">
        <f>B155</f>
        <v>375.4</v>
      </c>
      <c r="C156" s="25" t="str">
        <f>"DIRECT "&amp;C155</f>
        <v>DIRECT STRUC &amp; IMPROV-REGULATING</v>
      </c>
      <c r="D156" s="325"/>
      <c r="E156" s="3">
        <f>Classification!E156-Classification!F156-Classification!G156</f>
        <v>23105.760000000002</v>
      </c>
      <c r="F156" s="3">
        <v>0</v>
      </c>
      <c r="G156" s="3">
        <v>0</v>
      </c>
      <c r="H156" s="3">
        <v>0</v>
      </c>
      <c r="I156" s="3">
        <f>E156</f>
        <v>23105.760000000002</v>
      </c>
      <c r="J156" s="3">
        <v>0</v>
      </c>
      <c r="K156" s="3">
        <v>0</v>
      </c>
      <c r="L156" s="3">
        <v>0</v>
      </c>
    </row>
    <row r="157" spans="1:12" ht="11.25" x14ac:dyDescent="0.2">
      <c r="A157" s="325">
        <f t="shared" si="31"/>
        <v>22</v>
      </c>
      <c r="B157" s="24">
        <f>Input!A103</f>
        <v>375.6</v>
      </c>
      <c r="C157" s="25" t="str">
        <f>Input!B103</f>
        <v>STRUC &amp; IMPROV-DIST. IND. M &amp; R</v>
      </c>
      <c r="D157" s="325">
        <f>Input!C103</f>
        <v>8</v>
      </c>
      <c r="E157" s="3">
        <f>Classification!E157-Classification!F157-Classification!G157</f>
        <v>0</v>
      </c>
      <c r="F157" s="3">
        <f>ROUND((VLOOKUP($D157,'Alloc Table Dem'!$B$7:$T$56,13,FALSE)*$E157),0)</f>
        <v>0</v>
      </c>
      <c r="G157" s="3">
        <f>ROUND((VLOOKUP($D157,'Alloc Table Dem'!$B$7:$T$56,14,FALSE)*$E157),0)</f>
        <v>0</v>
      </c>
      <c r="H157" s="3">
        <f>ROUND((VLOOKUP($D157,'Alloc Table Dem'!$B$7:$T$56,15,FALSE)*$E157),0)</f>
        <v>0</v>
      </c>
      <c r="I157" s="3">
        <f>ROUND((VLOOKUP($D157,'Alloc Table Dem'!$B$7:$T$56,16,FALSE)*$E157),0)</f>
        <v>0</v>
      </c>
      <c r="J157" s="3">
        <f>ROUND((VLOOKUP($D157,'Alloc Table Dem'!$B$7:$T$56,17,FALSE)*$E157),0)</f>
        <v>0</v>
      </c>
      <c r="K157" s="3">
        <f>ROUND((VLOOKUP($D157,'Alloc Table Dem'!$B$7:$T$56,18,FALSE)*$E157),0)</f>
        <v>0</v>
      </c>
      <c r="L157" s="3">
        <f>ROUND((VLOOKUP($D157,'Alloc Table Dem'!$B$7:$T$56,19,FALSE)*$E157),0)</f>
        <v>0</v>
      </c>
    </row>
    <row r="158" spans="1:12" ht="11.25" x14ac:dyDescent="0.2">
      <c r="A158" s="325">
        <f t="shared" si="31"/>
        <v>23</v>
      </c>
      <c r="B158" s="24">
        <f>Input!A104</f>
        <v>375.7</v>
      </c>
      <c r="C158" s="25" t="str">
        <f>Input!B104</f>
        <v>STRUC &amp; IMPROV-OTHER DIST. SYSTEM</v>
      </c>
      <c r="D158" s="325" t="str">
        <f>VLOOKUP(Input!C104,'Alloc Table Dem'!$A$7:$B$27,2,FALSE)</f>
        <v>7DEM</v>
      </c>
      <c r="E158" s="3">
        <f>Classification!E158-Classification!F158-Classification!G158</f>
        <v>2547509</v>
      </c>
      <c r="F158" s="3">
        <f ca="1">ROUND((VLOOKUP($D158,'Alloc Table Dem'!$B$7:$T$56,13,FALSE)*$E158),0)</f>
        <v>992866</v>
      </c>
      <c r="G158" s="3">
        <f ca="1">ROUND((VLOOKUP($D158,'Alloc Table Dem'!$B$7:$T$56,14,FALSE)*$E158),0)</f>
        <v>672364</v>
      </c>
      <c r="H158" s="3">
        <f ca="1">ROUND((VLOOKUP($D158,'Alloc Table Dem'!$B$7:$T$56,15,FALSE)*$E158),0)</f>
        <v>1452</v>
      </c>
      <c r="I158" s="3">
        <f ca="1">ROUND((VLOOKUP($D158,'Alloc Table Dem'!$B$7:$T$56,16,FALSE)*$E158),0)</f>
        <v>611</v>
      </c>
      <c r="J158" s="3">
        <f ca="1">ROUND((VLOOKUP($D158,'Alloc Table Dem'!$B$7:$T$56,17,FALSE)*$E158),0)</f>
        <v>880215</v>
      </c>
      <c r="K158" s="3">
        <f ca="1">ROUND((VLOOKUP($D158,'Alloc Table Dem'!$B$7:$T$56,18,FALSE)*$E158),0)</f>
        <v>0</v>
      </c>
      <c r="L158" s="3">
        <f ca="1">ROUND((VLOOKUP($D158,'Alloc Table Dem'!$B$7:$T$56,19,FALSE)*$E158),0)</f>
        <v>0</v>
      </c>
    </row>
    <row r="159" spans="1:12" ht="11.25" x14ac:dyDescent="0.2">
      <c r="A159" s="325">
        <f t="shared" si="31"/>
        <v>24</v>
      </c>
      <c r="B159" s="24">
        <f>Input!A105</f>
        <v>375.71</v>
      </c>
      <c r="C159" s="25" t="str">
        <f>Input!B105</f>
        <v>STRUCT &amp; IMPROV-OTHER DIST. SYSTEM-IMPROV</v>
      </c>
      <c r="D159" s="325" t="str">
        <f>VLOOKUP(Input!C105,'Alloc Table Dem'!$A$7:$B$27,2,FALSE)</f>
        <v>7DEM</v>
      </c>
      <c r="E159" s="3">
        <f>Classification!E159-Classification!F159-Classification!G159</f>
        <v>75544</v>
      </c>
      <c r="F159" s="3">
        <f ca="1">ROUND((VLOOKUP($D159,'Alloc Table Dem'!$B$7:$T$56,13,FALSE)*$E159),0)</f>
        <v>29443</v>
      </c>
      <c r="G159" s="3">
        <f ca="1">ROUND((VLOOKUP($D159,'Alloc Table Dem'!$B$7:$T$56,14,FALSE)*$E159),0)</f>
        <v>19938</v>
      </c>
      <c r="H159" s="3">
        <f ca="1">ROUND((VLOOKUP($D159,'Alloc Table Dem'!$B$7:$T$56,15,FALSE)*$E159),0)</f>
        <v>43</v>
      </c>
      <c r="I159" s="3">
        <f ca="1">ROUND((VLOOKUP($D159,'Alloc Table Dem'!$B$7:$T$56,16,FALSE)*$E159),0)</f>
        <v>18</v>
      </c>
      <c r="J159" s="3">
        <f ca="1">ROUND((VLOOKUP($D159,'Alloc Table Dem'!$B$7:$T$56,17,FALSE)*$E159),0)</f>
        <v>26102</v>
      </c>
      <c r="K159" s="3">
        <f ca="1">ROUND((VLOOKUP($D159,'Alloc Table Dem'!$B$7:$T$56,18,FALSE)*$E159),0)</f>
        <v>0</v>
      </c>
      <c r="L159" s="3">
        <f ca="1">ROUND((VLOOKUP($D159,'Alloc Table Dem'!$B$7:$T$56,19,FALSE)*$E159),0)</f>
        <v>0</v>
      </c>
    </row>
    <row r="160" spans="1:12" ht="11.25" x14ac:dyDescent="0.2">
      <c r="A160" s="325">
        <f t="shared" si="31"/>
        <v>25</v>
      </c>
      <c r="B160" s="24">
        <f>Input!A106</f>
        <v>375.8</v>
      </c>
      <c r="C160" s="25" t="str">
        <f>Input!B106</f>
        <v>STRUC &amp; IMPROV-COMMUNICATION</v>
      </c>
      <c r="D160" s="325">
        <f>Input!C106</f>
        <v>5</v>
      </c>
      <c r="E160" s="3">
        <f>Classification!E160-Classification!F160-Classification!G160</f>
        <v>0</v>
      </c>
      <c r="F160" s="3">
        <f>ROUND((VLOOKUP($D160,'Alloc Table Dem'!$B$7:$T$56,13,FALSE)*$E160),0)</f>
        <v>0</v>
      </c>
      <c r="G160" s="3">
        <f>ROUND((VLOOKUP($D160,'Alloc Table Dem'!$B$7:$T$56,14,FALSE)*$E160),0)</f>
        <v>0</v>
      </c>
      <c r="H160" s="3">
        <f>ROUND((VLOOKUP($D160,'Alloc Table Dem'!$B$7:$T$56,15,FALSE)*$E160),0)</f>
        <v>0</v>
      </c>
      <c r="I160" s="3">
        <f>ROUND((VLOOKUP($D160,'Alloc Table Dem'!$B$7:$T$56,16,FALSE)*$E160),0)</f>
        <v>0</v>
      </c>
      <c r="J160" s="3">
        <f>ROUND((VLOOKUP($D160,'Alloc Table Dem'!$B$7:$T$56,17,FALSE)*$E160),0)</f>
        <v>0</v>
      </c>
      <c r="K160" s="3">
        <f>ROUND((VLOOKUP($D160,'Alloc Table Dem'!$B$7:$T$56,18,FALSE)*$E160),0)</f>
        <v>0</v>
      </c>
      <c r="L160" s="3">
        <f>ROUND((VLOOKUP($D160,'Alloc Table Dem'!$B$7:$T$56,19,FALSE)*$E160),0)</f>
        <v>0</v>
      </c>
    </row>
    <row r="161" spans="1:12" ht="11.25" x14ac:dyDescent="0.2">
      <c r="A161" s="325">
        <f t="shared" si="31"/>
        <v>26</v>
      </c>
      <c r="B161" s="24">
        <f>Input!A107</f>
        <v>376</v>
      </c>
      <c r="C161" s="25" t="str">
        <f>Input!B107</f>
        <v>MAINS</v>
      </c>
      <c r="D161" s="325">
        <f>Input!C107</f>
        <v>5</v>
      </c>
      <c r="E161" s="3">
        <f>Classification!E161-Classification!F161-Classification!G161</f>
        <v>110650427.21000001</v>
      </c>
      <c r="F161" s="3">
        <f>ROUND((VLOOKUP($D161,'Alloc Table Dem'!$B$7:$T$56,13,FALSE)*$E161),0)</f>
        <v>43135963</v>
      </c>
      <c r="G161" s="3">
        <f>ROUND((VLOOKUP($D161,'Alloc Table Dem'!$B$7:$T$56,14,FALSE)*$E161),0)</f>
        <v>29210606</v>
      </c>
      <c r="H161" s="3">
        <f>ROUND((VLOOKUP($D161,'Alloc Table Dem'!$B$7:$T$56,15,FALSE)*$E161),0)</f>
        <v>63071</v>
      </c>
      <c r="I161" s="3">
        <f>ROUND((VLOOKUP($D161,'Alloc Table Dem'!$B$7:$T$56,16,FALSE)*$E161),0)</f>
        <v>0</v>
      </c>
      <c r="J161" s="3">
        <f>ROUND((VLOOKUP($D161,'Alloc Table Dem'!$B$7:$T$56,17,FALSE)*$E161),0)</f>
        <v>38240788</v>
      </c>
      <c r="K161" s="3">
        <f>ROUND((VLOOKUP($D161,'Alloc Table Dem'!$B$7:$T$56,18,FALSE)*$E161),0)</f>
        <v>0</v>
      </c>
      <c r="L161" s="3">
        <f>ROUND((VLOOKUP($D161,'Alloc Table Dem'!$B$7:$T$56,19,FALSE)*$E161),0)</f>
        <v>0</v>
      </c>
    </row>
    <row r="162" spans="1:12" ht="11.25" x14ac:dyDescent="0.2">
      <c r="A162" s="325">
        <f t="shared" si="31"/>
        <v>27</v>
      </c>
      <c r="B162" s="24">
        <f>Input!A107</f>
        <v>376</v>
      </c>
      <c r="C162" s="25" t="str">
        <f>"DIRECT "&amp;+Input!B107</f>
        <v>DIRECT MAINS</v>
      </c>
      <c r="D162" s="325"/>
      <c r="E162" s="3">
        <f>Classification!E162-Classification!F162-Classification!G162</f>
        <v>5840.7900000000009</v>
      </c>
      <c r="F162" s="3">
        <v>0</v>
      </c>
      <c r="G162" s="3">
        <v>0</v>
      </c>
      <c r="H162" s="3">
        <v>0</v>
      </c>
      <c r="I162" s="3">
        <f>E162</f>
        <v>5840.7900000000009</v>
      </c>
      <c r="J162" s="3">
        <v>0</v>
      </c>
      <c r="K162" s="3">
        <v>0</v>
      </c>
      <c r="L162" s="3">
        <v>0</v>
      </c>
    </row>
    <row r="163" spans="1:12" ht="11.25" x14ac:dyDescent="0.2">
      <c r="A163" s="325">
        <f t="shared" si="31"/>
        <v>28</v>
      </c>
      <c r="B163" s="24">
        <f>Input!A108</f>
        <v>378.1</v>
      </c>
      <c r="C163" s="25" t="str">
        <f>Input!B108</f>
        <v>M &amp; R GENERAL</v>
      </c>
      <c r="D163" s="325">
        <f>Input!C108</f>
        <v>5</v>
      </c>
      <c r="E163" s="3">
        <f>Classification!E163-Classification!F163-Classification!G163</f>
        <v>259252</v>
      </c>
      <c r="F163" s="3">
        <f>ROUND((VLOOKUP($D163,'Alloc Table Dem'!$B$7:$T$56,13,FALSE)*$E163),0)</f>
        <v>101067</v>
      </c>
      <c r="G163" s="3">
        <f>ROUND((VLOOKUP($D163,'Alloc Table Dem'!$B$7:$T$56,14,FALSE)*$E163),0)</f>
        <v>68440</v>
      </c>
      <c r="H163" s="3">
        <f>ROUND((VLOOKUP($D163,'Alloc Table Dem'!$B$7:$T$56,15,FALSE)*$E163),0)</f>
        <v>148</v>
      </c>
      <c r="I163" s="3">
        <f>ROUND((VLOOKUP($D163,'Alloc Table Dem'!$B$7:$T$56,16,FALSE)*$E163),0)</f>
        <v>0</v>
      </c>
      <c r="J163" s="3">
        <f>ROUND((VLOOKUP($D163,'Alloc Table Dem'!$B$7:$T$56,17,FALSE)*$E163),0)</f>
        <v>89597</v>
      </c>
      <c r="K163" s="3">
        <f>ROUND((VLOOKUP($D163,'Alloc Table Dem'!$B$7:$T$56,18,FALSE)*$E163),0)</f>
        <v>0</v>
      </c>
      <c r="L163" s="3">
        <f>ROUND((VLOOKUP($D163,'Alloc Table Dem'!$B$7:$T$56,19,FALSE)*$E163),0)</f>
        <v>0</v>
      </c>
    </row>
    <row r="164" spans="1:12" ht="11.25" x14ac:dyDescent="0.2">
      <c r="A164" s="325">
        <f t="shared" si="31"/>
        <v>29</v>
      </c>
      <c r="B164" s="24">
        <f>Input!A109</f>
        <v>378.2</v>
      </c>
      <c r="C164" s="25" t="str">
        <f>Input!B109</f>
        <v>M &amp; R GENERAL - REGULATING</v>
      </c>
      <c r="D164" s="325">
        <f>Input!C109</f>
        <v>5</v>
      </c>
      <c r="E164" s="3">
        <f>Classification!E164-Classification!F164-Classification!G164</f>
        <v>4587545</v>
      </c>
      <c r="F164" s="3">
        <f>ROUND((VLOOKUP($D164,'Alloc Table Dem'!$B$7:$T$56,13,FALSE)*$E164),0)</f>
        <v>1788409</v>
      </c>
      <c r="G164" s="3">
        <f>ROUND((VLOOKUP($D164,'Alloc Table Dem'!$B$7:$T$56,14,FALSE)*$E164),0)</f>
        <v>1211066</v>
      </c>
      <c r="H164" s="3">
        <f>ROUND((VLOOKUP($D164,'Alloc Table Dem'!$B$7:$T$56,15,FALSE)*$E164),0)</f>
        <v>2615</v>
      </c>
      <c r="I164" s="3">
        <f>ROUND((VLOOKUP($D164,'Alloc Table Dem'!$B$7:$T$56,16,FALSE)*$E164),0)</f>
        <v>0</v>
      </c>
      <c r="J164" s="3">
        <f>ROUND((VLOOKUP($D164,'Alloc Table Dem'!$B$7:$T$56,17,FALSE)*$E164),0)</f>
        <v>1585456</v>
      </c>
      <c r="K164" s="3">
        <f>ROUND((VLOOKUP($D164,'Alloc Table Dem'!$B$7:$T$56,18,FALSE)*$E164),0)</f>
        <v>0</v>
      </c>
      <c r="L164" s="3">
        <f>ROUND((VLOOKUP($D164,'Alloc Table Dem'!$B$7:$T$56,19,FALSE)*$E164),0)</f>
        <v>0</v>
      </c>
    </row>
    <row r="165" spans="1:12" ht="11.25" x14ac:dyDescent="0.2">
      <c r="A165" s="325">
        <f t="shared" si="31"/>
        <v>30</v>
      </c>
      <c r="B165" s="24">
        <f>Input!A110</f>
        <v>378.3</v>
      </c>
      <c r="C165" s="25" t="str">
        <f>Input!B110</f>
        <v>M &amp; R EQUIP - LOCAL GAS PURCHASES</v>
      </c>
      <c r="D165" s="325">
        <f>Input!C110</f>
        <v>5</v>
      </c>
      <c r="E165" s="3">
        <f>Classification!E165-Classification!F165-Classification!G165</f>
        <v>22721</v>
      </c>
      <c r="F165" s="3">
        <f>ROUND((VLOOKUP($D165,'Alloc Table Dem'!$B$7:$T$56,13,FALSE)*$E165),0)</f>
        <v>8858</v>
      </c>
      <c r="G165" s="3">
        <f>ROUND((VLOOKUP($D165,'Alloc Table Dem'!$B$7:$T$56,14,FALSE)*$E165),0)</f>
        <v>5998</v>
      </c>
      <c r="H165" s="3">
        <f>ROUND((VLOOKUP($D165,'Alloc Table Dem'!$B$7:$T$56,15,FALSE)*$E165),0)</f>
        <v>13</v>
      </c>
      <c r="I165" s="3">
        <f>ROUND((VLOOKUP($D165,'Alloc Table Dem'!$B$7:$T$56,16,FALSE)*$E165),0)</f>
        <v>0</v>
      </c>
      <c r="J165" s="3">
        <f>ROUND((VLOOKUP($D165,'Alloc Table Dem'!$B$7:$T$56,17,FALSE)*$E165),0)</f>
        <v>7852</v>
      </c>
      <c r="K165" s="3">
        <f>ROUND((VLOOKUP($D165,'Alloc Table Dem'!$B$7:$T$56,18,FALSE)*$E165),0)</f>
        <v>0</v>
      </c>
      <c r="L165" s="3">
        <f>ROUND((VLOOKUP($D165,'Alloc Table Dem'!$B$7:$T$56,19,FALSE)*$E165),0)</f>
        <v>0</v>
      </c>
    </row>
    <row r="166" spans="1:12" ht="11.25" x14ac:dyDescent="0.2">
      <c r="A166" s="325">
        <f t="shared" si="31"/>
        <v>31</v>
      </c>
      <c r="B166" s="24">
        <f>Input!A111</f>
        <v>379.1</v>
      </c>
      <c r="C166" s="25" t="str">
        <f>Input!B111</f>
        <v>STA EQUIP - CITY</v>
      </c>
      <c r="D166" s="325">
        <f>Input!C111</f>
        <v>5</v>
      </c>
      <c r="E166" s="3">
        <f>Classification!E166-Classification!F166-Classification!G166</f>
        <v>127450</v>
      </c>
      <c r="F166" s="3">
        <f>ROUND((VLOOKUP($D166,'Alloc Table Dem'!$B$7:$T$56,13,FALSE)*$E166),0)</f>
        <v>49685</v>
      </c>
      <c r="G166" s="3">
        <f>ROUND((VLOOKUP($D166,'Alloc Table Dem'!$B$7:$T$56,14,FALSE)*$E166),0)</f>
        <v>33646</v>
      </c>
      <c r="H166" s="3">
        <f>ROUND((VLOOKUP($D166,'Alloc Table Dem'!$B$7:$T$56,15,FALSE)*$E166),0)</f>
        <v>73</v>
      </c>
      <c r="I166" s="3">
        <f>ROUND((VLOOKUP($D166,'Alloc Table Dem'!$B$7:$T$56,16,FALSE)*$E166),0)</f>
        <v>0</v>
      </c>
      <c r="J166" s="3">
        <f>ROUND((VLOOKUP($D166,'Alloc Table Dem'!$B$7:$T$56,17,FALSE)*$E166),0)</f>
        <v>44047</v>
      </c>
      <c r="K166" s="3">
        <f>ROUND((VLOOKUP($D166,'Alloc Table Dem'!$B$7:$T$56,18,FALSE)*$E166),0)</f>
        <v>0</v>
      </c>
      <c r="L166" s="3">
        <f>ROUND((VLOOKUP($D166,'Alloc Table Dem'!$B$7:$T$56,19,FALSE)*$E166),0)</f>
        <v>0</v>
      </c>
    </row>
    <row r="167" spans="1:12" ht="11.25" x14ac:dyDescent="0.2">
      <c r="A167" s="325">
        <f t="shared" si="31"/>
        <v>32</v>
      </c>
      <c r="B167" s="24">
        <f>Input!A112</f>
        <v>380</v>
      </c>
      <c r="C167" s="25" t="str">
        <f>Input!B112</f>
        <v>SERVICES</v>
      </c>
      <c r="D167" s="325">
        <f>Input!C112</f>
        <v>15</v>
      </c>
      <c r="E167" s="3">
        <f>Classification!E167-Classification!F167-Classification!G167</f>
        <v>0</v>
      </c>
      <c r="F167" s="3">
        <f ca="1">ROUND((VLOOKUP($D167,'Alloc Table Dem'!$B$7:$T$56,13,FALSE)*$E167),0)</f>
        <v>0</v>
      </c>
      <c r="G167" s="3">
        <f ca="1">ROUND((VLOOKUP($D167,'Alloc Table Dem'!$B$7:$T$56,14,FALSE)*$E167),0)</f>
        <v>0</v>
      </c>
      <c r="H167" s="3">
        <f ca="1">ROUND((VLOOKUP($D167,'Alloc Table Dem'!$B$7:$T$56,15,FALSE)*$E167),0)</f>
        <v>0</v>
      </c>
      <c r="I167" s="3">
        <f ca="1">ROUND((VLOOKUP($D167,'Alloc Table Dem'!$B$7:$T$56,16,FALSE)*$E167),0)</f>
        <v>0</v>
      </c>
      <c r="J167" s="3">
        <f ca="1">ROUND((VLOOKUP($D167,'Alloc Table Dem'!$B$7:$T$56,17,FALSE)*$E167),0)</f>
        <v>0</v>
      </c>
      <c r="K167" s="3">
        <f ca="1">ROUND((VLOOKUP($D167,'Alloc Table Dem'!$B$7:$T$56,18,FALSE)*$E167),0)</f>
        <v>0</v>
      </c>
      <c r="L167" s="3">
        <f ca="1">ROUND((VLOOKUP($D167,'Alloc Table Dem'!$B$7:$T$56,19,FALSE)*$E167),0)</f>
        <v>0</v>
      </c>
    </row>
    <row r="168" spans="1:12" ht="11.25" x14ac:dyDescent="0.2">
      <c r="A168" s="3" t="s">
        <v>819</v>
      </c>
      <c r="B168" s="3"/>
      <c r="C168" s="14"/>
      <c r="D168" s="325"/>
      <c r="E168" s="3"/>
      <c r="F168" s="325" t="str">
        <f>""&amp;+Input!$B$1</f>
        <v>COLUMBIA GAS OF KENTUCKY, INC.</v>
      </c>
      <c r="H168" s="3"/>
      <c r="I168" s="3"/>
      <c r="J168" s="3"/>
      <c r="K168" s="3"/>
      <c r="L168" s="32" t="str">
        <f>Input!$B$2</f>
        <v>ATTACHMENT CEN-2</v>
      </c>
    </row>
    <row r="169" spans="1:12" ht="11.25" x14ac:dyDescent="0.2">
      <c r="A169" s="3" t="str">
        <f>Input!$B$7</f>
        <v>DEMAND-COMMODITY</v>
      </c>
      <c r="B169" s="3"/>
      <c r="C169" s="3"/>
      <c r="D169" s="325"/>
      <c r="E169" s="3"/>
      <c r="F169" s="325" t="s">
        <v>806</v>
      </c>
      <c r="H169" s="3"/>
      <c r="I169" s="3"/>
      <c r="J169" s="3"/>
      <c r="K169" s="3"/>
      <c r="L169" s="32" t="str">
        <f>"PAGE 109 OF "&amp;FIXED(Input!$B$8,0,TRUE)</f>
        <v>PAGE 109 OF 129</v>
      </c>
    </row>
    <row r="170" spans="1:12" ht="11.25" x14ac:dyDescent="0.2">
      <c r="A170" s="17" t="str">
        <f>Input!$B$6</f>
        <v>FORECASTED TEST YEAR - ORIGINAL FILING</v>
      </c>
      <c r="B170" s="17"/>
      <c r="C170" s="17"/>
      <c r="D170" s="34"/>
      <c r="E170" s="18"/>
      <c r="F170" s="19" t="str">
        <f>"FOR THE TWELVE MONTHS ENDED "&amp;Input!$B$4</f>
        <v>FOR THE TWELVE MONTHS ENDED 12/31/2017</v>
      </c>
      <c r="G170" s="329"/>
      <c r="H170" s="17"/>
      <c r="I170" s="17"/>
      <c r="J170" s="17"/>
      <c r="K170" s="17"/>
      <c r="L170" s="183" t="str">
        <f>"WITNESS: "&amp;Input!$B$5</f>
        <v>WITNESS: C. NOTESTONE</v>
      </c>
    </row>
    <row r="171" spans="1:12" ht="11.25" x14ac:dyDescent="0.2">
      <c r="A171" s="325" t="s">
        <v>5</v>
      </c>
      <c r="B171" s="3" t="s">
        <v>6</v>
      </c>
      <c r="C171" s="3"/>
      <c r="D171" s="325" t="s">
        <v>7</v>
      </c>
      <c r="E171" s="325" t="s">
        <v>8</v>
      </c>
      <c r="F171" s="3"/>
      <c r="G171" s="3"/>
      <c r="H171" s="3"/>
      <c r="I171" s="3"/>
      <c r="J171" s="3"/>
      <c r="K171" s="3"/>
      <c r="L171" s="3"/>
    </row>
    <row r="172" spans="1:12" ht="11.25" x14ac:dyDescent="0.2">
      <c r="A172" s="341" t="s">
        <v>9</v>
      </c>
      <c r="B172" s="341" t="s">
        <v>9</v>
      </c>
      <c r="C172" s="20" t="str">
        <f>Demand!C128</f>
        <v xml:space="preserve"> ACCOUNT TITLE</v>
      </c>
      <c r="D172" s="341" t="s">
        <v>10</v>
      </c>
      <c r="E172" s="341" t="s">
        <v>813</v>
      </c>
      <c r="F172" s="341" t="str">
        <f>"  "&amp;+Input!$C$12</f>
        <v xml:space="preserve">  GS-RESIDENTIAL</v>
      </c>
      <c r="G172" s="341" t="str">
        <f>Input!$C$13</f>
        <v>GS-OTHER</v>
      </c>
      <c r="H172" s="341" t="str">
        <f>Input!$C$14</f>
        <v>IUS</v>
      </c>
      <c r="I172" s="341" t="str">
        <f>Input!$C$15</f>
        <v>DS-ML</v>
      </c>
      <c r="J172" s="341" t="str">
        <f>Input!$C$16</f>
        <v>DS/IS</v>
      </c>
      <c r="K172" s="341" t="str">
        <f>Input!$C$17</f>
        <v>NOT USED</v>
      </c>
      <c r="L172" s="341" t="str">
        <f>Input!$C$18</f>
        <v>NOT USED</v>
      </c>
    </row>
    <row r="173" spans="1:12" ht="11.25" x14ac:dyDescent="0.2">
      <c r="A173" s="325"/>
      <c r="B173" s="342" t="s">
        <v>13</v>
      </c>
      <c r="C173" s="342" t="s">
        <v>14</v>
      </c>
      <c r="D173" s="325" t="s">
        <v>15</v>
      </c>
      <c r="E173" s="325" t="s">
        <v>16</v>
      </c>
      <c r="F173" s="325" t="s">
        <v>17</v>
      </c>
      <c r="G173" s="325" t="s">
        <v>18</v>
      </c>
      <c r="H173" s="325" t="s">
        <v>19</v>
      </c>
      <c r="I173" s="325" t="s">
        <v>20</v>
      </c>
      <c r="J173" s="325" t="s">
        <v>21</v>
      </c>
      <c r="K173" s="325" t="s">
        <v>22</v>
      </c>
      <c r="L173" s="325" t="s">
        <v>23</v>
      </c>
    </row>
    <row r="174" spans="1:12" ht="11.25" x14ac:dyDescent="0.2">
      <c r="A174" s="325"/>
      <c r="B174" s="3"/>
      <c r="C174" s="3"/>
      <c r="D174" s="325"/>
      <c r="E174" s="325" t="s">
        <v>26</v>
      </c>
      <c r="F174" s="325" t="s">
        <v>26</v>
      </c>
      <c r="G174" s="325" t="s">
        <v>26</v>
      </c>
      <c r="H174" s="325" t="s">
        <v>26</v>
      </c>
      <c r="I174" s="325" t="s">
        <v>26</v>
      </c>
      <c r="J174" s="325" t="s">
        <v>26</v>
      </c>
      <c r="K174" s="325" t="s">
        <v>26</v>
      </c>
      <c r="L174" s="325" t="s">
        <v>26</v>
      </c>
    </row>
    <row r="175" spans="1:12" ht="11.25" x14ac:dyDescent="0.2">
      <c r="A175" s="325">
        <v>1</v>
      </c>
      <c r="B175" s="24">
        <f>Input!A112</f>
        <v>380</v>
      </c>
      <c r="C175" s="25" t="str">
        <f>"DIRECT "&amp;+Input!B112</f>
        <v>DIRECT SERVICES</v>
      </c>
      <c r="D175" s="325"/>
      <c r="E175" s="3">
        <f>Classification!E175-Classification!F175-Classification!G175</f>
        <v>0</v>
      </c>
      <c r="F175" s="3">
        <v>0</v>
      </c>
      <c r="G175" s="3">
        <v>0</v>
      </c>
      <c r="H175" s="3">
        <v>0</v>
      </c>
      <c r="I175" s="3">
        <f>E175</f>
        <v>0</v>
      </c>
      <c r="J175" s="3">
        <v>0</v>
      </c>
      <c r="K175" s="3">
        <v>0</v>
      </c>
      <c r="L175" s="3">
        <v>0</v>
      </c>
    </row>
    <row r="176" spans="1:12" ht="11.25" x14ac:dyDescent="0.2">
      <c r="A176" s="325">
        <f t="shared" ref="A176:A205" si="32">A175+1</f>
        <v>2</v>
      </c>
      <c r="B176" s="24">
        <f>Input!A113</f>
        <v>381</v>
      </c>
      <c r="C176" s="25" t="str">
        <f>Input!B113</f>
        <v>METERS</v>
      </c>
      <c r="D176" s="325">
        <f>Input!C113</f>
        <v>16</v>
      </c>
      <c r="E176" s="3">
        <f>Classification!E176-Classification!F176-Classification!G176</f>
        <v>0</v>
      </c>
      <c r="F176" s="3">
        <f>ROUND((VLOOKUP($D176,'Alloc Table Dem'!$B$7:$T$56,13,FALSE)*$E176),0)</f>
        <v>0</v>
      </c>
      <c r="G176" s="3">
        <f>ROUND((VLOOKUP($D176,'Alloc Table Dem'!$B$7:$T$56,14,FALSE)*$E176),0)</f>
        <v>0</v>
      </c>
      <c r="H176" s="3">
        <f>ROUND((VLOOKUP($D176,'Alloc Table Dem'!$B$7:$T$56,15,FALSE)*$E176),0)</f>
        <v>0</v>
      </c>
      <c r="I176" s="3">
        <f>ROUND((VLOOKUP($D176,'Alloc Table Dem'!$B$7:$T$56,16,FALSE)*$E176),0)</f>
        <v>0</v>
      </c>
      <c r="J176" s="3">
        <f>ROUND((VLOOKUP($D176,'Alloc Table Dem'!$B$7:$T$56,17,FALSE)*$E176),0)</f>
        <v>0</v>
      </c>
      <c r="K176" s="3">
        <f>ROUND((VLOOKUP($D176,'Alloc Table Dem'!$B$7:$T$56,18,FALSE)*$E176),0)</f>
        <v>0</v>
      </c>
      <c r="L176" s="3">
        <f>ROUND((VLOOKUP($D176,'Alloc Table Dem'!$B$7:$T$56,19,FALSE)*$E176),0)</f>
        <v>0</v>
      </c>
    </row>
    <row r="177" spans="1:12" ht="11.25" x14ac:dyDescent="0.2">
      <c r="A177" s="325">
        <f t="shared" si="32"/>
        <v>3</v>
      </c>
      <c r="B177" s="24">
        <f>Input!A114</f>
        <v>382</v>
      </c>
      <c r="C177" s="25" t="str">
        <f>Input!B114</f>
        <v>METER INSTALLATIONS</v>
      </c>
      <c r="D177" s="325">
        <f>Input!C114</f>
        <v>16</v>
      </c>
      <c r="E177" s="3">
        <f>Classification!E177-Classification!F177-Classification!G177</f>
        <v>0</v>
      </c>
      <c r="F177" s="3">
        <f>ROUND((VLOOKUP($D177,'Alloc Table Dem'!$B$7:$T$56,13,FALSE)*$E177),0)</f>
        <v>0</v>
      </c>
      <c r="G177" s="3">
        <f>ROUND((VLOOKUP($D177,'Alloc Table Dem'!$B$7:$T$56,14,FALSE)*$E177),0)</f>
        <v>0</v>
      </c>
      <c r="H177" s="3">
        <f>ROUND((VLOOKUP($D177,'Alloc Table Dem'!$B$7:$T$56,15,FALSE)*$E177),0)</f>
        <v>0</v>
      </c>
      <c r="I177" s="3">
        <f>ROUND((VLOOKUP($D177,'Alloc Table Dem'!$B$7:$T$56,16,FALSE)*$E177),0)</f>
        <v>0</v>
      </c>
      <c r="J177" s="3">
        <f>ROUND((VLOOKUP($D177,'Alloc Table Dem'!$B$7:$T$56,17,FALSE)*$E177),0)</f>
        <v>0</v>
      </c>
      <c r="K177" s="3">
        <f>ROUND((VLOOKUP($D177,'Alloc Table Dem'!$B$7:$T$56,18,FALSE)*$E177),0)</f>
        <v>0</v>
      </c>
      <c r="L177" s="3">
        <f>ROUND((VLOOKUP($D177,'Alloc Table Dem'!$B$7:$T$56,19,FALSE)*$E177),0)</f>
        <v>0</v>
      </c>
    </row>
    <row r="178" spans="1:12" ht="11.25" x14ac:dyDescent="0.2">
      <c r="A178" s="325">
        <f t="shared" si="32"/>
        <v>4</v>
      </c>
      <c r="B178" s="24">
        <f>Input!A115</f>
        <v>383</v>
      </c>
      <c r="C178" s="25" t="str">
        <f>Input!B115</f>
        <v>HOUSE REGULATORS</v>
      </c>
      <c r="D178" s="325">
        <f>Input!C115</f>
        <v>16</v>
      </c>
      <c r="E178" s="3">
        <f>Classification!E178-Classification!F178-Classification!G178</f>
        <v>0</v>
      </c>
      <c r="F178" s="3">
        <f>ROUND((VLOOKUP($D178,'Alloc Table Dem'!$B$7:$T$56,13,FALSE)*$E178),0)</f>
        <v>0</v>
      </c>
      <c r="G178" s="3">
        <f>ROUND((VLOOKUP($D178,'Alloc Table Dem'!$B$7:$T$56,14,FALSE)*$E178),0)</f>
        <v>0</v>
      </c>
      <c r="H178" s="3">
        <f>ROUND((VLOOKUP($D178,'Alloc Table Dem'!$B$7:$T$56,15,FALSE)*$E178),0)</f>
        <v>0</v>
      </c>
      <c r="I178" s="3">
        <f>ROUND((VLOOKUP($D178,'Alloc Table Dem'!$B$7:$T$56,16,FALSE)*$E178),0)</f>
        <v>0</v>
      </c>
      <c r="J178" s="3">
        <f>ROUND((VLOOKUP($D178,'Alloc Table Dem'!$B$7:$T$56,17,FALSE)*$E178),0)</f>
        <v>0</v>
      </c>
      <c r="K178" s="3">
        <f>ROUND((VLOOKUP($D178,'Alloc Table Dem'!$B$7:$T$56,18,FALSE)*$E178),0)</f>
        <v>0</v>
      </c>
      <c r="L178" s="3">
        <f>ROUND((VLOOKUP($D178,'Alloc Table Dem'!$B$7:$T$56,19,FALSE)*$E178),0)</f>
        <v>0</v>
      </c>
    </row>
    <row r="179" spans="1:12" ht="11.25" x14ac:dyDescent="0.2">
      <c r="A179" s="325">
        <f t="shared" si="32"/>
        <v>5</v>
      </c>
      <c r="B179" s="24">
        <f>Input!A116</f>
        <v>384</v>
      </c>
      <c r="C179" s="25" t="str">
        <f>Input!B116</f>
        <v>HOUSE REG INSTALLATIONS</v>
      </c>
      <c r="D179" s="325">
        <f>Input!C116</f>
        <v>16</v>
      </c>
      <c r="E179" s="3">
        <f>Classification!E179-Classification!F179-Classification!G179</f>
        <v>0</v>
      </c>
      <c r="F179" s="3">
        <f>ROUND((VLOOKUP($D179,'Alloc Table Dem'!$B$7:$T$56,13,FALSE)*$E179),0)</f>
        <v>0</v>
      </c>
      <c r="G179" s="3">
        <f>ROUND((VLOOKUP($D179,'Alloc Table Dem'!$B$7:$T$56,14,FALSE)*$E179),0)</f>
        <v>0</v>
      </c>
      <c r="H179" s="3">
        <f>ROUND((VLOOKUP($D179,'Alloc Table Dem'!$B$7:$T$56,15,FALSE)*$E179),0)</f>
        <v>0</v>
      </c>
      <c r="I179" s="3">
        <f>ROUND((VLOOKUP($D179,'Alloc Table Dem'!$B$7:$T$56,16,FALSE)*$E179),0)</f>
        <v>0</v>
      </c>
      <c r="J179" s="3">
        <f>ROUND((VLOOKUP($D179,'Alloc Table Dem'!$B$7:$T$56,17,FALSE)*$E179),0)</f>
        <v>0</v>
      </c>
      <c r="K179" s="3">
        <f>ROUND((VLOOKUP($D179,'Alloc Table Dem'!$B$7:$T$56,18,FALSE)*$E179),0)</f>
        <v>0</v>
      </c>
      <c r="L179" s="3">
        <f>ROUND((VLOOKUP($D179,'Alloc Table Dem'!$B$7:$T$56,19,FALSE)*$E179),0)</f>
        <v>0</v>
      </c>
    </row>
    <row r="180" spans="1:12" ht="11.25" x14ac:dyDescent="0.2">
      <c r="A180" s="325">
        <f t="shared" si="32"/>
        <v>6</v>
      </c>
      <c r="B180" s="24">
        <f>Input!A117</f>
        <v>385</v>
      </c>
      <c r="C180" s="25" t="str">
        <f>Input!B117</f>
        <v>IND M&amp;R EQUIPMENT</v>
      </c>
      <c r="D180" s="325">
        <f>Input!C117</f>
        <v>17</v>
      </c>
      <c r="E180" s="3">
        <f>Classification!E180-Classification!F180-Classification!G180</f>
        <v>0</v>
      </c>
      <c r="F180" s="3">
        <f>ROUND((VLOOKUP($D180,'Alloc Table Dem'!$B$7:$T$56,13,FALSE)*$E180),0)</f>
        <v>0</v>
      </c>
      <c r="G180" s="3">
        <f>ROUND((VLOOKUP($D180,'Alloc Table Dem'!$B$7:$T$56,14,FALSE)*$E180),0)</f>
        <v>0</v>
      </c>
      <c r="H180" s="3">
        <f>ROUND((VLOOKUP($D180,'Alloc Table Dem'!$B$7:$T$56,15,FALSE)*$E180),0)</f>
        <v>0</v>
      </c>
      <c r="I180" s="3">
        <f>ROUND((VLOOKUP($D180,'Alloc Table Dem'!$B$7:$T$56,16,FALSE)*$E180),0)</f>
        <v>0</v>
      </c>
      <c r="J180" s="3">
        <f>ROUND((VLOOKUP($D180,'Alloc Table Dem'!$B$7:$T$56,17,FALSE)*$E180),0)</f>
        <v>0</v>
      </c>
      <c r="K180" s="3">
        <f>ROUND((VLOOKUP($D180,'Alloc Table Dem'!$B$7:$T$56,18,FALSE)*$E180),0)</f>
        <v>0</v>
      </c>
      <c r="L180" s="3">
        <f>ROUND((VLOOKUP($D180,'Alloc Table Dem'!$B$7:$T$56,19,FALSE)*$E180),0)</f>
        <v>0</v>
      </c>
    </row>
    <row r="181" spans="1:12" ht="11.25" x14ac:dyDescent="0.2">
      <c r="A181" s="325">
        <f t="shared" si="32"/>
        <v>7</v>
      </c>
      <c r="B181" s="24">
        <f>Input!A117</f>
        <v>385</v>
      </c>
      <c r="C181" s="25" t="str">
        <f>"DIRECT "&amp;+Input!B117</f>
        <v>DIRECT IND M&amp;R EQUIPMENT</v>
      </c>
      <c r="D181" s="325"/>
      <c r="E181" s="3">
        <f>Classification!E181-Classification!F181-Classification!G181</f>
        <v>0</v>
      </c>
      <c r="F181" s="3">
        <v>0</v>
      </c>
      <c r="G181" s="3">
        <v>0</v>
      </c>
      <c r="H181" s="3">
        <v>0</v>
      </c>
      <c r="I181" s="3">
        <f>E181</f>
        <v>0</v>
      </c>
      <c r="J181" s="3">
        <v>0</v>
      </c>
      <c r="K181" s="3">
        <v>0</v>
      </c>
      <c r="L181" s="3">
        <v>0</v>
      </c>
    </row>
    <row r="182" spans="1:12" ht="11.25" x14ac:dyDescent="0.2">
      <c r="A182" s="325">
        <f t="shared" si="32"/>
        <v>8</v>
      </c>
      <c r="B182" s="24">
        <f>Input!A118</f>
        <v>387.2</v>
      </c>
      <c r="C182" s="25" t="str">
        <f>Input!B118</f>
        <v>ODORIZATION</v>
      </c>
      <c r="D182" s="325" t="str">
        <f>VLOOKUP(Input!C118,'Alloc Table Dem'!$A$7:$B$27,2,FALSE)</f>
        <v>7DEM</v>
      </c>
      <c r="E182" s="3">
        <f>Classification!E182-Classification!F182-Classification!G182</f>
        <v>0</v>
      </c>
      <c r="F182" s="3">
        <f ca="1">ROUND((VLOOKUP($D182,'Alloc Table Dem'!$B$7:$T$56,13,FALSE)*$E182),0)</f>
        <v>0</v>
      </c>
      <c r="G182" s="3">
        <f ca="1">ROUND((VLOOKUP($D182,'Alloc Table Dem'!$B$7:$T$56,14,FALSE)*$E182),0)</f>
        <v>0</v>
      </c>
      <c r="H182" s="3">
        <f ca="1">ROUND((VLOOKUP($D182,'Alloc Table Dem'!$B$7:$T$56,15,FALSE)*$E182),0)</f>
        <v>0</v>
      </c>
      <c r="I182" s="3">
        <f ca="1">ROUND((VLOOKUP($D182,'Alloc Table Dem'!$B$7:$T$56,16,FALSE)*$E182),0)</f>
        <v>0</v>
      </c>
      <c r="J182" s="3">
        <f ca="1">ROUND((VLOOKUP($D182,'Alloc Table Dem'!$B$7:$T$56,17,FALSE)*$E182),0)</f>
        <v>0</v>
      </c>
      <c r="K182" s="3">
        <f ca="1">ROUND((VLOOKUP($D182,'Alloc Table Dem'!$B$7:$T$56,18,FALSE)*$E182),0)</f>
        <v>0</v>
      </c>
      <c r="L182" s="3">
        <f ca="1">ROUND((VLOOKUP($D182,'Alloc Table Dem'!$B$7:$T$56,19,FALSE)*$E182),0)</f>
        <v>0</v>
      </c>
    </row>
    <row r="183" spans="1:12" ht="11.25" x14ac:dyDescent="0.2">
      <c r="A183" s="325">
        <f t="shared" si="32"/>
        <v>9</v>
      </c>
      <c r="B183" s="24">
        <f>Input!A119</f>
        <v>387.41</v>
      </c>
      <c r="C183" s="25" t="str">
        <f>Input!B119</f>
        <v>TELEPHONE</v>
      </c>
      <c r="D183" s="325" t="str">
        <f>VLOOKUP(Input!C119,'Alloc Table Dem'!$A$7:$B$27,2,FALSE)</f>
        <v>7DEM</v>
      </c>
      <c r="E183" s="3">
        <f>Classification!E183-Classification!F183-Classification!G183</f>
        <v>213936</v>
      </c>
      <c r="F183" s="3">
        <f ca="1">ROUND((VLOOKUP($D183,'Alloc Table Dem'!$B$7:$T$56,13,FALSE)*$E183),0)</f>
        <v>83379</v>
      </c>
      <c r="G183" s="3">
        <f ca="1">ROUND((VLOOKUP($D183,'Alloc Table Dem'!$B$7:$T$56,14,FALSE)*$E183),0)</f>
        <v>56464</v>
      </c>
      <c r="H183" s="3">
        <f ca="1">ROUND((VLOOKUP($D183,'Alloc Table Dem'!$B$7:$T$56,15,FALSE)*$E183),0)</f>
        <v>122</v>
      </c>
      <c r="I183" s="3">
        <f ca="1">ROUND((VLOOKUP($D183,'Alloc Table Dem'!$B$7:$T$56,16,FALSE)*$E183),0)</f>
        <v>51</v>
      </c>
      <c r="J183" s="3">
        <f ca="1">ROUND((VLOOKUP($D183,'Alloc Table Dem'!$B$7:$T$56,17,FALSE)*$E183),0)</f>
        <v>73919</v>
      </c>
      <c r="K183" s="3">
        <f ca="1">ROUND((VLOOKUP($D183,'Alloc Table Dem'!$B$7:$T$56,18,FALSE)*$E183),0)</f>
        <v>0</v>
      </c>
      <c r="L183" s="3">
        <f ca="1">ROUND((VLOOKUP($D183,'Alloc Table Dem'!$B$7:$T$56,19,FALSE)*$E183),0)</f>
        <v>0</v>
      </c>
    </row>
    <row r="184" spans="1:12" ht="11.25" x14ac:dyDescent="0.2">
      <c r="A184" s="325">
        <f t="shared" si="32"/>
        <v>10</v>
      </c>
      <c r="B184" s="24">
        <f>Input!A120</f>
        <v>387.42</v>
      </c>
      <c r="C184" s="25" t="str">
        <f>Input!B120</f>
        <v>RADIO</v>
      </c>
      <c r="D184" s="325" t="str">
        <f>VLOOKUP(Input!C120,'Alloc Table Dem'!$A$7:$B$27,2,FALSE)</f>
        <v>7DEM</v>
      </c>
      <c r="E184" s="3">
        <f>Classification!E184-Classification!F184-Classification!G184</f>
        <v>231212</v>
      </c>
      <c r="F184" s="3">
        <f ca="1">ROUND((VLOOKUP($D184,'Alloc Table Dem'!$B$7:$T$56,13,FALSE)*$E184),0)</f>
        <v>90113</v>
      </c>
      <c r="G184" s="3">
        <f ca="1">ROUND((VLOOKUP($D184,'Alloc Table Dem'!$B$7:$T$56,14,FALSE)*$E184),0)</f>
        <v>61024</v>
      </c>
      <c r="H184" s="3">
        <f ca="1">ROUND((VLOOKUP($D184,'Alloc Table Dem'!$B$7:$T$56,15,FALSE)*$E184),0)</f>
        <v>132</v>
      </c>
      <c r="I184" s="3">
        <f ca="1">ROUND((VLOOKUP($D184,'Alloc Table Dem'!$B$7:$T$56,16,FALSE)*$E184),0)</f>
        <v>55</v>
      </c>
      <c r="J184" s="3">
        <f ca="1">ROUND((VLOOKUP($D184,'Alloc Table Dem'!$B$7:$T$56,17,FALSE)*$E184),0)</f>
        <v>79888</v>
      </c>
      <c r="K184" s="3">
        <f ca="1">ROUND((VLOOKUP($D184,'Alloc Table Dem'!$B$7:$T$56,18,FALSE)*$E184),0)</f>
        <v>0</v>
      </c>
      <c r="L184" s="3">
        <f ca="1">ROUND((VLOOKUP($D184,'Alloc Table Dem'!$B$7:$T$56,19,FALSE)*$E184),0)</f>
        <v>0</v>
      </c>
    </row>
    <row r="185" spans="1:12" ht="11.25" x14ac:dyDescent="0.2">
      <c r="A185" s="325">
        <f t="shared" si="32"/>
        <v>11</v>
      </c>
      <c r="B185" s="24">
        <f>Input!A121</f>
        <v>387.44</v>
      </c>
      <c r="C185" s="25" t="str">
        <f>Input!B121</f>
        <v>OTHER COMMUNICATION</v>
      </c>
      <c r="D185" s="325" t="str">
        <f>VLOOKUP(Input!C121,'Alloc Table Dem'!$A$7:$B$27,2,FALSE)</f>
        <v>7DEM</v>
      </c>
      <c r="E185" s="3">
        <f>Classification!E185-Classification!F185-Classification!G185</f>
        <v>38843</v>
      </c>
      <c r="F185" s="3">
        <f ca="1">ROUND((VLOOKUP($D185,'Alloc Table Dem'!$B$7:$T$56,13,FALSE)*$E185),0)</f>
        <v>15139</v>
      </c>
      <c r="G185" s="3">
        <f ca="1">ROUND((VLOOKUP($D185,'Alloc Table Dem'!$B$7:$T$56,14,FALSE)*$E185),0)</f>
        <v>10252</v>
      </c>
      <c r="H185" s="3">
        <f ca="1">ROUND((VLOOKUP($D185,'Alloc Table Dem'!$B$7:$T$56,15,FALSE)*$E185),0)</f>
        <v>22</v>
      </c>
      <c r="I185" s="3">
        <f ca="1">ROUND((VLOOKUP($D185,'Alloc Table Dem'!$B$7:$T$56,16,FALSE)*$E185),0)</f>
        <v>9</v>
      </c>
      <c r="J185" s="3">
        <f ca="1">ROUND((VLOOKUP($D185,'Alloc Table Dem'!$B$7:$T$56,17,FALSE)*$E185),0)</f>
        <v>13421</v>
      </c>
      <c r="K185" s="3">
        <f ca="1">ROUND((VLOOKUP($D185,'Alloc Table Dem'!$B$7:$T$56,18,FALSE)*$E185),0)</f>
        <v>0</v>
      </c>
      <c r="L185" s="3">
        <f ca="1">ROUND((VLOOKUP($D185,'Alloc Table Dem'!$B$7:$T$56,19,FALSE)*$E185),0)</f>
        <v>0</v>
      </c>
    </row>
    <row r="186" spans="1:12" ht="11.25" x14ac:dyDescent="0.2">
      <c r="A186" s="325">
        <f t="shared" si="32"/>
        <v>12</v>
      </c>
      <c r="B186" s="24">
        <f>Input!A122</f>
        <v>387.45</v>
      </c>
      <c r="C186" s="25" t="str">
        <f>Input!B122</f>
        <v>TELEMETERING</v>
      </c>
      <c r="D186" s="325" t="str">
        <f>VLOOKUP(Input!C122,'Alloc Table Dem'!$A$7:$B$27,2,FALSE)</f>
        <v>7DEM</v>
      </c>
      <c r="E186" s="3">
        <f>Classification!E186-Classification!F186-Classification!G186</f>
        <v>1098969</v>
      </c>
      <c r="F186" s="3">
        <f ca="1">ROUND((VLOOKUP($D186,'Alloc Table Dem'!$B$7:$T$56,13,FALSE)*$E186),0)</f>
        <v>428312</v>
      </c>
      <c r="G186" s="3">
        <f ca="1">ROUND((VLOOKUP($D186,'Alloc Table Dem'!$B$7:$T$56,14,FALSE)*$E186),0)</f>
        <v>290051</v>
      </c>
      <c r="H186" s="3">
        <f ca="1">ROUND((VLOOKUP($D186,'Alloc Table Dem'!$B$7:$T$56,15,FALSE)*$E186),0)</f>
        <v>626</v>
      </c>
      <c r="I186" s="3">
        <f ca="1">ROUND((VLOOKUP($D186,'Alloc Table Dem'!$B$7:$T$56,16,FALSE)*$E186),0)</f>
        <v>264</v>
      </c>
      <c r="J186" s="3">
        <f ca="1">ROUND((VLOOKUP($D186,'Alloc Table Dem'!$B$7:$T$56,17,FALSE)*$E186),0)</f>
        <v>379716</v>
      </c>
      <c r="K186" s="3">
        <f ca="1">ROUND((VLOOKUP($D186,'Alloc Table Dem'!$B$7:$T$56,18,FALSE)*$E186),0)</f>
        <v>0</v>
      </c>
      <c r="L186" s="3">
        <f ca="1">ROUND((VLOOKUP($D186,'Alloc Table Dem'!$B$7:$T$56,19,FALSE)*$E186),0)</f>
        <v>0</v>
      </c>
    </row>
    <row r="187" spans="1:12" ht="11.25" x14ac:dyDescent="0.2">
      <c r="A187" s="325">
        <f t="shared" si="32"/>
        <v>13</v>
      </c>
      <c r="B187" s="24">
        <f>Input!A123</f>
        <v>387.46</v>
      </c>
      <c r="C187" s="25" t="str">
        <f>Input!B123</f>
        <v>CIS</v>
      </c>
      <c r="D187" s="325" t="str">
        <f>VLOOKUP(Input!C123,'Alloc Table Dem'!$A$7:$B$27,2,FALSE)</f>
        <v>7DEM</v>
      </c>
      <c r="E187" s="26">
        <f>Classification!E187-Classification!F187-Classification!G187</f>
        <v>33043</v>
      </c>
      <c r="F187" s="26">
        <f ca="1">ROUND((VLOOKUP($D187,'Alloc Table Dem'!$B$7:$T$56,13,FALSE)*$E187),0)</f>
        <v>12878</v>
      </c>
      <c r="G187" s="26">
        <f ca="1">ROUND((VLOOKUP($D187,'Alloc Table Dem'!$B$7:$T$56,14,FALSE)*$E187),0)</f>
        <v>8721</v>
      </c>
      <c r="H187" s="26">
        <f ca="1">ROUND((VLOOKUP($D187,'Alloc Table Dem'!$B$7:$T$56,15,FALSE)*$E187),0)</f>
        <v>19</v>
      </c>
      <c r="I187" s="26">
        <f ca="1">ROUND((VLOOKUP($D187,'Alloc Table Dem'!$B$7:$T$56,16,FALSE)*$E187),0)</f>
        <v>8</v>
      </c>
      <c r="J187" s="26">
        <f ca="1">ROUND((VLOOKUP($D187,'Alloc Table Dem'!$B$7:$T$56,17,FALSE)*$E187),0)</f>
        <v>11417</v>
      </c>
      <c r="K187" s="26">
        <f ca="1">ROUND((VLOOKUP($D187,'Alloc Table Dem'!$B$7:$T$56,18,FALSE)*$E187),0)</f>
        <v>0</v>
      </c>
      <c r="L187" s="26">
        <f ca="1">ROUND((VLOOKUP($D187,'Alloc Table Dem'!$B$7:$T$56,19,FALSE)*$E187),0)</f>
        <v>0</v>
      </c>
    </row>
    <row r="188" spans="1:12" ht="11.25" x14ac:dyDescent="0.2">
      <c r="A188" s="325">
        <f t="shared" si="32"/>
        <v>14</v>
      </c>
      <c r="B188" s="3"/>
      <c r="C188" s="25" t="s">
        <v>84</v>
      </c>
      <c r="D188" s="325"/>
      <c r="E188" s="3">
        <f>SUM(Demand!E149:E167)+SUM(E175:E187)</f>
        <v>123139351.00000001</v>
      </c>
      <c r="F188" s="3">
        <f ca="1">SUM(Demand!F149:F167)+SUM(F175:F187)</f>
        <v>47992938</v>
      </c>
      <c r="G188" s="3">
        <f ca="1">SUM(Demand!G149:G167)+SUM(G175:G187)</f>
        <v>32499661</v>
      </c>
      <c r="H188" s="3">
        <f ca="1">SUM(Demand!H149:H167)+SUM(H175:H187)</f>
        <v>70173</v>
      </c>
      <c r="I188" s="3">
        <f ca="1">SUM(Demand!I149:I167)+SUM(I175:I187)</f>
        <v>29962.550000000003</v>
      </c>
      <c r="J188" s="3">
        <f ca="1">SUM(Demand!J149:J167)+SUM(J175:J187)</f>
        <v>42546616</v>
      </c>
      <c r="K188" s="3">
        <f ca="1">SUM(Demand!K149:K167)+SUM(K175:K187)</f>
        <v>0</v>
      </c>
      <c r="L188" s="3">
        <f ca="1">SUM(Demand!L149:L167)+SUM(L175:L187)</f>
        <v>0</v>
      </c>
    </row>
    <row r="189" spans="1:12" ht="11.25" x14ac:dyDescent="0.2">
      <c r="A189" s="325">
        <f t="shared" si="32"/>
        <v>15</v>
      </c>
      <c r="B189" s="3"/>
      <c r="C189" s="24" t="str">
        <f>Input!A124</f>
        <v>GENERAL PLANT</v>
      </c>
      <c r="D189" s="325"/>
      <c r="E189" s="3"/>
      <c r="F189" s="3"/>
      <c r="G189" s="3"/>
      <c r="H189" s="3"/>
      <c r="I189" s="3"/>
      <c r="J189" s="3"/>
      <c r="K189" s="3"/>
      <c r="L189" s="3"/>
    </row>
    <row r="190" spans="1:12" ht="11.25" x14ac:dyDescent="0.2">
      <c r="A190" s="325">
        <f t="shared" si="32"/>
        <v>16</v>
      </c>
      <c r="B190" s="24">
        <f>Input!A125</f>
        <v>391.1</v>
      </c>
      <c r="C190" s="25" t="str">
        <f>Input!B125</f>
        <v>OFF FURN &amp; EQUIP - UNSPEC</v>
      </c>
      <c r="D190" s="325" t="str">
        <f>VLOOKUP(Input!C125,'Alloc Table Dem'!$A$7:$B$27,2,FALSE)</f>
        <v>7DEM</v>
      </c>
      <c r="E190" s="3">
        <f>Classification!E190-Classification!F190-Classification!G190</f>
        <v>213793</v>
      </c>
      <c r="F190" s="3">
        <f ca="1">ROUND((VLOOKUP($D190,'Alloc Table Dem'!$B$7:$T$56,13,FALSE)*$E190),0)</f>
        <v>83324</v>
      </c>
      <c r="G190" s="3">
        <f ca="1">ROUND((VLOOKUP($D190,'Alloc Table Dem'!$B$7:$T$56,14,FALSE)*$E190),0)</f>
        <v>56426</v>
      </c>
      <c r="H190" s="3">
        <f ca="1">ROUND((VLOOKUP($D190,'Alloc Table Dem'!$B$7:$T$56,15,FALSE)*$E190),0)</f>
        <v>122</v>
      </c>
      <c r="I190" s="3">
        <f ca="1">ROUND((VLOOKUP($D190,'Alloc Table Dem'!$B$7:$T$56,16,FALSE)*$E190),0)</f>
        <v>51</v>
      </c>
      <c r="J190" s="3">
        <f ca="1">ROUND((VLOOKUP($D190,'Alloc Table Dem'!$B$7:$T$56,17,FALSE)*$E190),0)</f>
        <v>73870</v>
      </c>
      <c r="K190" s="3">
        <f ca="1">ROUND((VLOOKUP($D190,'Alloc Table Dem'!$B$7:$T$56,18,FALSE)*$E190),0)</f>
        <v>0</v>
      </c>
      <c r="L190" s="3">
        <f ca="1">ROUND((VLOOKUP($D190,'Alloc Table Dem'!$B$7:$T$56,19,FALSE)*$E190),0)</f>
        <v>0</v>
      </c>
    </row>
    <row r="191" spans="1:12" ht="11.25" x14ac:dyDescent="0.2">
      <c r="A191" s="325">
        <f t="shared" si="32"/>
        <v>17</v>
      </c>
      <c r="B191" s="24">
        <f>Input!A126</f>
        <v>391.11</v>
      </c>
      <c r="C191" s="25" t="str">
        <f>Input!B126</f>
        <v>OFF FURN &amp; EQUIP - DATA HAND</v>
      </c>
      <c r="D191" s="325" t="str">
        <f>VLOOKUP(Input!C126,'Alloc Table Dem'!$A$7:$B$27,2,FALSE)</f>
        <v>7DEM</v>
      </c>
      <c r="E191" s="3">
        <f>Classification!E191-Classification!F191-Classification!G191</f>
        <v>5471</v>
      </c>
      <c r="F191" s="3">
        <f ca="1">ROUND((VLOOKUP($D191,'Alloc Table Dem'!$B$7:$T$56,13,FALSE)*$E191),0)</f>
        <v>2132</v>
      </c>
      <c r="G191" s="3">
        <f ca="1">ROUND((VLOOKUP($D191,'Alloc Table Dem'!$B$7:$T$56,14,FALSE)*$E191),0)</f>
        <v>1444</v>
      </c>
      <c r="H191" s="3">
        <f ca="1">ROUND((VLOOKUP($D191,'Alloc Table Dem'!$B$7:$T$56,15,FALSE)*$E191),0)</f>
        <v>3</v>
      </c>
      <c r="I191" s="3">
        <f ca="1">ROUND((VLOOKUP($D191,'Alloc Table Dem'!$B$7:$T$56,16,FALSE)*$E191),0)</f>
        <v>1</v>
      </c>
      <c r="J191" s="3">
        <f ca="1">ROUND((VLOOKUP($D191,'Alloc Table Dem'!$B$7:$T$56,17,FALSE)*$E191),0)</f>
        <v>1890</v>
      </c>
      <c r="K191" s="3">
        <f ca="1">ROUND((VLOOKUP($D191,'Alloc Table Dem'!$B$7:$T$56,18,FALSE)*$E191),0)</f>
        <v>0</v>
      </c>
      <c r="L191" s="3">
        <f ca="1">ROUND((VLOOKUP($D191,'Alloc Table Dem'!$B$7:$T$56,19,FALSE)*$E191),0)</f>
        <v>0</v>
      </c>
    </row>
    <row r="192" spans="1:12" ht="11.25" x14ac:dyDescent="0.2">
      <c r="A192" s="325">
        <f t="shared" si="32"/>
        <v>18</v>
      </c>
      <c r="B192" s="24">
        <f>Input!A127</f>
        <v>391.12</v>
      </c>
      <c r="C192" s="25" t="str">
        <f>Input!B127</f>
        <v>OFF FURN &amp; EQUIP - INFO SYSTEM</v>
      </c>
      <c r="D192" s="325" t="str">
        <f>VLOOKUP(Input!C127,'Alloc Table Dem'!$A$7:$B$27,2,FALSE)</f>
        <v>7DEM</v>
      </c>
      <c r="E192" s="3">
        <f>Classification!E192-Classification!F192-Classification!G192</f>
        <v>365678</v>
      </c>
      <c r="F192" s="3">
        <f ca="1">ROUND((VLOOKUP($D192,'Alloc Table Dem'!$B$7:$T$56,13,FALSE)*$E192),0)</f>
        <v>142519</v>
      </c>
      <c r="G192" s="3">
        <f ca="1">ROUND((VLOOKUP($D192,'Alloc Table Dem'!$B$7:$T$56,14,FALSE)*$E192),0)</f>
        <v>96513</v>
      </c>
      <c r="H192" s="3">
        <f ca="1">ROUND((VLOOKUP($D192,'Alloc Table Dem'!$B$7:$T$56,15,FALSE)*$E192),0)</f>
        <v>208</v>
      </c>
      <c r="I192" s="3">
        <f ca="1">ROUND((VLOOKUP($D192,'Alloc Table Dem'!$B$7:$T$56,16,FALSE)*$E192),0)</f>
        <v>88</v>
      </c>
      <c r="J192" s="3">
        <f ca="1">ROUND((VLOOKUP($D192,'Alloc Table Dem'!$B$7:$T$56,17,FALSE)*$E192),0)</f>
        <v>126349</v>
      </c>
      <c r="K192" s="3">
        <f ca="1">ROUND((VLOOKUP($D192,'Alloc Table Dem'!$B$7:$T$56,18,FALSE)*$E192),0)</f>
        <v>0</v>
      </c>
      <c r="L192" s="3">
        <f ca="1">ROUND((VLOOKUP($D192,'Alloc Table Dem'!$B$7:$T$56,19,FALSE)*$E192),0)</f>
        <v>0</v>
      </c>
    </row>
    <row r="193" spans="1:12" ht="11.25" x14ac:dyDescent="0.2">
      <c r="A193" s="325">
        <f t="shared" si="32"/>
        <v>19</v>
      </c>
      <c r="B193" s="24">
        <f>Input!A128</f>
        <v>392.2</v>
      </c>
      <c r="C193" s="25" t="str">
        <f>Input!B128</f>
        <v>TR EQ - TRAILER &gt; $1,000</v>
      </c>
      <c r="D193" s="325" t="str">
        <f>VLOOKUP(Input!C128,'Alloc Table Dem'!$A$7:$B$27,2,FALSE)</f>
        <v>7DEM</v>
      </c>
      <c r="E193" s="3">
        <f>Classification!E193-Classification!F193-Classification!G193</f>
        <v>27849</v>
      </c>
      <c r="F193" s="3">
        <f ca="1">ROUND((VLOOKUP($D193,'Alloc Table Dem'!$B$7:$T$56,13,FALSE)*$E193),0)</f>
        <v>10854</v>
      </c>
      <c r="G193" s="3">
        <f ca="1">ROUND((VLOOKUP($D193,'Alloc Table Dem'!$B$7:$T$56,14,FALSE)*$E193),0)</f>
        <v>7350</v>
      </c>
      <c r="H193" s="3">
        <f ca="1">ROUND((VLOOKUP($D193,'Alloc Table Dem'!$B$7:$T$56,15,FALSE)*$E193),0)</f>
        <v>16</v>
      </c>
      <c r="I193" s="3">
        <f ca="1">ROUND((VLOOKUP($D193,'Alloc Table Dem'!$B$7:$T$56,16,FALSE)*$E193),0)</f>
        <v>7</v>
      </c>
      <c r="J193" s="3">
        <f ca="1">ROUND((VLOOKUP($D193,'Alloc Table Dem'!$B$7:$T$56,17,FALSE)*$E193),0)</f>
        <v>9622</v>
      </c>
      <c r="K193" s="3">
        <f ca="1">ROUND((VLOOKUP($D193,'Alloc Table Dem'!$B$7:$T$56,18,FALSE)*$E193),0)</f>
        <v>0</v>
      </c>
      <c r="L193" s="3">
        <f ca="1">ROUND((VLOOKUP($D193,'Alloc Table Dem'!$B$7:$T$56,19,FALSE)*$E193),0)</f>
        <v>0</v>
      </c>
    </row>
    <row r="194" spans="1:12" ht="11.25" x14ac:dyDescent="0.2">
      <c r="A194" s="325">
        <f t="shared" si="32"/>
        <v>20</v>
      </c>
      <c r="B194" s="24">
        <f>Input!A129</f>
        <v>392.21</v>
      </c>
      <c r="C194" s="25" t="str">
        <f>Input!B129</f>
        <v>TR EQ - TRAILER &lt; $1,000</v>
      </c>
      <c r="D194" s="325" t="str">
        <f>VLOOKUP(Input!C129,'Alloc Table Dem'!$A$7:$B$27,2,FALSE)</f>
        <v>7DEM</v>
      </c>
      <c r="E194" s="3">
        <f>Classification!E194-Classification!F194-Classification!G194</f>
        <v>7112</v>
      </c>
      <c r="F194" s="3">
        <f ca="1">ROUND((VLOOKUP($D194,'Alloc Table Dem'!$B$7:$T$56,13,FALSE)*$E194),0)</f>
        <v>2772</v>
      </c>
      <c r="G194" s="3">
        <f ca="1">ROUND((VLOOKUP($D194,'Alloc Table Dem'!$B$7:$T$56,14,FALSE)*$E194),0)</f>
        <v>1877</v>
      </c>
      <c r="H194" s="3">
        <f ca="1">ROUND((VLOOKUP($D194,'Alloc Table Dem'!$B$7:$T$56,15,FALSE)*$E194),0)</f>
        <v>4</v>
      </c>
      <c r="I194" s="3">
        <f ca="1">ROUND((VLOOKUP($D194,'Alloc Table Dem'!$B$7:$T$56,16,FALSE)*$E194),0)</f>
        <v>2</v>
      </c>
      <c r="J194" s="3">
        <f ca="1">ROUND((VLOOKUP($D194,'Alloc Table Dem'!$B$7:$T$56,17,FALSE)*$E194),0)</f>
        <v>2457</v>
      </c>
      <c r="K194" s="3">
        <f ca="1">ROUND((VLOOKUP($D194,'Alloc Table Dem'!$B$7:$T$56,18,FALSE)*$E194),0)</f>
        <v>0</v>
      </c>
      <c r="L194" s="3">
        <f ca="1">ROUND((VLOOKUP($D194,'Alloc Table Dem'!$B$7:$T$56,19,FALSE)*$E194),0)</f>
        <v>0</v>
      </c>
    </row>
    <row r="195" spans="1:12" ht="11.25" x14ac:dyDescent="0.2">
      <c r="A195" s="325">
        <f t="shared" si="32"/>
        <v>21</v>
      </c>
      <c r="B195" s="24">
        <f>Input!A130</f>
        <v>394.1</v>
      </c>
      <c r="C195" s="25" t="str">
        <f>Input!B130</f>
        <v>TOOLS,SHOP, &amp; GAR EQ-GARAGE &amp; SERV</v>
      </c>
      <c r="D195" s="325" t="str">
        <f>VLOOKUP(Input!C130,'Alloc Table Dem'!$A$7:$B$27,2,FALSE)</f>
        <v>7DEM</v>
      </c>
      <c r="E195" s="3">
        <f>Classification!E195-Classification!F195-Classification!G195</f>
        <v>7049</v>
      </c>
      <c r="F195" s="3">
        <f ca="1">ROUND((VLOOKUP($D195,'Alloc Table Dem'!$B$7:$T$56,13,FALSE)*$E195),0)</f>
        <v>2747</v>
      </c>
      <c r="G195" s="3">
        <f ca="1">ROUND((VLOOKUP($D195,'Alloc Table Dem'!$B$7:$T$56,14,FALSE)*$E195),0)</f>
        <v>1860</v>
      </c>
      <c r="H195" s="3">
        <f ca="1">ROUND((VLOOKUP($D195,'Alloc Table Dem'!$B$7:$T$56,15,FALSE)*$E195),0)</f>
        <v>4</v>
      </c>
      <c r="I195" s="3">
        <f ca="1">ROUND((VLOOKUP($D195,'Alloc Table Dem'!$B$7:$T$56,16,FALSE)*$E195),0)</f>
        <v>2</v>
      </c>
      <c r="J195" s="3">
        <f ca="1">ROUND((VLOOKUP($D195,'Alloc Table Dem'!$B$7:$T$56,17,FALSE)*$E195),0)</f>
        <v>2436</v>
      </c>
      <c r="K195" s="3">
        <f ca="1">ROUND((VLOOKUP($D195,'Alloc Table Dem'!$B$7:$T$56,18,FALSE)*$E195),0)</f>
        <v>0</v>
      </c>
      <c r="L195" s="3">
        <f ca="1">ROUND((VLOOKUP($D195,'Alloc Table Dem'!$B$7:$T$56,19,FALSE)*$E195),0)</f>
        <v>0</v>
      </c>
    </row>
    <row r="196" spans="1:12" ht="11.25" x14ac:dyDescent="0.2">
      <c r="A196" s="325">
        <f t="shared" si="32"/>
        <v>22</v>
      </c>
      <c r="B196" s="24">
        <f>Input!A131</f>
        <v>394.13</v>
      </c>
      <c r="C196" s="25" t="str">
        <f>Input!B131</f>
        <v>TOOLS,SHOP, &amp; GAR EQ-UND TANK CLEANUP</v>
      </c>
      <c r="D196" s="325" t="str">
        <f>VLOOKUP(Input!C131,'Alloc Table Dem'!$A$7:$B$27,2,FALSE)</f>
        <v>7DEM</v>
      </c>
      <c r="E196" s="3">
        <f>Classification!E196-Classification!F196-Classification!G196</f>
        <v>0</v>
      </c>
      <c r="F196" s="3">
        <f ca="1">ROUND((VLOOKUP($D196,'Alloc Table Dem'!$B$7:$T$56,13,FALSE)*$E196),0)</f>
        <v>0</v>
      </c>
      <c r="G196" s="3">
        <f ca="1">ROUND((VLOOKUP($D196,'Alloc Table Dem'!$B$7:$T$56,14,FALSE)*$E196),0)</f>
        <v>0</v>
      </c>
      <c r="H196" s="3">
        <f ca="1">ROUND((VLOOKUP($D196,'Alloc Table Dem'!$B$7:$T$56,15,FALSE)*$E196),0)</f>
        <v>0</v>
      </c>
      <c r="I196" s="3">
        <f ca="1">ROUND((VLOOKUP($D196,'Alloc Table Dem'!$B$7:$T$56,16,FALSE)*$E196),0)</f>
        <v>0</v>
      </c>
      <c r="J196" s="3">
        <f ca="1">ROUND((VLOOKUP($D196,'Alloc Table Dem'!$B$7:$T$56,17,FALSE)*$E196),0)</f>
        <v>0</v>
      </c>
      <c r="K196" s="3">
        <f ca="1">ROUND((VLOOKUP($D196,'Alloc Table Dem'!$B$7:$T$56,18,FALSE)*$E196),0)</f>
        <v>0</v>
      </c>
      <c r="L196" s="3">
        <f ca="1">ROUND((VLOOKUP($D196,'Alloc Table Dem'!$B$7:$T$56,19,FALSE)*$E196),0)</f>
        <v>0</v>
      </c>
    </row>
    <row r="197" spans="1:12" ht="11.25" x14ac:dyDescent="0.2">
      <c r="A197" s="325">
        <f t="shared" si="32"/>
        <v>23</v>
      </c>
      <c r="B197" s="24">
        <f>Input!A132</f>
        <v>393</v>
      </c>
      <c r="C197" s="25" t="str">
        <f>Input!B132</f>
        <v>STORES EQUIPMENT</v>
      </c>
      <c r="D197" s="325" t="str">
        <f>VLOOKUP(Input!C132,'Alloc Table Dem'!$A$7:$B$27,2,FALSE)</f>
        <v>7DEM</v>
      </c>
      <c r="E197" s="3">
        <f>Classification!E197-Classification!F197-Classification!G197</f>
        <v>0</v>
      </c>
      <c r="F197" s="3">
        <f ca="1">ROUND((VLOOKUP($D197,'Alloc Table Dem'!$B$7:$T$56,13,FALSE)*$E197),0)</f>
        <v>0</v>
      </c>
      <c r="G197" s="3">
        <f ca="1">ROUND((VLOOKUP($D197,'Alloc Table Dem'!$B$7:$T$56,14,FALSE)*$E197),0)</f>
        <v>0</v>
      </c>
      <c r="H197" s="3">
        <f ca="1">ROUND((VLOOKUP($D197,'Alloc Table Dem'!$B$7:$T$56,15,FALSE)*$E197),0)</f>
        <v>0</v>
      </c>
      <c r="I197" s="3">
        <f ca="1">ROUND((VLOOKUP($D197,'Alloc Table Dem'!$B$7:$T$56,16,FALSE)*$E197),0)</f>
        <v>0</v>
      </c>
      <c r="J197" s="3">
        <f ca="1">ROUND((VLOOKUP($D197,'Alloc Table Dem'!$B$7:$T$56,17,FALSE)*$E197),0)</f>
        <v>0</v>
      </c>
      <c r="K197" s="3">
        <f ca="1">ROUND((VLOOKUP($D197,'Alloc Table Dem'!$B$7:$T$56,18,FALSE)*$E197),0)</f>
        <v>0</v>
      </c>
      <c r="L197" s="3">
        <f ca="1">ROUND((VLOOKUP($D197,'Alloc Table Dem'!$B$7:$T$56,19,FALSE)*$E197),0)</f>
        <v>0</v>
      </c>
    </row>
    <row r="198" spans="1:12" ht="11.25" x14ac:dyDescent="0.2">
      <c r="A198" s="325">
        <f t="shared" si="32"/>
        <v>24</v>
      </c>
      <c r="B198" s="24">
        <f>Input!A133</f>
        <v>394.2</v>
      </c>
      <c r="C198" s="25" t="str">
        <f>Input!B133</f>
        <v>SHOP EQUIPMENT</v>
      </c>
      <c r="D198" s="325" t="str">
        <f>VLOOKUP(Input!C133,'Alloc Table Dem'!$A$7:$B$27,2,FALSE)</f>
        <v>7DEM</v>
      </c>
      <c r="E198" s="3">
        <f>Classification!E198-Classification!F198-Classification!G198</f>
        <v>0</v>
      </c>
      <c r="F198" s="3">
        <f ca="1">ROUND((VLOOKUP($D198,'Alloc Table Dem'!$B$7:$T$56,13,FALSE)*$E198),0)</f>
        <v>0</v>
      </c>
      <c r="G198" s="3">
        <f ca="1">ROUND((VLOOKUP($D198,'Alloc Table Dem'!$B$7:$T$56,14,FALSE)*$E198),0)</f>
        <v>0</v>
      </c>
      <c r="H198" s="3">
        <f ca="1">ROUND((VLOOKUP($D198,'Alloc Table Dem'!$B$7:$T$56,15,FALSE)*$E198),0)</f>
        <v>0</v>
      </c>
      <c r="I198" s="3">
        <f ca="1">ROUND((VLOOKUP($D198,'Alloc Table Dem'!$B$7:$T$56,16,FALSE)*$E198),0)</f>
        <v>0</v>
      </c>
      <c r="J198" s="3">
        <f ca="1">ROUND((VLOOKUP($D198,'Alloc Table Dem'!$B$7:$T$56,17,FALSE)*$E198),0)</f>
        <v>0</v>
      </c>
      <c r="K198" s="3">
        <f ca="1">ROUND((VLOOKUP($D198,'Alloc Table Dem'!$B$7:$T$56,18,FALSE)*$E198),0)</f>
        <v>0</v>
      </c>
      <c r="L198" s="3">
        <f ca="1">ROUND((VLOOKUP($D198,'Alloc Table Dem'!$B$7:$T$56,19,FALSE)*$E198),0)</f>
        <v>0</v>
      </c>
    </row>
    <row r="199" spans="1:12" ht="11.25" x14ac:dyDescent="0.2">
      <c r="A199" s="325">
        <f t="shared" si="32"/>
        <v>25</v>
      </c>
      <c r="B199" s="24">
        <f>Input!A134</f>
        <v>394.3</v>
      </c>
      <c r="C199" s="25" t="str">
        <f>Input!B134</f>
        <v>TOOLS &amp; OTHER EQUIPMENT</v>
      </c>
      <c r="D199" s="325" t="str">
        <f>VLOOKUP(Input!C134,'Alloc Table Dem'!$A$7:$B$27,2,FALSE)</f>
        <v>7DEM</v>
      </c>
      <c r="E199" s="3">
        <f>Classification!E199-Classification!F199-Classification!G199</f>
        <v>947610</v>
      </c>
      <c r="F199" s="3">
        <f ca="1">ROUND((VLOOKUP($D199,'Alloc Table Dem'!$B$7:$T$56,13,FALSE)*$E199),0)</f>
        <v>369322</v>
      </c>
      <c r="G199" s="3">
        <f ca="1">ROUND((VLOOKUP($D199,'Alloc Table Dem'!$B$7:$T$56,14,FALSE)*$E199),0)</f>
        <v>250103</v>
      </c>
      <c r="H199" s="3">
        <f ca="1">ROUND((VLOOKUP($D199,'Alloc Table Dem'!$B$7:$T$56,15,FALSE)*$E199),0)</f>
        <v>540</v>
      </c>
      <c r="I199" s="3">
        <f ca="1">ROUND((VLOOKUP($D199,'Alloc Table Dem'!$B$7:$T$56,16,FALSE)*$E199),0)</f>
        <v>227</v>
      </c>
      <c r="J199" s="3">
        <f ca="1">ROUND((VLOOKUP($D199,'Alloc Table Dem'!$B$7:$T$56,17,FALSE)*$E199),0)</f>
        <v>327418</v>
      </c>
      <c r="K199" s="3">
        <f ca="1">ROUND((VLOOKUP($D199,'Alloc Table Dem'!$B$7:$T$56,18,FALSE)*$E199),0)</f>
        <v>0</v>
      </c>
      <c r="L199" s="3">
        <f ca="1">ROUND((VLOOKUP($D199,'Alloc Table Dem'!$B$7:$T$56,19,FALSE)*$E199),0)</f>
        <v>0</v>
      </c>
    </row>
    <row r="200" spans="1:12" ht="11.25" x14ac:dyDescent="0.2">
      <c r="A200" s="325">
        <f t="shared" si="32"/>
        <v>26</v>
      </c>
      <c r="B200" s="24">
        <f>Input!A135</f>
        <v>395</v>
      </c>
      <c r="C200" s="25" t="str">
        <f>Input!B135</f>
        <v>LABORATORY EQUIPMENT</v>
      </c>
      <c r="D200" s="325" t="str">
        <f>VLOOKUP(Input!C135,'Alloc Table Dem'!$A$7:$B$27,2,FALSE)</f>
        <v>7DEM</v>
      </c>
      <c r="E200" s="3">
        <f>Classification!E200-Classification!F200-Classification!G200</f>
        <v>2692</v>
      </c>
      <c r="F200" s="3">
        <f ca="1">ROUND((VLOOKUP($D200,'Alloc Table Dem'!$B$7:$T$56,13,FALSE)*$E200),0)</f>
        <v>1049</v>
      </c>
      <c r="G200" s="3">
        <f ca="1">ROUND((VLOOKUP($D200,'Alloc Table Dem'!$B$7:$T$56,14,FALSE)*$E200),0)</f>
        <v>710</v>
      </c>
      <c r="H200" s="3">
        <f ca="1">ROUND((VLOOKUP($D200,'Alloc Table Dem'!$B$7:$T$56,15,FALSE)*$E200),0)</f>
        <v>2</v>
      </c>
      <c r="I200" s="3">
        <f ca="1">ROUND((VLOOKUP($D200,'Alloc Table Dem'!$B$7:$T$56,16,FALSE)*$E200),0)</f>
        <v>1</v>
      </c>
      <c r="J200" s="3">
        <f ca="1">ROUND((VLOOKUP($D200,'Alloc Table Dem'!$B$7:$T$56,17,FALSE)*$E200),0)</f>
        <v>930</v>
      </c>
      <c r="K200" s="3">
        <f ca="1">ROUND((VLOOKUP($D200,'Alloc Table Dem'!$B$7:$T$56,18,FALSE)*$E200),0)</f>
        <v>0</v>
      </c>
      <c r="L200" s="3">
        <f ca="1">ROUND((VLOOKUP($D200,'Alloc Table Dem'!$B$7:$T$56,19,FALSE)*$E200),0)</f>
        <v>0</v>
      </c>
    </row>
    <row r="201" spans="1:12" ht="11.25" x14ac:dyDescent="0.2">
      <c r="A201" s="325">
        <f t="shared" si="32"/>
        <v>27</v>
      </c>
      <c r="B201" s="24">
        <f>Input!A136</f>
        <v>396</v>
      </c>
      <c r="C201" s="25" t="str">
        <f>Input!B136</f>
        <v>POWER OP EQUIP-GEN TOOLS</v>
      </c>
      <c r="D201" s="325" t="str">
        <f>VLOOKUP(Input!C136,'Alloc Table Dem'!$A$7:$B$27,2,FALSE)</f>
        <v>7DEM</v>
      </c>
      <c r="E201" s="3">
        <f>Classification!E201-Classification!F201-Classification!G201</f>
        <v>73602</v>
      </c>
      <c r="F201" s="3">
        <f ca="1">ROUND((VLOOKUP($D201,'Alloc Table Dem'!$B$7:$T$56,13,FALSE)*$E201),0)</f>
        <v>28686</v>
      </c>
      <c r="G201" s="3">
        <f ca="1">ROUND((VLOOKUP($D201,'Alloc Table Dem'!$B$7:$T$56,14,FALSE)*$E201),0)</f>
        <v>19426</v>
      </c>
      <c r="H201" s="3">
        <f ca="1">ROUND((VLOOKUP($D201,'Alloc Table Dem'!$B$7:$T$56,15,FALSE)*$E201),0)</f>
        <v>42</v>
      </c>
      <c r="I201" s="3">
        <f ca="1">ROUND((VLOOKUP($D201,'Alloc Table Dem'!$B$7:$T$56,16,FALSE)*$E201),0)</f>
        <v>18</v>
      </c>
      <c r="J201" s="3">
        <f ca="1">ROUND((VLOOKUP($D201,'Alloc Table Dem'!$B$7:$T$56,17,FALSE)*$E201),0)</f>
        <v>25431</v>
      </c>
      <c r="K201" s="3">
        <f ca="1">ROUND((VLOOKUP($D201,'Alloc Table Dem'!$B$7:$T$56,18,FALSE)*$E201),0)</f>
        <v>0</v>
      </c>
      <c r="L201" s="3">
        <f ca="1">ROUND((VLOOKUP($D201,'Alloc Table Dem'!$B$7:$T$56,19,FALSE)*$E201),0)</f>
        <v>0</v>
      </c>
    </row>
    <row r="202" spans="1:12" ht="11.25" x14ac:dyDescent="0.2">
      <c r="A202" s="325">
        <f t="shared" si="32"/>
        <v>28</v>
      </c>
      <c r="B202" s="24">
        <f>Input!A137</f>
        <v>397.5</v>
      </c>
      <c r="C202" s="25" t="str">
        <f>Input!B137</f>
        <v>COMMUNICATION EQUIP - TELEMETERING</v>
      </c>
      <c r="D202" s="325" t="str">
        <f>VLOOKUP(Input!C137,'Alloc Table Dem'!$A$7:$B$27,2,FALSE)</f>
        <v>7DEM</v>
      </c>
      <c r="E202" s="3">
        <f>Classification!E202-Classification!F202-Classification!G202</f>
        <v>0</v>
      </c>
      <c r="F202" s="3">
        <f ca="1">ROUND((VLOOKUP($D202,'Alloc Table Dem'!$B$7:$T$56,13,FALSE)*$E202),0)</f>
        <v>0</v>
      </c>
      <c r="G202" s="3">
        <f ca="1">ROUND((VLOOKUP($D202,'Alloc Table Dem'!$B$7:$T$56,14,FALSE)*$E202),0)</f>
        <v>0</v>
      </c>
      <c r="H202" s="3">
        <f ca="1">ROUND((VLOOKUP($D202,'Alloc Table Dem'!$B$7:$T$56,15,FALSE)*$E202),0)</f>
        <v>0</v>
      </c>
      <c r="I202" s="3">
        <f ca="1">ROUND((VLOOKUP($D202,'Alloc Table Dem'!$B$7:$T$56,16,FALSE)*$E202),0)</f>
        <v>0</v>
      </c>
      <c r="J202" s="3">
        <f ca="1">ROUND((VLOOKUP($D202,'Alloc Table Dem'!$B$7:$T$56,17,FALSE)*$E202),0)</f>
        <v>0</v>
      </c>
      <c r="K202" s="3">
        <f ca="1">ROUND((VLOOKUP($D202,'Alloc Table Dem'!$B$7:$T$56,18,FALSE)*$E202),0)</f>
        <v>0</v>
      </c>
      <c r="L202" s="3">
        <f ca="1">ROUND((VLOOKUP($D202,'Alloc Table Dem'!$B$7:$T$56,19,FALSE)*$E202),0)</f>
        <v>0</v>
      </c>
    </row>
    <row r="203" spans="1:12" ht="11.25" x14ac:dyDescent="0.2">
      <c r="A203" s="325">
        <f t="shared" si="32"/>
        <v>29</v>
      </c>
      <c r="B203" s="24">
        <f>Input!A138</f>
        <v>398</v>
      </c>
      <c r="C203" s="25" t="str">
        <f>Input!B138</f>
        <v>MISCELLANEOUS EQUIPMENT</v>
      </c>
      <c r="D203" s="325" t="str">
        <f>VLOOKUP(Input!C138,'Alloc Table Dem'!$A$7:$B$27,2,FALSE)</f>
        <v>7DEM</v>
      </c>
      <c r="E203" s="26">
        <f>Classification!E203-Classification!F203-Classification!G203</f>
        <v>85502</v>
      </c>
      <c r="F203" s="26">
        <f ca="1">ROUND((VLOOKUP($D203,'Alloc Table Dem'!$B$7:$T$56,13,FALSE)*$E203),0)</f>
        <v>33324</v>
      </c>
      <c r="G203" s="26">
        <f ca="1">ROUND((VLOOKUP($D203,'Alloc Table Dem'!$B$7:$T$56,14,FALSE)*$E203),0)</f>
        <v>22567</v>
      </c>
      <c r="H203" s="26">
        <f ca="1">ROUND((VLOOKUP($D203,'Alloc Table Dem'!$B$7:$T$56,15,FALSE)*$E203),0)</f>
        <v>49</v>
      </c>
      <c r="I203" s="26">
        <f ca="1">ROUND((VLOOKUP($D203,'Alloc Table Dem'!$B$7:$T$56,16,FALSE)*$E203),0)</f>
        <v>21</v>
      </c>
      <c r="J203" s="26">
        <f ca="1">ROUND((VLOOKUP($D203,'Alloc Table Dem'!$B$7:$T$56,17,FALSE)*$E203),0)</f>
        <v>29543</v>
      </c>
      <c r="K203" s="26">
        <f ca="1">ROUND((VLOOKUP($D203,'Alloc Table Dem'!$B$7:$T$56,18,FALSE)*$E203),0)</f>
        <v>0</v>
      </c>
      <c r="L203" s="26">
        <f ca="1">ROUND((VLOOKUP($D203,'Alloc Table Dem'!$B$7:$T$56,19,FALSE)*$E203),0)</f>
        <v>0</v>
      </c>
    </row>
    <row r="204" spans="1:12" ht="11.25" x14ac:dyDescent="0.2">
      <c r="A204" s="325">
        <f t="shared" si="32"/>
        <v>30</v>
      </c>
      <c r="B204" s="3"/>
      <c r="C204" s="25" t="s">
        <v>90</v>
      </c>
      <c r="D204" s="325"/>
      <c r="E204" s="26">
        <f t="shared" ref="E204:L204" si="33">SUM(E190:E203)</f>
        <v>1736358</v>
      </c>
      <c r="F204" s="26">
        <f t="shared" ca="1" si="33"/>
        <v>676729</v>
      </c>
      <c r="G204" s="26">
        <f t="shared" ca="1" si="33"/>
        <v>458276</v>
      </c>
      <c r="H204" s="26">
        <f t="shared" ca="1" si="33"/>
        <v>990</v>
      </c>
      <c r="I204" s="26">
        <f t="shared" ca="1" si="33"/>
        <v>418</v>
      </c>
      <c r="J204" s="26">
        <f t="shared" ca="1" si="33"/>
        <v>599946</v>
      </c>
      <c r="K204" s="26">
        <f t="shared" ca="1" si="33"/>
        <v>0</v>
      </c>
      <c r="L204" s="26">
        <f t="shared" ca="1" si="33"/>
        <v>0</v>
      </c>
    </row>
    <row r="205" spans="1:12" ht="11.25" x14ac:dyDescent="0.2">
      <c r="A205" s="325">
        <f t="shared" si="32"/>
        <v>31</v>
      </c>
      <c r="B205" s="3"/>
      <c r="C205" s="25" t="s">
        <v>93</v>
      </c>
      <c r="D205" s="325"/>
      <c r="E205" s="3">
        <f>Demand!E138+Demand!E145+E188+E204</f>
        <v>127322840.00000001</v>
      </c>
      <c r="F205" s="3">
        <f ca="1">Demand!F138+Demand!F145+F188+F204</f>
        <v>49623411</v>
      </c>
      <c r="G205" s="3">
        <f ca="1">Demand!G138+Demand!G145+G188+G204</f>
        <v>33603809</v>
      </c>
      <c r="H205" s="3">
        <f ca="1">Demand!H138+Demand!H145+H188+H204</f>
        <v>72557</v>
      </c>
      <c r="I205" s="3">
        <f ca="1">Demand!I138+Demand!I145+I188+I204</f>
        <v>30967.550000000003</v>
      </c>
      <c r="J205" s="3">
        <f ca="1">Demand!J138+Demand!J145+J188+J204</f>
        <v>43992095</v>
      </c>
      <c r="K205" s="3">
        <f ca="1">Demand!K138+Demand!K145+K188+K204</f>
        <v>0</v>
      </c>
      <c r="L205" s="3">
        <f ca="1">Demand!L138+Demand!L145+L188+L204</f>
        <v>0</v>
      </c>
    </row>
    <row r="206" spans="1:12" ht="11.25" x14ac:dyDescent="0.2">
      <c r="A206" s="3" t="s">
        <v>819</v>
      </c>
      <c r="B206" s="3"/>
      <c r="C206" s="14"/>
      <c r="D206" s="325"/>
      <c r="E206" s="3"/>
      <c r="F206" s="325" t="str">
        <f>" "&amp;+Input!$B$1</f>
        <v xml:space="preserve"> COLUMBIA GAS OF KENTUCKY, INC.</v>
      </c>
      <c r="H206" s="3"/>
      <c r="I206" s="3"/>
      <c r="J206" s="3"/>
      <c r="K206" s="3"/>
      <c r="L206" s="32" t="str">
        <f>Input!$B$2</f>
        <v>ATTACHMENT CEN-2</v>
      </c>
    </row>
    <row r="207" spans="1:12" ht="11.25" x14ac:dyDescent="0.2">
      <c r="A207" s="3" t="str">
        <f>Input!$B$7</f>
        <v>DEMAND-COMMODITY</v>
      </c>
      <c r="B207" s="3"/>
      <c r="C207" s="3"/>
      <c r="D207" s="325"/>
      <c r="E207" s="3"/>
      <c r="F207" s="325" t="s">
        <v>158</v>
      </c>
      <c r="H207" s="3"/>
      <c r="I207" s="3"/>
      <c r="J207" s="3"/>
      <c r="K207" s="3"/>
      <c r="L207" s="32" t="str">
        <f>"PAGE 110 OF "&amp;FIXED(Input!$B$8,0,TRUE)</f>
        <v>PAGE 110 OF 129</v>
      </c>
    </row>
    <row r="208" spans="1:12" ht="11.25" x14ac:dyDescent="0.2">
      <c r="A208" s="17" t="str">
        <f>Input!$B$6</f>
        <v>FORECASTED TEST YEAR - ORIGINAL FILING</v>
      </c>
      <c r="B208" s="17"/>
      <c r="C208" s="17"/>
      <c r="D208" s="34"/>
      <c r="E208" s="18"/>
      <c r="F208" s="19" t="str">
        <f>"FOR THE TWELVE MONTHS ENDED "&amp;Input!$B$4</f>
        <v>FOR THE TWELVE MONTHS ENDED 12/31/2017</v>
      </c>
      <c r="G208" s="329"/>
      <c r="H208" s="17"/>
      <c r="I208" s="17"/>
      <c r="J208" s="17"/>
      <c r="K208" s="17"/>
      <c r="L208" s="183" t="str">
        <f>"WITNESS: "&amp;Input!$B$5</f>
        <v>WITNESS: C. NOTESTONE</v>
      </c>
    </row>
    <row r="209" spans="1:12" ht="11.25" x14ac:dyDescent="0.2">
      <c r="A209" s="325" t="s">
        <v>5</v>
      </c>
      <c r="B209" s="3" t="s">
        <v>6</v>
      </c>
      <c r="C209" s="3"/>
      <c r="D209" s="325" t="s">
        <v>7</v>
      </c>
      <c r="E209" s="325" t="s">
        <v>8</v>
      </c>
      <c r="F209" s="325"/>
      <c r="G209" s="325"/>
      <c r="H209" s="325"/>
      <c r="I209" s="325"/>
      <c r="J209" s="325"/>
      <c r="K209" s="325"/>
      <c r="L209" s="325"/>
    </row>
    <row r="210" spans="1:12" ht="11.25" x14ac:dyDescent="0.2">
      <c r="A210" s="341" t="s">
        <v>9</v>
      </c>
      <c r="B210" s="341" t="s">
        <v>9</v>
      </c>
      <c r="C210" s="34" t="str">
        <f>Demand!C128</f>
        <v xml:space="preserve"> ACCOUNT TITLE</v>
      </c>
      <c r="D210" s="341" t="s">
        <v>10</v>
      </c>
      <c r="E210" s="341" t="s">
        <v>813</v>
      </c>
      <c r="F210" s="341" t="str">
        <f>"  "&amp;+Input!$C$12</f>
        <v xml:space="preserve">  GS-RESIDENTIAL</v>
      </c>
      <c r="G210" s="341" t="str">
        <f>Input!$C$13</f>
        <v>GS-OTHER</v>
      </c>
      <c r="H210" s="341" t="str">
        <f>Input!$C$14</f>
        <v>IUS</v>
      </c>
      <c r="I210" s="341" t="str">
        <f>Input!$C$15</f>
        <v>DS-ML</v>
      </c>
      <c r="J210" s="341" t="str">
        <f>Input!$C$16</f>
        <v>DS/IS</v>
      </c>
      <c r="K210" s="341" t="str">
        <f>Input!$C$17</f>
        <v>NOT USED</v>
      </c>
      <c r="L210" s="341" t="str">
        <f>Input!$C$18</f>
        <v>NOT USED</v>
      </c>
    </row>
    <row r="211" spans="1:12" ht="11.25" x14ac:dyDescent="0.2">
      <c r="A211" s="325"/>
      <c r="B211" s="342" t="s">
        <v>13</v>
      </c>
      <c r="C211" s="342" t="s">
        <v>14</v>
      </c>
      <c r="D211" s="325" t="s">
        <v>15</v>
      </c>
      <c r="E211" s="325" t="s">
        <v>16</v>
      </c>
      <c r="F211" s="325" t="s">
        <v>17</v>
      </c>
      <c r="G211" s="325" t="s">
        <v>18</v>
      </c>
      <c r="H211" s="325" t="s">
        <v>19</v>
      </c>
      <c r="I211" s="325" t="s">
        <v>20</v>
      </c>
      <c r="J211" s="325" t="s">
        <v>21</v>
      </c>
      <c r="K211" s="325" t="s">
        <v>22</v>
      </c>
      <c r="L211" s="325" t="s">
        <v>23</v>
      </c>
    </row>
    <row r="212" spans="1:12" ht="11.25" x14ac:dyDescent="0.2">
      <c r="A212" s="325"/>
      <c r="B212" s="3"/>
      <c r="C212" s="3"/>
      <c r="D212" s="325"/>
      <c r="E212" s="325" t="s">
        <v>26</v>
      </c>
      <c r="F212" s="325" t="s">
        <v>26</v>
      </c>
      <c r="G212" s="325" t="s">
        <v>26</v>
      </c>
      <c r="H212" s="325" t="s">
        <v>26</v>
      </c>
      <c r="I212" s="325" t="s">
        <v>26</v>
      </c>
      <c r="J212" s="325" t="s">
        <v>26</v>
      </c>
      <c r="K212" s="325" t="s">
        <v>26</v>
      </c>
      <c r="L212" s="325" t="s">
        <v>26</v>
      </c>
    </row>
    <row r="213" spans="1:12" ht="11.25" x14ac:dyDescent="0.2">
      <c r="A213" s="325">
        <v>1</v>
      </c>
      <c r="B213" s="3"/>
      <c r="C213" s="3" t="str">
        <f>Input!A145</f>
        <v>INTANGIBLE PLANT</v>
      </c>
      <c r="D213" s="325"/>
      <c r="E213" s="3"/>
      <c r="F213" s="3"/>
      <c r="G213" s="3"/>
      <c r="H213" s="3"/>
      <c r="I213" s="3"/>
      <c r="J213" s="3"/>
      <c r="K213" s="3"/>
      <c r="L213" s="3"/>
    </row>
    <row r="214" spans="1:12" ht="11.25" x14ac:dyDescent="0.2">
      <c r="A214" s="325"/>
      <c r="B214" s="3"/>
      <c r="C214" s="3"/>
      <c r="D214" s="325"/>
      <c r="E214" s="3"/>
      <c r="F214" s="3"/>
      <c r="G214" s="3"/>
      <c r="H214" s="3"/>
      <c r="I214" s="3"/>
      <c r="J214" s="3"/>
      <c r="K214" s="3"/>
      <c r="L214" s="3"/>
    </row>
    <row r="215" spans="1:12" ht="11.25" x14ac:dyDescent="0.2">
      <c r="A215" s="325">
        <f>A213+1</f>
        <v>2</v>
      </c>
      <c r="B215" s="24">
        <f>Input!A146</f>
        <v>301</v>
      </c>
      <c r="C215" s="3" t="str">
        <f>Input!B146</f>
        <v>ORGANIZATION</v>
      </c>
      <c r="D215" s="325" t="str">
        <f>D133</f>
        <v>7DEM</v>
      </c>
      <c r="E215" s="3">
        <f>Classification!E215-Classification!F215-Classification!G215</f>
        <v>0</v>
      </c>
      <c r="F215" s="3">
        <f ca="1">ROUND((VLOOKUP($D215,'Alloc Table Dem'!$B$7:$T$56,13,FALSE)*$E215),0)</f>
        <v>0</v>
      </c>
      <c r="G215" s="3">
        <f ca="1">ROUND((VLOOKUP($D215,'Alloc Table Dem'!$B$7:$T$56,14,FALSE)*$E215),0)</f>
        <v>0</v>
      </c>
      <c r="H215" s="3">
        <f ca="1">ROUND((VLOOKUP($D215,'Alloc Table Dem'!$B$7:$T$56,15,FALSE)*$E215),0)</f>
        <v>0</v>
      </c>
      <c r="I215" s="3">
        <f ca="1">ROUND((VLOOKUP($D215,'Alloc Table Dem'!$B$7:$T$56,16,FALSE)*$E215),0)</f>
        <v>0</v>
      </c>
      <c r="J215" s="3">
        <f ca="1">ROUND((VLOOKUP($D215,'Alloc Table Dem'!$B$7:$T$56,17,FALSE)*$E215),0)</f>
        <v>0</v>
      </c>
      <c r="K215" s="3">
        <f ca="1">ROUND((VLOOKUP($D215,'Alloc Table Dem'!$B$7:$T$56,18,FALSE)*$E215),0)</f>
        <v>0</v>
      </c>
      <c r="L215" s="3">
        <f ca="1">ROUND((VLOOKUP($D215,'Alloc Table Dem'!$B$7:$T$56,19,FALSE)*$E215),0)</f>
        <v>0</v>
      </c>
    </row>
    <row r="216" spans="1:12" ht="11.25" x14ac:dyDescent="0.2">
      <c r="A216" s="325">
        <f>A215+1</f>
        <v>3</v>
      </c>
      <c r="B216" s="24">
        <f>Input!A147</f>
        <v>303</v>
      </c>
      <c r="C216" s="3" t="str">
        <f>Input!B147</f>
        <v>MISC. INTANGIBLE PLANT</v>
      </c>
      <c r="D216" s="325" t="str">
        <f t="shared" ref="D216:D219" si="34">D134</f>
        <v>7DEM</v>
      </c>
      <c r="E216" s="3">
        <f>Classification!E216-Classification!F216-Classification!G216</f>
        <v>14277</v>
      </c>
      <c r="F216" s="3">
        <f ca="1">ROUND((VLOOKUP($D216,'Alloc Table Dem'!$B$7:$T$56,13,FALSE)*$E216),0)</f>
        <v>5564</v>
      </c>
      <c r="G216" s="3">
        <f ca="1">ROUND((VLOOKUP($D216,'Alloc Table Dem'!$B$7:$T$56,14,FALSE)*$E216),0)</f>
        <v>3768</v>
      </c>
      <c r="H216" s="3">
        <f ca="1">ROUND((VLOOKUP($D216,'Alloc Table Dem'!$B$7:$T$56,15,FALSE)*$E216),0)</f>
        <v>8</v>
      </c>
      <c r="I216" s="3">
        <f ca="1">ROUND((VLOOKUP($D216,'Alloc Table Dem'!$B$7:$T$56,16,FALSE)*$E216),0)</f>
        <v>3</v>
      </c>
      <c r="J216" s="3">
        <f ca="1">ROUND((VLOOKUP($D216,'Alloc Table Dem'!$B$7:$T$56,17,FALSE)*$E216),0)</f>
        <v>4933</v>
      </c>
      <c r="K216" s="3">
        <f ca="1">ROUND((VLOOKUP($D216,'Alloc Table Dem'!$B$7:$T$56,18,FALSE)*$E216),0)</f>
        <v>0</v>
      </c>
      <c r="L216" s="3">
        <f ca="1">ROUND((VLOOKUP($D216,'Alloc Table Dem'!$B$7:$T$56,19,FALSE)*$E216),0)</f>
        <v>0</v>
      </c>
    </row>
    <row r="217" spans="1:12" ht="11.25" x14ac:dyDescent="0.2">
      <c r="A217" s="325">
        <f>A216+1</f>
        <v>4</v>
      </c>
      <c r="B217" s="24">
        <f>Input!A148</f>
        <v>303.10000000000002</v>
      </c>
      <c r="C217" s="3" t="str">
        <f>Input!B148</f>
        <v>DIS SOFTWARE</v>
      </c>
      <c r="D217" s="325" t="str">
        <f t="shared" si="34"/>
        <v>7DEM</v>
      </c>
      <c r="E217" s="3">
        <f>Classification!E217-Classification!F217-Classification!G217</f>
        <v>0</v>
      </c>
      <c r="F217" s="3">
        <f ca="1">ROUND((VLOOKUP($D217,'Alloc Table Dem'!$B$7:$T$56,13,FALSE)*$E217),0)</f>
        <v>0</v>
      </c>
      <c r="G217" s="3">
        <f ca="1">ROUND((VLOOKUP($D217,'Alloc Table Dem'!$B$7:$T$56,14,FALSE)*$E217),0)</f>
        <v>0</v>
      </c>
      <c r="H217" s="3">
        <f ca="1">ROUND((VLOOKUP($D217,'Alloc Table Dem'!$B$7:$T$56,15,FALSE)*$E217),0)</f>
        <v>0</v>
      </c>
      <c r="I217" s="3">
        <f ca="1">ROUND((VLOOKUP($D217,'Alloc Table Dem'!$B$7:$T$56,16,FALSE)*$E217),0)</f>
        <v>0</v>
      </c>
      <c r="J217" s="3">
        <f ca="1">ROUND((VLOOKUP($D217,'Alloc Table Dem'!$B$7:$T$56,17,FALSE)*$E217),0)</f>
        <v>0</v>
      </c>
      <c r="K217" s="3">
        <f ca="1">ROUND((VLOOKUP($D217,'Alloc Table Dem'!$B$7:$T$56,18,FALSE)*$E217),0)</f>
        <v>0</v>
      </c>
      <c r="L217" s="3">
        <f ca="1">ROUND((VLOOKUP($D217,'Alloc Table Dem'!$B$7:$T$56,19,FALSE)*$E217),0)</f>
        <v>0</v>
      </c>
    </row>
    <row r="218" spans="1:12" ht="11.25" x14ac:dyDescent="0.2">
      <c r="A218" s="325">
        <f>A217+1</f>
        <v>5</v>
      </c>
      <c r="B218" s="24">
        <f>Input!A149</f>
        <v>303.2</v>
      </c>
      <c r="C218" s="3" t="str">
        <f>Input!B149</f>
        <v>FARA SOFTWARE</v>
      </c>
      <c r="D218" s="325" t="str">
        <f t="shared" si="34"/>
        <v>7DEM</v>
      </c>
      <c r="E218" s="3">
        <f>Classification!E218-Classification!F218-Classification!G218</f>
        <v>0</v>
      </c>
      <c r="F218" s="3">
        <f ca="1">ROUND((VLOOKUP($D218,'Alloc Table Dem'!$B$7:$T$56,13,FALSE)*$E218),0)</f>
        <v>0</v>
      </c>
      <c r="G218" s="3">
        <f ca="1">ROUND((VLOOKUP($D218,'Alloc Table Dem'!$B$7:$T$56,14,FALSE)*$E218),0)</f>
        <v>0</v>
      </c>
      <c r="H218" s="3">
        <f ca="1">ROUND((VLOOKUP($D218,'Alloc Table Dem'!$B$7:$T$56,15,FALSE)*$E218),0)</f>
        <v>0</v>
      </c>
      <c r="I218" s="3">
        <f ca="1">ROUND((VLOOKUP($D218,'Alloc Table Dem'!$B$7:$T$56,16,FALSE)*$E218),0)</f>
        <v>0</v>
      </c>
      <c r="J218" s="3">
        <f ca="1">ROUND((VLOOKUP($D218,'Alloc Table Dem'!$B$7:$T$56,17,FALSE)*$E218),0)</f>
        <v>0</v>
      </c>
      <c r="K218" s="3">
        <f ca="1">ROUND((VLOOKUP($D218,'Alloc Table Dem'!$B$7:$T$56,18,FALSE)*$E218),0)</f>
        <v>0</v>
      </c>
      <c r="L218" s="3">
        <f ca="1">ROUND((VLOOKUP($D218,'Alloc Table Dem'!$B$7:$T$56,19,FALSE)*$E218),0)</f>
        <v>0</v>
      </c>
    </row>
    <row r="219" spans="1:12" ht="11.25" x14ac:dyDescent="0.2">
      <c r="A219" s="325">
        <f>A218+1</f>
        <v>6</v>
      </c>
      <c r="B219" s="24">
        <f>Input!A150</f>
        <v>303.3</v>
      </c>
      <c r="C219" s="3" t="str">
        <f>Input!B150</f>
        <v>OTHER SOFTWARE</v>
      </c>
      <c r="D219" s="325" t="str">
        <f t="shared" si="34"/>
        <v>7DEM</v>
      </c>
      <c r="E219" s="26">
        <f>Classification!E219-Classification!F219-Classification!G219</f>
        <v>995735</v>
      </c>
      <c r="F219" s="26">
        <f ca="1">ROUND((VLOOKUP($D219,'Alloc Table Dem'!$B$7:$T$56,13,FALSE)*$E219),0)</f>
        <v>388078</v>
      </c>
      <c r="G219" s="26">
        <f ca="1">ROUND((VLOOKUP($D219,'Alloc Table Dem'!$B$7:$T$56,14,FALSE)*$E219),0)</f>
        <v>262804</v>
      </c>
      <c r="H219" s="26">
        <f ca="1">ROUND((VLOOKUP($D219,'Alloc Table Dem'!$B$7:$T$56,15,FALSE)*$E219),0)</f>
        <v>568</v>
      </c>
      <c r="I219" s="26">
        <f ca="1">ROUND((VLOOKUP($D219,'Alloc Table Dem'!$B$7:$T$56,16,FALSE)*$E219),0)</f>
        <v>239</v>
      </c>
      <c r="J219" s="26">
        <f ca="1">ROUND((VLOOKUP($D219,'Alloc Table Dem'!$B$7:$T$56,17,FALSE)*$E219),0)</f>
        <v>344046</v>
      </c>
      <c r="K219" s="26">
        <f ca="1">ROUND((VLOOKUP($D219,'Alloc Table Dem'!$B$7:$T$56,18,FALSE)*$E219),0)</f>
        <v>0</v>
      </c>
      <c r="L219" s="26">
        <f ca="1">ROUND((VLOOKUP($D219,'Alloc Table Dem'!$B$7:$T$56,19,FALSE)*$E219),0)</f>
        <v>0</v>
      </c>
    </row>
    <row r="220" spans="1:12" ht="11.25" x14ac:dyDescent="0.2">
      <c r="A220" s="325">
        <f>A219+1</f>
        <v>7</v>
      </c>
      <c r="B220" s="3"/>
      <c r="C220" s="3" t="s">
        <v>159</v>
      </c>
      <c r="D220" s="325"/>
      <c r="E220" s="3">
        <f t="shared" ref="E220:L220" si="35">SUM(E215:E219)</f>
        <v>1010012</v>
      </c>
      <c r="F220" s="3">
        <f t="shared" ca="1" si="35"/>
        <v>393642</v>
      </c>
      <c r="G220" s="3">
        <f t="shared" ca="1" si="35"/>
        <v>266572</v>
      </c>
      <c r="H220" s="3">
        <f t="shared" ca="1" si="35"/>
        <v>576</v>
      </c>
      <c r="I220" s="3">
        <f t="shared" ca="1" si="35"/>
        <v>242</v>
      </c>
      <c r="J220" s="3">
        <f t="shared" ca="1" si="35"/>
        <v>348979</v>
      </c>
      <c r="K220" s="3">
        <f t="shared" ca="1" si="35"/>
        <v>0</v>
      </c>
      <c r="L220" s="3">
        <f t="shared" ca="1" si="35"/>
        <v>0</v>
      </c>
    </row>
    <row r="221" spans="1:12" ht="11.25" x14ac:dyDescent="0.2">
      <c r="A221" s="325"/>
      <c r="B221" s="24"/>
      <c r="C221" s="3"/>
      <c r="D221" s="325"/>
      <c r="E221" s="3"/>
      <c r="F221" s="3"/>
      <c r="G221" s="3"/>
      <c r="H221" s="3"/>
      <c r="I221" s="3"/>
      <c r="J221" s="3"/>
      <c r="K221" s="3"/>
      <c r="L221" s="3"/>
    </row>
    <row r="222" spans="1:12" ht="11.25" x14ac:dyDescent="0.2">
      <c r="A222" s="325">
        <f>A220+1</f>
        <v>8</v>
      </c>
      <c r="B222" s="3"/>
      <c r="C222" s="3" t="str">
        <f>Input!A151</f>
        <v>PRODUCTION PLANT</v>
      </c>
      <c r="D222" s="325"/>
      <c r="E222" s="3"/>
      <c r="F222" s="3"/>
      <c r="G222" s="3"/>
      <c r="H222" s="3"/>
      <c r="I222" s="3"/>
      <c r="J222" s="3"/>
      <c r="K222" s="3"/>
      <c r="L222" s="3"/>
    </row>
    <row r="223" spans="1:12" ht="11.25" x14ac:dyDescent="0.2">
      <c r="A223" s="325"/>
      <c r="B223" s="3"/>
      <c r="C223" s="3"/>
      <c r="D223" s="325"/>
      <c r="E223" s="3"/>
      <c r="F223" s="3"/>
      <c r="G223" s="3"/>
      <c r="H223" s="3"/>
      <c r="I223" s="3"/>
      <c r="J223" s="3"/>
      <c r="K223" s="3"/>
      <c r="L223" s="3"/>
    </row>
    <row r="224" spans="1:12" ht="11.25" x14ac:dyDescent="0.2">
      <c r="A224" s="325">
        <f>A222+1</f>
        <v>9</v>
      </c>
      <c r="B224" s="24">
        <f>Input!A152</f>
        <v>304.10000000000002</v>
      </c>
      <c r="C224" s="3" t="str">
        <f>Input!B152</f>
        <v>LAND</v>
      </c>
      <c r="D224" s="325">
        <f>Input!C152</f>
        <v>2</v>
      </c>
      <c r="E224" s="3">
        <f>Classification!E224-Classification!F224-Classification!G224</f>
        <v>0</v>
      </c>
      <c r="F224" s="3">
        <f>ROUND((VLOOKUP($D224,'Alloc Table Dem'!$B$7:$T$56,13,FALSE)*$E224),0)</f>
        <v>0</v>
      </c>
      <c r="G224" s="3">
        <f>ROUND((VLOOKUP($D224,'Alloc Table Dem'!$B$7:$T$56,14,FALSE)*$E224),0)</f>
        <v>0</v>
      </c>
      <c r="H224" s="3">
        <f>ROUND((VLOOKUP($D224,'Alloc Table Dem'!$B$7:$T$56,15,FALSE)*$E224),0)</f>
        <v>0</v>
      </c>
      <c r="I224" s="3">
        <f>ROUND((VLOOKUP($D224,'Alloc Table Dem'!$B$7:$T$56,16,FALSE)*$E224),0)</f>
        <v>0</v>
      </c>
      <c r="J224" s="3">
        <f>ROUND((VLOOKUP($D224,'Alloc Table Dem'!$B$7:$T$56,17,FALSE)*$E224),0)</f>
        <v>0</v>
      </c>
      <c r="K224" s="3">
        <f>ROUND((VLOOKUP($D224,'Alloc Table Dem'!$B$7:$T$56,18,FALSE)*$E224),0)</f>
        <v>0</v>
      </c>
      <c r="L224" s="3">
        <f>ROUND((VLOOKUP($D224,'Alloc Table Dem'!$B$7:$T$56,19,FALSE)*$E224),0)</f>
        <v>0</v>
      </c>
    </row>
    <row r="225" spans="1:12" ht="11.25" x14ac:dyDescent="0.2">
      <c r="A225" s="325">
        <f>A224+1</f>
        <v>10</v>
      </c>
      <c r="B225" s="24">
        <f>Input!A153</f>
        <v>305</v>
      </c>
      <c r="C225" s="3" t="str">
        <f>Input!B153</f>
        <v>STRUCTURES &amp; IMPROVEMENTS</v>
      </c>
      <c r="D225" s="325">
        <f>Input!C153</f>
        <v>2</v>
      </c>
      <c r="E225" s="3">
        <f>Classification!E225-Classification!F225-Classification!G225</f>
        <v>0</v>
      </c>
      <c r="F225" s="3">
        <f>ROUND((VLOOKUP($D225,'Alloc Table Dem'!$B$7:$T$56,13,FALSE)*$E225),0)</f>
        <v>0</v>
      </c>
      <c r="G225" s="3">
        <f>ROUND((VLOOKUP($D225,'Alloc Table Dem'!$B$7:$T$56,14,FALSE)*$E225),0)</f>
        <v>0</v>
      </c>
      <c r="H225" s="3">
        <f>ROUND((VLOOKUP($D225,'Alloc Table Dem'!$B$7:$T$56,15,FALSE)*$E225),0)</f>
        <v>0</v>
      </c>
      <c r="I225" s="3">
        <f>ROUND((VLOOKUP($D225,'Alloc Table Dem'!$B$7:$T$56,16,FALSE)*$E225),0)</f>
        <v>0</v>
      </c>
      <c r="J225" s="3">
        <f>ROUND((VLOOKUP($D225,'Alloc Table Dem'!$B$7:$T$56,17,FALSE)*$E225),0)</f>
        <v>0</v>
      </c>
      <c r="K225" s="3">
        <f>ROUND((VLOOKUP($D225,'Alloc Table Dem'!$B$7:$T$56,18,FALSE)*$E225),0)</f>
        <v>0</v>
      </c>
      <c r="L225" s="3">
        <f>ROUND((VLOOKUP($D225,'Alloc Table Dem'!$B$7:$T$56,19,FALSE)*$E225),0)</f>
        <v>0</v>
      </c>
    </row>
    <row r="226" spans="1:12" ht="11.25" x14ac:dyDescent="0.2">
      <c r="A226" s="325">
        <f>A225+1</f>
        <v>11</v>
      </c>
      <c r="B226" s="24">
        <f>Input!A154</f>
        <v>311</v>
      </c>
      <c r="C226" s="3" t="str">
        <f>Input!B154</f>
        <v>LIQUEFIED PETROLEUM GAS EQUIP</v>
      </c>
      <c r="D226" s="325">
        <f>Input!C154</f>
        <v>2</v>
      </c>
      <c r="E226" s="26">
        <f>Classification!E226-Classification!F226-Classification!G226</f>
        <v>0</v>
      </c>
      <c r="F226" s="26">
        <f>ROUND((VLOOKUP($D226,'Alloc Table Dem'!$B$7:$T$56,13,FALSE)*$E226),0)</f>
        <v>0</v>
      </c>
      <c r="G226" s="26">
        <f>ROUND((VLOOKUP($D226,'Alloc Table Dem'!$B$7:$T$56,14,FALSE)*$E226),0)</f>
        <v>0</v>
      </c>
      <c r="H226" s="26">
        <f>ROUND((VLOOKUP($D226,'Alloc Table Dem'!$B$7:$T$56,15,FALSE)*$E226),0)</f>
        <v>0</v>
      </c>
      <c r="I226" s="26">
        <f>ROUND((VLOOKUP($D226,'Alloc Table Dem'!$B$7:$T$56,16,FALSE)*$E226),0)</f>
        <v>0</v>
      </c>
      <c r="J226" s="26">
        <f>ROUND((VLOOKUP($D226,'Alloc Table Dem'!$B$7:$T$56,17,FALSE)*$E226),0)</f>
        <v>0</v>
      </c>
      <c r="K226" s="26">
        <f>ROUND((VLOOKUP($D226,'Alloc Table Dem'!$B$7:$T$56,18,FALSE)*$E226),0)</f>
        <v>0</v>
      </c>
      <c r="L226" s="26">
        <f>ROUND((VLOOKUP($D226,'Alloc Table Dem'!$B$7:$T$56,19,FALSE)*$E226),0)</f>
        <v>0</v>
      </c>
    </row>
    <row r="227" spans="1:12" ht="11.25" x14ac:dyDescent="0.2">
      <c r="A227" s="325">
        <f>A226+1</f>
        <v>12</v>
      </c>
      <c r="B227" s="24"/>
      <c r="C227" s="3" t="s">
        <v>160</v>
      </c>
      <c r="D227" s="325"/>
      <c r="E227" s="3">
        <f t="shared" ref="E227:L227" si="36">SUM(E224:E226)</f>
        <v>0</v>
      </c>
      <c r="F227" s="3">
        <f t="shared" si="36"/>
        <v>0</v>
      </c>
      <c r="G227" s="3">
        <f t="shared" si="36"/>
        <v>0</v>
      </c>
      <c r="H227" s="3">
        <f t="shared" si="36"/>
        <v>0</v>
      </c>
      <c r="I227" s="3">
        <f t="shared" si="36"/>
        <v>0</v>
      </c>
      <c r="J227" s="3">
        <f t="shared" si="36"/>
        <v>0</v>
      </c>
      <c r="K227" s="3">
        <f t="shared" si="36"/>
        <v>0</v>
      </c>
      <c r="L227" s="3">
        <f t="shared" si="36"/>
        <v>0</v>
      </c>
    </row>
    <row r="228" spans="1:12" ht="11.25" x14ac:dyDescent="0.2">
      <c r="A228" s="325"/>
      <c r="B228" s="24"/>
      <c r="C228" s="3"/>
      <c r="D228" s="325"/>
      <c r="E228" s="26"/>
      <c r="F228" s="26"/>
      <c r="G228" s="26"/>
      <c r="H228" s="26"/>
      <c r="I228" s="26"/>
      <c r="J228" s="26"/>
      <c r="K228" s="26"/>
      <c r="L228" s="26"/>
    </row>
    <row r="229" spans="1:12" ht="11.25" x14ac:dyDescent="0.2">
      <c r="A229" s="325">
        <f>A227+1</f>
        <v>13</v>
      </c>
      <c r="B229" s="3"/>
      <c r="C229" s="24" t="str">
        <f>Input!A155</f>
        <v>DISTRIBUTION PLANT</v>
      </c>
      <c r="D229" s="325"/>
      <c r="E229" s="26"/>
      <c r="F229" s="26"/>
      <c r="G229" s="26"/>
      <c r="H229" s="26"/>
      <c r="I229" s="26"/>
      <c r="J229" s="26"/>
      <c r="K229" s="26"/>
      <c r="L229" s="26"/>
    </row>
    <row r="230" spans="1:12" ht="11.25" x14ac:dyDescent="0.2">
      <c r="A230" s="325"/>
      <c r="B230" s="3"/>
      <c r="C230" s="3"/>
      <c r="D230" s="325"/>
      <c r="E230" s="3"/>
      <c r="F230" s="3"/>
      <c r="G230" s="3"/>
      <c r="H230" s="3"/>
      <c r="I230" s="3"/>
      <c r="J230" s="3"/>
      <c r="K230" s="3"/>
      <c r="L230" s="3"/>
    </row>
    <row r="231" spans="1:12" ht="11.25" x14ac:dyDescent="0.2">
      <c r="A231" s="325">
        <f>A229+1</f>
        <v>14</v>
      </c>
      <c r="B231" s="24">
        <f>Input!A156</f>
        <v>374.1</v>
      </c>
      <c r="C231" s="3" t="str">
        <f>Input!B156</f>
        <v>LAND - CITY GATE &amp; M/L IND M&amp;R</v>
      </c>
      <c r="D231" s="325">
        <f>Input!C156</f>
        <v>5</v>
      </c>
      <c r="E231" s="3">
        <f>Classification!E231-Classification!F231-Classification!G231</f>
        <v>0</v>
      </c>
      <c r="F231" s="3">
        <f>ROUND((VLOOKUP($D231,'Alloc Table Dem'!$B$7:$T$56,13,FALSE)*$E231),0)</f>
        <v>0</v>
      </c>
      <c r="G231" s="3">
        <f>ROUND((VLOOKUP($D231,'Alloc Table Dem'!$B$7:$T$56,14,FALSE)*$E231),0)</f>
        <v>0</v>
      </c>
      <c r="H231" s="3">
        <f>ROUND((VLOOKUP($D231,'Alloc Table Dem'!$B$7:$T$56,15,FALSE)*$E231),0)</f>
        <v>0</v>
      </c>
      <c r="I231" s="3">
        <f>ROUND((VLOOKUP($D231,'Alloc Table Dem'!$B$7:$T$56,16,FALSE)*$E231),0)</f>
        <v>0</v>
      </c>
      <c r="J231" s="3">
        <f>ROUND((VLOOKUP($D231,'Alloc Table Dem'!$B$7:$T$56,17,FALSE)*$E231),0)</f>
        <v>0</v>
      </c>
      <c r="K231" s="3">
        <f>ROUND((VLOOKUP($D231,'Alloc Table Dem'!$B$7:$T$56,18,FALSE)*$E231),0)</f>
        <v>0</v>
      </c>
      <c r="L231" s="3">
        <f>ROUND((VLOOKUP($D231,'Alloc Table Dem'!$B$7:$T$56,19,FALSE)*$E231),0)</f>
        <v>0</v>
      </c>
    </row>
    <row r="232" spans="1:12" ht="11.25" x14ac:dyDescent="0.2">
      <c r="A232" s="325">
        <f t="shared" ref="A232:A250" si="37">A231+1</f>
        <v>15</v>
      </c>
      <c r="B232" s="24">
        <f>Input!A157</f>
        <v>374.2</v>
      </c>
      <c r="C232" s="3" t="str">
        <f>Input!B157</f>
        <v>LAND - OTHER DISTRIBUTION</v>
      </c>
      <c r="D232" s="325">
        <f>Input!C157</f>
        <v>5</v>
      </c>
      <c r="E232" s="3">
        <f>Classification!E232-Classification!F232-Classification!G232</f>
        <v>-261</v>
      </c>
      <c r="F232" s="3">
        <f>ROUND((VLOOKUP($D232,'Alloc Table Dem'!$B$7:$T$56,13,FALSE)*$E232),0)</f>
        <v>-102</v>
      </c>
      <c r="G232" s="3">
        <f>ROUND((VLOOKUP($D232,'Alloc Table Dem'!$B$7:$T$56,14,FALSE)*$E232),0)</f>
        <v>-69</v>
      </c>
      <c r="H232" s="3">
        <f>ROUND((VLOOKUP($D232,'Alloc Table Dem'!$B$7:$T$56,15,FALSE)*$E232),0)</f>
        <v>0</v>
      </c>
      <c r="I232" s="3">
        <f>ROUND((VLOOKUP($D232,'Alloc Table Dem'!$B$7:$T$56,16,FALSE)*$E232),0)</f>
        <v>0</v>
      </c>
      <c r="J232" s="3">
        <f>ROUND((VLOOKUP($D232,'Alloc Table Dem'!$B$7:$T$56,17,FALSE)*$E232),0)</f>
        <v>-90</v>
      </c>
      <c r="K232" s="3">
        <f>ROUND((VLOOKUP($D232,'Alloc Table Dem'!$B$7:$T$56,18,FALSE)*$E232),0)</f>
        <v>0</v>
      </c>
      <c r="L232" s="3">
        <f>ROUND((VLOOKUP($D232,'Alloc Table Dem'!$B$7:$T$56,19,FALSE)*$E232),0)</f>
        <v>0</v>
      </c>
    </row>
    <row r="233" spans="1:12" ht="11.25" x14ac:dyDescent="0.2">
      <c r="A233" s="325">
        <f t="shared" si="37"/>
        <v>16</v>
      </c>
      <c r="B233" s="24">
        <f>Input!A158</f>
        <v>374.4</v>
      </c>
      <c r="C233" s="3" t="str">
        <f>Input!B158</f>
        <v>LAND RIGHTS - OTHER DISTRIBUTION</v>
      </c>
      <c r="D233" s="325">
        <f>Input!C158</f>
        <v>5</v>
      </c>
      <c r="E233" s="3">
        <f>Classification!E233-Classification!F233-Classification!G233</f>
        <v>92318</v>
      </c>
      <c r="F233" s="3">
        <f>ROUND((VLOOKUP($D233,'Alloc Table Dem'!$B$7:$T$56,13,FALSE)*$E233),0)</f>
        <v>35989</v>
      </c>
      <c r="G233" s="3">
        <f>ROUND((VLOOKUP($D233,'Alloc Table Dem'!$B$7:$T$56,14,FALSE)*$E233),0)</f>
        <v>24371</v>
      </c>
      <c r="H233" s="3">
        <f>ROUND((VLOOKUP($D233,'Alloc Table Dem'!$B$7:$T$56,15,FALSE)*$E233),0)</f>
        <v>53</v>
      </c>
      <c r="I233" s="3">
        <f>ROUND((VLOOKUP($D233,'Alloc Table Dem'!$B$7:$T$56,16,FALSE)*$E233),0)</f>
        <v>0</v>
      </c>
      <c r="J233" s="3">
        <f>ROUND((VLOOKUP($D233,'Alloc Table Dem'!$B$7:$T$56,17,FALSE)*$E233),0)</f>
        <v>31905</v>
      </c>
      <c r="K233" s="3">
        <f>ROUND((VLOOKUP($D233,'Alloc Table Dem'!$B$7:$T$56,18,FALSE)*$E233),0)</f>
        <v>0</v>
      </c>
      <c r="L233" s="3">
        <f>ROUND((VLOOKUP($D233,'Alloc Table Dem'!$B$7:$T$56,19,FALSE)*$E233),0)</f>
        <v>0</v>
      </c>
    </row>
    <row r="234" spans="1:12" ht="11.25" x14ac:dyDescent="0.2">
      <c r="A234" s="325">
        <f t="shared" si="37"/>
        <v>17</v>
      </c>
      <c r="B234" s="24">
        <f>Input!A159</f>
        <v>374.5</v>
      </c>
      <c r="C234" s="3" t="str">
        <f>Input!B159</f>
        <v>RIGHTS OF WAY</v>
      </c>
      <c r="D234" s="325">
        <f>Input!C159</f>
        <v>5</v>
      </c>
      <c r="E234" s="3">
        <f>Classification!E234-Classification!F234-Classification!G234</f>
        <v>471338</v>
      </c>
      <c r="F234" s="3">
        <f>ROUND((VLOOKUP($D234,'Alloc Table Dem'!$B$7:$T$56,13,FALSE)*$E234),0)</f>
        <v>183746</v>
      </c>
      <c r="G234" s="3">
        <f>ROUND((VLOOKUP($D234,'Alloc Table Dem'!$B$7:$T$56,14,FALSE)*$E234),0)</f>
        <v>124429</v>
      </c>
      <c r="H234" s="3">
        <f>ROUND((VLOOKUP($D234,'Alloc Table Dem'!$B$7:$T$56,15,FALSE)*$E234),0)</f>
        <v>269</v>
      </c>
      <c r="I234" s="3">
        <f>ROUND((VLOOKUP($D234,'Alloc Table Dem'!$B$7:$T$56,16,FALSE)*$E234),0)</f>
        <v>0</v>
      </c>
      <c r="J234" s="3">
        <f>ROUND((VLOOKUP($D234,'Alloc Table Dem'!$B$7:$T$56,17,FALSE)*$E234),0)</f>
        <v>162894</v>
      </c>
      <c r="K234" s="3">
        <f>ROUND((VLOOKUP($D234,'Alloc Table Dem'!$B$7:$T$56,18,FALSE)*$E234),0)</f>
        <v>0</v>
      </c>
      <c r="L234" s="3">
        <f>ROUND((VLOOKUP($D234,'Alloc Table Dem'!$B$7:$T$56,19,FALSE)*$E234),0)</f>
        <v>0</v>
      </c>
    </row>
    <row r="235" spans="1:12" ht="11.25" x14ac:dyDescent="0.2">
      <c r="A235" s="325">
        <f t="shared" si="37"/>
        <v>18</v>
      </c>
      <c r="B235" s="24">
        <f>Input!A160</f>
        <v>375.2</v>
      </c>
      <c r="C235" s="3" t="str">
        <f>Input!B160</f>
        <v>CITY GATE - MEAS &amp; REG STRUCTURES</v>
      </c>
      <c r="D235" s="325">
        <f>Input!C160</f>
        <v>5</v>
      </c>
      <c r="E235" s="3">
        <f>Classification!E235-Classification!F235-Classification!G235</f>
        <v>1031</v>
      </c>
      <c r="F235" s="3">
        <f>ROUND((VLOOKUP($D235,'Alloc Table Dem'!$B$7:$T$56,13,FALSE)*$E235),0)</f>
        <v>402</v>
      </c>
      <c r="G235" s="3">
        <f>ROUND((VLOOKUP($D235,'Alloc Table Dem'!$B$7:$T$56,14,FALSE)*$E235),0)</f>
        <v>272</v>
      </c>
      <c r="H235" s="3">
        <f>ROUND((VLOOKUP($D235,'Alloc Table Dem'!$B$7:$T$56,15,FALSE)*$E235),0)</f>
        <v>1</v>
      </c>
      <c r="I235" s="3">
        <f>ROUND((VLOOKUP($D235,'Alloc Table Dem'!$B$7:$T$56,16,FALSE)*$E235),0)</f>
        <v>0</v>
      </c>
      <c r="J235" s="3">
        <f>ROUND((VLOOKUP($D235,'Alloc Table Dem'!$B$7:$T$56,17,FALSE)*$E235),0)</f>
        <v>356</v>
      </c>
      <c r="K235" s="3">
        <f>ROUND((VLOOKUP($D235,'Alloc Table Dem'!$B$7:$T$56,18,FALSE)*$E235),0)</f>
        <v>0</v>
      </c>
      <c r="L235" s="3">
        <f>ROUND((VLOOKUP($D235,'Alloc Table Dem'!$B$7:$T$56,19,FALSE)*$E235),0)</f>
        <v>0</v>
      </c>
    </row>
    <row r="236" spans="1:12" ht="11.25" x14ac:dyDescent="0.2">
      <c r="A236" s="325">
        <f t="shared" si="37"/>
        <v>19</v>
      </c>
      <c r="B236" s="24">
        <f>Input!A161</f>
        <v>375.3</v>
      </c>
      <c r="C236" s="3" t="str">
        <f>Input!B161</f>
        <v>STRUC &amp; IMPROV-GENERAL M&amp;R</v>
      </c>
      <c r="D236" s="325">
        <f>Input!C161</f>
        <v>5</v>
      </c>
      <c r="E236" s="3">
        <f>Classification!E236-Classification!F236-Classification!G236</f>
        <v>-39</v>
      </c>
      <c r="F236" s="3">
        <f>ROUND((VLOOKUP($D236,'Alloc Table Dem'!$B$7:$T$56,13,FALSE)*$E236),0)</f>
        <v>-15</v>
      </c>
      <c r="G236" s="3">
        <f>ROUND((VLOOKUP($D236,'Alloc Table Dem'!$B$7:$T$56,14,FALSE)*$E236),0)</f>
        <v>-10</v>
      </c>
      <c r="H236" s="3">
        <f>ROUND((VLOOKUP($D236,'Alloc Table Dem'!$B$7:$T$56,15,FALSE)*$E236),0)</f>
        <v>0</v>
      </c>
      <c r="I236" s="3">
        <f>ROUND((VLOOKUP($D236,'Alloc Table Dem'!$B$7:$T$56,16,FALSE)*$E236),0)</f>
        <v>0</v>
      </c>
      <c r="J236" s="3">
        <f>ROUND((VLOOKUP($D236,'Alloc Table Dem'!$B$7:$T$56,17,FALSE)*$E236),0)</f>
        <v>-13</v>
      </c>
      <c r="K236" s="3">
        <f>ROUND((VLOOKUP($D236,'Alloc Table Dem'!$B$7:$T$56,18,FALSE)*$E236),0)</f>
        <v>0</v>
      </c>
      <c r="L236" s="3">
        <f>ROUND((VLOOKUP($D236,'Alloc Table Dem'!$B$7:$T$56,19,FALSE)*$E236),0)</f>
        <v>0</v>
      </c>
    </row>
    <row r="237" spans="1:12" ht="11.25" x14ac:dyDescent="0.2">
      <c r="A237" s="325">
        <f t="shared" si="37"/>
        <v>20</v>
      </c>
      <c r="B237" s="24">
        <f>Input!A162</f>
        <v>375.4</v>
      </c>
      <c r="C237" s="3" t="str">
        <f>Input!B162</f>
        <v>STRUC &amp; IMPROV-REGULATING</v>
      </c>
      <c r="D237" s="325">
        <f>Input!C162</f>
        <v>5</v>
      </c>
      <c r="E237" s="3">
        <f>Classification!E237-Classification!F237-Classification!G237</f>
        <v>248931.27000000002</v>
      </c>
      <c r="F237" s="3">
        <f>ROUND((VLOOKUP($D237,'Alloc Table Dem'!$B$7:$T$56,13,FALSE)*$E237),0)</f>
        <v>97043</v>
      </c>
      <c r="G237" s="3">
        <f>ROUND((VLOOKUP($D237,'Alloc Table Dem'!$B$7:$T$56,14,FALSE)*$E237),0)</f>
        <v>65715</v>
      </c>
      <c r="H237" s="3">
        <f>ROUND((VLOOKUP($D237,'Alloc Table Dem'!$B$7:$T$56,15,FALSE)*$E237),0)</f>
        <v>142</v>
      </c>
      <c r="I237" s="3">
        <f>ROUND((VLOOKUP($D237,'Alloc Table Dem'!$B$7:$T$56,16,FALSE)*$E237),0)</f>
        <v>0</v>
      </c>
      <c r="J237" s="3">
        <f>ROUND((VLOOKUP($D237,'Alloc Table Dem'!$B$7:$T$56,17,FALSE)*$E237),0)</f>
        <v>86031</v>
      </c>
      <c r="K237" s="3">
        <f>ROUND((VLOOKUP($D237,'Alloc Table Dem'!$B$7:$T$56,18,FALSE)*$E237),0)</f>
        <v>0</v>
      </c>
      <c r="L237" s="3">
        <f>ROUND((VLOOKUP($D237,'Alloc Table Dem'!$B$7:$T$56,19,FALSE)*$E237),0)</f>
        <v>0</v>
      </c>
    </row>
    <row r="238" spans="1:12" ht="11.25" x14ac:dyDescent="0.2">
      <c r="A238" s="325">
        <f t="shared" si="37"/>
        <v>21</v>
      </c>
      <c r="B238" s="24">
        <f>B237</f>
        <v>375.4</v>
      </c>
      <c r="C238" s="3" t="str">
        <f>C156</f>
        <v>DIRECT STRUC &amp; IMPROV-REGULATING</v>
      </c>
      <c r="D238" s="325"/>
      <c r="E238" s="3">
        <f>Classification!E238-Classification!F238-Classification!G238</f>
        <v>1513.73</v>
      </c>
      <c r="F238" s="3">
        <v>0</v>
      </c>
      <c r="G238" s="3">
        <v>0</v>
      </c>
      <c r="H238" s="3">
        <v>0</v>
      </c>
      <c r="I238" s="3">
        <f>E238</f>
        <v>1513.73</v>
      </c>
      <c r="J238" s="3">
        <v>0</v>
      </c>
      <c r="K238" s="3">
        <v>0</v>
      </c>
      <c r="L238" s="3">
        <v>0</v>
      </c>
    </row>
    <row r="239" spans="1:12" ht="11.25" x14ac:dyDescent="0.2">
      <c r="A239" s="325">
        <f t="shared" si="37"/>
        <v>22</v>
      </c>
      <c r="B239" s="24">
        <f>Input!A163</f>
        <v>375.6</v>
      </c>
      <c r="C239" s="3" t="str">
        <f>Input!B163</f>
        <v>STRUC &amp; IMPROV-DIST. IND. M &amp; R</v>
      </c>
      <c r="D239" s="325">
        <f>Input!C163</f>
        <v>8</v>
      </c>
      <c r="E239" s="3">
        <f>Classification!E239-Classification!F239-Classification!G239</f>
        <v>0</v>
      </c>
      <c r="F239" s="3">
        <f>ROUND((VLOOKUP($D239,'Alloc Table Dem'!$B$7:$T$56,13,FALSE)*$E239),0)</f>
        <v>0</v>
      </c>
      <c r="G239" s="3">
        <f>ROUND((VLOOKUP($D239,'Alloc Table Dem'!$B$7:$T$56,14,FALSE)*$E239),0)</f>
        <v>0</v>
      </c>
      <c r="H239" s="3">
        <f>ROUND((VLOOKUP($D239,'Alloc Table Dem'!$B$7:$T$56,15,FALSE)*$E239),0)</f>
        <v>0</v>
      </c>
      <c r="I239" s="3">
        <f>ROUND((VLOOKUP($D239,'Alloc Table Dem'!$B$7:$T$56,16,FALSE)*$E239),0)</f>
        <v>0</v>
      </c>
      <c r="J239" s="3">
        <f>ROUND((VLOOKUP($D239,'Alloc Table Dem'!$B$7:$T$56,17,FALSE)*$E239),0)</f>
        <v>0</v>
      </c>
      <c r="K239" s="3">
        <f>ROUND((VLOOKUP($D239,'Alloc Table Dem'!$B$7:$T$56,18,FALSE)*$E239),0)</f>
        <v>0</v>
      </c>
      <c r="L239" s="3">
        <f>ROUND((VLOOKUP($D239,'Alloc Table Dem'!$B$7:$T$56,19,FALSE)*$E239),0)</f>
        <v>0</v>
      </c>
    </row>
    <row r="240" spans="1:12" ht="11.25" x14ac:dyDescent="0.2">
      <c r="A240" s="325">
        <f t="shared" si="37"/>
        <v>23</v>
      </c>
      <c r="B240" s="24">
        <f>Input!A164</f>
        <v>375.7</v>
      </c>
      <c r="C240" s="3" t="str">
        <f>Input!B164</f>
        <v>STRUC &amp; IMPROV-OTHER DIST. SYSTEM</v>
      </c>
      <c r="D240" s="325" t="str">
        <f>D158</f>
        <v>7DEM</v>
      </c>
      <c r="E240" s="3">
        <f>Classification!E240-Classification!F240-Classification!G240</f>
        <v>979783</v>
      </c>
      <c r="F240" s="3">
        <f ca="1">ROUND((VLOOKUP($D240,'Alloc Table Dem'!$B$7:$T$56,13,FALSE)*$E240),0)</f>
        <v>381861</v>
      </c>
      <c r="G240" s="3">
        <f ca="1">ROUND((VLOOKUP($D240,'Alloc Table Dem'!$B$7:$T$56,14,FALSE)*$E240),0)</f>
        <v>258594</v>
      </c>
      <c r="H240" s="3">
        <f ca="1">ROUND((VLOOKUP($D240,'Alloc Table Dem'!$B$7:$T$56,15,FALSE)*$E240),0)</f>
        <v>558</v>
      </c>
      <c r="I240" s="3">
        <f ca="1">ROUND((VLOOKUP($D240,'Alloc Table Dem'!$B$7:$T$56,16,FALSE)*$E240),0)</f>
        <v>235</v>
      </c>
      <c r="J240" s="3">
        <f ca="1">ROUND((VLOOKUP($D240,'Alloc Table Dem'!$B$7:$T$56,17,FALSE)*$E240),0)</f>
        <v>338535</v>
      </c>
      <c r="K240" s="3">
        <f ca="1">ROUND((VLOOKUP($D240,'Alloc Table Dem'!$B$7:$T$56,18,FALSE)*$E240),0)</f>
        <v>0</v>
      </c>
      <c r="L240" s="3">
        <f ca="1">ROUND((VLOOKUP($D240,'Alloc Table Dem'!$B$7:$T$56,19,FALSE)*$E240),0)</f>
        <v>0</v>
      </c>
    </row>
    <row r="241" spans="1:12" ht="11.25" x14ac:dyDescent="0.2">
      <c r="A241" s="325">
        <f t="shared" si="37"/>
        <v>24</v>
      </c>
      <c r="B241" s="24">
        <f>Input!A165</f>
        <v>375.71</v>
      </c>
      <c r="C241" s="3" t="str">
        <f>Input!B165</f>
        <v>STRUCT &amp; IMPROV-OTHER DIST. SYSTEM-IMPROV</v>
      </c>
      <c r="D241" s="325" t="str">
        <f>D159</f>
        <v>7DEM</v>
      </c>
      <c r="E241" s="3">
        <f>Classification!E241-Classification!F241-Classification!G241</f>
        <v>57926</v>
      </c>
      <c r="F241" s="3">
        <f ca="1">ROUND((VLOOKUP($D241,'Alloc Table Dem'!$B$7:$T$56,13,FALSE)*$E241),0)</f>
        <v>22576</v>
      </c>
      <c r="G241" s="3">
        <f ca="1">ROUND((VLOOKUP($D241,'Alloc Table Dem'!$B$7:$T$56,14,FALSE)*$E241),0)</f>
        <v>15288</v>
      </c>
      <c r="H241" s="3">
        <f ca="1">ROUND((VLOOKUP($D241,'Alloc Table Dem'!$B$7:$T$56,15,FALSE)*$E241),0)</f>
        <v>33</v>
      </c>
      <c r="I241" s="3">
        <f ca="1">ROUND((VLOOKUP($D241,'Alloc Table Dem'!$B$7:$T$56,16,FALSE)*$E241),0)</f>
        <v>14</v>
      </c>
      <c r="J241" s="3">
        <f ca="1">ROUND((VLOOKUP($D241,'Alloc Table Dem'!$B$7:$T$56,17,FALSE)*$E241),0)</f>
        <v>20015</v>
      </c>
      <c r="K241" s="3">
        <f ca="1">ROUND((VLOOKUP($D241,'Alloc Table Dem'!$B$7:$T$56,18,FALSE)*$E241),0)</f>
        <v>0</v>
      </c>
      <c r="L241" s="3">
        <f ca="1">ROUND((VLOOKUP($D241,'Alloc Table Dem'!$B$7:$T$56,19,FALSE)*$E241),0)</f>
        <v>0</v>
      </c>
    </row>
    <row r="242" spans="1:12" ht="11.25" x14ac:dyDescent="0.2">
      <c r="A242" s="325">
        <f t="shared" si="37"/>
        <v>25</v>
      </c>
      <c r="B242" s="24">
        <f>Input!A166</f>
        <v>375.8</v>
      </c>
      <c r="C242" s="3" t="str">
        <f>Input!B166</f>
        <v>STRUC &amp; IMPROV-COMMUNICATION</v>
      </c>
      <c r="D242" s="325">
        <f>Input!C166</f>
        <v>5</v>
      </c>
      <c r="E242" s="3">
        <f>Classification!E242-Classification!F242-Classification!G242</f>
        <v>0</v>
      </c>
      <c r="F242" s="3">
        <f>ROUND((VLOOKUP($D242,'Alloc Table Dem'!$B$7:$T$56,13,FALSE)*$E242),0)</f>
        <v>0</v>
      </c>
      <c r="G242" s="3">
        <f>ROUND((VLOOKUP($D242,'Alloc Table Dem'!$B$7:$T$56,14,FALSE)*$E242),0)</f>
        <v>0</v>
      </c>
      <c r="H242" s="3">
        <f>ROUND((VLOOKUP($D242,'Alloc Table Dem'!$B$7:$T$56,15,FALSE)*$E242),0)</f>
        <v>0</v>
      </c>
      <c r="I242" s="3">
        <f>ROUND((VLOOKUP($D242,'Alloc Table Dem'!$B$7:$T$56,16,FALSE)*$E242),0)</f>
        <v>0</v>
      </c>
      <c r="J242" s="3">
        <f>ROUND((VLOOKUP($D242,'Alloc Table Dem'!$B$7:$T$56,17,FALSE)*$E242),0)</f>
        <v>0</v>
      </c>
      <c r="K242" s="3">
        <f>ROUND((VLOOKUP($D242,'Alloc Table Dem'!$B$7:$T$56,18,FALSE)*$E242),0)</f>
        <v>0</v>
      </c>
      <c r="L242" s="3">
        <f>ROUND((VLOOKUP($D242,'Alloc Table Dem'!$B$7:$T$56,19,FALSE)*$E242),0)</f>
        <v>0</v>
      </c>
    </row>
    <row r="243" spans="1:12" ht="11.25" x14ac:dyDescent="0.2">
      <c r="A243" s="325">
        <f t="shared" si="37"/>
        <v>26</v>
      </c>
      <c r="B243" s="24">
        <f>Input!A167</f>
        <v>376</v>
      </c>
      <c r="C243" s="3" t="str">
        <f>Input!B167</f>
        <v>MAINS</v>
      </c>
      <c r="D243" s="325">
        <f>Input!C167</f>
        <v>5</v>
      </c>
      <c r="E243" s="3">
        <f>Classification!E243-Classification!F243-Classification!G243</f>
        <v>29408791.950000003</v>
      </c>
      <c r="F243" s="3">
        <f>ROUND((VLOOKUP($D243,'Alloc Table Dem'!$B$7:$T$56,13,FALSE)*$E243),0)</f>
        <v>11464723</v>
      </c>
      <c r="G243" s="3">
        <f>ROUND((VLOOKUP($D243,'Alloc Table Dem'!$B$7:$T$56,14,FALSE)*$E243),0)</f>
        <v>7763627</v>
      </c>
      <c r="H243" s="3">
        <f>ROUND((VLOOKUP($D243,'Alloc Table Dem'!$B$7:$T$56,15,FALSE)*$E243),0)</f>
        <v>16763</v>
      </c>
      <c r="I243" s="3">
        <f>ROUND((VLOOKUP($D243,'Alloc Table Dem'!$B$7:$T$56,16,FALSE)*$E243),0)</f>
        <v>0</v>
      </c>
      <c r="J243" s="3">
        <f>ROUND((VLOOKUP($D243,'Alloc Table Dem'!$B$7:$T$56,17,FALSE)*$E243),0)</f>
        <v>10163678</v>
      </c>
      <c r="K243" s="3">
        <f>ROUND((VLOOKUP($D243,'Alloc Table Dem'!$B$7:$T$56,18,FALSE)*$E243),0)</f>
        <v>0</v>
      </c>
      <c r="L243" s="3">
        <f>ROUND((VLOOKUP($D243,'Alloc Table Dem'!$B$7:$T$56,19,FALSE)*$E243),0)</f>
        <v>0</v>
      </c>
    </row>
    <row r="244" spans="1:12" ht="11.25" x14ac:dyDescent="0.2">
      <c r="A244" s="325">
        <f t="shared" si="37"/>
        <v>27</v>
      </c>
      <c r="B244" s="24">
        <f>Input!A167</f>
        <v>376</v>
      </c>
      <c r="C244" s="3" t="str">
        <f>"DIRECT "&amp;+Input!B167</f>
        <v>DIRECT MAINS</v>
      </c>
      <c r="D244" s="325"/>
      <c r="E244" s="3">
        <f>Classification!E244-Classification!F244-Classification!G244</f>
        <v>4351.0499999999993</v>
      </c>
      <c r="F244" s="3">
        <v>0</v>
      </c>
      <c r="G244" s="3">
        <v>0</v>
      </c>
      <c r="H244" s="3">
        <v>0</v>
      </c>
      <c r="I244" s="3">
        <f>E244</f>
        <v>4351.0499999999993</v>
      </c>
      <c r="J244" s="3">
        <v>0</v>
      </c>
      <c r="K244" s="3">
        <v>0</v>
      </c>
      <c r="L244" s="3">
        <v>0</v>
      </c>
    </row>
    <row r="245" spans="1:12" ht="11.25" x14ac:dyDescent="0.2">
      <c r="A245" s="325">
        <f t="shared" si="37"/>
        <v>28</v>
      </c>
      <c r="B245" s="24">
        <f>Input!A168</f>
        <v>378.1</v>
      </c>
      <c r="C245" s="3" t="str">
        <f>Input!B168</f>
        <v>M &amp; R GENERAL</v>
      </c>
      <c r="D245" s="325">
        <f>Input!C168</f>
        <v>5</v>
      </c>
      <c r="E245" s="3">
        <f>Classification!E245-Classification!F245-Classification!G245</f>
        <v>186036</v>
      </c>
      <c r="F245" s="3">
        <f>ROUND((VLOOKUP($D245,'Alloc Table Dem'!$B$7:$T$56,13,FALSE)*$E245),0)</f>
        <v>72524</v>
      </c>
      <c r="G245" s="3">
        <f>ROUND((VLOOKUP($D245,'Alloc Table Dem'!$B$7:$T$56,14,FALSE)*$E245),0)</f>
        <v>49112</v>
      </c>
      <c r="H245" s="3">
        <f>ROUND((VLOOKUP($D245,'Alloc Table Dem'!$B$7:$T$56,15,FALSE)*$E245),0)</f>
        <v>106</v>
      </c>
      <c r="I245" s="3">
        <f>ROUND((VLOOKUP($D245,'Alloc Table Dem'!$B$7:$T$56,16,FALSE)*$E245),0)</f>
        <v>0</v>
      </c>
      <c r="J245" s="3">
        <f>ROUND((VLOOKUP($D245,'Alloc Table Dem'!$B$7:$T$56,17,FALSE)*$E245),0)</f>
        <v>64294</v>
      </c>
      <c r="K245" s="3">
        <f>ROUND((VLOOKUP($D245,'Alloc Table Dem'!$B$7:$T$56,18,FALSE)*$E245),0)</f>
        <v>0</v>
      </c>
      <c r="L245" s="3">
        <f>ROUND((VLOOKUP($D245,'Alloc Table Dem'!$B$7:$T$56,19,FALSE)*$E245),0)</f>
        <v>0</v>
      </c>
    </row>
    <row r="246" spans="1:12" ht="11.25" x14ac:dyDescent="0.2">
      <c r="A246" s="325">
        <f t="shared" si="37"/>
        <v>29</v>
      </c>
      <c r="B246" s="24">
        <f>Input!A169</f>
        <v>378.2</v>
      </c>
      <c r="C246" s="3" t="str">
        <f>Input!B169</f>
        <v>M &amp; R GENERAL - REGULATING</v>
      </c>
      <c r="D246" s="325">
        <f>Input!C169</f>
        <v>5</v>
      </c>
      <c r="E246" s="3">
        <f>Classification!E246-Classification!F246-Classification!G246</f>
        <v>1726739</v>
      </c>
      <c r="F246" s="3">
        <f>ROUND((VLOOKUP($D246,'Alloc Table Dem'!$B$7:$T$56,13,FALSE)*$E246),0)</f>
        <v>673152</v>
      </c>
      <c r="G246" s="3">
        <f>ROUND((VLOOKUP($D246,'Alloc Table Dem'!$B$7:$T$56,14,FALSE)*$E246),0)</f>
        <v>455842</v>
      </c>
      <c r="H246" s="3">
        <f>ROUND((VLOOKUP($D246,'Alloc Table Dem'!$B$7:$T$56,15,FALSE)*$E246),0)</f>
        <v>984</v>
      </c>
      <c r="I246" s="3">
        <f>ROUND((VLOOKUP($D246,'Alloc Table Dem'!$B$7:$T$56,16,FALSE)*$E246),0)</f>
        <v>0</v>
      </c>
      <c r="J246" s="3">
        <f>ROUND((VLOOKUP($D246,'Alloc Table Dem'!$B$7:$T$56,17,FALSE)*$E246),0)</f>
        <v>596761</v>
      </c>
      <c r="K246" s="3">
        <f>ROUND((VLOOKUP($D246,'Alloc Table Dem'!$B$7:$T$56,18,FALSE)*$E246),0)</f>
        <v>0</v>
      </c>
      <c r="L246" s="3">
        <f>ROUND((VLOOKUP($D246,'Alloc Table Dem'!$B$7:$T$56,19,FALSE)*$E246),0)</f>
        <v>0</v>
      </c>
    </row>
    <row r="247" spans="1:12" ht="11.25" x14ac:dyDescent="0.2">
      <c r="A247" s="325">
        <f t="shared" si="37"/>
        <v>30</v>
      </c>
      <c r="B247" s="24">
        <f>Input!A170</f>
        <v>378.3</v>
      </c>
      <c r="C247" s="3" t="str">
        <f>Input!B170</f>
        <v>M &amp; R EQUIP - LOCAL GAS PURCHASES</v>
      </c>
      <c r="D247" s="325">
        <f>Input!C170</f>
        <v>5</v>
      </c>
      <c r="E247" s="3">
        <f>Classification!E247-Classification!F247-Classification!G247</f>
        <v>18317</v>
      </c>
      <c r="F247" s="3">
        <f>ROUND((VLOOKUP($D247,'Alloc Table Dem'!$B$7:$T$56,13,FALSE)*$E247),0)</f>
        <v>7141</v>
      </c>
      <c r="G247" s="3">
        <f>ROUND((VLOOKUP($D247,'Alloc Table Dem'!$B$7:$T$56,14,FALSE)*$E247),0)</f>
        <v>4836</v>
      </c>
      <c r="H247" s="3">
        <f>ROUND((VLOOKUP($D247,'Alloc Table Dem'!$B$7:$T$56,15,FALSE)*$E247),0)</f>
        <v>10</v>
      </c>
      <c r="I247" s="3">
        <f>ROUND((VLOOKUP($D247,'Alloc Table Dem'!$B$7:$T$56,16,FALSE)*$E247),0)</f>
        <v>0</v>
      </c>
      <c r="J247" s="3">
        <f>ROUND((VLOOKUP($D247,'Alloc Table Dem'!$B$7:$T$56,17,FALSE)*$E247),0)</f>
        <v>6330</v>
      </c>
      <c r="K247" s="3">
        <f>ROUND((VLOOKUP($D247,'Alloc Table Dem'!$B$7:$T$56,18,FALSE)*$E247),0)</f>
        <v>0</v>
      </c>
      <c r="L247" s="3">
        <f>ROUND((VLOOKUP($D247,'Alloc Table Dem'!$B$7:$T$56,19,FALSE)*$E247),0)</f>
        <v>0</v>
      </c>
    </row>
    <row r="248" spans="1:12" ht="11.25" x14ac:dyDescent="0.2">
      <c r="A248" s="325">
        <f t="shared" si="37"/>
        <v>31</v>
      </c>
      <c r="B248" s="24">
        <f>Input!A171</f>
        <v>379.1</v>
      </c>
      <c r="C248" s="3" t="str">
        <f>Input!B171</f>
        <v>STA EQUIP - CITY</v>
      </c>
      <c r="D248" s="325">
        <f>Input!C171</f>
        <v>5</v>
      </c>
      <c r="E248" s="3">
        <f>Classification!E248-Classification!F248-Classification!G248</f>
        <v>133865</v>
      </c>
      <c r="F248" s="3">
        <f>ROUND((VLOOKUP($D248,'Alloc Table Dem'!$B$7:$T$56,13,FALSE)*$E248),0)</f>
        <v>52186</v>
      </c>
      <c r="G248" s="3">
        <f>ROUND((VLOOKUP($D248,'Alloc Table Dem'!$B$7:$T$56,14,FALSE)*$E248),0)</f>
        <v>35339</v>
      </c>
      <c r="H248" s="3">
        <f>ROUND((VLOOKUP($D248,'Alloc Table Dem'!$B$7:$T$56,15,FALSE)*$E248),0)</f>
        <v>76</v>
      </c>
      <c r="I248" s="3">
        <f>ROUND((VLOOKUP($D248,'Alloc Table Dem'!$B$7:$T$56,16,FALSE)*$E248),0)</f>
        <v>0</v>
      </c>
      <c r="J248" s="3">
        <f>ROUND((VLOOKUP($D248,'Alloc Table Dem'!$B$7:$T$56,17,FALSE)*$E248),0)</f>
        <v>46264</v>
      </c>
      <c r="K248" s="3">
        <f>ROUND((VLOOKUP($D248,'Alloc Table Dem'!$B$7:$T$56,18,FALSE)*$E248),0)</f>
        <v>0</v>
      </c>
      <c r="L248" s="3">
        <f>ROUND((VLOOKUP($D248,'Alloc Table Dem'!$B$7:$T$56,19,FALSE)*$E248),0)</f>
        <v>0</v>
      </c>
    </row>
    <row r="249" spans="1:12" ht="11.25" x14ac:dyDescent="0.2">
      <c r="A249" s="325">
        <f t="shared" si="37"/>
        <v>32</v>
      </c>
      <c r="B249" s="24">
        <f>Input!A172</f>
        <v>380</v>
      </c>
      <c r="C249" s="3" t="str">
        <f>Input!B172</f>
        <v>SERVICES</v>
      </c>
      <c r="D249" s="325">
        <f>Input!C172</f>
        <v>15</v>
      </c>
      <c r="E249" s="3">
        <f>Classification!E249-Classification!F249-Classification!G249</f>
        <v>0</v>
      </c>
      <c r="F249" s="3">
        <f ca="1">ROUND((VLOOKUP($D249,'Alloc Table Dem'!$B$7:$T$56,13,FALSE)*$E249),0)</f>
        <v>0</v>
      </c>
      <c r="G249" s="3">
        <f ca="1">ROUND((VLOOKUP($D249,'Alloc Table Dem'!$B$7:$T$56,14,FALSE)*$E249),0)</f>
        <v>0</v>
      </c>
      <c r="H249" s="3">
        <f ca="1">ROUND((VLOOKUP($D249,'Alloc Table Dem'!$B$7:$T$56,15,FALSE)*$E249),0)</f>
        <v>0</v>
      </c>
      <c r="I249" s="3">
        <f ca="1">ROUND((VLOOKUP($D249,'Alloc Table Dem'!$B$7:$T$56,16,FALSE)*$E249),0)</f>
        <v>0</v>
      </c>
      <c r="J249" s="3">
        <f ca="1">ROUND((VLOOKUP($D249,'Alloc Table Dem'!$B$7:$T$56,17,FALSE)*$E249),0)</f>
        <v>0</v>
      </c>
      <c r="K249" s="3">
        <f ca="1">ROUND((VLOOKUP($D249,'Alloc Table Dem'!$B$7:$T$56,18,FALSE)*$E249),0)</f>
        <v>0</v>
      </c>
      <c r="L249" s="3">
        <f ca="1">ROUND((VLOOKUP($D249,'Alloc Table Dem'!$B$7:$T$56,19,FALSE)*$E249),0)</f>
        <v>0</v>
      </c>
    </row>
    <row r="250" spans="1:12" ht="11.25" x14ac:dyDescent="0.2">
      <c r="A250" s="325">
        <f t="shared" si="37"/>
        <v>33</v>
      </c>
      <c r="B250" s="24">
        <f>Input!A172</f>
        <v>380</v>
      </c>
      <c r="C250" s="3" t="str">
        <f>"DIRECT "&amp;+Input!B172</f>
        <v>DIRECT SERVICES</v>
      </c>
      <c r="D250" s="325"/>
      <c r="E250" s="3">
        <f>Classification!E250-Classification!F250-Classification!G250</f>
        <v>0</v>
      </c>
      <c r="F250" s="3">
        <v>0</v>
      </c>
      <c r="G250" s="3">
        <v>0</v>
      </c>
      <c r="H250" s="3">
        <v>0</v>
      </c>
      <c r="I250" s="3">
        <f>E250</f>
        <v>0</v>
      </c>
      <c r="J250" s="3">
        <v>0</v>
      </c>
      <c r="K250" s="3">
        <v>0</v>
      </c>
      <c r="L250" s="3">
        <v>0</v>
      </c>
    </row>
    <row r="251" spans="1:12" ht="11.25" x14ac:dyDescent="0.2">
      <c r="A251" s="3" t="s">
        <v>819</v>
      </c>
      <c r="B251" s="3"/>
      <c r="C251" s="14"/>
      <c r="D251" s="325"/>
      <c r="E251" s="3"/>
      <c r="F251" s="325" t="str">
        <f>""&amp;+Input!$B$1</f>
        <v>COLUMBIA GAS OF KENTUCKY, INC.</v>
      </c>
      <c r="H251" s="3"/>
      <c r="I251" s="3"/>
      <c r="J251" s="3"/>
      <c r="K251" s="3"/>
      <c r="L251" s="32" t="str">
        <f>Input!$B$2</f>
        <v>ATTACHMENT CEN-2</v>
      </c>
    </row>
    <row r="252" spans="1:12" ht="11.25" x14ac:dyDescent="0.2">
      <c r="A252" s="3" t="str">
        <f>Input!$B$7</f>
        <v>DEMAND-COMMODITY</v>
      </c>
      <c r="B252" s="3"/>
      <c r="C252" s="3"/>
      <c r="D252" s="325"/>
      <c r="E252" s="3"/>
      <c r="F252" s="325" t="s">
        <v>161</v>
      </c>
      <c r="H252" s="3"/>
      <c r="I252" s="3"/>
      <c r="J252" s="3"/>
      <c r="K252" s="3"/>
      <c r="L252" s="32" t="str">
        <f>"PAGE 111 OF "&amp;FIXED(Input!$B$8,0,TRUE)</f>
        <v>PAGE 111 OF 129</v>
      </c>
    </row>
    <row r="253" spans="1:12" ht="11.25" x14ac:dyDescent="0.2">
      <c r="A253" s="17" t="str">
        <f>Input!$B$6</f>
        <v>FORECASTED TEST YEAR - ORIGINAL FILING</v>
      </c>
      <c r="B253" s="17"/>
      <c r="C253" s="17"/>
      <c r="D253" s="34"/>
      <c r="E253" s="18"/>
      <c r="F253" s="19" t="str">
        <f>"FOR THE TWELVE MONTHS ENDED "&amp;Input!$B$4</f>
        <v>FOR THE TWELVE MONTHS ENDED 12/31/2017</v>
      </c>
      <c r="G253" s="329"/>
      <c r="H253" s="17"/>
      <c r="I253" s="17"/>
      <c r="J253" s="17"/>
      <c r="K253" s="17"/>
      <c r="L253" s="183" t="str">
        <f>"WITNESS: "&amp;Input!$B$5</f>
        <v>WITNESS: C. NOTESTONE</v>
      </c>
    </row>
    <row r="254" spans="1:12" ht="11.25" x14ac:dyDescent="0.2">
      <c r="A254" s="325" t="s">
        <v>5</v>
      </c>
      <c r="B254" s="3" t="s">
        <v>6</v>
      </c>
      <c r="C254" s="3"/>
      <c r="D254" s="325" t="s">
        <v>7</v>
      </c>
      <c r="E254" s="325" t="s">
        <v>8</v>
      </c>
      <c r="F254" s="325"/>
      <c r="G254" s="325"/>
      <c r="H254" s="325"/>
      <c r="I254" s="325"/>
      <c r="J254" s="325"/>
      <c r="K254" s="325"/>
      <c r="L254" s="325"/>
    </row>
    <row r="255" spans="1:12" ht="11.25" x14ac:dyDescent="0.2">
      <c r="A255" s="341" t="s">
        <v>9</v>
      </c>
      <c r="B255" s="341" t="s">
        <v>9</v>
      </c>
      <c r="C255" s="34" t="str">
        <f>Demand!C128</f>
        <v xml:space="preserve"> ACCOUNT TITLE</v>
      </c>
      <c r="D255" s="341" t="s">
        <v>10</v>
      </c>
      <c r="E255" s="341" t="s">
        <v>813</v>
      </c>
      <c r="F255" s="341" t="str">
        <f>"  "&amp;+Input!$C$12</f>
        <v xml:space="preserve">  GS-RESIDENTIAL</v>
      </c>
      <c r="G255" s="341" t="str">
        <f>Input!$C$13</f>
        <v>GS-OTHER</v>
      </c>
      <c r="H255" s="341" t="str">
        <f>Input!$C$14</f>
        <v>IUS</v>
      </c>
      <c r="I255" s="341" t="str">
        <f>Input!$C$15</f>
        <v>DS-ML</v>
      </c>
      <c r="J255" s="341" t="str">
        <f>Input!$C$16</f>
        <v>DS/IS</v>
      </c>
      <c r="K255" s="341" t="str">
        <f>Input!$C$17</f>
        <v>NOT USED</v>
      </c>
      <c r="L255" s="341" t="str">
        <f>Input!$C$18</f>
        <v>NOT USED</v>
      </c>
    </row>
    <row r="256" spans="1:12" ht="11.25" x14ac:dyDescent="0.2">
      <c r="A256" s="325"/>
      <c r="B256" s="342" t="s">
        <v>13</v>
      </c>
      <c r="C256" s="342" t="s">
        <v>14</v>
      </c>
      <c r="D256" s="325" t="s">
        <v>15</v>
      </c>
      <c r="E256" s="325" t="s">
        <v>16</v>
      </c>
      <c r="F256" s="325" t="s">
        <v>17</v>
      </c>
      <c r="G256" s="325" t="s">
        <v>18</v>
      </c>
      <c r="H256" s="325" t="s">
        <v>19</v>
      </c>
      <c r="I256" s="325" t="s">
        <v>20</v>
      </c>
      <c r="J256" s="325" t="s">
        <v>21</v>
      </c>
      <c r="K256" s="325" t="s">
        <v>22</v>
      </c>
      <c r="L256" s="325" t="s">
        <v>23</v>
      </c>
    </row>
    <row r="257" spans="1:12" ht="11.25" x14ac:dyDescent="0.2">
      <c r="A257" s="325"/>
      <c r="B257" s="3"/>
      <c r="C257" s="3"/>
      <c r="D257" s="325"/>
      <c r="E257" s="325" t="s">
        <v>26</v>
      </c>
      <c r="F257" s="325" t="s">
        <v>26</v>
      </c>
      <c r="G257" s="325" t="s">
        <v>26</v>
      </c>
      <c r="H257" s="325" t="s">
        <v>26</v>
      </c>
      <c r="I257" s="325" t="s">
        <v>26</v>
      </c>
      <c r="J257" s="325" t="s">
        <v>26</v>
      </c>
      <c r="K257" s="325" t="s">
        <v>26</v>
      </c>
      <c r="L257" s="325" t="s">
        <v>26</v>
      </c>
    </row>
    <row r="258" spans="1:12" ht="11.25" x14ac:dyDescent="0.2">
      <c r="A258" s="325"/>
      <c r="B258" s="24"/>
      <c r="C258" s="36"/>
      <c r="D258" s="325"/>
      <c r="E258" s="3"/>
      <c r="F258" s="3"/>
      <c r="G258" s="3"/>
      <c r="H258" s="3"/>
      <c r="I258" s="3"/>
      <c r="J258" s="3"/>
      <c r="K258" s="3"/>
      <c r="L258" s="3"/>
    </row>
    <row r="259" spans="1:12" ht="11.25" x14ac:dyDescent="0.2">
      <c r="A259" s="325">
        <v>1</v>
      </c>
      <c r="B259" s="24">
        <f>Input!A173</f>
        <v>381</v>
      </c>
      <c r="C259" s="3" t="str">
        <f>Input!B173</f>
        <v>METERS</v>
      </c>
      <c r="D259" s="325">
        <f>Input!C173</f>
        <v>16</v>
      </c>
      <c r="E259" s="3">
        <f>Classification!E259-Classification!F259-Classification!G259</f>
        <v>0</v>
      </c>
      <c r="F259" s="3">
        <f>ROUND((VLOOKUP($D259,'Alloc Table Dem'!$B$7:$T$56,13,FALSE)*$E259),0)</f>
        <v>0</v>
      </c>
      <c r="G259" s="3">
        <f>ROUND((VLOOKUP($D259,'Alloc Table Dem'!$B$7:$T$56,14,FALSE)*$E259),0)</f>
        <v>0</v>
      </c>
      <c r="H259" s="3">
        <f>ROUND((VLOOKUP($D259,'Alloc Table Dem'!$B$7:$T$56,15,FALSE)*$E259),0)</f>
        <v>0</v>
      </c>
      <c r="I259" s="3">
        <f>ROUND((VLOOKUP($D259,'Alloc Table Dem'!$B$7:$T$56,16,FALSE)*$E259),0)</f>
        <v>0</v>
      </c>
      <c r="J259" s="3">
        <f>ROUND((VLOOKUP($D259,'Alloc Table Dem'!$B$7:$T$56,17,FALSE)*$E259),0)</f>
        <v>0</v>
      </c>
      <c r="K259" s="3">
        <f>ROUND((VLOOKUP($D259,'Alloc Table Dem'!$B$7:$T$56,18,FALSE)*$E259),0)</f>
        <v>0</v>
      </c>
      <c r="L259" s="3">
        <f>ROUND((VLOOKUP($D259,'Alloc Table Dem'!$B$7:$T$56,19,FALSE)*$E259),0)</f>
        <v>0</v>
      </c>
    </row>
    <row r="260" spans="1:12" ht="11.25" x14ac:dyDescent="0.2">
      <c r="A260" s="325">
        <f t="shared" ref="A260:A271" si="38">A259+1</f>
        <v>2</v>
      </c>
      <c r="B260" s="24">
        <f>Input!A174</f>
        <v>382</v>
      </c>
      <c r="C260" s="3" t="str">
        <f>Input!B174</f>
        <v>METER INSTALLATIONS</v>
      </c>
      <c r="D260" s="325">
        <f>Input!C174</f>
        <v>16</v>
      </c>
      <c r="E260" s="3">
        <f>Classification!E260-Classification!F260-Classification!G260</f>
        <v>0</v>
      </c>
      <c r="F260" s="3">
        <f>ROUND((VLOOKUP($D260,'Alloc Table Dem'!$B$7:$T$56,13,FALSE)*$E260),0)</f>
        <v>0</v>
      </c>
      <c r="G260" s="3">
        <f>ROUND((VLOOKUP($D260,'Alloc Table Dem'!$B$7:$T$56,14,FALSE)*$E260),0)</f>
        <v>0</v>
      </c>
      <c r="H260" s="3">
        <f>ROUND((VLOOKUP($D260,'Alloc Table Dem'!$B$7:$T$56,15,FALSE)*$E260),0)</f>
        <v>0</v>
      </c>
      <c r="I260" s="3">
        <f>ROUND((VLOOKUP($D260,'Alloc Table Dem'!$B$7:$T$56,16,FALSE)*$E260),0)</f>
        <v>0</v>
      </c>
      <c r="J260" s="3">
        <f>ROUND((VLOOKUP($D260,'Alloc Table Dem'!$B$7:$T$56,17,FALSE)*$E260),0)</f>
        <v>0</v>
      </c>
      <c r="K260" s="3">
        <f>ROUND((VLOOKUP($D260,'Alloc Table Dem'!$B$7:$T$56,18,FALSE)*$E260),0)</f>
        <v>0</v>
      </c>
      <c r="L260" s="3">
        <f>ROUND((VLOOKUP($D260,'Alloc Table Dem'!$B$7:$T$56,19,FALSE)*$E260),0)</f>
        <v>0</v>
      </c>
    </row>
    <row r="261" spans="1:12" ht="11.25" x14ac:dyDescent="0.2">
      <c r="A261" s="325">
        <f t="shared" si="38"/>
        <v>3</v>
      </c>
      <c r="B261" s="24">
        <f>Input!A175</f>
        <v>383</v>
      </c>
      <c r="C261" s="3" t="str">
        <f>Input!B175</f>
        <v>HOUSE REGULATORS</v>
      </c>
      <c r="D261" s="325">
        <f>Input!C175</f>
        <v>16</v>
      </c>
      <c r="E261" s="3">
        <f>Classification!E261-Classification!F261-Classification!G261</f>
        <v>0</v>
      </c>
      <c r="F261" s="3">
        <f>ROUND((VLOOKUP($D261,'Alloc Table Dem'!$B$7:$T$56,13,FALSE)*$E261),0)</f>
        <v>0</v>
      </c>
      <c r="G261" s="3">
        <f>ROUND((VLOOKUP($D261,'Alloc Table Dem'!$B$7:$T$56,14,FALSE)*$E261),0)</f>
        <v>0</v>
      </c>
      <c r="H261" s="3">
        <f>ROUND((VLOOKUP($D261,'Alloc Table Dem'!$B$7:$T$56,15,FALSE)*$E261),0)</f>
        <v>0</v>
      </c>
      <c r="I261" s="3">
        <f>ROUND((VLOOKUP($D261,'Alloc Table Dem'!$B$7:$T$56,16,FALSE)*$E261),0)</f>
        <v>0</v>
      </c>
      <c r="J261" s="3">
        <f>ROUND((VLOOKUP($D261,'Alloc Table Dem'!$B$7:$T$56,17,FALSE)*$E261),0)</f>
        <v>0</v>
      </c>
      <c r="K261" s="3">
        <f>ROUND((VLOOKUP($D261,'Alloc Table Dem'!$B$7:$T$56,18,FALSE)*$E261),0)</f>
        <v>0</v>
      </c>
      <c r="L261" s="3">
        <f>ROUND((VLOOKUP($D261,'Alloc Table Dem'!$B$7:$T$56,19,FALSE)*$E261),0)</f>
        <v>0</v>
      </c>
    </row>
    <row r="262" spans="1:12" ht="11.25" x14ac:dyDescent="0.2">
      <c r="A262" s="325">
        <f t="shared" si="38"/>
        <v>4</v>
      </c>
      <c r="B262" s="24">
        <f>Input!A176</f>
        <v>384</v>
      </c>
      <c r="C262" s="3" t="str">
        <f>Input!B176</f>
        <v>HOUSE REG INSTALLATIONS</v>
      </c>
      <c r="D262" s="325">
        <f>Input!C176</f>
        <v>16</v>
      </c>
      <c r="E262" s="3">
        <f>Classification!E262-Classification!F262-Classification!G262</f>
        <v>0</v>
      </c>
      <c r="F262" s="3">
        <f>ROUND((VLOOKUP($D262,'Alloc Table Dem'!$B$7:$T$56,13,FALSE)*$E262),0)</f>
        <v>0</v>
      </c>
      <c r="G262" s="3">
        <f>ROUND((VLOOKUP($D262,'Alloc Table Dem'!$B$7:$T$56,14,FALSE)*$E262),0)</f>
        <v>0</v>
      </c>
      <c r="H262" s="3">
        <f>ROUND((VLOOKUP($D262,'Alloc Table Dem'!$B$7:$T$56,15,FALSE)*$E262),0)</f>
        <v>0</v>
      </c>
      <c r="I262" s="3">
        <f>ROUND((VLOOKUP($D262,'Alloc Table Dem'!$B$7:$T$56,16,FALSE)*$E262),0)</f>
        <v>0</v>
      </c>
      <c r="J262" s="3">
        <f>ROUND((VLOOKUP($D262,'Alloc Table Dem'!$B$7:$T$56,17,FALSE)*$E262),0)</f>
        <v>0</v>
      </c>
      <c r="K262" s="3">
        <f>ROUND((VLOOKUP($D262,'Alloc Table Dem'!$B$7:$T$56,18,FALSE)*$E262),0)</f>
        <v>0</v>
      </c>
      <c r="L262" s="3">
        <f>ROUND((VLOOKUP($D262,'Alloc Table Dem'!$B$7:$T$56,19,FALSE)*$E262),0)</f>
        <v>0</v>
      </c>
    </row>
    <row r="263" spans="1:12" ht="11.25" x14ac:dyDescent="0.2">
      <c r="A263" s="325">
        <f t="shared" si="38"/>
        <v>5</v>
      </c>
      <c r="B263" s="24">
        <f>Input!A177</f>
        <v>385</v>
      </c>
      <c r="C263" s="3" t="str">
        <f>Input!B177</f>
        <v>IND M&amp;R EQUIPMENT</v>
      </c>
      <c r="D263" s="325">
        <f>Input!C177</f>
        <v>17</v>
      </c>
      <c r="E263" s="3">
        <f>Classification!E263-Classification!F263-Classification!G263</f>
        <v>-0.32000000006519258</v>
      </c>
      <c r="F263" s="3">
        <f>ROUND((VLOOKUP($D263,'Alloc Table Dem'!$B$7:$T$56,13,FALSE)*$E263),0)</f>
        <v>0</v>
      </c>
      <c r="G263" s="3">
        <f>ROUND((VLOOKUP($D263,'Alloc Table Dem'!$B$7:$T$56,14,FALSE)*$E263),0)</f>
        <v>0</v>
      </c>
      <c r="H263" s="3">
        <f>ROUND((VLOOKUP($D263,'Alloc Table Dem'!$B$7:$T$56,15,FALSE)*$E263),0)</f>
        <v>0</v>
      </c>
      <c r="I263" s="3">
        <f>ROUND((VLOOKUP($D263,'Alloc Table Dem'!$B$7:$T$56,16,FALSE)*$E263),0)</f>
        <v>0</v>
      </c>
      <c r="J263" s="3">
        <f>ROUND((VLOOKUP($D263,'Alloc Table Dem'!$B$7:$T$56,17,FALSE)*$E263),0)</f>
        <v>0</v>
      </c>
      <c r="K263" s="3">
        <f>ROUND((VLOOKUP($D263,'Alloc Table Dem'!$B$7:$T$56,18,FALSE)*$E263),0)</f>
        <v>0</v>
      </c>
      <c r="L263" s="3">
        <f>ROUND((VLOOKUP($D263,'Alloc Table Dem'!$B$7:$T$56,19,FALSE)*$E263),0)</f>
        <v>0</v>
      </c>
    </row>
    <row r="264" spans="1:12" ht="11.25" x14ac:dyDescent="0.2">
      <c r="A264" s="325">
        <f t="shared" si="38"/>
        <v>6</v>
      </c>
      <c r="B264" s="24">
        <f>Input!A177</f>
        <v>385</v>
      </c>
      <c r="C264" s="3" t="str">
        <f>"DIRECT "&amp;+Input!B177</f>
        <v>DIRECT IND M&amp;R EQUIPMENT</v>
      </c>
      <c r="D264" s="325"/>
      <c r="E264" s="3">
        <f>Classification!E264-Classification!F264-Classification!G264</f>
        <v>0.32000000000698492</v>
      </c>
      <c r="F264" s="3">
        <v>0</v>
      </c>
      <c r="G264" s="3">
        <v>0</v>
      </c>
      <c r="H264" s="3">
        <v>0</v>
      </c>
      <c r="I264" s="3">
        <f>E264</f>
        <v>0.32000000000698492</v>
      </c>
      <c r="J264" s="3">
        <v>0</v>
      </c>
      <c r="K264" s="3">
        <v>0</v>
      </c>
      <c r="L264" s="3">
        <v>0</v>
      </c>
    </row>
    <row r="265" spans="1:12" ht="11.25" x14ac:dyDescent="0.2">
      <c r="A265" s="325">
        <f t="shared" si="38"/>
        <v>7</v>
      </c>
      <c r="B265" s="24">
        <f>Input!A178</f>
        <v>387.2</v>
      </c>
      <c r="C265" s="3" t="str">
        <f>Input!B178</f>
        <v>ODORIZATION</v>
      </c>
      <c r="D265" s="325" t="str">
        <f>D182</f>
        <v>7DEM</v>
      </c>
      <c r="E265" s="3">
        <f>Classification!E265-Classification!F265-Classification!G265</f>
        <v>-17421</v>
      </c>
      <c r="F265" s="3">
        <f ca="1">ROUND((VLOOKUP($D265,'Alloc Table Dem'!$B$7:$T$56,13,FALSE)*$E265),0)</f>
        <v>-6790</v>
      </c>
      <c r="G265" s="3">
        <f ca="1">ROUND((VLOOKUP($D265,'Alloc Table Dem'!$B$7:$T$56,14,FALSE)*$E265),0)</f>
        <v>-4598</v>
      </c>
      <c r="H265" s="3">
        <f ca="1">ROUND((VLOOKUP($D265,'Alloc Table Dem'!$B$7:$T$56,15,FALSE)*$E265),0)</f>
        <v>-10</v>
      </c>
      <c r="I265" s="3">
        <f ca="1">ROUND((VLOOKUP($D265,'Alloc Table Dem'!$B$7:$T$56,16,FALSE)*$E265),0)</f>
        <v>-4</v>
      </c>
      <c r="J265" s="3">
        <f ca="1">ROUND((VLOOKUP($D265,'Alloc Table Dem'!$B$7:$T$56,17,FALSE)*$E265),0)</f>
        <v>-6019</v>
      </c>
      <c r="K265" s="3">
        <f ca="1">ROUND((VLOOKUP($D265,'Alloc Table Dem'!$B$7:$T$56,18,FALSE)*$E265),0)</f>
        <v>0</v>
      </c>
      <c r="L265" s="3">
        <f ca="1">ROUND((VLOOKUP($D265,'Alloc Table Dem'!$B$7:$T$56,19,FALSE)*$E265),0)</f>
        <v>0</v>
      </c>
    </row>
    <row r="266" spans="1:12" ht="11.25" x14ac:dyDescent="0.2">
      <c r="A266" s="325">
        <f t="shared" si="38"/>
        <v>8</v>
      </c>
      <c r="B266" s="24">
        <f>Input!A179</f>
        <v>387.41</v>
      </c>
      <c r="C266" s="3" t="str">
        <f>Input!B179</f>
        <v>TELEPHONE</v>
      </c>
      <c r="D266" s="325" t="str">
        <f t="shared" ref="D266:D270" si="39">D183</f>
        <v>7DEM</v>
      </c>
      <c r="E266" s="3">
        <f>Classification!E266-Classification!F266-Classification!G266</f>
        <v>116253</v>
      </c>
      <c r="F266" s="3">
        <f ca="1">ROUND((VLOOKUP($D266,'Alloc Table Dem'!$B$7:$T$56,13,FALSE)*$E266),0)</f>
        <v>45308</v>
      </c>
      <c r="G266" s="3">
        <f ca="1">ROUND((VLOOKUP($D266,'Alloc Table Dem'!$B$7:$T$56,14,FALSE)*$E266),0)</f>
        <v>30683</v>
      </c>
      <c r="H266" s="3">
        <f ca="1">ROUND((VLOOKUP($D266,'Alloc Table Dem'!$B$7:$T$56,15,FALSE)*$E266),0)</f>
        <v>66</v>
      </c>
      <c r="I266" s="3">
        <f ca="1">ROUND((VLOOKUP($D266,'Alloc Table Dem'!$B$7:$T$56,16,FALSE)*$E266),0)</f>
        <v>28</v>
      </c>
      <c r="J266" s="3">
        <f ca="1">ROUND((VLOOKUP($D266,'Alloc Table Dem'!$B$7:$T$56,17,FALSE)*$E266),0)</f>
        <v>40168</v>
      </c>
      <c r="K266" s="3">
        <f ca="1">ROUND((VLOOKUP($D266,'Alloc Table Dem'!$B$7:$T$56,18,FALSE)*$E266),0)</f>
        <v>0</v>
      </c>
      <c r="L266" s="3">
        <f ca="1">ROUND((VLOOKUP($D266,'Alloc Table Dem'!$B$7:$T$56,19,FALSE)*$E266),0)</f>
        <v>0</v>
      </c>
    </row>
    <row r="267" spans="1:12" ht="11.25" x14ac:dyDescent="0.2">
      <c r="A267" s="325">
        <f t="shared" si="38"/>
        <v>9</v>
      </c>
      <c r="B267" s="24">
        <f>Input!A180</f>
        <v>387.42</v>
      </c>
      <c r="C267" s="3" t="str">
        <f>Input!B180</f>
        <v>RADIO</v>
      </c>
      <c r="D267" s="325" t="str">
        <f t="shared" si="39"/>
        <v>7DEM</v>
      </c>
      <c r="E267" s="3">
        <f>Classification!E267-Classification!F267-Classification!G267</f>
        <v>164984</v>
      </c>
      <c r="F267" s="3">
        <f ca="1">ROUND((VLOOKUP($D267,'Alloc Table Dem'!$B$7:$T$56,13,FALSE)*$E267),0)</f>
        <v>64301</v>
      </c>
      <c r="G267" s="3">
        <f ca="1">ROUND((VLOOKUP($D267,'Alloc Table Dem'!$B$7:$T$56,14,FALSE)*$E267),0)</f>
        <v>43544</v>
      </c>
      <c r="H267" s="3">
        <f ca="1">ROUND((VLOOKUP($D267,'Alloc Table Dem'!$B$7:$T$56,15,FALSE)*$E267),0)</f>
        <v>94</v>
      </c>
      <c r="I267" s="3">
        <f ca="1">ROUND((VLOOKUP($D267,'Alloc Table Dem'!$B$7:$T$56,16,FALSE)*$E267),0)</f>
        <v>40</v>
      </c>
      <c r="J267" s="3">
        <f ca="1">ROUND((VLOOKUP($D267,'Alloc Table Dem'!$B$7:$T$56,17,FALSE)*$E267),0)</f>
        <v>57005</v>
      </c>
      <c r="K267" s="3">
        <f ca="1">ROUND((VLOOKUP($D267,'Alloc Table Dem'!$B$7:$T$56,18,FALSE)*$E267),0)</f>
        <v>0</v>
      </c>
      <c r="L267" s="3">
        <f ca="1">ROUND((VLOOKUP($D267,'Alloc Table Dem'!$B$7:$T$56,19,FALSE)*$E267),0)</f>
        <v>0</v>
      </c>
    </row>
    <row r="268" spans="1:12" ht="11.25" x14ac:dyDescent="0.2">
      <c r="A268" s="325">
        <f t="shared" si="38"/>
        <v>10</v>
      </c>
      <c r="B268" s="24">
        <f>Input!A181</f>
        <v>387.44</v>
      </c>
      <c r="C268" s="3" t="str">
        <f>Input!B181</f>
        <v>OTHER COMMUNICATION</v>
      </c>
      <c r="D268" s="325" t="str">
        <f t="shared" si="39"/>
        <v>7DEM</v>
      </c>
      <c r="E268" s="3">
        <f>Classification!E268-Classification!F268-Classification!G268</f>
        <v>14727</v>
      </c>
      <c r="F268" s="3">
        <f ca="1">ROUND((VLOOKUP($D268,'Alloc Table Dem'!$B$7:$T$56,13,FALSE)*$E268),0)</f>
        <v>5740</v>
      </c>
      <c r="G268" s="3">
        <f ca="1">ROUND((VLOOKUP($D268,'Alloc Table Dem'!$B$7:$T$56,14,FALSE)*$E268),0)</f>
        <v>3887</v>
      </c>
      <c r="H268" s="3">
        <f ca="1">ROUND((VLOOKUP($D268,'Alloc Table Dem'!$B$7:$T$56,15,FALSE)*$E268),0)</f>
        <v>8</v>
      </c>
      <c r="I268" s="3">
        <f ca="1">ROUND((VLOOKUP($D268,'Alloc Table Dem'!$B$7:$T$56,16,FALSE)*$E268),0)</f>
        <v>4</v>
      </c>
      <c r="J268" s="3">
        <f ca="1">ROUND((VLOOKUP($D268,'Alloc Table Dem'!$B$7:$T$56,17,FALSE)*$E268),0)</f>
        <v>5088</v>
      </c>
      <c r="K268" s="3">
        <f ca="1">ROUND((VLOOKUP($D268,'Alloc Table Dem'!$B$7:$T$56,18,FALSE)*$E268),0)</f>
        <v>0</v>
      </c>
      <c r="L268" s="3">
        <f ca="1">ROUND((VLOOKUP($D268,'Alloc Table Dem'!$B$7:$T$56,19,FALSE)*$E268),0)</f>
        <v>0</v>
      </c>
    </row>
    <row r="269" spans="1:12" ht="11.25" x14ac:dyDescent="0.2">
      <c r="A269" s="325">
        <f t="shared" si="38"/>
        <v>11</v>
      </c>
      <c r="B269" s="24">
        <f>Input!A182</f>
        <v>387.45</v>
      </c>
      <c r="C269" s="3" t="str">
        <f>Input!B182</f>
        <v>TELEMETERING</v>
      </c>
      <c r="D269" s="325" t="str">
        <f t="shared" si="39"/>
        <v>7DEM</v>
      </c>
      <c r="E269" s="3">
        <f>Classification!E269-Classification!F269-Classification!G269</f>
        <v>153963</v>
      </c>
      <c r="F269" s="3">
        <f ca="1">ROUND((VLOOKUP($D269,'Alloc Table Dem'!$B$7:$T$56,13,FALSE)*$E269),0)</f>
        <v>60006</v>
      </c>
      <c r="G269" s="3">
        <f ca="1">ROUND((VLOOKUP($D269,'Alloc Table Dem'!$B$7:$T$56,14,FALSE)*$E269),0)</f>
        <v>40635</v>
      </c>
      <c r="H269" s="3">
        <f ca="1">ROUND((VLOOKUP($D269,'Alloc Table Dem'!$B$7:$T$56,15,FALSE)*$E269),0)</f>
        <v>88</v>
      </c>
      <c r="I269" s="3">
        <f ca="1">ROUND((VLOOKUP($D269,'Alloc Table Dem'!$B$7:$T$56,16,FALSE)*$E269),0)</f>
        <v>37</v>
      </c>
      <c r="J269" s="3">
        <f ca="1">ROUND((VLOOKUP($D269,'Alloc Table Dem'!$B$7:$T$56,17,FALSE)*$E269),0)</f>
        <v>53197</v>
      </c>
      <c r="K269" s="3">
        <f ca="1">ROUND((VLOOKUP($D269,'Alloc Table Dem'!$B$7:$T$56,18,FALSE)*$E269),0)</f>
        <v>0</v>
      </c>
      <c r="L269" s="3">
        <f ca="1">ROUND((VLOOKUP($D269,'Alloc Table Dem'!$B$7:$T$56,19,FALSE)*$E269),0)</f>
        <v>0</v>
      </c>
    </row>
    <row r="270" spans="1:12" ht="11.25" x14ac:dyDescent="0.2">
      <c r="A270" s="325">
        <f t="shared" si="38"/>
        <v>12</v>
      </c>
      <c r="B270" s="24">
        <f>Input!A183</f>
        <v>387.46</v>
      </c>
      <c r="C270" s="3" t="str">
        <f>Input!B183</f>
        <v>CIS</v>
      </c>
      <c r="D270" s="325" t="str">
        <f t="shared" si="39"/>
        <v>7DEM</v>
      </c>
      <c r="E270" s="26">
        <f>Classification!E270-Classification!F270-Classification!G270</f>
        <v>33251</v>
      </c>
      <c r="F270" s="26">
        <f ca="1">ROUND((VLOOKUP($D270,'Alloc Table Dem'!$B$7:$T$56,13,FALSE)*$E270),0)</f>
        <v>12959</v>
      </c>
      <c r="G270" s="26">
        <f ca="1">ROUND((VLOOKUP($D270,'Alloc Table Dem'!$B$7:$T$56,14,FALSE)*$E270),0)</f>
        <v>8776</v>
      </c>
      <c r="H270" s="26">
        <f ca="1">ROUND((VLOOKUP($D270,'Alloc Table Dem'!$B$7:$T$56,15,FALSE)*$E270),0)</f>
        <v>19</v>
      </c>
      <c r="I270" s="26">
        <f ca="1">ROUND((VLOOKUP($D270,'Alloc Table Dem'!$B$7:$T$56,16,FALSE)*$E270),0)</f>
        <v>8</v>
      </c>
      <c r="J270" s="26">
        <f ca="1">ROUND((VLOOKUP($D270,'Alloc Table Dem'!$B$7:$T$56,17,FALSE)*$E270),0)</f>
        <v>11489</v>
      </c>
      <c r="K270" s="26">
        <f ca="1">ROUND((VLOOKUP($D270,'Alloc Table Dem'!$B$7:$T$56,18,FALSE)*$E270),0)</f>
        <v>0</v>
      </c>
      <c r="L270" s="26">
        <f ca="1">ROUND((VLOOKUP($D270,'Alloc Table Dem'!$B$7:$T$56,19,FALSE)*$E270),0)</f>
        <v>0</v>
      </c>
    </row>
    <row r="271" spans="1:12" ht="11.25" x14ac:dyDescent="0.2">
      <c r="A271" s="325">
        <f t="shared" si="38"/>
        <v>13</v>
      </c>
      <c r="B271" s="3"/>
      <c r="C271" s="3" t="s">
        <v>84</v>
      </c>
      <c r="D271" s="325"/>
      <c r="E271" s="3">
        <f>SUM(Demand!E231:E250)+SUM(E259:E270)</f>
        <v>33796398</v>
      </c>
      <c r="F271" s="3">
        <f ca="1">SUM(Demand!F231:F250)+SUM(F259:F270)</f>
        <v>13172750</v>
      </c>
      <c r="G271" s="3">
        <f ca="1">SUM(Demand!G231:G250)+SUM(G259:G270)</f>
        <v>8920273</v>
      </c>
      <c r="H271" s="3">
        <f ca="1">SUM(Demand!H231:H250)+SUM(H259:H270)</f>
        <v>19260</v>
      </c>
      <c r="I271" s="3">
        <f ca="1">SUM(Demand!I231:I250)+SUM(I259:I270)</f>
        <v>6227.1000000000058</v>
      </c>
      <c r="J271" s="3">
        <f ca="1">SUM(Demand!J231:J250)+SUM(J259:J270)</f>
        <v>11677888</v>
      </c>
      <c r="K271" s="3">
        <f ca="1">SUM(Demand!K231:K250)+SUM(K259:K270)</f>
        <v>0</v>
      </c>
      <c r="L271" s="3">
        <f ca="1">SUM(Demand!L231:L250)+SUM(L259:L270)</f>
        <v>0</v>
      </c>
    </row>
    <row r="272" spans="1:12" ht="11.25" x14ac:dyDescent="0.2">
      <c r="A272" s="325"/>
      <c r="B272" s="3"/>
      <c r="C272" s="3"/>
      <c r="D272" s="325"/>
      <c r="E272" s="3"/>
      <c r="F272" s="3"/>
      <c r="G272" s="3"/>
      <c r="H272" s="3"/>
      <c r="I272" s="3"/>
      <c r="J272" s="3"/>
      <c r="K272" s="3"/>
      <c r="L272" s="3"/>
    </row>
    <row r="273" spans="1:12" ht="11.25" x14ac:dyDescent="0.2">
      <c r="A273" s="325">
        <f>A271+1</f>
        <v>14</v>
      </c>
      <c r="B273" s="3"/>
      <c r="C273" s="24" t="str">
        <f>Input!A186</f>
        <v>GENERAL PLANT</v>
      </c>
      <c r="D273" s="325"/>
      <c r="E273" s="3"/>
      <c r="F273" s="3"/>
      <c r="G273" s="3"/>
      <c r="H273" s="3"/>
      <c r="I273" s="3"/>
      <c r="J273" s="3"/>
      <c r="K273" s="3"/>
      <c r="L273" s="3"/>
    </row>
    <row r="274" spans="1:12" ht="11.25" x14ac:dyDescent="0.2">
      <c r="A274" s="325"/>
      <c r="B274" s="3"/>
      <c r="C274" s="3"/>
      <c r="D274" s="325"/>
      <c r="E274" s="3"/>
      <c r="F274" s="3"/>
      <c r="G274" s="3"/>
      <c r="H274" s="3"/>
      <c r="I274" s="3"/>
      <c r="J274" s="3"/>
      <c r="K274" s="3"/>
      <c r="L274" s="3"/>
    </row>
    <row r="275" spans="1:12" ht="11.25" x14ac:dyDescent="0.2">
      <c r="A275" s="325">
        <f>A273+1</f>
        <v>15</v>
      </c>
      <c r="B275" s="24">
        <f>Input!A187</f>
        <v>391.1</v>
      </c>
      <c r="C275" s="3" t="str">
        <f>Input!B187</f>
        <v>OFF FURN &amp; EQUIP - UNSPEC</v>
      </c>
      <c r="D275" s="325" t="str">
        <f>D190</f>
        <v>7DEM</v>
      </c>
      <c r="E275" s="3">
        <f>Classification!E275-Classification!F275-Classification!G275</f>
        <v>-9667</v>
      </c>
      <c r="F275" s="3">
        <f ca="1">ROUND((VLOOKUP($D275,'Alloc Table Dem'!$B$7:$T$56,13,FALSE)*$E275),0)</f>
        <v>-3768</v>
      </c>
      <c r="G275" s="3">
        <f ca="1">ROUND((VLOOKUP($D275,'Alloc Table Dem'!$B$7:$T$56,14,FALSE)*$E275),0)</f>
        <v>-2551</v>
      </c>
      <c r="H275" s="3">
        <f ca="1">ROUND((VLOOKUP($D275,'Alloc Table Dem'!$B$7:$T$56,15,FALSE)*$E275),0)</f>
        <v>-6</v>
      </c>
      <c r="I275" s="3">
        <f ca="1">ROUND((VLOOKUP($D275,'Alloc Table Dem'!$B$7:$T$56,16,FALSE)*$E275),0)</f>
        <v>-2</v>
      </c>
      <c r="J275" s="3">
        <f ca="1">ROUND((VLOOKUP($D275,'Alloc Table Dem'!$B$7:$T$56,17,FALSE)*$E275),0)</f>
        <v>-3340</v>
      </c>
      <c r="K275" s="3">
        <f ca="1">ROUND((VLOOKUP($D275,'Alloc Table Dem'!$B$7:$T$56,18,FALSE)*$E275),0)</f>
        <v>0</v>
      </c>
      <c r="L275" s="3">
        <f ca="1">ROUND((VLOOKUP($D275,'Alloc Table Dem'!$B$7:$T$56,19,FALSE)*$E275),0)</f>
        <v>0</v>
      </c>
    </row>
    <row r="276" spans="1:12" ht="11.25" x14ac:dyDescent="0.2">
      <c r="A276" s="325">
        <f t="shared" ref="A276:A289" si="40">A275+1</f>
        <v>16</v>
      </c>
      <c r="B276" s="24">
        <f>Input!A188</f>
        <v>391.11</v>
      </c>
      <c r="C276" s="3" t="str">
        <f>Input!B188</f>
        <v>OFF FURN &amp; EQUIP - DATA HAND</v>
      </c>
      <c r="D276" s="325" t="str">
        <f t="shared" ref="D276:D288" si="41">D191</f>
        <v>7DEM</v>
      </c>
      <c r="E276" s="3">
        <f>Classification!E276-Classification!F276-Classification!G276</f>
        <v>-3301</v>
      </c>
      <c r="F276" s="3">
        <f ca="1">ROUND((VLOOKUP($D276,'Alloc Table Dem'!$B$7:$T$56,13,FALSE)*$E276),0)</f>
        <v>-1287</v>
      </c>
      <c r="G276" s="3">
        <f ca="1">ROUND((VLOOKUP($D276,'Alloc Table Dem'!$B$7:$T$56,14,FALSE)*$E276),0)</f>
        <v>-871</v>
      </c>
      <c r="H276" s="3">
        <f ca="1">ROUND((VLOOKUP($D276,'Alloc Table Dem'!$B$7:$T$56,15,FALSE)*$E276),0)</f>
        <v>-2</v>
      </c>
      <c r="I276" s="3">
        <f ca="1">ROUND((VLOOKUP($D276,'Alloc Table Dem'!$B$7:$T$56,16,FALSE)*$E276),0)</f>
        <v>-1</v>
      </c>
      <c r="J276" s="3">
        <f ca="1">ROUND((VLOOKUP($D276,'Alloc Table Dem'!$B$7:$T$56,17,FALSE)*$E276),0)</f>
        <v>-1141</v>
      </c>
      <c r="K276" s="3">
        <f ca="1">ROUND((VLOOKUP($D276,'Alloc Table Dem'!$B$7:$T$56,18,FALSE)*$E276),0)</f>
        <v>0</v>
      </c>
      <c r="L276" s="3">
        <f ca="1">ROUND((VLOOKUP($D276,'Alloc Table Dem'!$B$7:$T$56,19,FALSE)*$E276),0)</f>
        <v>0</v>
      </c>
    </row>
    <row r="277" spans="1:12" ht="11.25" x14ac:dyDescent="0.2">
      <c r="A277" s="325">
        <f t="shared" si="40"/>
        <v>17</v>
      </c>
      <c r="B277" s="24">
        <f>Input!A189</f>
        <v>391.12</v>
      </c>
      <c r="C277" s="3" t="str">
        <f>Input!B189</f>
        <v>OFF FURN &amp; EQUIP - INFO SYSTEM</v>
      </c>
      <c r="D277" s="325" t="str">
        <f t="shared" si="41"/>
        <v>7DEM</v>
      </c>
      <c r="E277" s="3">
        <f>Classification!E277-Classification!F277-Classification!G277</f>
        <v>218112</v>
      </c>
      <c r="F277" s="3">
        <f ca="1">ROUND((VLOOKUP($D277,'Alloc Table Dem'!$B$7:$T$56,13,FALSE)*$E277),0)</f>
        <v>85007</v>
      </c>
      <c r="G277" s="3">
        <f ca="1">ROUND((VLOOKUP($D277,'Alloc Table Dem'!$B$7:$T$56,14,FALSE)*$E277),0)</f>
        <v>57566</v>
      </c>
      <c r="H277" s="3">
        <f ca="1">ROUND((VLOOKUP($D277,'Alloc Table Dem'!$B$7:$T$56,15,FALSE)*$E277),0)</f>
        <v>124</v>
      </c>
      <c r="I277" s="3">
        <f ca="1">ROUND((VLOOKUP($D277,'Alloc Table Dem'!$B$7:$T$56,16,FALSE)*$E277),0)</f>
        <v>52</v>
      </c>
      <c r="J277" s="3">
        <f ca="1">ROUND((VLOOKUP($D277,'Alloc Table Dem'!$B$7:$T$56,17,FALSE)*$E277),0)</f>
        <v>75362</v>
      </c>
      <c r="K277" s="3">
        <f ca="1">ROUND((VLOOKUP($D277,'Alloc Table Dem'!$B$7:$T$56,18,FALSE)*$E277),0)</f>
        <v>0</v>
      </c>
      <c r="L277" s="3">
        <f ca="1">ROUND((VLOOKUP($D277,'Alloc Table Dem'!$B$7:$T$56,19,FALSE)*$E277),0)</f>
        <v>0</v>
      </c>
    </row>
    <row r="278" spans="1:12" ht="11.25" x14ac:dyDescent="0.2">
      <c r="A278" s="325">
        <f t="shared" si="40"/>
        <v>18</v>
      </c>
      <c r="B278" s="24">
        <f>Input!A190</f>
        <v>392.2</v>
      </c>
      <c r="C278" s="3" t="str">
        <f>Input!B190</f>
        <v>TR EQ - TRAILER &gt; $1,000</v>
      </c>
      <c r="D278" s="325" t="str">
        <f t="shared" si="41"/>
        <v>7DEM</v>
      </c>
      <c r="E278" s="3">
        <f>Classification!E278-Classification!F278-Classification!G278</f>
        <v>7861</v>
      </c>
      <c r="F278" s="3">
        <f ca="1">ROUND((VLOOKUP($D278,'Alloc Table Dem'!$B$7:$T$56,13,FALSE)*$E278),0)</f>
        <v>3064</v>
      </c>
      <c r="G278" s="3">
        <f ca="1">ROUND((VLOOKUP($D278,'Alloc Table Dem'!$B$7:$T$56,14,FALSE)*$E278),0)</f>
        <v>2075</v>
      </c>
      <c r="H278" s="3">
        <f ca="1">ROUND((VLOOKUP($D278,'Alloc Table Dem'!$B$7:$T$56,15,FALSE)*$E278),0)</f>
        <v>4</v>
      </c>
      <c r="I278" s="3">
        <f ca="1">ROUND((VLOOKUP($D278,'Alloc Table Dem'!$B$7:$T$56,16,FALSE)*$E278),0)</f>
        <v>2</v>
      </c>
      <c r="J278" s="3">
        <f ca="1">ROUND((VLOOKUP($D278,'Alloc Table Dem'!$B$7:$T$56,17,FALSE)*$E278),0)</f>
        <v>2716</v>
      </c>
      <c r="K278" s="3">
        <f ca="1">ROUND((VLOOKUP($D278,'Alloc Table Dem'!$B$7:$T$56,18,FALSE)*$E278),0)</f>
        <v>0</v>
      </c>
      <c r="L278" s="3">
        <f ca="1">ROUND((VLOOKUP($D278,'Alloc Table Dem'!$B$7:$T$56,19,FALSE)*$E278),0)</f>
        <v>0</v>
      </c>
    </row>
    <row r="279" spans="1:12" ht="11.25" x14ac:dyDescent="0.2">
      <c r="A279" s="325">
        <f t="shared" si="40"/>
        <v>19</v>
      </c>
      <c r="B279" s="24">
        <f>Input!A191</f>
        <v>392.21</v>
      </c>
      <c r="C279" s="3" t="str">
        <f>Input!B191</f>
        <v>TR EQ - TRAILER &lt; $1,000</v>
      </c>
      <c r="D279" s="325" t="str">
        <f t="shared" si="41"/>
        <v>7DEM</v>
      </c>
      <c r="E279" s="3">
        <f>Classification!E279-Classification!F279-Classification!G279</f>
        <v>1835</v>
      </c>
      <c r="F279" s="3">
        <f ca="1">ROUND((VLOOKUP($D279,'Alloc Table Dem'!$B$7:$T$56,13,FALSE)*$E279),0)</f>
        <v>715</v>
      </c>
      <c r="G279" s="3">
        <f ca="1">ROUND((VLOOKUP($D279,'Alloc Table Dem'!$B$7:$T$56,14,FALSE)*$E279),0)</f>
        <v>484</v>
      </c>
      <c r="H279" s="3">
        <f ca="1">ROUND((VLOOKUP($D279,'Alloc Table Dem'!$B$7:$T$56,15,FALSE)*$E279),0)</f>
        <v>1</v>
      </c>
      <c r="I279" s="3">
        <f ca="1">ROUND((VLOOKUP($D279,'Alloc Table Dem'!$B$7:$T$56,16,FALSE)*$E279),0)</f>
        <v>0</v>
      </c>
      <c r="J279" s="3">
        <f ca="1">ROUND((VLOOKUP($D279,'Alloc Table Dem'!$B$7:$T$56,17,FALSE)*$E279),0)</f>
        <v>634</v>
      </c>
      <c r="K279" s="3">
        <f ca="1">ROUND((VLOOKUP($D279,'Alloc Table Dem'!$B$7:$T$56,18,FALSE)*$E279),0)</f>
        <v>0</v>
      </c>
      <c r="L279" s="3">
        <f ca="1">ROUND((VLOOKUP($D279,'Alloc Table Dem'!$B$7:$T$56,19,FALSE)*$E279),0)</f>
        <v>0</v>
      </c>
    </row>
    <row r="280" spans="1:12" ht="11.25" x14ac:dyDescent="0.2">
      <c r="A280" s="325">
        <f t="shared" si="40"/>
        <v>20</v>
      </c>
      <c r="B280" s="24">
        <f>Input!A192</f>
        <v>394.1</v>
      </c>
      <c r="C280" s="3" t="str">
        <f>Input!B192</f>
        <v>TOOLS,SHOP, &amp; GAR EQ-GARAGE &amp; SERV</v>
      </c>
      <c r="D280" s="325" t="str">
        <f t="shared" si="41"/>
        <v>7DEM</v>
      </c>
      <c r="E280" s="3">
        <f>Classification!E280-Classification!F280-Classification!G280</f>
        <v>4389</v>
      </c>
      <c r="F280" s="3">
        <f ca="1">ROUND((VLOOKUP($D280,'Alloc Table Dem'!$B$7:$T$56,13,FALSE)*$E280),0)</f>
        <v>1711</v>
      </c>
      <c r="G280" s="3">
        <f ca="1">ROUND((VLOOKUP($D280,'Alloc Table Dem'!$B$7:$T$56,14,FALSE)*$E280),0)</f>
        <v>1158</v>
      </c>
      <c r="H280" s="3">
        <f ca="1">ROUND((VLOOKUP($D280,'Alloc Table Dem'!$B$7:$T$56,15,FALSE)*$E280),0)</f>
        <v>3</v>
      </c>
      <c r="I280" s="3">
        <f ca="1">ROUND((VLOOKUP($D280,'Alloc Table Dem'!$B$7:$T$56,16,FALSE)*$E280),0)</f>
        <v>1</v>
      </c>
      <c r="J280" s="3">
        <f ca="1">ROUND((VLOOKUP($D280,'Alloc Table Dem'!$B$7:$T$56,17,FALSE)*$E280),0)</f>
        <v>1516</v>
      </c>
      <c r="K280" s="3">
        <f ca="1">ROUND((VLOOKUP($D280,'Alloc Table Dem'!$B$7:$T$56,18,FALSE)*$E280),0)</f>
        <v>0</v>
      </c>
      <c r="L280" s="3">
        <f ca="1">ROUND((VLOOKUP($D280,'Alloc Table Dem'!$B$7:$T$56,19,FALSE)*$E280),0)</f>
        <v>0</v>
      </c>
    </row>
    <row r="281" spans="1:12" ht="11.25" x14ac:dyDescent="0.2">
      <c r="A281" s="325">
        <f t="shared" si="40"/>
        <v>21</v>
      </c>
      <c r="B281" s="24">
        <f>Input!A193</f>
        <v>394.13</v>
      </c>
      <c r="C281" s="3" t="str">
        <f>Input!B193</f>
        <v>TOOLS,SHOP, &amp; GAR EQ-UND TANK CLEANUP</v>
      </c>
      <c r="D281" s="325" t="str">
        <f t="shared" si="41"/>
        <v>7DEM</v>
      </c>
      <c r="E281" s="3">
        <f>Classification!E281-Classification!F281-Classification!G281</f>
        <v>11030</v>
      </c>
      <c r="F281" s="3">
        <f ca="1">ROUND((VLOOKUP($D281,'Alloc Table Dem'!$B$7:$T$56,13,FALSE)*$E281),0)</f>
        <v>4299</v>
      </c>
      <c r="G281" s="3">
        <f ca="1">ROUND((VLOOKUP($D281,'Alloc Table Dem'!$B$7:$T$56,14,FALSE)*$E281),0)</f>
        <v>2911</v>
      </c>
      <c r="H281" s="3">
        <f ca="1">ROUND((VLOOKUP($D281,'Alloc Table Dem'!$B$7:$T$56,15,FALSE)*$E281),0)</f>
        <v>6</v>
      </c>
      <c r="I281" s="3">
        <f ca="1">ROUND((VLOOKUP($D281,'Alloc Table Dem'!$B$7:$T$56,16,FALSE)*$E281),0)</f>
        <v>3</v>
      </c>
      <c r="J281" s="3">
        <f ca="1">ROUND((VLOOKUP($D281,'Alloc Table Dem'!$B$7:$T$56,17,FALSE)*$E281),0)</f>
        <v>3811</v>
      </c>
      <c r="K281" s="3">
        <f ca="1">ROUND((VLOOKUP($D281,'Alloc Table Dem'!$B$7:$T$56,18,FALSE)*$E281),0)</f>
        <v>0</v>
      </c>
      <c r="L281" s="3">
        <f ca="1">ROUND((VLOOKUP($D281,'Alloc Table Dem'!$B$7:$T$56,19,FALSE)*$E281),0)</f>
        <v>0</v>
      </c>
    </row>
    <row r="282" spans="1:12" ht="11.25" x14ac:dyDescent="0.2">
      <c r="A282" s="325">
        <f t="shared" si="40"/>
        <v>22</v>
      </c>
      <c r="B282" s="24">
        <f>Input!A194</f>
        <v>393</v>
      </c>
      <c r="C282" s="3" t="str">
        <f>Input!B194</f>
        <v>STORES EQUIPMENT</v>
      </c>
      <c r="D282" s="325" t="str">
        <f t="shared" si="41"/>
        <v>7DEM</v>
      </c>
      <c r="E282" s="3">
        <f>Classification!E282-Classification!F282-Classification!G282</f>
        <v>0</v>
      </c>
      <c r="F282" s="3">
        <f ca="1">ROUND((VLOOKUP($D282,'Alloc Table Dem'!$B$7:$T$56,13,FALSE)*$E282),0)</f>
        <v>0</v>
      </c>
      <c r="G282" s="3">
        <f ca="1">ROUND((VLOOKUP($D282,'Alloc Table Dem'!$B$7:$T$56,14,FALSE)*$E282),0)</f>
        <v>0</v>
      </c>
      <c r="H282" s="3">
        <f ca="1">ROUND((VLOOKUP($D282,'Alloc Table Dem'!$B$7:$T$56,15,FALSE)*$E282),0)</f>
        <v>0</v>
      </c>
      <c r="I282" s="3">
        <f ca="1">ROUND((VLOOKUP($D282,'Alloc Table Dem'!$B$7:$T$56,16,FALSE)*$E282),0)</f>
        <v>0</v>
      </c>
      <c r="J282" s="3">
        <f ca="1">ROUND((VLOOKUP($D282,'Alloc Table Dem'!$B$7:$T$56,17,FALSE)*$E282),0)</f>
        <v>0</v>
      </c>
      <c r="K282" s="3">
        <f ca="1">ROUND((VLOOKUP($D282,'Alloc Table Dem'!$B$7:$T$56,18,FALSE)*$E282),0)</f>
        <v>0</v>
      </c>
      <c r="L282" s="3">
        <f ca="1">ROUND((VLOOKUP($D282,'Alloc Table Dem'!$B$7:$T$56,19,FALSE)*$E282),0)</f>
        <v>0</v>
      </c>
    </row>
    <row r="283" spans="1:12" ht="11.25" x14ac:dyDescent="0.2">
      <c r="A283" s="325">
        <f t="shared" si="40"/>
        <v>23</v>
      </c>
      <c r="B283" s="24">
        <f>Input!A195</f>
        <v>394.2</v>
      </c>
      <c r="C283" s="3" t="str">
        <f>Input!B195</f>
        <v>SHOP EQUIPMENT</v>
      </c>
      <c r="D283" s="325" t="str">
        <f t="shared" si="41"/>
        <v>7DEM</v>
      </c>
      <c r="E283" s="3">
        <f>Classification!E283-Classification!F283-Classification!G283</f>
        <v>54</v>
      </c>
      <c r="F283" s="3">
        <f ca="1">ROUND((VLOOKUP($D283,'Alloc Table Dem'!$B$7:$T$56,13,FALSE)*$E283),0)</f>
        <v>21</v>
      </c>
      <c r="G283" s="3">
        <f ca="1">ROUND((VLOOKUP($D283,'Alloc Table Dem'!$B$7:$T$56,14,FALSE)*$E283),0)</f>
        <v>14</v>
      </c>
      <c r="H283" s="3">
        <f ca="1">ROUND((VLOOKUP($D283,'Alloc Table Dem'!$B$7:$T$56,15,FALSE)*$E283),0)</f>
        <v>0</v>
      </c>
      <c r="I283" s="3">
        <f ca="1">ROUND((VLOOKUP($D283,'Alloc Table Dem'!$B$7:$T$56,16,FALSE)*$E283),0)</f>
        <v>0</v>
      </c>
      <c r="J283" s="3">
        <f ca="1">ROUND((VLOOKUP($D283,'Alloc Table Dem'!$B$7:$T$56,17,FALSE)*$E283),0)</f>
        <v>19</v>
      </c>
      <c r="K283" s="3">
        <f ca="1">ROUND((VLOOKUP($D283,'Alloc Table Dem'!$B$7:$T$56,18,FALSE)*$E283),0)</f>
        <v>0</v>
      </c>
      <c r="L283" s="3">
        <f ca="1">ROUND((VLOOKUP($D283,'Alloc Table Dem'!$B$7:$T$56,19,FALSE)*$E283),0)</f>
        <v>0</v>
      </c>
    </row>
    <row r="284" spans="1:12" ht="11.25" x14ac:dyDescent="0.2">
      <c r="A284" s="325">
        <f t="shared" si="40"/>
        <v>24</v>
      </c>
      <c r="B284" s="24">
        <f>Input!A196</f>
        <v>394.3</v>
      </c>
      <c r="C284" s="3" t="str">
        <f>Input!B196</f>
        <v>TOOLS &amp; OTHER EQUIPMENT</v>
      </c>
      <c r="D284" s="325" t="str">
        <f t="shared" si="41"/>
        <v>7DEM</v>
      </c>
      <c r="E284" s="3">
        <f>Classification!E284-Classification!F284-Classification!G284</f>
        <v>387590</v>
      </c>
      <c r="F284" s="3">
        <f ca="1">ROUND((VLOOKUP($D284,'Alloc Table Dem'!$B$7:$T$56,13,FALSE)*$E284),0)</f>
        <v>151059</v>
      </c>
      <c r="G284" s="3">
        <f ca="1">ROUND((VLOOKUP($D284,'Alloc Table Dem'!$B$7:$T$56,14,FALSE)*$E284),0)</f>
        <v>102297</v>
      </c>
      <c r="H284" s="3">
        <f ca="1">ROUND((VLOOKUP($D284,'Alloc Table Dem'!$B$7:$T$56,15,FALSE)*$E284),0)</f>
        <v>221</v>
      </c>
      <c r="I284" s="3">
        <f ca="1">ROUND((VLOOKUP($D284,'Alloc Table Dem'!$B$7:$T$56,16,FALSE)*$E284),0)</f>
        <v>93</v>
      </c>
      <c r="J284" s="3">
        <f ca="1">ROUND((VLOOKUP($D284,'Alloc Table Dem'!$B$7:$T$56,17,FALSE)*$E284),0)</f>
        <v>133920</v>
      </c>
      <c r="K284" s="3">
        <f ca="1">ROUND((VLOOKUP($D284,'Alloc Table Dem'!$B$7:$T$56,18,FALSE)*$E284),0)</f>
        <v>0</v>
      </c>
      <c r="L284" s="3">
        <f ca="1">ROUND((VLOOKUP($D284,'Alloc Table Dem'!$B$7:$T$56,19,FALSE)*$E284),0)</f>
        <v>0</v>
      </c>
    </row>
    <row r="285" spans="1:12" ht="11.25" x14ac:dyDescent="0.2">
      <c r="A285" s="325">
        <f t="shared" si="40"/>
        <v>25</v>
      </c>
      <c r="B285" s="24">
        <f>Input!A197</f>
        <v>395</v>
      </c>
      <c r="C285" s="3" t="str">
        <f>Input!B197</f>
        <v>LABORATORY EQUIPMENT</v>
      </c>
      <c r="D285" s="325" t="str">
        <f t="shared" si="41"/>
        <v>7DEM</v>
      </c>
      <c r="E285" s="3">
        <f>Classification!E285-Classification!F285-Classification!G285</f>
        <v>2258</v>
      </c>
      <c r="F285" s="3">
        <f ca="1">ROUND((VLOOKUP($D285,'Alloc Table Dem'!$B$7:$T$56,13,FALSE)*$E285),0)</f>
        <v>880</v>
      </c>
      <c r="G285" s="3">
        <f ca="1">ROUND((VLOOKUP($D285,'Alloc Table Dem'!$B$7:$T$56,14,FALSE)*$E285),0)</f>
        <v>596</v>
      </c>
      <c r="H285" s="3">
        <f ca="1">ROUND((VLOOKUP($D285,'Alloc Table Dem'!$B$7:$T$56,15,FALSE)*$E285),0)</f>
        <v>1</v>
      </c>
      <c r="I285" s="3">
        <f ca="1">ROUND((VLOOKUP($D285,'Alloc Table Dem'!$B$7:$T$56,16,FALSE)*$E285),0)</f>
        <v>1</v>
      </c>
      <c r="J285" s="3">
        <f ca="1">ROUND((VLOOKUP($D285,'Alloc Table Dem'!$B$7:$T$56,17,FALSE)*$E285),0)</f>
        <v>780</v>
      </c>
      <c r="K285" s="3">
        <f ca="1">ROUND((VLOOKUP($D285,'Alloc Table Dem'!$B$7:$T$56,18,FALSE)*$E285),0)</f>
        <v>0</v>
      </c>
      <c r="L285" s="3">
        <f ca="1">ROUND((VLOOKUP($D285,'Alloc Table Dem'!$B$7:$T$56,19,FALSE)*$E285),0)</f>
        <v>0</v>
      </c>
    </row>
    <row r="286" spans="1:12" ht="11.25" x14ac:dyDescent="0.2">
      <c r="A286" s="325">
        <f t="shared" si="40"/>
        <v>26</v>
      </c>
      <c r="B286" s="24">
        <f>Input!A198</f>
        <v>396</v>
      </c>
      <c r="C286" s="3" t="str">
        <f>Input!B198</f>
        <v>POWER OP EQUIP-GEN TOOLS</v>
      </c>
      <c r="D286" s="325" t="str">
        <f t="shared" si="41"/>
        <v>7DEM</v>
      </c>
      <c r="E286" s="3">
        <f>Classification!E286-Classification!F286-Classification!G286</f>
        <v>58909</v>
      </c>
      <c r="F286" s="3">
        <f ca="1">ROUND((VLOOKUP($D286,'Alloc Table Dem'!$B$7:$T$56,13,FALSE)*$E286),0)</f>
        <v>22959</v>
      </c>
      <c r="G286" s="3">
        <f ca="1">ROUND((VLOOKUP($D286,'Alloc Table Dem'!$B$7:$T$56,14,FALSE)*$E286),0)</f>
        <v>15548</v>
      </c>
      <c r="H286" s="3">
        <f ca="1">ROUND((VLOOKUP($D286,'Alloc Table Dem'!$B$7:$T$56,15,FALSE)*$E286),0)</f>
        <v>34</v>
      </c>
      <c r="I286" s="3">
        <f ca="1">ROUND((VLOOKUP($D286,'Alloc Table Dem'!$B$7:$T$56,16,FALSE)*$E286),0)</f>
        <v>14</v>
      </c>
      <c r="J286" s="3">
        <f ca="1">ROUND((VLOOKUP($D286,'Alloc Table Dem'!$B$7:$T$56,17,FALSE)*$E286),0)</f>
        <v>20354</v>
      </c>
      <c r="K286" s="3">
        <f ca="1">ROUND((VLOOKUP($D286,'Alloc Table Dem'!$B$7:$T$56,18,FALSE)*$E286),0)</f>
        <v>0</v>
      </c>
      <c r="L286" s="3">
        <f ca="1">ROUND((VLOOKUP($D286,'Alloc Table Dem'!$B$7:$T$56,19,FALSE)*$E286),0)</f>
        <v>0</v>
      </c>
    </row>
    <row r="287" spans="1:12" ht="11.25" x14ac:dyDescent="0.2">
      <c r="A287" s="325">
        <f t="shared" si="40"/>
        <v>27</v>
      </c>
      <c r="B287" s="24"/>
      <c r="C287" s="3" t="str">
        <f>Input!B199</f>
        <v>RETIREMENT WORK IN PROGRESS</v>
      </c>
      <c r="D287" s="325" t="str">
        <f t="shared" si="41"/>
        <v>7DEM</v>
      </c>
      <c r="E287" s="3">
        <f>Classification!E287-Classification!F287-Classification!G287</f>
        <v>0</v>
      </c>
      <c r="F287" s="3">
        <f ca="1">ROUND((VLOOKUP($D287,'Alloc Table Dem'!$B$7:$T$56,13,FALSE)*$E287),0)</f>
        <v>0</v>
      </c>
      <c r="G287" s="3">
        <f ca="1">ROUND((VLOOKUP($D287,'Alloc Table Dem'!$B$7:$T$56,14,FALSE)*$E287),0)</f>
        <v>0</v>
      </c>
      <c r="H287" s="3">
        <f ca="1">ROUND((VLOOKUP($D287,'Alloc Table Dem'!$B$7:$T$56,15,FALSE)*$E287),0)</f>
        <v>0</v>
      </c>
      <c r="I287" s="3">
        <f ca="1">ROUND((VLOOKUP($D287,'Alloc Table Dem'!$B$7:$T$56,16,FALSE)*$E287),0)</f>
        <v>0</v>
      </c>
      <c r="J287" s="3">
        <f ca="1">ROUND((VLOOKUP($D287,'Alloc Table Dem'!$B$7:$T$56,17,FALSE)*$E287),0)</f>
        <v>0</v>
      </c>
      <c r="K287" s="3">
        <f ca="1">ROUND((VLOOKUP($D287,'Alloc Table Dem'!$B$7:$T$56,18,FALSE)*$E287),0)</f>
        <v>0</v>
      </c>
      <c r="L287" s="3">
        <f ca="1">ROUND((VLOOKUP($D287,'Alloc Table Dem'!$B$7:$T$56,19,FALSE)*$E287),0)</f>
        <v>0</v>
      </c>
    </row>
    <row r="288" spans="1:12" ht="11.25" x14ac:dyDescent="0.2">
      <c r="A288" s="325">
        <f t="shared" si="40"/>
        <v>28</v>
      </c>
      <c r="B288" s="24">
        <f>Input!A200</f>
        <v>398</v>
      </c>
      <c r="C288" s="3" t="str">
        <f>Input!B200</f>
        <v>MISCELLANEOUS EQUIPMENT</v>
      </c>
      <c r="D288" s="325" t="str">
        <f t="shared" si="41"/>
        <v>7DEM</v>
      </c>
      <c r="E288" s="26">
        <f>Classification!E288-Classification!F288-Classification!G288</f>
        <v>3516</v>
      </c>
      <c r="F288" s="26">
        <f ca="1">ROUND((VLOOKUP($D288,'Alloc Table Dem'!$B$7:$T$56,13,FALSE)*$E288),0)</f>
        <v>1370</v>
      </c>
      <c r="G288" s="26">
        <f ca="1">ROUND((VLOOKUP($D288,'Alloc Table Dem'!$B$7:$T$56,14,FALSE)*$E288),0)</f>
        <v>928</v>
      </c>
      <c r="H288" s="26">
        <f ca="1">ROUND((VLOOKUP($D288,'Alloc Table Dem'!$B$7:$T$56,15,FALSE)*$E288),0)</f>
        <v>2</v>
      </c>
      <c r="I288" s="26">
        <f ca="1">ROUND((VLOOKUP($D288,'Alloc Table Dem'!$B$7:$T$56,16,FALSE)*$E288),0)</f>
        <v>1</v>
      </c>
      <c r="J288" s="26">
        <f ca="1">ROUND((VLOOKUP($D288,'Alloc Table Dem'!$B$7:$T$56,17,FALSE)*$E288),0)</f>
        <v>1215</v>
      </c>
      <c r="K288" s="26">
        <f ca="1">ROUND((VLOOKUP($D288,'Alloc Table Dem'!$B$7:$T$56,18,FALSE)*$E288),0)</f>
        <v>0</v>
      </c>
      <c r="L288" s="26">
        <f ca="1">ROUND((VLOOKUP($D288,'Alloc Table Dem'!$B$7:$T$56,19,FALSE)*$E288),0)</f>
        <v>0</v>
      </c>
    </row>
    <row r="289" spans="1:12" ht="11.25" x14ac:dyDescent="0.2">
      <c r="A289" s="325">
        <f t="shared" si="40"/>
        <v>29</v>
      </c>
      <c r="B289" s="24"/>
      <c r="C289" s="25" t="s">
        <v>90</v>
      </c>
      <c r="D289" s="325"/>
      <c r="E289" s="26">
        <f t="shared" ref="E289:L289" si="42">SUM(E275:E288)</f>
        <v>682586</v>
      </c>
      <c r="F289" s="26">
        <f t="shared" ca="1" si="42"/>
        <v>266030</v>
      </c>
      <c r="G289" s="26">
        <f t="shared" ca="1" si="42"/>
        <v>180155</v>
      </c>
      <c r="H289" s="26">
        <f t="shared" ca="1" si="42"/>
        <v>388</v>
      </c>
      <c r="I289" s="26">
        <f t="shared" ca="1" si="42"/>
        <v>164</v>
      </c>
      <c r="J289" s="26">
        <f t="shared" ca="1" si="42"/>
        <v>235846</v>
      </c>
      <c r="K289" s="26">
        <f t="shared" ca="1" si="42"/>
        <v>0</v>
      </c>
      <c r="L289" s="26">
        <f t="shared" ca="1" si="42"/>
        <v>0</v>
      </c>
    </row>
    <row r="290" spans="1:12" ht="11.25" x14ac:dyDescent="0.2">
      <c r="A290" s="325"/>
      <c r="B290" s="24"/>
      <c r="C290" s="3"/>
      <c r="D290" s="325"/>
      <c r="E290" s="3"/>
      <c r="F290" s="3"/>
      <c r="G290" s="3"/>
      <c r="H290" s="3"/>
      <c r="I290" s="3"/>
      <c r="J290" s="3"/>
      <c r="K290" s="3"/>
      <c r="L290" s="3"/>
    </row>
    <row r="291" spans="1:12" ht="11.25" x14ac:dyDescent="0.2">
      <c r="A291" s="325">
        <f>A289+1</f>
        <v>30</v>
      </c>
      <c r="B291" s="3"/>
      <c r="C291" s="25" t="s">
        <v>162</v>
      </c>
      <c r="D291" s="325"/>
      <c r="E291" s="3">
        <f>Demand!E220+Demand!E227+E271+E289</f>
        <v>35488996</v>
      </c>
      <c r="F291" s="3">
        <f ca="1">Demand!F220+Demand!F227+F271+F289</f>
        <v>13832422</v>
      </c>
      <c r="G291" s="3">
        <f ca="1">Demand!G220+Demand!G227+G271+G289</f>
        <v>9367000</v>
      </c>
      <c r="H291" s="3">
        <f ca="1">Demand!H220+Demand!H227+H271+H289</f>
        <v>20224</v>
      </c>
      <c r="I291" s="3">
        <f ca="1">Demand!I220+Demand!I227+I271+I289</f>
        <v>6633.1000000000058</v>
      </c>
      <c r="J291" s="3">
        <f ca="1">Demand!J220+Demand!J227+J271+J289</f>
        <v>12262713</v>
      </c>
      <c r="K291" s="3">
        <f ca="1">Demand!K220+Demand!K227+K271+K289</f>
        <v>0</v>
      </c>
      <c r="L291" s="3">
        <f ca="1">Demand!L220+Demand!L227+L271+L289</f>
        <v>0</v>
      </c>
    </row>
    <row r="292" spans="1:12" ht="11.25" x14ac:dyDescent="0.2">
      <c r="A292" s="3" t="s">
        <v>819</v>
      </c>
      <c r="B292" s="3"/>
      <c r="C292" s="14"/>
      <c r="D292" s="325"/>
      <c r="E292" s="3"/>
      <c r="F292" s="325" t="str">
        <f>" "&amp;+Input!$B$1</f>
        <v xml:space="preserve"> COLUMBIA GAS OF KENTUCKY, INC.</v>
      </c>
      <c r="H292" s="3"/>
      <c r="I292" s="3"/>
      <c r="J292" s="3"/>
      <c r="K292" s="3"/>
      <c r="L292" s="32" t="str">
        <f>Input!$B$2</f>
        <v>ATTACHMENT CEN-2</v>
      </c>
    </row>
    <row r="293" spans="1:12" ht="11.25" x14ac:dyDescent="0.2">
      <c r="A293" s="3" t="str">
        <f>Input!$B$7</f>
        <v>DEMAND-COMMODITY</v>
      </c>
      <c r="B293" s="3"/>
      <c r="C293" s="3"/>
      <c r="D293" s="325"/>
      <c r="E293" s="3"/>
      <c r="F293" s="325" t="s">
        <v>165</v>
      </c>
      <c r="H293" s="3"/>
      <c r="I293" s="3"/>
      <c r="J293" s="3"/>
      <c r="K293" s="3"/>
      <c r="L293" s="32" t="str">
        <f>"PAGE 112 OF "&amp;FIXED(Input!$B$8,0,TRUE)</f>
        <v>PAGE 112 OF 129</v>
      </c>
    </row>
    <row r="294" spans="1:12" ht="11.25" x14ac:dyDescent="0.2">
      <c r="A294" s="17" t="str">
        <f>Input!$B$6</f>
        <v>FORECASTED TEST YEAR - ORIGINAL FILING</v>
      </c>
      <c r="B294" s="17"/>
      <c r="C294" s="17"/>
      <c r="D294" s="34"/>
      <c r="E294" s="18"/>
      <c r="F294" s="19" t="str">
        <f>"FOR THE TWELVE MONTHS ENDED "&amp;Input!$B$4</f>
        <v>FOR THE TWELVE MONTHS ENDED 12/31/2017</v>
      </c>
      <c r="G294" s="329"/>
      <c r="H294" s="17"/>
      <c r="I294" s="17"/>
      <c r="J294" s="17"/>
      <c r="K294" s="17"/>
      <c r="L294" s="183" t="str">
        <f>"WITNESS: "&amp;Input!$B$5</f>
        <v>WITNESS: C. NOTESTONE</v>
      </c>
    </row>
    <row r="295" spans="1:12" ht="11.25" x14ac:dyDescent="0.2">
      <c r="A295" s="325" t="s">
        <v>5</v>
      </c>
      <c r="B295" s="3" t="s">
        <v>6</v>
      </c>
      <c r="C295" s="3"/>
      <c r="D295" s="325" t="s">
        <v>7</v>
      </c>
      <c r="E295" s="325" t="s">
        <v>8</v>
      </c>
      <c r="F295" s="3"/>
      <c r="G295" s="3"/>
      <c r="H295" s="3"/>
      <c r="I295" s="3"/>
      <c r="J295" s="3"/>
      <c r="K295" s="3"/>
      <c r="L295" s="3"/>
    </row>
    <row r="296" spans="1:12" ht="11.25" x14ac:dyDescent="0.2">
      <c r="A296" s="341" t="s">
        <v>9</v>
      </c>
      <c r="B296" s="341" t="s">
        <v>9</v>
      </c>
      <c r="C296" s="34" t="str">
        <f>Demand!C128</f>
        <v xml:space="preserve"> ACCOUNT TITLE</v>
      </c>
      <c r="D296" s="341" t="s">
        <v>10</v>
      </c>
      <c r="E296" s="341" t="s">
        <v>813</v>
      </c>
      <c r="F296" s="341" t="str">
        <f>"  "&amp;+Input!$C$12</f>
        <v xml:space="preserve">  GS-RESIDENTIAL</v>
      </c>
      <c r="G296" s="341" t="str">
        <f>Input!$C$13</f>
        <v>GS-OTHER</v>
      </c>
      <c r="H296" s="341" t="str">
        <f>Input!$C$14</f>
        <v>IUS</v>
      </c>
      <c r="I296" s="341" t="str">
        <f>Input!$C$15</f>
        <v>DS-ML</v>
      </c>
      <c r="J296" s="341" t="str">
        <f>Input!$C$16</f>
        <v>DS/IS</v>
      </c>
      <c r="K296" s="341" t="str">
        <f>Input!$C$17</f>
        <v>NOT USED</v>
      </c>
      <c r="L296" s="341" t="str">
        <f>Input!$C$18</f>
        <v>NOT USED</v>
      </c>
    </row>
    <row r="297" spans="1:12" ht="11.25" x14ac:dyDescent="0.2">
      <c r="A297" s="3"/>
      <c r="B297" s="342" t="s">
        <v>13</v>
      </c>
      <c r="C297" s="342" t="s">
        <v>14</v>
      </c>
      <c r="D297" s="325" t="s">
        <v>15</v>
      </c>
      <c r="E297" s="325" t="s">
        <v>16</v>
      </c>
      <c r="F297" s="325" t="s">
        <v>17</v>
      </c>
      <c r="G297" s="325" t="s">
        <v>18</v>
      </c>
      <c r="H297" s="325" t="s">
        <v>19</v>
      </c>
      <c r="I297" s="325" t="s">
        <v>20</v>
      </c>
      <c r="J297" s="325" t="s">
        <v>21</v>
      </c>
      <c r="K297" s="325" t="s">
        <v>22</v>
      </c>
      <c r="L297" s="325" t="s">
        <v>23</v>
      </c>
    </row>
    <row r="298" spans="1:12" ht="11.25" x14ac:dyDescent="0.2">
      <c r="A298" s="3"/>
      <c r="B298" s="3"/>
      <c r="C298" s="3"/>
      <c r="D298" s="325"/>
      <c r="E298" s="325" t="s">
        <v>26</v>
      </c>
      <c r="F298" s="325" t="s">
        <v>26</v>
      </c>
      <c r="G298" s="325" t="s">
        <v>26</v>
      </c>
      <c r="H298" s="325" t="s">
        <v>26</v>
      </c>
      <c r="I298" s="325" t="s">
        <v>26</v>
      </c>
      <c r="J298" s="325" t="s">
        <v>26</v>
      </c>
      <c r="K298" s="325" t="s">
        <v>26</v>
      </c>
      <c r="L298" s="325" t="s">
        <v>26</v>
      </c>
    </row>
    <row r="299" spans="1:12" ht="11.25" x14ac:dyDescent="0.2">
      <c r="A299" s="3"/>
      <c r="B299" s="3"/>
      <c r="C299" s="3" t="str">
        <f>Input!A209</f>
        <v>INTANGIBLE PLANT</v>
      </c>
      <c r="D299" s="325"/>
      <c r="E299" s="3"/>
      <c r="F299" s="3"/>
      <c r="G299" s="3"/>
      <c r="H299" s="3"/>
      <c r="I299" s="3"/>
      <c r="J299" s="3"/>
      <c r="K299" s="3"/>
      <c r="L299" s="3"/>
    </row>
    <row r="300" spans="1:12" ht="11.25" x14ac:dyDescent="0.2">
      <c r="A300" s="3"/>
      <c r="B300" s="3"/>
      <c r="C300" s="3"/>
      <c r="D300" s="325"/>
      <c r="E300" s="3"/>
      <c r="F300" s="3"/>
      <c r="G300" s="3"/>
      <c r="H300" s="3"/>
      <c r="I300" s="3"/>
      <c r="J300" s="3"/>
      <c r="K300" s="3"/>
      <c r="L300" s="3"/>
    </row>
    <row r="301" spans="1:12" ht="11.25" x14ac:dyDescent="0.2">
      <c r="A301" s="3">
        <v>1</v>
      </c>
      <c r="B301" s="24">
        <f>Input!A210</f>
        <v>301</v>
      </c>
      <c r="C301" s="3" t="str">
        <f>Input!B210</f>
        <v>ORGANIZATION</v>
      </c>
      <c r="D301" s="325" t="str">
        <f>D215</f>
        <v>7DEM</v>
      </c>
      <c r="E301" s="3">
        <f>Classification!E301-Classification!F301-Classification!G301</f>
        <v>0</v>
      </c>
      <c r="F301" s="3">
        <f ca="1">ROUND((VLOOKUP($D301,'Alloc Table Dem'!$B$7:$T$56,13,FALSE)*$E301),0)</f>
        <v>0</v>
      </c>
      <c r="G301" s="3">
        <f ca="1">ROUND((VLOOKUP($D301,'Alloc Table Dem'!$B$7:$T$56,14,FALSE)*$E301),0)</f>
        <v>0</v>
      </c>
      <c r="H301" s="3">
        <f ca="1">ROUND((VLOOKUP($D301,'Alloc Table Dem'!$B$7:$T$56,15,FALSE)*$E301),0)</f>
        <v>0</v>
      </c>
      <c r="I301" s="3">
        <f ca="1">ROUND((VLOOKUP($D301,'Alloc Table Dem'!$B$7:$T$56,16,FALSE)*$E301),0)</f>
        <v>0</v>
      </c>
      <c r="J301" s="3">
        <f ca="1">ROUND((VLOOKUP($D301,'Alloc Table Dem'!$B$7:$T$56,17,FALSE)*$E301),0)</f>
        <v>0</v>
      </c>
      <c r="K301" s="3">
        <f ca="1">ROUND((VLOOKUP($D301,'Alloc Table Dem'!$B$7:$T$56,18,FALSE)*$E301),0)</f>
        <v>0</v>
      </c>
      <c r="L301" s="3">
        <f ca="1">ROUND((VLOOKUP($D301,'Alloc Table Dem'!$B$7:$T$56,19,FALSE)*$E301),0)</f>
        <v>0</v>
      </c>
    </row>
    <row r="302" spans="1:12" ht="11.25" x14ac:dyDescent="0.2">
      <c r="A302" s="3">
        <f>A301+1</f>
        <v>2</v>
      </c>
      <c r="B302" s="24">
        <f>Input!A211</f>
        <v>303</v>
      </c>
      <c r="C302" s="3" t="str">
        <f>Input!B211</f>
        <v>MISC. INTANGIBLE PLANT</v>
      </c>
      <c r="D302" s="325" t="str">
        <f t="shared" ref="D302:D305" si="43">D216</f>
        <v>7DEM</v>
      </c>
      <c r="E302" s="3">
        <f>Classification!E302-Classification!F302-Classification!G302</f>
        <v>720.24000000000024</v>
      </c>
      <c r="F302" s="3">
        <f ca="1">ROUND((VLOOKUP($D302,'Alloc Table Dem'!$B$7:$T$56,13,FALSE)*$E302),0)</f>
        <v>281</v>
      </c>
      <c r="G302" s="3">
        <f ca="1">ROUND((VLOOKUP($D302,'Alloc Table Dem'!$B$7:$T$56,14,FALSE)*$E302),0)</f>
        <v>190</v>
      </c>
      <c r="H302" s="3">
        <f ca="1">ROUND((VLOOKUP($D302,'Alloc Table Dem'!$B$7:$T$56,15,FALSE)*$E302),0)</f>
        <v>0</v>
      </c>
      <c r="I302" s="3">
        <f ca="1">ROUND((VLOOKUP($D302,'Alloc Table Dem'!$B$7:$T$56,16,FALSE)*$E302),0)</f>
        <v>0</v>
      </c>
      <c r="J302" s="3">
        <f ca="1">ROUND((VLOOKUP($D302,'Alloc Table Dem'!$B$7:$T$56,17,FALSE)*$E302),0)</f>
        <v>249</v>
      </c>
      <c r="K302" s="3">
        <f ca="1">ROUND((VLOOKUP($D302,'Alloc Table Dem'!$B$7:$T$56,18,FALSE)*$E302),0)</f>
        <v>0</v>
      </c>
      <c r="L302" s="3">
        <f ca="1">ROUND((VLOOKUP($D302,'Alloc Table Dem'!$B$7:$T$56,19,FALSE)*$E302),0)</f>
        <v>0</v>
      </c>
    </row>
    <row r="303" spans="1:12" ht="11.25" x14ac:dyDescent="0.2">
      <c r="A303" s="3">
        <f>A302+1</f>
        <v>3</v>
      </c>
      <c r="B303" s="24">
        <f>Input!A212</f>
        <v>303.10000000000002</v>
      </c>
      <c r="C303" s="3" t="str">
        <f>Input!B212</f>
        <v>DIS SOFTWARE</v>
      </c>
      <c r="D303" s="325" t="str">
        <f t="shared" si="43"/>
        <v>7DEM</v>
      </c>
      <c r="E303" s="3">
        <f>Classification!E303-Classification!F303-Classification!G303</f>
        <v>0</v>
      </c>
      <c r="F303" s="3">
        <f ca="1">ROUND((VLOOKUP($D303,'Alloc Table Dem'!$B$7:$T$56,13,FALSE)*$E303),0)</f>
        <v>0</v>
      </c>
      <c r="G303" s="3">
        <f ca="1">ROUND((VLOOKUP($D303,'Alloc Table Dem'!$B$7:$T$56,14,FALSE)*$E303),0)</f>
        <v>0</v>
      </c>
      <c r="H303" s="3">
        <f ca="1">ROUND((VLOOKUP($D303,'Alloc Table Dem'!$B$7:$T$56,15,FALSE)*$E303),0)</f>
        <v>0</v>
      </c>
      <c r="I303" s="3">
        <f ca="1">ROUND((VLOOKUP($D303,'Alloc Table Dem'!$B$7:$T$56,16,FALSE)*$E303),0)</f>
        <v>0</v>
      </c>
      <c r="J303" s="3">
        <f ca="1">ROUND((VLOOKUP($D303,'Alloc Table Dem'!$B$7:$T$56,17,FALSE)*$E303),0)</f>
        <v>0</v>
      </c>
      <c r="K303" s="3">
        <f ca="1">ROUND((VLOOKUP($D303,'Alloc Table Dem'!$B$7:$T$56,18,FALSE)*$E303),0)</f>
        <v>0</v>
      </c>
      <c r="L303" s="3">
        <f ca="1">ROUND((VLOOKUP($D303,'Alloc Table Dem'!$B$7:$T$56,19,FALSE)*$E303),0)</f>
        <v>0</v>
      </c>
    </row>
    <row r="304" spans="1:12" ht="11.25" x14ac:dyDescent="0.2">
      <c r="A304" s="3">
        <f>A303+1</f>
        <v>4</v>
      </c>
      <c r="B304" s="24">
        <f>Input!A213</f>
        <v>303.2</v>
      </c>
      <c r="C304" s="3" t="str">
        <f>Input!B213</f>
        <v>FARA SOFTWARE</v>
      </c>
      <c r="D304" s="325" t="str">
        <f t="shared" si="43"/>
        <v>7DEM</v>
      </c>
      <c r="E304" s="3">
        <f>Classification!E304-Classification!F304-Classification!G304</f>
        <v>0</v>
      </c>
      <c r="F304" s="3">
        <f ca="1">ROUND((VLOOKUP($D304,'Alloc Table Dem'!$B$7:$T$56,13,FALSE)*$E304),0)</f>
        <v>0</v>
      </c>
      <c r="G304" s="3">
        <f ca="1">ROUND((VLOOKUP($D304,'Alloc Table Dem'!$B$7:$T$56,14,FALSE)*$E304),0)</f>
        <v>0</v>
      </c>
      <c r="H304" s="3">
        <f ca="1">ROUND((VLOOKUP($D304,'Alloc Table Dem'!$B$7:$T$56,15,FALSE)*$E304),0)</f>
        <v>0</v>
      </c>
      <c r="I304" s="3">
        <f ca="1">ROUND((VLOOKUP($D304,'Alloc Table Dem'!$B$7:$T$56,16,FALSE)*$E304),0)</f>
        <v>0</v>
      </c>
      <c r="J304" s="3">
        <f ca="1">ROUND((VLOOKUP($D304,'Alloc Table Dem'!$B$7:$T$56,17,FALSE)*$E304),0)</f>
        <v>0</v>
      </c>
      <c r="K304" s="3">
        <f ca="1">ROUND((VLOOKUP($D304,'Alloc Table Dem'!$B$7:$T$56,18,FALSE)*$E304),0)</f>
        <v>0</v>
      </c>
      <c r="L304" s="3">
        <f ca="1">ROUND((VLOOKUP($D304,'Alloc Table Dem'!$B$7:$T$56,19,FALSE)*$E304),0)</f>
        <v>0</v>
      </c>
    </row>
    <row r="305" spans="1:12" ht="11.25" x14ac:dyDescent="0.2">
      <c r="A305" s="3">
        <f>A304+1</f>
        <v>5</v>
      </c>
      <c r="B305" s="24">
        <f>Input!A214</f>
        <v>303.3</v>
      </c>
      <c r="C305" s="3" t="str">
        <f>Input!B214</f>
        <v>OTHER SOFTWARE</v>
      </c>
      <c r="D305" s="325" t="str">
        <f t="shared" si="43"/>
        <v>7DEM</v>
      </c>
      <c r="E305" s="26">
        <f>Classification!E305-Classification!F305-Classification!G305</f>
        <v>369741.32335082255</v>
      </c>
      <c r="F305" s="26">
        <f ca="1">ROUND((VLOOKUP($D305,'Alloc Table Dem'!$B$7:$T$56,13,FALSE)*$E305),0)</f>
        <v>144103</v>
      </c>
      <c r="G305" s="26">
        <f ca="1">ROUND((VLOOKUP($D305,'Alloc Table Dem'!$B$7:$T$56,14,FALSE)*$E305),0)</f>
        <v>97586</v>
      </c>
      <c r="H305" s="26">
        <f ca="1">ROUND((VLOOKUP($D305,'Alloc Table Dem'!$B$7:$T$56,15,FALSE)*$E305),0)</f>
        <v>211</v>
      </c>
      <c r="I305" s="26">
        <f ca="1">ROUND((VLOOKUP($D305,'Alloc Table Dem'!$B$7:$T$56,16,FALSE)*$E305),0)</f>
        <v>89</v>
      </c>
      <c r="J305" s="26">
        <f ca="1">ROUND((VLOOKUP($D305,'Alloc Table Dem'!$B$7:$T$56,17,FALSE)*$E305),0)</f>
        <v>127753</v>
      </c>
      <c r="K305" s="26">
        <f ca="1">ROUND((VLOOKUP($D305,'Alloc Table Dem'!$B$7:$T$56,18,FALSE)*$E305),0)</f>
        <v>0</v>
      </c>
      <c r="L305" s="26">
        <f ca="1">ROUND((VLOOKUP($D305,'Alloc Table Dem'!$B$7:$T$56,19,FALSE)*$E305),0)</f>
        <v>0</v>
      </c>
    </row>
    <row r="306" spans="1:12" ht="11.25" x14ac:dyDescent="0.2">
      <c r="A306" s="3">
        <f>A305+1</f>
        <v>6</v>
      </c>
      <c r="B306" s="24"/>
      <c r="C306" s="3" t="s">
        <v>159</v>
      </c>
      <c r="D306" s="325"/>
      <c r="E306" s="3">
        <f t="shared" ref="E306:L306" si="44">SUM(E301:E305)</f>
        <v>370461.56335082254</v>
      </c>
      <c r="F306" s="3">
        <f t="shared" ca="1" si="44"/>
        <v>144384</v>
      </c>
      <c r="G306" s="3">
        <f t="shared" ca="1" si="44"/>
        <v>97776</v>
      </c>
      <c r="H306" s="3">
        <f t="shared" ca="1" si="44"/>
        <v>211</v>
      </c>
      <c r="I306" s="3">
        <f t="shared" ca="1" si="44"/>
        <v>89</v>
      </c>
      <c r="J306" s="3">
        <f t="shared" ca="1" si="44"/>
        <v>128002</v>
      </c>
      <c r="K306" s="3">
        <f t="shared" ca="1" si="44"/>
        <v>0</v>
      </c>
      <c r="L306" s="3">
        <f t="shared" ca="1" si="44"/>
        <v>0</v>
      </c>
    </row>
    <row r="307" spans="1:12" ht="11.25" x14ac:dyDescent="0.2">
      <c r="A307" s="3"/>
      <c r="B307" s="3"/>
      <c r="C307" s="3"/>
      <c r="D307" s="325"/>
      <c r="E307" s="3"/>
      <c r="F307" s="3"/>
      <c r="G307" s="3"/>
      <c r="H307" s="3"/>
      <c r="I307" s="3"/>
      <c r="J307" s="3"/>
      <c r="K307" s="3"/>
      <c r="L307" s="3"/>
    </row>
    <row r="308" spans="1:12" ht="11.25" x14ac:dyDescent="0.2">
      <c r="A308" s="3">
        <f>A306+1</f>
        <v>7</v>
      </c>
      <c r="B308" s="3"/>
      <c r="C308" s="24" t="str">
        <f>Input!A215</f>
        <v>PRODUCTION PLANT</v>
      </c>
      <c r="D308" s="325"/>
      <c r="E308" s="3"/>
      <c r="F308" s="3"/>
      <c r="G308" s="3"/>
      <c r="H308" s="3"/>
      <c r="I308" s="3"/>
      <c r="J308" s="3"/>
      <c r="K308" s="3"/>
      <c r="L308" s="3"/>
    </row>
    <row r="309" spans="1:12" ht="11.25" x14ac:dyDescent="0.2">
      <c r="A309" s="3"/>
      <c r="B309" s="3"/>
      <c r="C309" s="3"/>
      <c r="D309" s="325"/>
      <c r="E309" s="3"/>
      <c r="F309" s="3"/>
      <c r="G309" s="3"/>
      <c r="H309" s="3"/>
      <c r="I309" s="3"/>
      <c r="J309" s="3"/>
      <c r="K309" s="3"/>
      <c r="L309" s="3"/>
    </row>
    <row r="310" spans="1:12" ht="11.25" x14ac:dyDescent="0.2">
      <c r="A310" s="3">
        <f>A308+1</f>
        <v>8</v>
      </c>
      <c r="B310" s="24">
        <f>Input!A216</f>
        <v>304.10000000000002</v>
      </c>
      <c r="C310" s="24" t="str">
        <f>Input!B216</f>
        <v>LAND</v>
      </c>
      <c r="D310" s="249">
        <f>Input!C216</f>
        <v>2</v>
      </c>
      <c r="E310" s="3">
        <f>Classification!E310-Classification!F310-Classification!G310</f>
        <v>0</v>
      </c>
      <c r="F310" s="3">
        <f>ROUND((VLOOKUP($D310,'Alloc Table Dem'!$B$7:$T$56,13,FALSE)*$E310),0)</f>
        <v>0</v>
      </c>
      <c r="G310" s="3">
        <f>ROUND((VLOOKUP($D310,'Alloc Table Dem'!$B$7:$T$56,14,FALSE)*$E310),0)</f>
        <v>0</v>
      </c>
      <c r="H310" s="3">
        <f>ROUND((VLOOKUP($D310,'Alloc Table Dem'!$B$7:$T$56,15,FALSE)*$E310),0)</f>
        <v>0</v>
      </c>
      <c r="I310" s="3">
        <f>ROUND((VLOOKUP($D310,'Alloc Table Dem'!$B$7:$T$56,16,FALSE)*$E310),0)</f>
        <v>0</v>
      </c>
      <c r="J310" s="3">
        <f>ROUND((VLOOKUP($D310,'Alloc Table Dem'!$B$7:$T$56,17,FALSE)*$E310),0)</f>
        <v>0</v>
      </c>
      <c r="K310" s="3">
        <f>ROUND((VLOOKUP($D310,'Alloc Table Dem'!$B$7:$T$56,18,FALSE)*$E310),0)</f>
        <v>0</v>
      </c>
      <c r="L310" s="3">
        <f>ROUND((VLOOKUP($D310,'Alloc Table Dem'!$B$7:$T$56,19,FALSE)*$E310),0)</f>
        <v>0</v>
      </c>
    </row>
    <row r="311" spans="1:12" ht="11.25" x14ac:dyDescent="0.2">
      <c r="A311" s="3">
        <f>A310+1</f>
        <v>9</v>
      </c>
      <c r="B311" s="24">
        <f>Input!A217</f>
        <v>305</v>
      </c>
      <c r="C311" s="24" t="str">
        <f>Input!B217</f>
        <v>STRUCTURES &amp; IMPROVEMENTS</v>
      </c>
      <c r="D311" s="249">
        <f>Input!C217</f>
        <v>2</v>
      </c>
      <c r="E311" s="3">
        <f>Classification!E311-Classification!F311-Classification!G311</f>
        <v>0</v>
      </c>
      <c r="F311" s="3">
        <f>ROUND((VLOOKUP($D311,'Alloc Table Dem'!$B$7:$T$56,13,FALSE)*$E311),0)</f>
        <v>0</v>
      </c>
      <c r="G311" s="3">
        <f>ROUND((VLOOKUP($D311,'Alloc Table Dem'!$B$7:$T$56,14,FALSE)*$E311),0)</f>
        <v>0</v>
      </c>
      <c r="H311" s="3">
        <f>ROUND((VLOOKUP($D311,'Alloc Table Dem'!$B$7:$T$56,15,FALSE)*$E311),0)</f>
        <v>0</v>
      </c>
      <c r="I311" s="3">
        <f>ROUND((VLOOKUP($D311,'Alloc Table Dem'!$B$7:$T$56,16,FALSE)*$E311),0)</f>
        <v>0</v>
      </c>
      <c r="J311" s="3">
        <f>ROUND((VLOOKUP($D311,'Alloc Table Dem'!$B$7:$T$56,17,FALSE)*$E311),0)</f>
        <v>0</v>
      </c>
      <c r="K311" s="3">
        <f>ROUND((VLOOKUP($D311,'Alloc Table Dem'!$B$7:$T$56,18,FALSE)*$E311),0)</f>
        <v>0</v>
      </c>
      <c r="L311" s="3">
        <f>ROUND((VLOOKUP($D311,'Alloc Table Dem'!$B$7:$T$56,19,FALSE)*$E311),0)</f>
        <v>0</v>
      </c>
    </row>
    <row r="312" spans="1:12" ht="11.25" x14ac:dyDescent="0.2">
      <c r="A312" s="3">
        <f>A311+1</f>
        <v>10</v>
      </c>
      <c r="B312" s="24">
        <f>Input!A218</f>
        <v>311</v>
      </c>
      <c r="C312" s="24" t="str">
        <f>Input!B218</f>
        <v>LIQUEFIED PETROLEUM GAS EQUIP</v>
      </c>
      <c r="D312" s="249">
        <f>Input!C218</f>
        <v>2</v>
      </c>
      <c r="E312" s="26">
        <f>Classification!E312-Classification!F312-Classification!G312</f>
        <v>0</v>
      </c>
      <c r="F312" s="26">
        <f>ROUND((VLOOKUP($D312,'Alloc Table Dem'!$B$7:$T$56,13,FALSE)*$E312),0)</f>
        <v>0</v>
      </c>
      <c r="G312" s="26">
        <f>ROUND((VLOOKUP($D312,'Alloc Table Dem'!$B$7:$T$56,14,FALSE)*$E312),0)</f>
        <v>0</v>
      </c>
      <c r="H312" s="26">
        <f>ROUND((VLOOKUP($D312,'Alloc Table Dem'!$B$7:$T$56,15,FALSE)*$E312),0)</f>
        <v>0</v>
      </c>
      <c r="I312" s="26">
        <f>ROUND((VLOOKUP($D312,'Alloc Table Dem'!$B$7:$T$56,16,FALSE)*$E312),0)</f>
        <v>0</v>
      </c>
      <c r="J312" s="26">
        <f>ROUND((VLOOKUP($D312,'Alloc Table Dem'!$B$7:$T$56,17,FALSE)*$E312),0)</f>
        <v>0</v>
      </c>
      <c r="K312" s="26">
        <f>ROUND((VLOOKUP($D312,'Alloc Table Dem'!$B$7:$T$56,18,FALSE)*$E312),0)</f>
        <v>0</v>
      </c>
      <c r="L312" s="26">
        <f>ROUND((VLOOKUP($D312,'Alloc Table Dem'!$B$7:$T$56,19,FALSE)*$E312),0)</f>
        <v>0</v>
      </c>
    </row>
    <row r="313" spans="1:12" ht="11.25" x14ac:dyDescent="0.2">
      <c r="A313" s="3">
        <f>A312+1</f>
        <v>11</v>
      </c>
      <c r="B313" s="24"/>
      <c r="C313" s="3" t="s">
        <v>160</v>
      </c>
      <c r="D313" s="325"/>
      <c r="E313" s="3">
        <f t="shared" ref="E313:L313" si="45">SUM(E310:E312)</f>
        <v>0</v>
      </c>
      <c r="F313" s="3">
        <f t="shared" si="45"/>
        <v>0</v>
      </c>
      <c r="G313" s="3">
        <f t="shared" si="45"/>
        <v>0</v>
      </c>
      <c r="H313" s="3">
        <f t="shared" si="45"/>
        <v>0</v>
      </c>
      <c r="I313" s="3">
        <f t="shared" si="45"/>
        <v>0</v>
      </c>
      <c r="J313" s="3">
        <f t="shared" si="45"/>
        <v>0</v>
      </c>
      <c r="K313" s="3">
        <f t="shared" si="45"/>
        <v>0</v>
      </c>
      <c r="L313" s="3">
        <f t="shared" si="45"/>
        <v>0</v>
      </c>
    </row>
    <row r="314" spans="1:12" ht="11.25" x14ac:dyDescent="0.2">
      <c r="A314" s="3"/>
      <c r="B314" s="3"/>
      <c r="C314" s="3"/>
      <c r="D314" s="325"/>
      <c r="E314" s="3"/>
      <c r="F314" s="3"/>
      <c r="G314" s="3"/>
      <c r="H314" s="3"/>
      <c r="I314" s="3"/>
      <c r="J314" s="3"/>
      <c r="K314" s="3"/>
      <c r="L314" s="3"/>
    </row>
    <row r="315" spans="1:12" ht="11.25" x14ac:dyDescent="0.2">
      <c r="A315" s="3">
        <f>A313+1</f>
        <v>12</v>
      </c>
      <c r="B315" s="3"/>
      <c r="C315" s="3" t="str">
        <f>Input!A219</f>
        <v>DISTRIBUTION PLANT</v>
      </c>
      <c r="D315" s="325"/>
      <c r="E315" s="3"/>
      <c r="F315" s="3"/>
      <c r="G315" s="3"/>
      <c r="H315" s="3"/>
      <c r="I315" s="3"/>
      <c r="J315" s="3"/>
      <c r="K315" s="3"/>
      <c r="L315" s="3"/>
    </row>
    <row r="316" spans="1:12" ht="11.25" x14ac:dyDescent="0.2">
      <c r="A316" s="3"/>
      <c r="B316" s="3"/>
      <c r="C316" s="3"/>
      <c r="D316" s="325"/>
      <c r="E316" s="3"/>
      <c r="F316" s="3"/>
      <c r="G316" s="3"/>
      <c r="H316" s="3"/>
      <c r="I316" s="3"/>
      <c r="J316" s="3"/>
      <c r="K316" s="3"/>
      <c r="L316" s="3"/>
    </row>
    <row r="317" spans="1:12" ht="11.25" x14ac:dyDescent="0.2">
      <c r="A317" s="3">
        <f>A315+1</f>
        <v>13</v>
      </c>
      <c r="B317" s="24">
        <f>Input!A220</f>
        <v>374.1</v>
      </c>
      <c r="C317" s="3" t="str">
        <f>Input!B220</f>
        <v>LAND - CITY GATE &amp; M/L IND M&amp;R</v>
      </c>
      <c r="D317" s="325">
        <f>Input!C220</f>
        <v>5</v>
      </c>
      <c r="E317" s="3">
        <f>Classification!E317-Classification!F317-Classification!G317</f>
        <v>0</v>
      </c>
      <c r="F317" s="3">
        <f>ROUND((VLOOKUP($D317,'Alloc Table Dem'!$B$7:$T$56,13,FALSE)*$E317),0)</f>
        <v>0</v>
      </c>
      <c r="G317" s="3">
        <f>ROUND((VLOOKUP($D317,'Alloc Table Dem'!$B$7:$T$56,14,FALSE)*$E317),0)</f>
        <v>0</v>
      </c>
      <c r="H317" s="3">
        <f>ROUND((VLOOKUP($D317,'Alloc Table Dem'!$B$7:$T$56,15,FALSE)*$E317),0)</f>
        <v>0</v>
      </c>
      <c r="I317" s="3">
        <f>ROUND((VLOOKUP($D317,'Alloc Table Dem'!$B$7:$T$56,16,FALSE)*$E317),0)</f>
        <v>0</v>
      </c>
      <c r="J317" s="3">
        <f>ROUND((VLOOKUP($D317,'Alloc Table Dem'!$B$7:$T$56,17,FALSE)*$E317),0)</f>
        <v>0</v>
      </c>
      <c r="K317" s="3">
        <f>ROUND((VLOOKUP($D317,'Alloc Table Dem'!$B$7:$T$56,18,FALSE)*$E317),0)</f>
        <v>0</v>
      </c>
      <c r="L317" s="3">
        <f>ROUND((VLOOKUP($D317,'Alloc Table Dem'!$B$7:$T$56,19,FALSE)*$E317),0)</f>
        <v>0</v>
      </c>
    </row>
    <row r="318" spans="1:12" ht="11.25" x14ac:dyDescent="0.2">
      <c r="A318" s="3">
        <f t="shared" ref="A318:A336" si="46">A317+1</f>
        <v>14</v>
      </c>
      <c r="B318" s="24">
        <f>Input!A221</f>
        <v>374.2</v>
      </c>
      <c r="C318" s="3" t="str">
        <f>Input!B221</f>
        <v>LAND - OTHER DISTRIBUTION</v>
      </c>
      <c r="D318" s="325">
        <f>Input!C221</f>
        <v>5</v>
      </c>
      <c r="E318" s="3">
        <f>Classification!E318-Classification!F318-Classification!G318</f>
        <v>0</v>
      </c>
      <c r="F318" s="3">
        <f>ROUND((VLOOKUP($D318,'Alloc Table Dem'!$B$7:$T$56,13,FALSE)*$E318),0)</f>
        <v>0</v>
      </c>
      <c r="G318" s="3">
        <f>ROUND((VLOOKUP($D318,'Alloc Table Dem'!$B$7:$T$56,14,FALSE)*$E318),0)</f>
        <v>0</v>
      </c>
      <c r="H318" s="3">
        <f>ROUND((VLOOKUP($D318,'Alloc Table Dem'!$B$7:$T$56,15,FALSE)*$E318),0)</f>
        <v>0</v>
      </c>
      <c r="I318" s="3">
        <f>ROUND((VLOOKUP($D318,'Alloc Table Dem'!$B$7:$T$56,16,FALSE)*$E318),0)</f>
        <v>0</v>
      </c>
      <c r="J318" s="3">
        <f>ROUND((VLOOKUP($D318,'Alloc Table Dem'!$B$7:$T$56,17,FALSE)*$E318),0)</f>
        <v>0</v>
      </c>
      <c r="K318" s="3">
        <f>ROUND((VLOOKUP($D318,'Alloc Table Dem'!$B$7:$T$56,18,FALSE)*$E318),0)</f>
        <v>0</v>
      </c>
      <c r="L318" s="3">
        <f>ROUND((VLOOKUP($D318,'Alloc Table Dem'!$B$7:$T$56,19,FALSE)*$E318),0)</f>
        <v>0</v>
      </c>
    </row>
    <row r="319" spans="1:12" ht="11.25" x14ac:dyDescent="0.2">
      <c r="A319" s="3">
        <f t="shared" si="46"/>
        <v>15</v>
      </c>
      <c r="B319" s="24">
        <f>Input!A222</f>
        <v>374.4</v>
      </c>
      <c r="C319" s="3" t="str">
        <f>Input!B222</f>
        <v>LAND RIGHTS - OTHER DISTRIBUTION</v>
      </c>
      <c r="D319" s="325">
        <f>Input!C222</f>
        <v>5</v>
      </c>
      <c r="E319" s="3">
        <f>Classification!E319-Classification!F319-Classification!G319</f>
        <v>5754</v>
      </c>
      <c r="F319" s="3">
        <f>ROUND((VLOOKUP($D319,'Alloc Table Dem'!$B$7:$T$56,13,FALSE)*$E319),0)</f>
        <v>2243</v>
      </c>
      <c r="G319" s="3">
        <f>ROUND((VLOOKUP($D319,'Alloc Table Dem'!$B$7:$T$56,14,FALSE)*$E319),0)</f>
        <v>1519</v>
      </c>
      <c r="H319" s="3">
        <f>ROUND((VLOOKUP($D319,'Alloc Table Dem'!$B$7:$T$56,15,FALSE)*$E319),0)</f>
        <v>3</v>
      </c>
      <c r="I319" s="3">
        <f>ROUND((VLOOKUP($D319,'Alloc Table Dem'!$B$7:$T$56,16,FALSE)*$E319),0)</f>
        <v>0</v>
      </c>
      <c r="J319" s="3">
        <f>ROUND((VLOOKUP($D319,'Alloc Table Dem'!$B$7:$T$56,17,FALSE)*$E319),0)</f>
        <v>1989</v>
      </c>
      <c r="K319" s="3">
        <f>ROUND((VLOOKUP($D319,'Alloc Table Dem'!$B$7:$T$56,18,FALSE)*$E319),0)</f>
        <v>0</v>
      </c>
      <c r="L319" s="3">
        <f>ROUND((VLOOKUP($D319,'Alloc Table Dem'!$B$7:$T$56,19,FALSE)*$E319),0)</f>
        <v>0</v>
      </c>
    </row>
    <row r="320" spans="1:12" ht="11.25" x14ac:dyDescent="0.2">
      <c r="A320" s="3">
        <f t="shared" si="46"/>
        <v>16</v>
      </c>
      <c r="B320" s="24">
        <f>Input!A223</f>
        <v>374.5</v>
      </c>
      <c r="C320" s="3" t="str">
        <f>Input!B223</f>
        <v>RIGHTS OF WAY</v>
      </c>
      <c r="D320" s="325">
        <f>Input!C223</f>
        <v>5</v>
      </c>
      <c r="E320" s="3">
        <f>Classification!E320-Classification!F320-Classification!G320</f>
        <v>17607</v>
      </c>
      <c r="F320" s="3">
        <f>ROUND((VLOOKUP($D320,'Alloc Table Dem'!$B$7:$T$56,13,FALSE)*$E320),0)</f>
        <v>6864</v>
      </c>
      <c r="G320" s="3">
        <f>ROUND((VLOOKUP($D320,'Alloc Table Dem'!$B$7:$T$56,14,FALSE)*$E320),0)</f>
        <v>4648</v>
      </c>
      <c r="H320" s="3">
        <f>ROUND((VLOOKUP($D320,'Alloc Table Dem'!$B$7:$T$56,15,FALSE)*$E320),0)</f>
        <v>10</v>
      </c>
      <c r="I320" s="3">
        <f>ROUND((VLOOKUP($D320,'Alloc Table Dem'!$B$7:$T$56,16,FALSE)*$E320),0)</f>
        <v>0</v>
      </c>
      <c r="J320" s="3">
        <f>ROUND((VLOOKUP($D320,'Alloc Table Dem'!$B$7:$T$56,17,FALSE)*$E320),0)</f>
        <v>6085</v>
      </c>
      <c r="K320" s="3">
        <f>ROUND((VLOOKUP($D320,'Alloc Table Dem'!$B$7:$T$56,18,FALSE)*$E320),0)</f>
        <v>0</v>
      </c>
      <c r="L320" s="3">
        <f>ROUND((VLOOKUP($D320,'Alloc Table Dem'!$B$7:$T$56,19,FALSE)*$E320),0)</f>
        <v>0</v>
      </c>
    </row>
    <row r="321" spans="1:12" ht="11.25" x14ac:dyDescent="0.2">
      <c r="A321" s="3">
        <f t="shared" si="46"/>
        <v>17</v>
      </c>
      <c r="B321" s="24">
        <f>Input!A224</f>
        <v>375.2</v>
      </c>
      <c r="C321" s="3" t="str">
        <f>Input!B224</f>
        <v>CITY GATE - MEAS &amp; REG STRUCTURES</v>
      </c>
      <c r="D321" s="325">
        <f>Input!C224</f>
        <v>5</v>
      </c>
      <c r="E321" s="3">
        <f>Classification!E321-Classification!F321-Classification!G321</f>
        <v>36</v>
      </c>
      <c r="F321" s="3">
        <f>ROUND((VLOOKUP($D321,'Alloc Table Dem'!$B$7:$T$56,13,FALSE)*$E321),0)</f>
        <v>14</v>
      </c>
      <c r="G321" s="3">
        <f>ROUND((VLOOKUP($D321,'Alloc Table Dem'!$B$7:$T$56,14,FALSE)*$E321),0)</f>
        <v>10</v>
      </c>
      <c r="H321" s="3">
        <f>ROUND((VLOOKUP($D321,'Alloc Table Dem'!$B$7:$T$56,15,FALSE)*$E321),0)</f>
        <v>0</v>
      </c>
      <c r="I321" s="3">
        <f>ROUND((VLOOKUP($D321,'Alloc Table Dem'!$B$7:$T$56,16,FALSE)*$E321),0)</f>
        <v>0</v>
      </c>
      <c r="J321" s="3">
        <f>ROUND((VLOOKUP($D321,'Alloc Table Dem'!$B$7:$T$56,17,FALSE)*$E321),0)</f>
        <v>12</v>
      </c>
      <c r="K321" s="3">
        <f>ROUND((VLOOKUP($D321,'Alloc Table Dem'!$B$7:$T$56,18,FALSE)*$E321),0)</f>
        <v>0</v>
      </c>
      <c r="L321" s="3">
        <f>ROUND((VLOOKUP($D321,'Alloc Table Dem'!$B$7:$T$56,19,FALSE)*$E321),0)</f>
        <v>0</v>
      </c>
    </row>
    <row r="322" spans="1:12" ht="11.25" x14ac:dyDescent="0.2">
      <c r="A322" s="3">
        <f t="shared" si="46"/>
        <v>18</v>
      </c>
      <c r="B322" s="24">
        <f>Input!A225</f>
        <v>375.3</v>
      </c>
      <c r="C322" s="3" t="str">
        <f>Input!B225</f>
        <v>STRUC &amp; IMPROV-GENERAL M&amp;R</v>
      </c>
      <c r="D322" s="325">
        <f>Input!C225</f>
        <v>5</v>
      </c>
      <c r="E322" s="3">
        <f>Classification!E322-Classification!F322-Classification!G322</f>
        <v>0</v>
      </c>
      <c r="F322" s="3">
        <f>ROUND((VLOOKUP($D322,'Alloc Table Dem'!$B$7:$T$56,13,FALSE)*$E322),0)</f>
        <v>0</v>
      </c>
      <c r="G322" s="3">
        <f>ROUND((VLOOKUP($D322,'Alloc Table Dem'!$B$7:$T$56,14,FALSE)*$E322),0)</f>
        <v>0</v>
      </c>
      <c r="H322" s="3">
        <f>ROUND((VLOOKUP($D322,'Alloc Table Dem'!$B$7:$T$56,15,FALSE)*$E322),0)</f>
        <v>0</v>
      </c>
      <c r="I322" s="3">
        <f>ROUND((VLOOKUP($D322,'Alloc Table Dem'!$B$7:$T$56,16,FALSE)*$E322),0)</f>
        <v>0</v>
      </c>
      <c r="J322" s="3">
        <f>ROUND((VLOOKUP($D322,'Alloc Table Dem'!$B$7:$T$56,17,FALSE)*$E322),0)</f>
        <v>0</v>
      </c>
      <c r="K322" s="3">
        <f>ROUND((VLOOKUP($D322,'Alloc Table Dem'!$B$7:$T$56,18,FALSE)*$E322),0)</f>
        <v>0</v>
      </c>
      <c r="L322" s="3">
        <f>ROUND((VLOOKUP($D322,'Alloc Table Dem'!$B$7:$T$56,19,FALSE)*$E322),0)</f>
        <v>0</v>
      </c>
    </row>
    <row r="323" spans="1:12" ht="11.25" x14ac:dyDescent="0.2">
      <c r="A323" s="3">
        <f t="shared" si="46"/>
        <v>19</v>
      </c>
      <c r="B323" s="24">
        <f>Input!A226</f>
        <v>375.4</v>
      </c>
      <c r="C323" s="3" t="str">
        <f>Input!B226</f>
        <v>STRUC &amp; IMPROV-REGULATING</v>
      </c>
      <c r="D323" s="325">
        <f>Input!C226</f>
        <v>5</v>
      </c>
      <c r="E323" s="3">
        <f>Classification!E323-Classification!F323-Classification!G323</f>
        <v>34944.009999999995</v>
      </c>
      <c r="F323" s="3">
        <f>ROUND((VLOOKUP($D323,'Alloc Table Dem'!$B$7:$T$56,13,FALSE)*$E323),0)</f>
        <v>13623</v>
      </c>
      <c r="G323" s="3">
        <f>ROUND((VLOOKUP($D323,'Alloc Table Dem'!$B$7:$T$56,14,FALSE)*$E323),0)</f>
        <v>9225</v>
      </c>
      <c r="H323" s="3">
        <f>ROUND((VLOOKUP($D323,'Alloc Table Dem'!$B$7:$T$56,15,FALSE)*$E323),0)</f>
        <v>20</v>
      </c>
      <c r="I323" s="3">
        <f>ROUND((VLOOKUP($D323,'Alloc Table Dem'!$B$7:$T$56,16,FALSE)*$E323),0)</f>
        <v>0</v>
      </c>
      <c r="J323" s="3">
        <f>ROUND((VLOOKUP($D323,'Alloc Table Dem'!$B$7:$T$56,17,FALSE)*$E323),0)</f>
        <v>12077</v>
      </c>
      <c r="K323" s="3">
        <f>ROUND((VLOOKUP($D323,'Alloc Table Dem'!$B$7:$T$56,18,FALSE)*$E323),0)</f>
        <v>0</v>
      </c>
      <c r="L323" s="3">
        <f>ROUND((VLOOKUP($D323,'Alloc Table Dem'!$B$7:$T$56,19,FALSE)*$E323),0)</f>
        <v>0</v>
      </c>
    </row>
    <row r="324" spans="1:12" ht="11.25" x14ac:dyDescent="0.2">
      <c r="A324" s="3">
        <f t="shared" si="46"/>
        <v>20</v>
      </c>
      <c r="B324" s="24">
        <f>B323</f>
        <v>375.4</v>
      </c>
      <c r="C324" s="3" t="str">
        <f>"DIRECT "&amp;C323</f>
        <v>DIRECT STRUC &amp; IMPROV-REGULATING</v>
      </c>
      <c r="D324" s="325"/>
      <c r="E324" s="3">
        <f>Classification!E324-Classification!F324-Classification!G324</f>
        <v>371.99</v>
      </c>
      <c r="F324" s="3">
        <v>0</v>
      </c>
      <c r="G324" s="3">
        <v>0</v>
      </c>
      <c r="H324" s="3">
        <v>0</v>
      </c>
      <c r="I324" s="3">
        <f>E324</f>
        <v>371.99</v>
      </c>
      <c r="J324" s="3">
        <v>0</v>
      </c>
      <c r="K324" s="3">
        <v>0</v>
      </c>
      <c r="L324" s="3">
        <v>0</v>
      </c>
    </row>
    <row r="325" spans="1:12" ht="11.25" x14ac:dyDescent="0.2">
      <c r="A325" s="3">
        <f t="shared" si="46"/>
        <v>21</v>
      </c>
      <c r="B325" s="24">
        <f>Input!A227</f>
        <v>375.6</v>
      </c>
      <c r="C325" s="3" t="str">
        <f>Input!B227</f>
        <v>STRUC &amp; IMPROV-DIST. IND. M &amp; R</v>
      </c>
      <c r="D325" s="325">
        <f>Input!C227</f>
        <v>8</v>
      </c>
      <c r="E325" s="3">
        <f>Classification!E325-Classification!F325-Classification!G325</f>
        <v>0</v>
      </c>
      <c r="F325" s="3">
        <f>ROUND((VLOOKUP($D325,'Alloc Table Dem'!$B$7:$T$56,13,FALSE)*$E325),0)</f>
        <v>0</v>
      </c>
      <c r="G325" s="3">
        <f>ROUND((VLOOKUP($D325,'Alloc Table Dem'!$B$7:$T$56,14,FALSE)*$E325),0)</f>
        <v>0</v>
      </c>
      <c r="H325" s="3">
        <f>ROUND((VLOOKUP($D325,'Alloc Table Dem'!$B$7:$T$56,15,FALSE)*$E325),0)</f>
        <v>0</v>
      </c>
      <c r="I325" s="3">
        <f>ROUND((VLOOKUP($D325,'Alloc Table Dem'!$B$7:$T$56,16,FALSE)*$E325),0)</f>
        <v>0</v>
      </c>
      <c r="J325" s="3">
        <f>ROUND((VLOOKUP($D325,'Alloc Table Dem'!$B$7:$T$56,17,FALSE)*$E325),0)</f>
        <v>0</v>
      </c>
      <c r="K325" s="3">
        <f>ROUND((VLOOKUP($D325,'Alloc Table Dem'!$B$7:$T$56,18,FALSE)*$E325),0)</f>
        <v>0</v>
      </c>
      <c r="L325" s="3">
        <f>ROUND((VLOOKUP($D325,'Alloc Table Dem'!$B$7:$T$56,19,FALSE)*$E325),0)</f>
        <v>0</v>
      </c>
    </row>
    <row r="326" spans="1:12" ht="11.25" x14ac:dyDescent="0.2">
      <c r="A326" s="3">
        <f t="shared" si="46"/>
        <v>22</v>
      </c>
      <c r="B326" s="24">
        <f>Input!A228</f>
        <v>375.7</v>
      </c>
      <c r="C326" s="3" t="str">
        <f>Input!B228</f>
        <v>STRUC &amp; IMPROV-OTHER DIST. SYSTEM</v>
      </c>
      <c r="D326" s="325" t="str">
        <f>D240</f>
        <v>7DEM</v>
      </c>
      <c r="E326" s="3">
        <f>Classification!E326-Classification!F326-Classification!G326</f>
        <v>54003</v>
      </c>
      <c r="F326" s="3">
        <f ca="1">ROUND((VLOOKUP($D326,'Alloc Table Dem'!$B$7:$T$56,13,FALSE)*$E326),0)</f>
        <v>21047</v>
      </c>
      <c r="G326" s="3">
        <f ca="1">ROUND((VLOOKUP($D326,'Alloc Table Dem'!$B$7:$T$56,14,FALSE)*$E326),0)</f>
        <v>14253</v>
      </c>
      <c r="H326" s="3">
        <f ca="1">ROUND((VLOOKUP($D326,'Alloc Table Dem'!$B$7:$T$56,15,FALSE)*$E326),0)</f>
        <v>31</v>
      </c>
      <c r="I326" s="3">
        <f ca="1">ROUND((VLOOKUP($D326,'Alloc Table Dem'!$B$7:$T$56,16,FALSE)*$E326),0)</f>
        <v>13</v>
      </c>
      <c r="J326" s="3">
        <f ca="1">ROUND((VLOOKUP($D326,'Alloc Table Dem'!$B$7:$T$56,17,FALSE)*$E326),0)</f>
        <v>18659</v>
      </c>
      <c r="K326" s="3">
        <f ca="1">ROUND((VLOOKUP($D326,'Alloc Table Dem'!$B$7:$T$56,18,FALSE)*$E326),0)</f>
        <v>0</v>
      </c>
      <c r="L326" s="3">
        <f ca="1">ROUND((VLOOKUP($D326,'Alloc Table Dem'!$B$7:$T$56,19,FALSE)*$E326),0)</f>
        <v>0</v>
      </c>
    </row>
    <row r="327" spans="1:12" ht="11.25" x14ac:dyDescent="0.2">
      <c r="A327" s="3">
        <f t="shared" si="46"/>
        <v>23</v>
      </c>
      <c r="B327" s="24">
        <f>Input!A229</f>
        <v>375.71</v>
      </c>
      <c r="C327" s="3" t="str">
        <f>Input!B229</f>
        <v>STRUCT &amp; IMPROV-OTHER DIST. SYSTEM-IMPROV</v>
      </c>
      <c r="D327" s="325" t="str">
        <f>D241</f>
        <v>7DEM</v>
      </c>
      <c r="E327" s="3">
        <f>Classification!E327-Classification!F327-Classification!G327</f>
        <v>9610</v>
      </c>
      <c r="F327" s="3">
        <f ca="1">ROUND((VLOOKUP($D327,'Alloc Table Dem'!$B$7:$T$56,13,FALSE)*$E327),0)</f>
        <v>3745</v>
      </c>
      <c r="G327" s="3">
        <f ca="1">ROUND((VLOOKUP($D327,'Alloc Table Dem'!$B$7:$T$56,14,FALSE)*$E327),0)</f>
        <v>2536</v>
      </c>
      <c r="H327" s="3">
        <f ca="1">ROUND((VLOOKUP($D327,'Alloc Table Dem'!$B$7:$T$56,15,FALSE)*$E327),0)</f>
        <v>5</v>
      </c>
      <c r="I327" s="3">
        <f ca="1">ROUND((VLOOKUP($D327,'Alloc Table Dem'!$B$7:$T$56,16,FALSE)*$E327),0)</f>
        <v>2</v>
      </c>
      <c r="J327" s="3">
        <f ca="1">ROUND((VLOOKUP($D327,'Alloc Table Dem'!$B$7:$T$56,17,FALSE)*$E327),0)</f>
        <v>3320</v>
      </c>
      <c r="K327" s="3">
        <f ca="1">ROUND((VLOOKUP($D327,'Alloc Table Dem'!$B$7:$T$56,18,FALSE)*$E327),0)</f>
        <v>0</v>
      </c>
      <c r="L327" s="3">
        <f ca="1">ROUND((VLOOKUP($D327,'Alloc Table Dem'!$B$7:$T$56,19,FALSE)*$E327),0)</f>
        <v>0</v>
      </c>
    </row>
    <row r="328" spans="1:12" ht="11.25" x14ac:dyDescent="0.2">
      <c r="A328" s="3">
        <f t="shared" si="46"/>
        <v>24</v>
      </c>
      <c r="B328" s="24">
        <f>Input!A230</f>
        <v>375.8</v>
      </c>
      <c r="C328" s="3" t="str">
        <f>Input!B230</f>
        <v>STRUC &amp; IMPROV-COMMUNICATION</v>
      </c>
      <c r="D328" s="325">
        <f>Input!C230</f>
        <v>5</v>
      </c>
      <c r="E328" s="3">
        <f>Classification!E328-Classification!F328-Classification!G328</f>
        <v>0</v>
      </c>
      <c r="F328" s="3">
        <f>ROUND((VLOOKUP($D328,'Alloc Table Dem'!$B$7:$T$56,13,FALSE)*$E328),0)</f>
        <v>0</v>
      </c>
      <c r="G328" s="3">
        <f>ROUND((VLOOKUP($D328,'Alloc Table Dem'!$B$7:$T$56,14,FALSE)*$E328),0)</f>
        <v>0</v>
      </c>
      <c r="H328" s="3">
        <f>ROUND((VLOOKUP($D328,'Alloc Table Dem'!$B$7:$T$56,15,FALSE)*$E328),0)</f>
        <v>0</v>
      </c>
      <c r="I328" s="3">
        <f>ROUND((VLOOKUP($D328,'Alloc Table Dem'!$B$7:$T$56,16,FALSE)*$E328),0)</f>
        <v>0</v>
      </c>
      <c r="J328" s="3">
        <f>ROUND((VLOOKUP($D328,'Alloc Table Dem'!$B$7:$T$56,17,FALSE)*$E328),0)</f>
        <v>0</v>
      </c>
      <c r="K328" s="3">
        <f>ROUND((VLOOKUP($D328,'Alloc Table Dem'!$B$7:$T$56,18,FALSE)*$E328),0)</f>
        <v>0</v>
      </c>
      <c r="L328" s="3">
        <f>ROUND((VLOOKUP($D328,'Alloc Table Dem'!$B$7:$T$56,19,FALSE)*$E328),0)</f>
        <v>0</v>
      </c>
    </row>
    <row r="329" spans="1:12" ht="11.25" x14ac:dyDescent="0.2">
      <c r="A329" s="3">
        <f t="shared" si="46"/>
        <v>25</v>
      </c>
      <c r="B329" s="24">
        <f>Input!A231</f>
        <v>376</v>
      </c>
      <c r="C329" s="3" t="str">
        <f>Input!B231</f>
        <v>MAINS</v>
      </c>
      <c r="D329" s="325">
        <f>Input!C231</f>
        <v>5</v>
      </c>
      <c r="E329" s="3">
        <f>Classification!E329-Classification!F329-Classification!G329</f>
        <v>2543806.2999999998</v>
      </c>
      <c r="F329" s="3">
        <f>ROUND((VLOOKUP($D329,'Alloc Table Dem'!$B$7:$T$56,13,FALSE)*$E329),0)</f>
        <v>991677</v>
      </c>
      <c r="G329" s="3">
        <f>ROUND((VLOOKUP($D329,'Alloc Table Dem'!$B$7:$T$56,14,FALSE)*$E329),0)</f>
        <v>671539</v>
      </c>
      <c r="H329" s="3">
        <f>ROUND((VLOOKUP($D329,'Alloc Table Dem'!$B$7:$T$56,15,FALSE)*$E329),0)</f>
        <v>1450</v>
      </c>
      <c r="I329" s="3">
        <f>ROUND((VLOOKUP($D329,'Alloc Table Dem'!$B$7:$T$56,16,FALSE)*$E329),0)</f>
        <v>0</v>
      </c>
      <c r="J329" s="3">
        <f>ROUND((VLOOKUP($D329,'Alloc Table Dem'!$B$7:$T$56,17,FALSE)*$E329),0)</f>
        <v>879139</v>
      </c>
      <c r="K329" s="3">
        <f>ROUND((VLOOKUP($D329,'Alloc Table Dem'!$B$7:$T$56,18,FALSE)*$E329),0)</f>
        <v>0</v>
      </c>
      <c r="L329" s="3">
        <f>ROUND((VLOOKUP($D329,'Alloc Table Dem'!$B$7:$T$56,19,FALSE)*$E329),0)</f>
        <v>0</v>
      </c>
    </row>
    <row r="330" spans="1:12" ht="11.25" x14ac:dyDescent="0.2">
      <c r="A330" s="3">
        <f t="shared" si="46"/>
        <v>26</v>
      </c>
      <c r="B330" s="24">
        <f>Input!A231</f>
        <v>376</v>
      </c>
      <c r="C330" s="3" t="str">
        <f>"DIRECT "&amp;+Input!B231</f>
        <v>DIRECT MAINS</v>
      </c>
      <c r="D330" s="325"/>
      <c r="E330" s="3">
        <f>Classification!E330-Classification!F330-Classification!G330</f>
        <v>75.699999999999989</v>
      </c>
      <c r="F330" s="3">
        <v>0</v>
      </c>
      <c r="G330" s="3">
        <v>0</v>
      </c>
      <c r="H330" s="3">
        <v>0</v>
      </c>
      <c r="I330" s="3">
        <f>E330</f>
        <v>75.699999999999989</v>
      </c>
      <c r="J330" s="3">
        <v>0</v>
      </c>
      <c r="K330" s="3">
        <v>0</v>
      </c>
      <c r="L330" s="3">
        <v>0</v>
      </c>
    </row>
    <row r="331" spans="1:12" ht="11.25" x14ac:dyDescent="0.2">
      <c r="A331" s="3">
        <f t="shared" si="46"/>
        <v>27</v>
      </c>
      <c r="B331" s="24">
        <f>Input!A232</f>
        <v>378.1</v>
      </c>
      <c r="C331" s="3" t="str">
        <f>Input!B232</f>
        <v>M &amp; R GENERAL</v>
      </c>
      <c r="D331" s="325">
        <f>Input!C232</f>
        <v>5</v>
      </c>
      <c r="E331" s="3">
        <f>Classification!E331-Classification!F331-Classification!G331</f>
        <v>8610</v>
      </c>
      <c r="F331" s="3">
        <f>ROUND((VLOOKUP($D331,'Alloc Table Dem'!$B$7:$T$56,13,FALSE)*$E331),0)</f>
        <v>3357</v>
      </c>
      <c r="G331" s="3">
        <f>ROUND((VLOOKUP($D331,'Alloc Table Dem'!$B$7:$T$56,14,FALSE)*$E331),0)</f>
        <v>2273</v>
      </c>
      <c r="H331" s="3">
        <f>ROUND((VLOOKUP($D331,'Alloc Table Dem'!$B$7:$T$56,15,FALSE)*$E331),0)</f>
        <v>5</v>
      </c>
      <c r="I331" s="3">
        <f>ROUND((VLOOKUP($D331,'Alloc Table Dem'!$B$7:$T$56,16,FALSE)*$E331),0)</f>
        <v>0</v>
      </c>
      <c r="J331" s="3">
        <f>ROUND((VLOOKUP($D331,'Alloc Table Dem'!$B$7:$T$56,17,FALSE)*$E331),0)</f>
        <v>2976</v>
      </c>
      <c r="K331" s="3">
        <f>ROUND((VLOOKUP($D331,'Alloc Table Dem'!$B$7:$T$56,18,FALSE)*$E331),0)</f>
        <v>0</v>
      </c>
      <c r="L331" s="3">
        <f>ROUND((VLOOKUP($D331,'Alloc Table Dem'!$B$7:$T$56,19,FALSE)*$E331),0)</f>
        <v>0</v>
      </c>
    </row>
    <row r="332" spans="1:12" ht="11.25" x14ac:dyDescent="0.2">
      <c r="A332" s="3">
        <f t="shared" si="46"/>
        <v>28</v>
      </c>
      <c r="B332" s="24">
        <f>Input!A233</f>
        <v>378.2</v>
      </c>
      <c r="C332" s="3" t="str">
        <f>Input!B233</f>
        <v>M &amp; R GENERAL - REGULATING</v>
      </c>
      <c r="D332" s="325">
        <f>Input!C233</f>
        <v>5</v>
      </c>
      <c r="E332" s="3">
        <f>Classification!E332-Classification!F332-Classification!G332</f>
        <v>152199</v>
      </c>
      <c r="F332" s="3">
        <f>ROUND((VLOOKUP($D332,'Alloc Table Dem'!$B$7:$T$56,13,FALSE)*$E332),0)</f>
        <v>59333</v>
      </c>
      <c r="G332" s="3">
        <f>ROUND((VLOOKUP($D332,'Alloc Table Dem'!$B$7:$T$56,14,FALSE)*$E332),0)</f>
        <v>40179</v>
      </c>
      <c r="H332" s="3">
        <f>ROUND((VLOOKUP($D332,'Alloc Table Dem'!$B$7:$T$56,15,FALSE)*$E332),0)</f>
        <v>87</v>
      </c>
      <c r="I332" s="3">
        <f>ROUND((VLOOKUP($D332,'Alloc Table Dem'!$B$7:$T$56,16,FALSE)*$E332),0)</f>
        <v>0</v>
      </c>
      <c r="J332" s="3">
        <f>ROUND((VLOOKUP($D332,'Alloc Table Dem'!$B$7:$T$56,17,FALSE)*$E332),0)</f>
        <v>52600</v>
      </c>
      <c r="K332" s="3">
        <f>ROUND((VLOOKUP($D332,'Alloc Table Dem'!$B$7:$T$56,18,FALSE)*$E332),0)</f>
        <v>0</v>
      </c>
      <c r="L332" s="3">
        <f>ROUND((VLOOKUP($D332,'Alloc Table Dem'!$B$7:$T$56,19,FALSE)*$E332),0)</f>
        <v>0</v>
      </c>
    </row>
    <row r="333" spans="1:12" ht="11.25" x14ac:dyDescent="0.2">
      <c r="A333" s="3">
        <f t="shared" si="46"/>
        <v>29</v>
      </c>
      <c r="B333" s="24">
        <f>Input!A234</f>
        <v>378.3</v>
      </c>
      <c r="C333" s="3" t="str">
        <f>Input!B234</f>
        <v>M &amp; R EQUIP - LOCAL GAS PURCHASES</v>
      </c>
      <c r="D333" s="325">
        <f>Input!C234</f>
        <v>5</v>
      </c>
      <c r="E333" s="3">
        <f>Classification!E333-Classification!F333-Classification!G333</f>
        <v>756</v>
      </c>
      <c r="F333" s="3">
        <f>ROUND((VLOOKUP($D333,'Alloc Table Dem'!$B$7:$T$56,13,FALSE)*$E333),0)</f>
        <v>295</v>
      </c>
      <c r="G333" s="3">
        <f>ROUND((VLOOKUP($D333,'Alloc Table Dem'!$B$7:$T$56,14,FALSE)*$E333),0)</f>
        <v>200</v>
      </c>
      <c r="H333" s="3">
        <f>ROUND((VLOOKUP($D333,'Alloc Table Dem'!$B$7:$T$56,15,FALSE)*$E333),0)</f>
        <v>0</v>
      </c>
      <c r="I333" s="3">
        <f>ROUND((VLOOKUP($D333,'Alloc Table Dem'!$B$7:$T$56,16,FALSE)*$E333),0)</f>
        <v>0</v>
      </c>
      <c r="J333" s="3">
        <f>ROUND((VLOOKUP($D333,'Alloc Table Dem'!$B$7:$T$56,17,FALSE)*$E333),0)</f>
        <v>261</v>
      </c>
      <c r="K333" s="3">
        <f>ROUND((VLOOKUP($D333,'Alloc Table Dem'!$B$7:$T$56,18,FALSE)*$E333),0)</f>
        <v>0</v>
      </c>
      <c r="L333" s="3">
        <f>ROUND((VLOOKUP($D333,'Alloc Table Dem'!$B$7:$T$56,19,FALSE)*$E333),0)</f>
        <v>0</v>
      </c>
    </row>
    <row r="334" spans="1:12" ht="11.25" x14ac:dyDescent="0.2">
      <c r="A334" s="3">
        <f t="shared" si="46"/>
        <v>30</v>
      </c>
      <c r="B334" s="24">
        <f>Input!A235</f>
        <v>379.1</v>
      </c>
      <c r="C334" s="3" t="str">
        <f>Input!B235</f>
        <v>STA EQUIP - CITY</v>
      </c>
      <c r="D334" s="325">
        <f>Input!C235</f>
        <v>5</v>
      </c>
      <c r="E334" s="3">
        <f>Classification!E334-Classification!F334-Classification!G334</f>
        <v>0</v>
      </c>
      <c r="F334" s="3">
        <f>ROUND((VLOOKUP($D334,'Alloc Table Dem'!$B$7:$T$56,13,FALSE)*$E334),0)</f>
        <v>0</v>
      </c>
      <c r="G334" s="3">
        <f>ROUND((VLOOKUP($D334,'Alloc Table Dem'!$B$7:$T$56,14,FALSE)*$E334),0)</f>
        <v>0</v>
      </c>
      <c r="H334" s="3">
        <f>ROUND((VLOOKUP($D334,'Alloc Table Dem'!$B$7:$T$56,15,FALSE)*$E334),0)</f>
        <v>0</v>
      </c>
      <c r="I334" s="3">
        <f>ROUND((VLOOKUP($D334,'Alloc Table Dem'!$B$7:$T$56,16,FALSE)*$E334),0)</f>
        <v>0</v>
      </c>
      <c r="J334" s="3">
        <f>ROUND((VLOOKUP($D334,'Alloc Table Dem'!$B$7:$T$56,17,FALSE)*$E334),0)</f>
        <v>0</v>
      </c>
      <c r="K334" s="3">
        <f>ROUND((VLOOKUP($D334,'Alloc Table Dem'!$B$7:$T$56,18,FALSE)*$E334),0)</f>
        <v>0</v>
      </c>
      <c r="L334" s="3">
        <f>ROUND((VLOOKUP($D334,'Alloc Table Dem'!$B$7:$T$56,19,FALSE)*$E334),0)</f>
        <v>0</v>
      </c>
    </row>
    <row r="335" spans="1:12" ht="11.25" x14ac:dyDescent="0.2">
      <c r="A335" s="3">
        <f t="shared" si="46"/>
        <v>31</v>
      </c>
      <c r="B335" s="24">
        <f>Input!A236</f>
        <v>380</v>
      </c>
      <c r="C335" s="3" t="str">
        <f>Input!B236</f>
        <v>SERVICES</v>
      </c>
      <c r="D335" s="325">
        <f>Input!C236</f>
        <v>15</v>
      </c>
      <c r="E335" s="3">
        <f>Classification!E335-Classification!F335-Classification!G335</f>
        <v>0</v>
      </c>
      <c r="F335" s="3">
        <f ca="1">ROUND((VLOOKUP($D335,'Alloc Table Dem'!$B$7:$T$56,13,FALSE)*$E335),0)</f>
        <v>0</v>
      </c>
      <c r="G335" s="3">
        <f ca="1">ROUND((VLOOKUP($D335,'Alloc Table Dem'!$B$7:$T$56,14,FALSE)*$E335),0)</f>
        <v>0</v>
      </c>
      <c r="H335" s="3">
        <f ca="1">ROUND((VLOOKUP($D335,'Alloc Table Dem'!$B$7:$T$56,15,FALSE)*$E335),0)</f>
        <v>0</v>
      </c>
      <c r="I335" s="3">
        <f ca="1">ROUND((VLOOKUP($D335,'Alloc Table Dem'!$B$7:$T$56,16,FALSE)*$E335),0)</f>
        <v>0</v>
      </c>
      <c r="J335" s="3">
        <f ca="1">ROUND((VLOOKUP($D335,'Alloc Table Dem'!$B$7:$T$56,17,FALSE)*$E335),0)</f>
        <v>0</v>
      </c>
      <c r="K335" s="3">
        <f ca="1">ROUND((VLOOKUP($D335,'Alloc Table Dem'!$B$7:$T$56,18,FALSE)*$E335),0)</f>
        <v>0</v>
      </c>
      <c r="L335" s="3">
        <f ca="1">ROUND((VLOOKUP($D335,'Alloc Table Dem'!$B$7:$T$56,19,FALSE)*$E335),0)</f>
        <v>0</v>
      </c>
    </row>
    <row r="336" spans="1:12" ht="11.25" x14ac:dyDescent="0.2">
      <c r="A336" s="3">
        <f t="shared" si="46"/>
        <v>32</v>
      </c>
      <c r="B336" s="24">
        <f>Input!A236</f>
        <v>380</v>
      </c>
      <c r="C336" s="3" t="s">
        <v>815</v>
      </c>
      <c r="D336" s="325"/>
      <c r="E336" s="3">
        <f>Classification!E336-Classification!F336-Classification!G336</f>
        <v>0</v>
      </c>
      <c r="F336" s="3">
        <v>0</v>
      </c>
      <c r="G336" s="3">
        <v>0</v>
      </c>
      <c r="H336" s="3">
        <v>0</v>
      </c>
      <c r="I336" s="3">
        <f>E336</f>
        <v>0</v>
      </c>
      <c r="J336" s="3">
        <v>0</v>
      </c>
      <c r="K336" s="3">
        <v>0</v>
      </c>
      <c r="L336" s="3">
        <v>0</v>
      </c>
    </row>
    <row r="337" spans="1:12" ht="11.25" x14ac:dyDescent="0.2">
      <c r="A337" s="3" t="s">
        <v>819</v>
      </c>
      <c r="B337" s="3"/>
      <c r="C337" s="14"/>
      <c r="D337" s="325"/>
      <c r="E337" s="15"/>
      <c r="F337" s="325" t="str">
        <f>""&amp;+Input!$B$1</f>
        <v>COLUMBIA GAS OF KENTUCKY, INC.</v>
      </c>
      <c r="H337" s="3"/>
      <c r="I337" s="3"/>
      <c r="J337" s="3"/>
      <c r="K337" s="3"/>
      <c r="L337" s="32" t="str">
        <f>Input!$B$2</f>
        <v>ATTACHMENT CEN-2</v>
      </c>
    </row>
    <row r="338" spans="1:12" ht="11.25" x14ac:dyDescent="0.2">
      <c r="A338" s="3" t="str">
        <f>Input!$B$7</f>
        <v>DEMAND-COMMODITY</v>
      </c>
      <c r="B338" s="3"/>
      <c r="C338" s="3"/>
      <c r="D338" s="325"/>
      <c r="E338" s="3"/>
      <c r="F338" s="325" t="s">
        <v>579</v>
      </c>
      <c r="H338" s="3"/>
      <c r="I338" s="3"/>
      <c r="J338" s="3"/>
      <c r="K338" s="3"/>
      <c r="L338" s="32" t="str">
        <f>"PAGE 113 OF "&amp;FIXED(Input!$B$8,0,TRUE)</f>
        <v>PAGE 113 OF 129</v>
      </c>
    </row>
    <row r="339" spans="1:12" ht="11.25" x14ac:dyDescent="0.2">
      <c r="A339" s="17" t="str">
        <f>Input!$B$6</f>
        <v>FORECASTED TEST YEAR - ORIGINAL FILING</v>
      </c>
      <c r="B339" s="17"/>
      <c r="C339" s="17"/>
      <c r="D339" s="34"/>
      <c r="E339" s="17"/>
      <c r="F339" s="19" t="str">
        <f>"FOR THE TWELVE MONTHS ENDED "&amp;Input!$B$4</f>
        <v>FOR THE TWELVE MONTHS ENDED 12/31/2017</v>
      </c>
      <c r="G339" s="329"/>
      <c r="H339" s="17"/>
      <c r="I339" s="17"/>
      <c r="J339" s="17"/>
      <c r="K339" s="17"/>
      <c r="L339" s="183" t="str">
        <f>"WITNESS: "&amp;Input!$B$5</f>
        <v>WITNESS: C. NOTESTONE</v>
      </c>
    </row>
    <row r="340" spans="1:12" ht="11.25" x14ac:dyDescent="0.2">
      <c r="A340" s="325" t="s">
        <v>5</v>
      </c>
      <c r="B340" s="3" t="s">
        <v>6</v>
      </c>
      <c r="C340" s="3"/>
      <c r="D340" s="325" t="s">
        <v>7</v>
      </c>
      <c r="E340" s="325" t="s">
        <v>8</v>
      </c>
      <c r="F340" s="3"/>
      <c r="G340" s="3"/>
      <c r="H340" s="3"/>
      <c r="I340" s="3"/>
      <c r="J340" s="3"/>
      <c r="K340" s="3"/>
      <c r="L340" s="3"/>
    </row>
    <row r="341" spans="1:12" ht="11.25" x14ac:dyDescent="0.2">
      <c r="A341" s="341" t="s">
        <v>9</v>
      </c>
      <c r="B341" s="341" t="s">
        <v>9</v>
      </c>
      <c r="C341" s="34" t="str">
        <f>Demand!C128</f>
        <v xml:space="preserve"> ACCOUNT TITLE</v>
      </c>
      <c r="D341" s="341" t="s">
        <v>10</v>
      </c>
      <c r="E341" s="341" t="s">
        <v>813</v>
      </c>
      <c r="F341" s="341" t="str">
        <f>"  "&amp;+Input!$C$12</f>
        <v xml:space="preserve">  GS-RESIDENTIAL</v>
      </c>
      <c r="G341" s="341" t="str">
        <f>Input!$C$13</f>
        <v>GS-OTHER</v>
      </c>
      <c r="H341" s="341" t="str">
        <f>Input!$C$14</f>
        <v>IUS</v>
      </c>
      <c r="I341" s="341" t="str">
        <f>Input!$C$15</f>
        <v>DS-ML</v>
      </c>
      <c r="J341" s="341" t="str">
        <f>Input!$C$16</f>
        <v>DS/IS</v>
      </c>
      <c r="K341" s="341" t="str">
        <f>Input!$C$17</f>
        <v>NOT USED</v>
      </c>
      <c r="L341" s="341" t="str">
        <f>Input!$C$18</f>
        <v>NOT USED</v>
      </c>
    </row>
    <row r="342" spans="1:12" ht="11.25" x14ac:dyDescent="0.2">
      <c r="A342" s="3"/>
      <c r="B342" s="342" t="s">
        <v>13</v>
      </c>
      <c r="C342" s="342" t="s">
        <v>14</v>
      </c>
      <c r="D342" s="325" t="s">
        <v>15</v>
      </c>
      <c r="E342" s="325" t="s">
        <v>16</v>
      </c>
      <c r="F342" s="325" t="s">
        <v>17</v>
      </c>
      <c r="G342" s="325" t="s">
        <v>18</v>
      </c>
      <c r="H342" s="325" t="s">
        <v>19</v>
      </c>
      <c r="I342" s="325" t="s">
        <v>20</v>
      </c>
      <c r="J342" s="325" t="s">
        <v>21</v>
      </c>
      <c r="K342" s="325" t="s">
        <v>22</v>
      </c>
      <c r="L342" s="325" t="s">
        <v>23</v>
      </c>
    </row>
    <row r="343" spans="1:12" ht="11.25" x14ac:dyDescent="0.2">
      <c r="A343" s="3"/>
      <c r="B343" s="3"/>
      <c r="C343" s="3"/>
      <c r="D343" s="325"/>
      <c r="E343" s="325" t="s">
        <v>26</v>
      </c>
      <c r="F343" s="325" t="s">
        <v>26</v>
      </c>
      <c r="G343" s="325" t="s">
        <v>26</v>
      </c>
      <c r="H343" s="325" t="s">
        <v>26</v>
      </c>
      <c r="I343" s="325" t="s">
        <v>26</v>
      </c>
      <c r="J343" s="325" t="s">
        <v>26</v>
      </c>
      <c r="K343" s="325" t="s">
        <v>26</v>
      </c>
      <c r="L343" s="325" t="s">
        <v>26</v>
      </c>
    </row>
    <row r="344" spans="1:12" ht="11.25" x14ac:dyDescent="0.2">
      <c r="A344" s="3">
        <v>1</v>
      </c>
      <c r="B344" s="24">
        <f>Input!A237</f>
        <v>381</v>
      </c>
      <c r="C344" s="3" t="str">
        <f>Input!B237</f>
        <v>METERS</v>
      </c>
      <c r="D344" s="325">
        <f>Input!C237</f>
        <v>16</v>
      </c>
      <c r="E344" s="3">
        <f>Classification!E344-Classification!F344-Classification!G344</f>
        <v>0</v>
      </c>
      <c r="F344" s="3">
        <f>ROUND((VLOOKUP($D344,'Alloc Table Dem'!$B$7:$T$56,13,FALSE)*$E344),0)</f>
        <v>0</v>
      </c>
      <c r="G344" s="3">
        <f>ROUND((VLOOKUP($D344,'Alloc Table Dem'!$B$7:$T$56,14,FALSE)*$E344),0)</f>
        <v>0</v>
      </c>
      <c r="H344" s="3">
        <f>ROUND((VLOOKUP($D344,'Alloc Table Dem'!$B$7:$T$56,15,FALSE)*$E344),0)</f>
        <v>0</v>
      </c>
      <c r="I344" s="3">
        <f>ROUND((VLOOKUP($D344,'Alloc Table Dem'!$B$7:$T$56,16,FALSE)*$E344),0)</f>
        <v>0</v>
      </c>
      <c r="J344" s="3">
        <f>ROUND((VLOOKUP($D344,'Alloc Table Dem'!$B$7:$T$56,17,FALSE)*$E344),0)</f>
        <v>0</v>
      </c>
      <c r="K344" s="3">
        <f>ROUND((VLOOKUP($D344,'Alloc Table Dem'!$B$7:$T$56,18,FALSE)*$E344),0)</f>
        <v>0</v>
      </c>
      <c r="L344" s="3">
        <f>ROUND((VLOOKUP($D344,'Alloc Table Dem'!$B$7:$T$56,19,FALSE)*$E344),0)</f>
        <v>0</v>
      </c>
    </row>
    <row r="345" spans="1:12" ht="11.25" x14ac:dyDescent="0.2">
      <c r="A345" s="3">
        <f t="shared" ref="A345:A356" si="47">A344+1</f>
        <v>2</v>
      </c>
      <c r="B345" s="24">
        <f>Input!A238</f>
        <v>382</v>
      </c>
      <c r="C345" s="3" t="str">
        <f>Input!B238</f>
        <v>METER INSTALLATIONS</v>
      </c>
      <c r="D345" s="325">
        <f>Input!C238</f>
        <v>16</v>
      </c>
      <c r="E345" s="3">
        <f>Classification!E345-Classification!F345-Classification!G345</f>
        <v>0</v>
      </c>
      <c r="F345" s="3">
        <f>ROUND((VLOOKUP($D345,'Alloc Table Dem'!$B$7:$T$56,13,FALSE)*$E345),0)</f>
        <v>0</v>
      </c>
      <c r="G345" s="3">
        <f>ROUND((VLOOKUP($D345,'Alloc Table Dem'!$B$7:$T$56,14,FALSE)*$E345),0)</f>
        <v>0</v>
      </c>
      <c r="H345" s="3">
        <f>ROUND((VLOOKUP($D345,'Alloc Table Dem'!$B$7:$T$56,15,FALSE)*$E345),0)</f>
        <v>0</v>
      </c>
      <c r="I345" s="3">
        <f>ROUND((VLOOKUP($D345,'Alloc Table Dem'!$B$7:$T$56,16,FALSE)*$E345),0)</f>
        <v>0</v>
      </c>
      <c r="J345" s="3">
        <f>ROUND((VLOOKUP($D345,'Alloc Table Dem'!$B$7:$T$56,17,FALSE)*$E345),0)</f>
        <v>0</v>
      </c>
      <c r="K345" s="3">
        <f>ROUND((VLOOKUP($D345,'Alloc Table Dem'!$B$7:$T$56,18,FALSE)*$E345),0)</f>
        <v>0</v>
      </c>
      <c r="L345" s="3">
        <f>ROUND((VLOOKUP($D345,'Alloc Table Dem'!$B$7:$T$56,19,FALSE)*$E345),0)</f>
        <v>0</v>
      </c>
    </row>
    <row r="346" spans="1:12" ht="11.25" x14ac:dyDescent="0.2">
      <c r="A346" s="3">
        <f t="shared" si="47"/>
        <v>3</v>
      </c>
      <c r="B346" s="24">
        <f>Input!A239</f>
        <v>383</v>
      </c>
      <c r="C346" s="3" t="str">
        <f>Input!B239</f>
        <v>HOUSE REGULATORS</v>
      </c>
      <c r="D346" s="325">
        <f>Input!C239</f>
        <v>16</v>
      </c>
      <c r="E346" s="3">
        <f>Classification!E346-Classification!F346-Classification!G346</f>
        <v>0</v>
      </c>
      <c r="F346" s="3">
        <f>ROUND((VLOOKUP($D346,'Alloc Table Dem'!$B$7:$T$56,13,FALSE)*$E346),0)</f>
        <v>0</v>
      </c>
      <c r="G346" s="3">
        <f>ROUND((VLOOKUP($D346,'Alloc Table Dem'!$B$7:$T$56,14,FALSE)*$E346),0)</f>
        <v>0</v>
      </c>
      <c r="H346" s="3">
        <f>ROUND((VLOOKUP($D346,'Alloc Table Dem'!$B$7:$T$56,15,FALSE)*$E346),0)</f>
        <v>0</v>
      </c>
      <c r="I346" s="3">
        <f>ROUND((VLOOKUP($D346,'Alloc Table Dem'!$B$7:$T$56,16,FALSE)*$E346),0)</f>
        <v>0</v>
      </c>
      <c r="J346" s="3">
        <f>ROUND((VLOOKUP($D346,'Alloc Table Dem'!$B$7:$T$56,17,FALSE)*$E346),0)</f>
        <v>0</v>
      </c>
      <c r="K346" s="3">
        <f>ROUND((VLOOKUP($D346,'Alloc Table Dem'!$B$7:$T$56,18,FALSE)*$E346),0)</f>
        <v>0</v>
      </c>
      <c r="L346" s="3">
        <f>ROUND((VLOOKUP($D346,'Alloc Table Dem'!$B$7:$T$56,19,FALSE)*$E346),0)</f>
        <v>0</v>
      </c>
    </row>
    <row r="347" spans="1:12" ht="11.25" x14ac:dyDescent="0.2">
      <c r="A347" s="3">
        <f t="shared" si="47"/>
        <v>4</v>
      </c>
      <c r="B347" s="24">
        <f>Input!A240</f>
        <v>384</v>
      </c>
      <c r="C347" s="3" t="str">
        <f>Input!B240</f>
        <v>HOUSE REG INSTALLATIONS</v>
      </c>
      <c r="D347" s="325">
        <f>Input!C240</f>
        <v>16</v>
      </c>
      <c r="E347" s="3">
        <f>Classification!E347-Classification!F347-Classification!G347</f>
        <v>0</v>
      </c>
      <c r="F347" s="3">
        <f>ROUND((VLOOKUP($D347,'Alloc Table Dem'!$B$7:$T$56,13,FALSE)*$E347),0)</f>
        <v>0</v>
      </c>
      <c r="G347" s="3">
        <f>ROUND((VLOOKUP($D347,'Alloc Table Dem'!$B$7:$T$56,14,FALSE)*$E347),0)</f>
        <v>0</v>
      </c>
      <c r="H347" s="3">
        <f>ROUND((VLOOKUP($D347,'Alloc Table Dem'!$B$7:$T$56,15,FALSE)*$E347),0)</f>
        <v>0</v>
      </c>
      <c r="I347" s="3">
        <f>ROUND((VLOOKUP($D347,'Alloc Table Dem'!$B$7:$T$56,16,FALSE)*$E347),0)</f>
        <v>0</v>
      </c>
      <c r="J347" s="3">
        <f>ROUND((VLOOKUP($D347,'Alloc Table Dem'!$B$7:$T$56,17,FALSE)*$E347),0)</f>
        <v>0</v>
      </c>
      <c r="K347" s="3">
        <f>ROUND((VLOOKUP($D347,'Alloc Table Dem'!$B$7:$T$56,18,FALSE)*$E347),0)</f>
        <v>0</v>
      </c>
      <c r="L347" s="3">
        <f>ROUND((VLOOKUP($D347,'Alloc Table Dem'!$B$7:$T$56,19,FALSE)*$E347),0)</f>
        <v>0</v>
      </c>
    </row>
    <row r="348" spans="1:12" ht="11.25" x14ac:dyDescent="0.2">
      <c r="A348" s="3">
        <f t="shared" si="47"/>
        <v>5</v>
      </c>
      <c r="B348" s="24">
        <f>Input!A241</f>
        <v>385</v>
      </c>
      <c r="C348" s="3" t="str">
        <f>Input!B241</f>
        <v>IND M&amp;R EQUIPMENT</v>
      </c>
      <c r="D348" s="325">
        <f>Input!C241</f>
        <v>17</v>
      </c>
      <c r="E348" s="3">
        <f>Classification!E348-Classification!F348-Classification!G348</f>
        <v>-0.17000000001280569</v>
      </c>
      <c r="F348" s="3">
        <f>ROUND((VLOOKUP($D348,'Alloc Table Dem'!$B$7:$T$56,13,FALSE)*$E348),0)</f>
        <v>0</v>
      </c>
      <c r="G348" s="3">
        <f>ROUND((VLOOKUP($D348,'Alloc Table Dem'!$B$7:$T$56,14,FALSE)*$E348),0)</f>
        <v>0</v>
      </c>
      <c r="H348" s="3">
        <f>ROUND((VLOOKUP($D348,'Alloc Table Dem'!$B$7:$T$56,15,FALSE)*$E348),0)</f>
        <v>0</v>
      </c>
      <c r="I348" s="3">
        <f>ROUND((VLOOKUP($D348,'Alloc Table Dem'!$B$7:$T$56,16,FALSE)*$E348),0)</f>
        <v>0</v>
      </c>
      <c r="J348" s="3">
        <f>ROUND((VLOOKUP($D348,'Alloc Table Dem'!$B$7:$T$56,17,FALSE)*$E348),0)</f>
        <v>0</v>
      </c>
      <c r="K348" s="3">
        <f>ROUND((VLOOKUP($D348,'Alloc Table Dem'!$B$7:$T$56,18,FALSE)*$E348),0)</f>
        <v>0</v>
      </c>
      <c r="L348" s="3">
        <f>ROUND((VLOOKUP($D348,'Alloc Table Dem'!$B$7:$T$56,19,FALSE)*$E348),0)</f>
        <v>0</v>
      </c>
    </row>
    <row r="349" spans="1:12" ht="11.25" x14ac:dyDescent="0.2">
      <c r="A349" s="3">
        <f t="shared" si="47"/>
        <v>6</v>
      </c>
      <c r="B349" s="24">
        <f>'Total Co'!B349</f>
        <v>385</v>
      </c>
      <c r="C349" s="24" t="str">
        <f>'Total Co'!C349</f>
        <v>DIRECT IND M&amp;R EQUIPMENT</v>
      </c>
      <c r="D349" s="325"/>
      <c r="E349" s="3">
        <f>Classification!E349-Classification!F349-Classification!G349</f>
        <v>0.17000000000007276</v>
      </c>
      <c r="F349" s="3">
        <v>0</v>
      </c>
      <c r="G349" s="3">
        <v>0</v>
      </c>
      <c r="H349" s="3">
        <v>0</v>
      </c>
      <c r="I349" s="3">
        <f>E349</f>
        <v>0.17000000000007276</v>
      </c>
      <c r="J349" s="3">
        <v>0</v>
      </c>
      <c r="K349" s="3">
        <v>0</v>
      </c>
      <c r="L349" s="3">
        <v>0</v>
      </c>
    </row>
    <row r="350" spans="1:12" ht="11.25" x14ac:dyDescent="0.2">
      <c r="A350" s="3">
        <f t="shared" si="47"/>
        <v>7</v>
      </c>
      <c r="B350" s="24">
        <f>Input!A242</f>
        <v>387.2</v>
      </c>
      <c r="C350" s="3" t="str">
        <f>Input!B242</f>
        <v>ODORIZATION</v>
      </c>
      <c r="D350" s="325" t="str">
        <f>D265</f>
        <v>7DEM</v>
      </c>
      <c r="E350" s="3">
        <f>Classification!E350-Classification!F350-Classification!G350</f>
        <v>0</v>
      </c>
      <c r="F350" s="3">
        <f ca="1">ROUND((VLOOKUP($D350,'Alloc Table Dem'!$B$7:$T$56,13,FALSE)*$E350),0)</f>
        <v>0</v>
      </c>
      <c r="G350" s="3">
        <f ca="1">ROUND((VLOOKUP($D350,'Alloc Table Dem'!$B$7:$T$56,14,FALSE)*$E350),0)</f>
        <v>0</v>
      </c>
      <c r="H350" s="3">
        <f ca="1">ROUND((VLOOKUP($D350,'Alloc Table Dem'!$B$7:$T$56,15,FALSE)*$E350),0)</f>
        <v>0</v>
      </c>
      <c r="I350" s="3">
        <f ca="1">ROUND((VLOOKUP($D350,'Alloc Table Dem'!$B$7:$T$56,16,FALSE)*$E350),0)</f>
        <v>0</v>
      </c>
      <c r="J350" s="3">
        <f ca="1">ROUND((VLOOKUP($D350,'Alloc Table Dem'!$B$7:$T$56,17,FALSE)*$E350),0)</f>
        <v>0</v>
      </c>
      <c r="K350" s="3">
        <f ca="1">ROUND((VLOOKUP($D350,'Alloc Table Dem'!$B$7:$T$56,18,FALSE)*$E350),0)</f>
        <v>0</v>
      </c>
      <c r="L350" s="3">
        <f ca="1">ROUND((VLOOKUP($D350,'Alloc Table Dem'!$B$7:$T$56,19,FALSE)*$E350),0)</f>
        <v>0</v>
      </c>
    </row>
    <row r="351" spans="1:12" ht="11.25" x14ac:dyDescent="0.2">
      <c r="A351" s="3">
        <f t="shared" si="47"/>
        <v>8</v>
      </c>
      <c r="B351" s="24">
        <f>Input!A243</f>
        <v>387.41</v>
      </c>
      <c r="C351" s="3" t="str">
        <f>Input!B243</f>
        <v>TELEPHONE</v>
      </c>
      <c r="D351" s="325" t="str">
        <f t="shared" ref="D351:D355" si="48">D266</f>
        <v>7DEM</v>
      </c>
      <c r="E351" s="3">
        <f>Classification!E351-Classification!F351-Classification!G351</f>
        <v>8000</v>
      </c>
      <c r="F351" s="3">
        <f ca="1">ROUND((VLOOKUP($D351,'Alloc Table Dem'!$B$7:$T$56,13,FALSE)*$E351),0)</f>
        <v>3118</v>
      </c>
      <c r="G351" s="3">
        <f ca="1">ROUND((VLOOKUP($D351,'Alloc Table Dem'!$B$7:$T$56,14,FALSE)*$E351),0)</f>
        <v>2111</v>
      </c>
      <c r="H351" s="3">
        <f ca="1">ROUND((VLOOKUP($D351,'Alloc Table Dem'!$B$7:$T$56,15,FALSE)*$E351),0)</f>
        <v>5</v>
      </c>
      <c r="I351" s="3">
        <f ca="1">ROUND((VLOOKUP($D351,'Alloc Table Dem'!$B$7:$T$56,16,FALSE)*$E351),0)</f>
        <v>2</v>
      </c>
      <c r="J351" s="3">
        <f ca="1">ROUND((VLOOKUP($D351,'Alloc Table Dem'!$B$7:$T$56,17,FALSE)*$E351),0)</f>
        <v>2764</v>
      </c>
      <c r="K351" s="3">
        <f ca="1">ROUND((VLOOKUP($D351,'Alloc Table Dem'!$B$7:$T$56,18,FALSE)*$E351),0)</f>
        <v>0</v>
      </c>
      <c r="L351" s="3">
        <f ca="1">ROUND((VLOOKUP($D351,'Alloc Table Dem'!$B$7:$T$56,19,FALSE)*$E351),0)</f>
        <v>0</v>
      </c>
    </row>
    <row r="352" spans="1:12" ht="11.25" x14ac:dyDescent="0.2">
      <c r="A352" s="3">
        <f t="shared" si="47"/>
        <v>9</v>
      </c>
      <c r="B352" s="24">
        <f>Input!A244</f>
        <v>387.42</v>
      </c>
      <c r="C352" s="3" t="str">
        <f>Input!B244</f>
        <v>RADIO</v>
      </c>
      <c r="D352" s="325" t="str">
        <f t="shared" si="48"/>
        <v>7DEM</v>
      </c>
      <c r="E352" s="3">
        <f>Classification!E352-Classification!F352-Classification!G352</f>
        <v>8646</v>
      </c>
      <c r="F352" s="3">
        <f ca="1">ROUND((VLOOKUP($D352,'Alloc Table Dem'!$B$7:$T$56,13,FALSE)*$E352),0)</f>
        <v>3370</v>
      </c>
      <c r="G352" s="3">
        <f ca="1">ROUND((VLOOKUP($D352,'Alloc Table Dem'!$B$7:$T$56,14,FALSE)*$E352),0)</f>
        <v>2282</v>
      </c>
      <c r="H352" s="3">
        <f ca="1">ROUND((VLOOKUP($D352,'Alloc Table Dem'!$B$7:$T$56,15,FALSE)*$E352),0)</f>
        <v>5</v>
      </c>
      <c r="I352" s="3">
        <f ca="1">ROUND((VLOOKUP($D352,'Alloc Table Dem'!$B$7:$T$56,16,FALSE)*$E352),0)</f>
        <v>2</v>
      </c>
      <c r="J352" s="3">
        <f ca="1">ROUND((VLOOKUP($D352,'Alloc Table Dem'!$B$7:$T$56,17,FALSE)*$E352),0)</f>
        <v>2987</v>
      </c>
      <c r="K352" s="3">
        <f ca="1">ROUND((VLOOKUP($D352,'Alloc Table Dem'!$B$7:$T$56,18,FALSE)*$E352),0)</f>
        <v>0</v>
      </c>
      <c r="L352" s="3">
        <f ca="1">ROUND((VLOOKUP($D352,'Alloc Table Dem'!$B$7:$T$56,19,FALSE)*$E352),0)</f>
        <v>0</v>
      </c>
    </row>
    <row r="353" spans="1:12" ht="11.25" x14ac:dyDescent="0.2">
      <c r="A353" s="3">
        <f t="shared" si="47"/>
        <v>10</v>
      </c>
      <c r="B353" s="24">
        <f>Input!A245</f>
        <v>387.44</v>
      </c>
      <c r="C353" s="3" t="str">
        <f>Input!B245</f>
        <v>OTHER COMMUNICATION</v>
      </c>
      <c r="D353" s="325" t="str">
        <f t="shared" si="48"/>
        <v>7DEM</v>
      </c>
      <c r="E353" s="3">
        <f>Classification!E353-Classification!F353-Classification!G353</f>
        <v>1452</v>
      </c>
      <c r="F353" s="3">
        <f ca="1">ROUND((VLOOKUP($D353,'Alloc Table Dem'!$B$7:$T$56,13,FALSE)*$E353),0)</f>
        <v>566</v>
      </c>
      <c r="G353" s="3">
        <f ca="1">ROUND((VLOOKUP($D353,'Alloc Table Dem'!$B$7:$T$56,14,FALSE)*$E353),0)</f>
        <v>383</v>
      </c>
      <c r="H353" s="3">
        <f ca="1">ROUND((VLOOKUP($D353,'Alloc Table Dem'!$B$7:$T$56,15,FALSE)*$E353),0)</f>
        <v>1</v>
      </c>
      <c r="I353" s="3">
        <f ca="1">ROUND((VLOOKUP($D353,'Alloc Table Dem'!$B$7:$T$56,16,FALSE)*$E353),0)</f>
        <v>0</v>
      </c>
      <c r="J353" s="3">
        <f ca="1">ROUND((VLOOKUP($D353,'Alloc Table Dem'!$B$7:$T$56,17,FALSE)*$E353),0)</f>
        <v>502</v>
      </c>
      <c r="K353" s="3">
        <f ca="1">ROUND((VLOOKUP($D353,'Alloc Table Dem'!$B$7:$T$56,18,FALSE)*$E353),0)</f>
        <v>0</v>
      </c>
      <c r="L353" s="3">
        <f ca="1">ROUND((VLOOKUP($D353,'Alloc Table Dem'!$B$7:$T$56,19,FALSE)*$E353),0)</f>
        <v>0</v>
      </c>
    </row>
    <row r="354" spans="1:12" ht="11.25" x14ac:dyDescent="0.2">
      <c r="A354" s="3">
        <f t="shared" si="47"/>
        <v>11</v>
      </c>
      <c r="B354" s="24">
        <f>Input!A246</f>
        <v>387.45</v>
      </c>
      <c r="C354" s="3" t="str">
        <f>Input!B246</f>
        <v>TELEMETERING</v>
      </c>
      <c r="D354" s="325" t="str">
        <f t="shared" si="48"/>
        <v>7DEM</v>
      </c>
      <c r="E354" s="3">
        <f>Classification!E354-Classification!F354-Classification!G354</f>
        <v>40949</v>
      </c>
      <c r="F354" s="3">
        <f ca="1">ROUND((VLOOKUP($D354,'Alloc Table Dem'!$B$7:$T$56,13,FALSE)*$E354),0)</f>
        <v>15959</v>
      </c>
      <c r="G354" s="3">
        <f ca="1">ROUND((VLOOKUP($D354,'Alloc Table Dem'!$B$7:$T$56,14,FALSE)*$E354),0)</f>
        <v>10808</v>
      </c>
      <c r="H354" s="3">
        <f ca="1">ROUND((VLOOKUP($D354,'Alloc Table Dem'!$B$7:$T$56,15,FALSE)*$E354),0)</f>
        <v>23</v>
      </c>
      <c r="I354" s="3">
        <f ca="1">ROUND((VLOOKUP($D354,'Alloc Table Dem'!$B$7:$T$56,16,FALSE)*$E354),0)</f>
        <v>10</v>
      </c>
      <c r="J354" s="3">
        <f ca="1">ROUND((VLOOKUP($D354,'Alloc Table Dem'!$B$7:$T$56,17,FALSE)*$E354),0)</f>
        <v>14149</v>
      </c>
      <c r="K354" s="3">
        <f ca="1">ROUND((VLOOKUP($D354,'Alloc Table Dem'!$B$7:$T$56,18,FALSE)*$E354),0)</f>
        <v>0</v>
      </c>
      <c r="L354" s="3">
        <f ca="1">ROUND((VLOOKUP($D354,'Alloc Table Dem'!$B$7:$T$56,19,FALSE)*$E354),0)</f>
        <v>0</v>
      </c>
    </row>
    <row r="355" spans="1:12" ht="11.25" x14ac:dyDescent="0.2">
      <c r="A355" s="3">
        <f t="shared" si="47"/>
        <v>12</v>
      </c>
      <c r="B355" s="24">
        <f>Input!A247</f>
        <v>387.46</v>
      </c>
      <c r="C355" s="3" t="str">
        <f>Input!B247</f>
        <v>CIS</v>
      </c>
      <c r="D355" s="325" t="str">
        <f t="shared" si="48"/>
        <v>7DEM</v>
      </c>
      <c r="E355" s="26">
        <f>Classification!E355-Classification!F355-Classification!G355</f>
        <v>1235</v>
      </c>
      <c r="F355" s="26">
        <f ca="1">ROUND((VLOOKUP($D355,'Alloc Table Dem'!$B$7:$T$56,13,FALSE)*$E355),0)</f>
        <v>481</v>
      </c>
      <c r="G355" s="26">
        <f ca="1">ROUND((VLOOKUP($D355,'Alloc Table Dem'!$B$7:$T$56,14,FALSE)*$E355),0)</f>
        <v>326</v>
      </c>
      <c r="H355" s="26">
        <f ca="1">ROUND((VLOOKUP($D355,'Alloc Table Dem'!$B$7:$T$56,15,FALSE)*$E355),0)</f>
        <v>1</v>
      </c>
      <c r="I355" s="26">
        <f ca="1">ROUND((VLOOKUP($D355,'Alloc Table Dem'!$B$7:$T$56,16,FALSE)*$E355),0)</f>
        <v>0</v>
      </c>
      <c r="J355" s="26">
        <f ca="1">ROUND((VLOOKUP($D355,'Alloc Table Dem'!$B$7:$T$56,17,FALSE)*$E355),0)</f>
        <v>427</v>
      </c>
      <c r="K355" s="26">
        <f ca="1">ROUND((VLOOKUP($D355,'Alloc Table Dem'!$B$7:$T$56,18,FALSE)*$E355),0)</f>
        <v>0</v>
      </c>
      <c r="L355" s="26">
        <f ca="1">ROUND((VLOOKUP($D355,'Alloc Table Dem'!$B$7:$T$56,19,FALSE)*$E355),0)</f>
        <v>0</v>
      </c>
    </row>
    <row r="356" spans="1:12" ht="11.25" x14ac:dyDescent="0.2">
      <c r="A356" s="3">
        <f t="shared" si="47"/>
        <v>13</v>
      </c>
      <c r="B356" s="3"/>
      <c r="C356" s="3" t="s">
        <v>84</v>
      </c>
      <c r="D356" s="325"/>
      <c r="E356" s="3">
        <f>SUM(Demand!E317:E336)+SUM(E344:E355)</f>
        <v>2888055</v>
      </c>
      <c r="F356" s="3">
        <f ca="1">SUM(Demand!F317:F336)+SUM(F344:F355)</f>
        <v>1125692</v>
      </c>
      <c r="G356" s="3">
        <f ca="1">SUM(Demand!G317:G336)+SUM(G344:G355)</f>
        <v>762292</v>
      </c>
      <c r="H356" s="3">
        <f ca="1">SUM(Demand!H317:H336)+SUM(H344:H355)</f>
        <v>1646</v>
      </c>
      <c r="I356" s="3">
        <f ca="1">SUM(Demand!I317:I336)+SUM(I344:I355)</f>
        <v>476.86000000000007</v>
      </c>
      <c r="J356" s="3">
        <f ca="1">SUM(Demand!J317:J336)+SUM(J344:J355)</f>
        <v>997947</v>
      </c>
      <c r="K356" s="3">
        <f ca="1">SUM(Demand!K317:K336)+SUM(K344:K355)</f>
        <v>0</v>
      </c>
      <c r="L356" s="3">
        <f ca="1">SUM(Demand!L317:L336)+SUM(L344:L355)</f>
        <v>0</v>
      </c>
    </row>
    <row r="357" spans="1:12" ht="11.25" x14ac:dyDescent="0.2">
      <c r="A357" s="3"/>
      <c r="B357" s="3"/>
      <c r="C357" s="3"/>
      <c r="D357" s="325"/>
      <c r="E357" s="3"/>
      <c r="F357" s="3"/>
      <c r="G357" s="3"/>
      <c r="H357" s="3"/>
      <c r="I357" s="3"/>
      <c r="J357" s="3"/>
      <c r="K357" s="3"/>
      <c r="L357" s="3"/>
    </row>
    <row r="358" spans="1:12" ht="11.25" x14ac:dyDescent="0.2">
      <c r="A358" s="3">
        <f>A356+1</f>
        <v>14</v>
      </c>
      <c r="B358" s="3"/>
      <c r="C358" s="24" t="str">
        <f>Input!A248</f>
        <v>GENERAL PLANT</v>
      </c>
      <c r="D358" s="325"/>
      <c r="E358" s="3"/>
      <c r="F358" s="3"/>
      <c r="G358" s="3"/>
      <c r="H358" s="3"/>
      <c r="I358" s="3"/>
      <c r="J358" s="3"/>
      <c r="K358" s="3"/>
      <c r="L358" s="3"/>
    </row>
    <row r="359" spans="1:12" ht="11.25" x14ac:dyDescent="0.2">
      <c r="A359" s="3"/>
      <c r="B359" s="3"/>
      <c r="C359" s="3"/>
      <c r="D359" s="325"/>
      <c r="E359" s="3"/>
      <c r="F359" s="3"/>
      <c r="G359" s="3"/>
      <c r="H359" s="3"/>
      <c r="I359" s="3"/>
      <c r="J359" s="3"/>
      <c r="K359" s="3"/>
      <c r="L359" s="3"/>
    </row>
    <row r="360" spans="1:12" ht="11.25" x14ac:dyDescent="0.2">
      <c r="A360" s="3">
        <f>A358+1</f>
        <v>15</v>
      </c>
      <c r="B360" s="24">
        <f>Input!A249</f>
        <v>391.1</v>
      </c>
      <c r="C360" s="3" t="str">
        <f>Input!B249</f>
        <v>OFF FURN &amp; EQUIP - UNSPEC</v>
      </c>
      <c r="D360" s="325" t="str">
        <f t="shared" ref="D360:D372" si="49">D275</f>
        <v>7DEM</v>
      </c>
      <c r="E360" s="3">
        <f>Classification!E360-Classification!F360-Classification!G360</f>
        <v>10630</v>
      </c>
      <c r="F360" s="3">
        <f ca="1">ROUND((VLOOKUP($D360,'Alloc Table Dem'!$B$7:$T$56,13,FALSE)*$E360),0)</f>
        <v>4143</v>
      </c>
      <c r="G360" s="3">
        <f ca="1">ROUND((VLOOKUP($D360,'Alloc Table Dem'!$B$7:$T$56,14,FALSE)*$E360),0)</f>
        <v>2806</v>
      </c>
      <c r="H360" s="3">
        <f ca="1">ROUND((VLOOKUP($D360,'Alloc Table Dem'!$B$7:$T$56,15,FALSE)*$E360),0)</f>
        <v>6</v>
      </c>
      <c r="I360" s="3">
        <f ca="1">ROUND((VLOOKUP($D360,'Alloc Table Dem'!$B$7:$T$56,16,FALSE)*$E360),0)</f>
        <v>3</v>
      </c>
      <c r="J360" s="3">
        <f ca="1">ROUND((VLOOKUP($D360,'Alloc Table Dem'!$B$7:$T$56,17,FALSE)*$E360),0)</f>
        <v>3673</v>
      </c>
      <c r="K360" s="3">
        <f ca="1">ROUND((VLOOKUP($D360,'Alloc Table Dem'!$B$7:$T$56,18,FALSE)*$E360),0)</f>
        <v>0</v>
      </c>
      <c r="L360" s="3">
        <f ca="1">ROUND((VLOOKUP($D360,'Alloc Table Dem'!$B$7:$T$56,19,FALSE)*$E360),0)</f>
        <v>0</v>
      </c>
    </row>
    <row r="361" spans="1:12" ht="11.25" x14ac:dyDescent="0.2">
      <c r="A361" s="3">
        <f t="shared" ref="A361:A373" si="50">A360+1</f>
        <v>16</v>
      </c>
      <c r="B361" s="24">
        <f>Input!A250</f>
        <v>391.11</v>
      </c>
      <c r="C361" s="3" t="str">
        <f>Input!B250</f>
        <v>OFF FURN &amp; EQUIP - DATA HAND</v>
      </c>
      <c r="D361" s="325" t="str">
        <f t="shared" si="49"/>
        <v>7DEM</v>
      </c>
      <c r="E361" s="3">
        <f>Classification!E361-Classification!F361-Classification!G361</f>
        <v>367</v>
      </c>
      <c r="F361" s="3">
        <f ca="1">ROUND((VLOOKUP($D361,'Alloc Table Dem'!$B$7:$T$56,13,FALSE)*$E361),0)</f>
        <v>143</v>
      </c>
      <c r="G361" s="3">
        <f ca="1">ROUND((VLOOKUP($D361,'Alloc Table Dem'!$B$7:$T$56,14,FALSE)*$E361),0)</f>
        <v>97</v>
      </c>
      <c r="H361" s="3">
        <f ca="1">ROUND((VLOOKUP($D361,'Alloc Table Dem'!$B$7:$T$56,15,FALSE)*$E361),0)</f>
        <v>0</v>
      </c>
      <c r="I361" s="3">
        <f ca="1">ROUND((VLOOKUP($D361,'Alloc Table Dem'!$B$7:$T$56,16,FALSE)*$E361),0)</f>
        <v>0</v>
      </c>
      <c r="J361" s="3">
        <f ca="1">ROUND((VLOOKUP($D361,'Alloc Table Dem'!$B$7:$T$56,17,FALSE)*$E361),0)</f>
        <v>127</v>
      </c>
      <c r="K361" s="3">
        <f ca="1">ROUND((VLOOKUP($D361,'Alloc Table Dem'!$B$7:$T$56,18,FALSE)*$E361),0)</f>
        <v>0</v>
      </c>
      <c r="L361" s="3">
        <f ca="1">ROUND((VLOOKUP($D361,'Alloc Table Dem'!$B$7:$T$56,19,FALSE)*$E361),0)</f>
        <v>0</v>
      </c>
    </row>
    <row r="362" spans="1:12" ht="11.25" x14ac:dyDescent="0.2">
      <c r="A362" s="3">
        <f t="shared" si="50"/>
        <v>17</v>
      </c>
      <c r="B362" s="24">
        <f>Input!A251</f>
        <v>391.12</v>
      </c>
      <c r="C362" s="3" t="str">
        <f>Input!B251</f>
        <v>OFF FURN &amp; EQUIP - INFO SYSTEM</v>
      </c>
      <c r="D362" s="325" t="str">
        <f t="shared" si="49"/>
        <v>7DEM</v>
      </c>
      <c r="E362" s="3">
        <f>Classification!E362-Classification!F362-Classification!G362</f>
        <v>73679</v>
      </c>
      <c r="F362" s="3">
        <f ca="1">ROUND((VLOOKUP($D362,'Alloc Table Dem'!$B$7:$T$56,13,FALSE)*$E362),0)</f>
        <v>28716</v>
      </c>
      <c r="G362" s="3">
        <f ca="1">ROUND((VLOOKUP($D362,'Alloc Table Dem'!$B$7:$T$56,14,FALSE)*$E362),0)</f>
        <v>19446</v>
      </c>
      <c r="H362" s="3">
        <f ca="1">ROUND((VLOOKUP($D362,'Alloc Table Dem'!$B$7:$T$56,15,FALSE)*$E362),0)</f>
        <v>42</v>
      </c>
      <c r="I362" s="3">
        <f ca="1">ROUND((VLOOKUP($D362,'Alloc Table Dem'!$B$7:$T$56,16,FALSE)*$E362),0)</f>
        <v>18</v>
      </c>
      <c r="J362" s="3">
        <f ca="1">ROUND((VLOOKUP($D362,'Alloc Table Dem'!$B$7:$T$56,17,FALSE)*$E362),0)</f>
        <v>25458</v>
      </c>
      <c r="K362" s="3">
        <f ca="1">ROUND((VLOOKUP($D362,'Alloc Table Dem'!$B$7:$T$56,18,FALSE)*$E362),0)</f>
        <v>0</v>
      </c>
      <c r="L362" s="3">
        <f ca="1">ROUND((VLOOKUP($D362,'Alloc Table Dem'!$B$7:$T$56,19,FALSE)*$E362),0)</f>
        <v>0</v>
      </c>
    </row>
    <row r="363" spans="1:12" ht="11.25" x14ac:dyDescent="0.2">
      <c r="A363" s="3">
        <f t="shared" si="50"/>
        <v>18</v>
      </c>
      <c r="B363" s="24">
        <f>Input!A252</f>
        <v>392.2</v>
      </c>
      <c r="C363" s="3" t="str">
        <f>Input!B252</f>
        <v>TR EQ - TRAILER &gt; $1,000</v>
      </c>
      <c r="D363" s="325" t="str">
        <f t="shared" si="49"/>
        <v>7DEM</v>
      </c>
      <c r="E363" s="3">
        <f>Classification!E363-Classification!F363-Classification!G363</f>
        <v>2547</v>
      </c>
      <c r="F363" s="3">
        <f ca="1">ROUND((VLOOKUP($D363,'Alloc Table Dem'!$B$7:$T$56,13,FALSE)*$E363),0)</f>
        <v>993</v>
      </c>
      <c r="G363" s="3">
        <f ca="1">ROUND((VLOOKUP($D363,'Alloc Table Dem'!$B$7:$T$56,14,FALSE)*$E363),0)</f>
        <v>672</v>
      </c>
      <c r="H363" s="3">
        <f ca="1">ROUND((VLOOKUP($D363,'Alloc Table Dem'!$B$7:$T$56,15,FALSE)*$E363),0)</f>
        <v>1</v>
      </c>
      <c r="I363" s="3">
        <f ca="1">ROUND((VLOOKUP($D363,'Alloc Table Dem'!$B$7:$T$56,16,FALSE)*$E363),0)</f>
        <v>1</v>
      </c>
      <c r="J363" s="3">
        <f ca="1">ROUND((VLOOKUP($D363,'Alloc Table Dem'!$B$7:$T$56,17,FALSE)*$E363),0)</f>
        <v>880</v>
      </c>
      <c r="K363" s="3">
        <f ca="1">ROUND((VLOOKUP($D363,'Alloc Table Dem'!$B$7:$T$56,18,FALSE)*$E363),0)</f>
        <v>0</v>
      </c>
      <c r="L363" s="3">
        <f ca="1">ROUND((VLOOKUP($D363,'Alloc Table Dem'!$B$7:$T$56,19,FALSE)*$E363),0)</f>
        <v>0</v>
      </c>
    </row>
    <row r="364" spans="1:12" ht="11.25" x14ac:dyDescent="0.2">
      <c r="A364" s="3">
        <f t="shared" si="50"/>
        <v>19</v>
      </c>
      <c r="B364" s="24">
        <f>Input!A253</f>
        <v>392.21</v>
      </c>
      <c r="C364" s="3" t="str">
        <f>Input!B253</f>
        <v>TR EQ - TRAILER &lt; $1,000</v>
      </c>
      <c r="D364" s="325" t="str">
        <f t="shared" si="49"/>
        <v>7DEM</v>
      </c>
      <c r="E364" s="3">
        <f>Classification!E364-Classification!F364-Classification!G364</f>
        <v>653</v>
      </c>
      <c r="F364" s="3">
        <f ca="1">ROUND((VLOOKUP($D364,'Alloc Table Dem'!$B$7:$T$56,13,FALSE)*$E364),0)</f>
        <v>255</v>
      </c>
      <c r="G364" s="3">
        <f ca="1">ROUND((VLOOKUP($D364,'Alloc Table Dem'!$B$7:$T$56,14,FALSE)*$E364),0)</f>
        <v>172</v>
      </c>
      <c r="H364" s="3">
        <f ca="1">ROUND((VLOOKUP($D364,'Alloc Table Dem'!$B$7:$T$56,15,FALSE)*$E364),0)</f>
        <v>0</v>
      </c>
      <c r="I364" s="3">
        <f ca="1">ROUND((VLOOKUP($D364,'Alloc Table Dem'!$B$7:$T$56,16,FALSE)*$E364),0)</f>
        <v>0</v>
      </c>
      <c r="J364" s="3">
        <f ca="1">ROUND((VLOOKUP($D364,'Alloc Table Dem'!$B$7:$T$56,17,FALSE)*$E364),0)</f>
        <v>226</v>
      </c>
      <c r="K364" s="3">
        <f ca="1">ROUND((VLOOKUP($D364,'Alloc Table Dem'!$B$7:$T$56,18,FALSE)*$E364),0)</f>
        <v>0</v>
      </c>
      <c r="L364" s="3">
        <f ca="1">ROUND((VLOOKUP($D364,'Alloc Table Dem'!$B$7:$T$56,19,FALSE)*$E364),0)</f>
        <v>0</v>
      </c>
    </row>
    <row r="365" spans="1:12" ht="11.25" x14ac:dyDescent="0.2">
      <c r="A365" s="3">
        <f t="shared" si="50"/>
        <v>20</v>
      </c>
      <c r="B365" s="24">
        <f>Input!A254</f>
        <v>394.1</v>
      </c>
      <c r="C365" s="3" t="str">
        <f>Input!B254</f>
        <v>TOOLS,SHOP, &amp; GAR EQ-GARAGE &amp; SERV</v>
      </c>
      <c r="D365" s="325" t="str">
        <f t="shared" si="49"/>
        <v>7DEM</v>
      </c>
      <c r="E365" s="3">
        <f>Classification!E365-Classification!F365-Classification!G365</f>
        <v>282</v>
      </c>
      <c r="F365" s="3">
        <f ca="1">ROUND((VLOOKUP($D365,'Alloc Table Dem'!$B$7:$T$56,13,FALSE)*$E365),0)</f>
        <v>110</v>
      </c>
      <c r="G365" s="3">
        <f ca="1">ROUND((VLOOKUP($D365,'Alloc Table Dem'!$B$7:$T$56,14,FALSE)*$E365),0)</f>
        <v>74</v>
      </c>
      <c r="H365" s="3">
        <f ca="1">ROUND((VLOOKUP($D365,'Alloc Table Dem'!$B$7:$T$56,15,FALSE)*$E365),0)</f>
        <v>0</v>
      </c>
      <c r="I365" s="3">
        <f ca="1">ROUND((VLOOKUP($D365,'Alloc Table Dem'!$B$7:$T$56,16,FALSE)*$E365),0)</f>
        <v>0</v>
      </c>
      <c r="J365" s="3">
        <f ca="1">ROUND((VLOOKUP($D365,'Alloc Table Dem'!$B$7:$T$56,17,FALSE)*$E365),0)</f>
        <v>97</v>
      </c>
      <c r="K365" s="3">
        <f ca="1">ROUND((VLOOKUP($D365,'Alloc Table Dem'!$B$7:$T$56,18,FALSE)*$E365),0)</f>
        <v>0</v>
      </c>
      <c r="L365" s="3">
        <f ca="1">ROUND((VLOOKUP($D365,'Alloc Table Dem'!$B$7:$T$56,19,FALSE)*$E365),0)</f>
        <v>0</v>
      </c>
    </row>
    <row r="366" spans="1:12" ht="11.25" x14ac:dyDescent="0.2">
      <c r="A366" s="3">
        <f t="shared" si="50"/>
        <v>21</v>
      </c>
      <c r="B366" s="24">
        <f>Input!A255</f>
        <v>394.13</v>
      </c>
      <c r="C366" s="3" t="str">
        <f>Input!B255</f>
        <v>TOOLS,SHOP, &amp; GAR EQ-UND TANK CLEANUP</v>
      </c>
      <c r="D366" s="325" t="str">
        <f t="shared" si="49"/>
        <v>7DEM</v>
      </c>
      <c r="E366" s="3">
        <f>Classification!E366-Classification!F366-Classification!G366</f>
        <v>0</v>
      </c>
      <c r="F366" s="3">
        <f ca="1">ROUND((VLOOKUP($D366,'Alloc Table Dem'!$B$7:$T$56,13,FALSE)*$E366),0)</f>
        <v>0</v>
      </c>
      <c r="G366" s="3">
        <f ca="1">ROUND((VLOOKUP($D366,'Alloc Table Dem'!$B$7:$T$56,14,FALSE)*$E366),0)</f>
        <v>0</v>
      </c>
      <c r="H366" s="3">
        <f ca="1">ROUND((VLOOKUP($D366,'Alloc Table Dem'!$B$7:$T$56,15,FALSE)*$E366),0)</f>
        <v>0</v>
      </c>
      <c r="I366" s="3">
        <f ca="1">ROUND((VLOOKUP($D366,'Alloc Table Dem'!$B$7:$T$56,16,FALSE)*$E366),0)</f>
        <v>0</v>
      </c>
      <c r="J366" s="3">
        <f ca="1">ROUND((VLOOKUP($D366,'Alloc Table Dem'!$B$7:$T$56,17,FALSE)*$E366),0)</f>
        <v>0</v>
      </c>
      <c r="K366" s="3">
        <f ca="1">ROUND((VLOOKUP($D366,'Alloc Table Dem'!$B$7:$T$56,18,FALSE)*$E366),0)</f>
        <v>0</v>
      </c>
      <c r="L366" s="3">
        <f ca="1">ROUND((VLOOKUP($D366,'Alloc Table Dem'!$B$7:$T$56,19,FALSE)*$E366),0)</f>
        <v>0</v>
      </c>
    </row>
    <row r="367" spans="1:12" ht="11.25" x14ac:dyDescent="0.2">
      <c r="A367" s="3">
        <f t="shared" si="50"/>
        <v>22</v>
      </c>
      <c r="B367" s="24">
        <f>Input!A256</f>
        <v>393</v>
      </c>
      <c r="C367" s="3" t="str">
        <f>Input!B256</f>
        <v>STORES EQUIPMENT</v>
      </c>
      <c r="D367" s="325" t="str">
        <f t="shared" si="49"/>
        <v>7DEM</v>
      </c>
      <c r="E367" s="3">
        <f>Classification!E367-Classification!F367-Classification!G367</f>
        <v>0</v>
      </c>
      <c r="F367" s="3">
        <f ca="1">ROUND((VLOOKUP($D367,'Alloc Table Dem'!$B$7:$T$56,13,FALSE)*$E367),0)</f>
        <v>0</v>
      </c>
      <c r="G367" s="3">
        <f ca="1">ROUND((VLOOKUP($D367,'Alloc Table Dem'!$B$7:$T$56,14,FALSE)*$E367),0)</f>
        <v>0</v>
      </c>
      <c r="H367" s="3">
        <f ca="1">ROUND((VLOOKUP($D367,'Alloc Table Dem'!$B$7:$T$56,15,FALSE)*$E367),0)</f>
        <v>0</v>
      </c>
      <c r="I367" s="3">
        <f ca="1">ROUND((VLOOKUP($D367,'Alloc Table Dem'!$B$7:$T$56,16,FALSE)*$E367),0)</f>
        <v>0</v>
      </c>
      <c r="J367" s="3">
        <f ca="1">ROUND((VLOOKUP($D367,'Alloc Table Dem'!$B$7:$T$56,17,FALSE)*$E367),0)</f>
        <v>0</v>
      </c>
      <c r="K367" s="3">
        <f ca="1">ROUND((VLOOKUP($D367,'Alloc Table Dem'!$B$7:$T$56,18,FALSE)*$E367),0)</f>
        <v>0</v>
      </c>
      <c r="L367" s="3">
        <f ca="1">ROUND((VLOOKUP($D367,'Alloc Table Dem'!$B$7:$T$56,19,FALSE)*$E367),0)</f>
        <v>0</v>
      </c>
    </row>
    <row r="368" spans="1:12" ht="11.25" x14ac:dyDescent="0.2">
      <c r="A368" s="3">
        <f t="shared" si="50"/>
        <v>23</v>
      </c>
      <c r="B368" s="24">
        <f>Input!A257</f>
        <v>394.2</v>
      </c>
      <c r="C368" s="3" t="str">
        <f>Input!B257</f>
        <v>SHOP EQUIPMENT</v>
      </c>
      <c r="D368" s="325" t="str">
        <f t="shared" si="49"/>
        <v>7DEM</v>
      </c>
      <c r="E368" s="3">
        <f>Classification!E368-Classification!F368-Classification!G368</f>
        <v>0</v>
      </c>
      <c r="F368" s="3">
        <f ca="1">ROUND((VLOOKUP($D368,'Alloc Table Dem'!$B$7:$T$56,13,FALSE)*$E368),0)</f>
        <v>0</v>
      </c>
      <c r="G368" s="3">
        <f ca="1">ROUND((VLOOKUP($D368,'Alloc Table Dem'!$B$7:$T$56,14,FALSE)*$E368),0)</f>
        <v>0</v>
      </c>
      <c r="H368" s="3">
        <f ca="1">ROUND((VLOOKUP($D368,'Alloc Table Dem'!$B$7:$T$56,15,FALSE)*$E368),0)</f>
        <v>0</v>
      </c>
      <c r="I368" s="3">
        <f ca="1">ROUND((VLOOKUP($D368,'Alloc Table Dem'!$B$7:$T$56,16,FALSE)*$E368),0)</f>
        <v>0</v>
      </c>
      <c r="J368" s="3">
        <f ca="1">ROUND((VLOOKUP($D368,'Alloc Table Dem'!$B$7:$T$56,17,FALSE)*$E368),0)</f>
        <v>0</v>
      </c>
      <c r="K368" s="3">
        <f ca="1">ROUND((VLOOKUP($D368,'Alloc Table Dem'!$B$7:$T$56,18,FALSE)*$E368),0)</f>
        <v>0</v>
      </c>
      <c r="L368" s="3">
        <f ca="1">ROUND((VLOOKUP($D368,'Alloc Table Dem'!$B$7:$T$56,19,FALSE)*$E368),0)</f>
        <v>0</v>
      </c>
    </row>
    <row r="369" spans="1:12" ht="11.25" x14ac:dyDescent="0.2">
      <c r="A369" s="3">
        <f t="shared" si="50"/>
        <v>24</v>
      </c>
      <c r="B369" s="24">
        <f>Input!A258</f>
        <v>394.3</v>
      </c>
      <c r="C369" s="3" t="str">
        <f>Input!B258</f>
        <v>TOOLS &amp; OTHER EQUIPMENT</v>
      </c>
      <c r="D369" s="325" t="str">
        <f t="shared" si="49"/>
        <v>7DEM</v>
      </c>
      <c r="E369" s="3">
        <f>Classification!E369-Classification!F369-Classification!G369</f>
        <v>37699</v>
      </c>
      <c r="F369" s="3">
        <f ca="1">ROUND((VLOOKUP($D369,'Alloc Table Dem'!$B$7:$T$56,13,FALSE)*$E369),0)</f>
        <v>14693</v>
      </c>
      <c r="G369" s="3">
        <f ca="1">ROUND((VLOOKUP($D369,'Alloc Table Dem'!$B$7:$T$56,14,FALSE)*$E369),0)</f>
        <v>9950</v>
      </c>
      <c r="H369" s="3">
        <f ca="1">ROUND((VLOOKUP($D369,'Alloc Table Dem'!$B$7:$T$56,15,FALSE)*$E369),0)</f>
        <v>21</v>
      </c>
      <c r="I369" s="3">
        <f ca="1">ROUND((VLOOKUP($D369,'Alloc Table Dem'!$B$7:$T$56,16,FALSE)*$E369),0)</f>
        <v>9</v>
      </c>
      <c r="J369" s="3">
        <f ca="1">ROUND((VLOOKUP($D369,'Alloc Table Dem'!$B$7:$T$56,17,FALSE)*$E369),0)</f>
        <v>13026</v>
      </c>
      <c r="K369" s="3">
        <f ca="1">ROUND((VLOOKUP($D369,'Alloc Table Dem'!$B$7:$T$56,18,FALSE)*$E369),0)</f>
        <v>0</v>
      </c>
      <c r="L369" s="3">
        <f ca="1">ROUND((VLOOKUP($D369,'Alloc Table Dem'!$B$7:$T$56,19,FALSE)*$E369),0)</f>
        <v>0</v>
      </c>
    </row>
    <row r="370" spans="1:12" ht="11.25" x14ac:dyDescent="0.2">
      <c r="A370" s="3">
        <f t="shared" si="50"/>
        <v>25</v>
      </c>
      <c r="B370" s="24">
        <f>Input!A259</f>
        <v>395</v>
      </c>
      <c r="C370" s="3" t="str">
        <f>Input!B259</f>
        <v>LABORATORY EQUIPMENT</v>
      </c>
      <c r="D370" s="325" t="str">
        <f t="shared" si="49"/>
        <v>7DEM</v>
      </c>
      <c r="E370" s="3">
        <f>Classification!E370-Classification!F370-Classification!G370</f>
        <v>136</v>
      </c>
      <c r="F370" s="3">
        <f ca="1">ROUND((VLOOKUP($D370,'Alloc Table Dem'!$B$7:$T$56,13,FALSE)*$E370),0)</f>
        <v>53</v>
      </c>
      <c r="G370" s="3">
        <f ca="1">ROUND((VLOOKUP($D370,'Alloc Table Dem'!$B$7:$T$56,14,FALSE)*$E370),0)</f>
        <v>36</v>
      </c>
      <c r="H370" s="3">
        <f ca="1">ROUND((VLOOKUP($D370,'Alloc Table Dem'!$B$7:$T$56,15,FALSE)*$E370),0)</f>
        <v>0</v>
      </c>
      <c r="I370" s="3">
        <f ca="1">ROUND((VLOOKUP($D370,'Alloc Table Dem'!$B$7:$T$56,16,FALSE)*$E370),0)</f>
        <v>0</v>
      </c>
      <c r="J370" s="3">
        <f ca="1">ROUND((VLOOKUP($D370,'Alloc Table Dem'!$B$7:$T$56,17,FALSE)*$E370),0)</f>
        <v>47</v>
      </c>
      <c r="K370" s="3">
        <f ca="1">ROUND((VLOOKUP($D370,'Alloc Table Dem'!$B$7:$T$56,18,FALSE)*$E370),0)</f>
        <v>0</v>
      </c>
      <c r="L370" s="3">
        <f ca="1">ROUND((VLOOKUP($D370,'Alloc Table Dem'!$B$7:$T$56,19,FALSE)*$E370),0)</f>
        <v>0</v>
      </c>
    </row>
    <row r="371" spans="1:12" ht="11.25" x14ac:dyDescent="0.2">
      <c r="A371" s="3">
        <f t="shared" si="50"/>
        <v>26</v>
      </c>
      <c r="B371" s="24">
        <f>Input!A260</f>
        <v>396</v>
      </c>
      <c r="C371" s="3" t="str">
        <f>Input!B260</f>
        <v>POWER OP EQUIP-GEN TOOLS</v>
      </c>
      <c r="D371" s="325" t="str">
        <f t="shared" si="49"/>
        <v>7DEM</v>
      </c>
      <c r="E371" s="3">
        <f>Classification!E371-Classification!F371-Classification!G371</f>
        <v>1905</v>
      </c>
      <c r="F371" s="3">
        <f ca="1">ROUND((VLOOKUP($D371,'Alloc Table Dem'!$B$7:$T$56,13,FALSE)*$E371),0)</f>
        <v>742</v>
      </c>
      <c r="G371" s="3">
        <f ca="1">ROUND((VLOOKUP($D371,'Alloc Table Dem'!$B$7:$T$56,14,FALSE)*$E371),0)</f>
        <v>503</v>
      </c>
      <c r="H371" s="3">
        <f ca="1">ROUND((VLOOKUP($D371,'Alloc Table Dem'!$B$7:$T$56,15,FALSE)*$E371),0)</f>
        <v>1</v>
      </c>
      <c r="I371" s="3">
        <f ca="1">ROUND((VLOOKUP($D371,'Alloc Table Dem'!$B$7:$T$56,16,FALSE)*$E371),0)</f>
        <v>0</v>
      </c>
      <c r="J371" s="3">
        <f ca="1">ROUND((VLOOKUP($D371,'Alloc Table Dem'!$B$7:$T$56,17,FALSE)*$E371),0)</f>
        <v>658</v>
      </c>
      <c r="K371" s="3">
        <f ca="1">ROUND((VLOOKUP($D371,'Alloc Table Dem'!$B$7:$T$56,18,FALSE)*$E371),0)</f>
        <v>0</v>
      </c>
      <c r="L371" s="3">
        <f ca="1">ROUND((VLOOKUP($D371,'Alloc Table Dem'!$B$7:$T$56,19,FALSE)*$E371),0)</f>
        <v>0</v>
      </c>
    </row>
    <row r="372" spans="1:12" ht="11.25" x14ac:dyDescent="0.2">
      <c r="A372" s="3">
        <f t="shared" si="50"/>
        <v>27</v>
      </c>
      <c r="B372" s="24">
        <f>Input!A262</f>
        <v>398</v>
      </c>
      <c r="C372" s="3" t="str">
        <f>Input!B262</f>
        <v>MISCELLANEOUS EQUIPMENT</v>
      </c>
      <c r="D372" s="325" t="str">
        <f t="shared" si="49"/>
        <v>7DEM</v>
      </c>
      <c r="E372" s="26">
        <f>Classification!E372-Classification!F372-Classification!G372</f>
        <v>5700</v>
      </c>
      <c r="F372" s="26">
        <f ca="1">ROUND((VLOOKUP($D372,'Alloc Table Dem'!$B$7:$T$56,13,FALSE)*$E372),0)</f>
        <v>2222</v>
      </c>
      <c r="G372" s="26">
        <f ca="1">ROUND((VLOOKUP($D372,'Alloc Table Dem'!$B$7:$T$56,14,FALSE)*$E372),0)</f>
        <v>1504</v>
      </c>
      <c r="H372" s="26">
        <f ca="1">ROUND((VLOOKUP($D372,'Alloc Table Dem'!$B$7:$T$56,15,FALSE)*$E372),0)</f>
        <v>3</v>
      </c>
      <c r="I372" s="26">
        <f ca="1">ROUND((VLOOKUP($D372,'Alloc Table Dem'!$B$7:$T$56,16,FALSE)*$E372),0)</f>
        <v>1</v>
      </c>
      <c r="J372" s="26">
        <f ca="1">ROUND((VLOOKUP($D372,'Alloc Table Dem'!$B$7:$T$56,17,FALSE)*$E372),0)</f>
        <v>1969</v>
      </c>
      <c r="K372" s="26">
        <f ca="1">ROUND((VLOOKUP($D372,'Alloc Table Dem'!$B$7:$T$56,18,FALSE)*$E372),0)</f>
        <v>0</v>
      </c>
      <c r="L372" s="26">
        <f ca="1">ROUND((VLOOKUP($D372,'Alloc Table Dem'!$B$7:$T$56,19,FALSE)*$E372),0)</f>
        <v>0</v>
      </c>
    </row>
    <row r="373" spans="1:12" ht="11.25" x14ac:dyDescent="0.2">
      <c r="A373" s="3">
        <f t="shared" si="50"/>
        <v>28</v>
      </c>
      <c r="B373" s="3"/>
      <c r="C373" s="3" t="s">
        <v>90</v>
      </c>
      <c r="D373" s="325"/>
      <c r="E373" s="3">
        <f t="shared" ref="E373:L373" si="51">SUM(E360:E372)</f>
        <v>133598</v>
      </c>
      <c r="F373" s="3">
        <f t="shared" ca="1" si="51"/>
        <v>52070</v>
      </c>
      <c r="G373" s="3">
        <f t="shared" ca="1" si="51"/>
        <v>35260</v>
      </c>
      <c r="H373" s="3">
        <f t="shared" ca="1" si="51"/>
        <v>74</v>
      </c>
      <c r="I373" s="3">
        <f t="shared" ca="1" si="51"/>
        <v>32</v>
      </c>
      <c r="J373" s="3">
        <f t="shared" ca="1" si="51"/>
        <v>46161</v>
      </c>
      <c r="K373" s="3">
        <f t="shared" ca="1" si="51"/>
        <v>0</v>
      </c>
      <c r="L373" s="3">
        <f t="shared" ca="1" si="51"/>
        <v>0</v>
      </c>
    </row>
    <row r="374" spans="1:12" ht="11.25" x14ac:dyDescent="0.2">
      <c r="A374" s="3"/>
      <c r="B374" s="3"/>
      <c r="C374" s="3"/>
      <c r="D374" s="325"/>
      <c r="E374" s="3"/>
      <c r="F374" s="3"/>
      <c r="G374" s="3"/>
      <c r="H374" s="3"/>
      <c r="I374" s="3"/>
      <c r="J374" s="3"/>
      <c r="K374" s="3"/>
      <c r="L374" s="3"/>
    </row>
    <row r="375" spans="1:12" ht="11.25" x14ac:dyDescent="0.2">
      <c r="A375" s="3">
        <f>A373+1</f>
        <v>29</v>
      </c>
      <c r="B375" s="3"/>
      <c r="C375" s="25" t="s">
        <v>166</v>
      </c>
      <c r="D375" s="325"/>
      <c r="E375" s="3">
        <f>Demand!E306+Demand!E313+E356+E373</f>
        <v>3392114.5633508228</v>
      </c>
      <c r="F375" s="3">
        <f ca="1">Demand!F306+Demand!F313+F356+F373</f>
        <v>1322146</v>
      </c>
      <c r="G375" s="3">
        <f ca="1">Demand!G306+Demand!G313+G356+G373</f>
        <v>895328</v>
      </c>
      <c r="H375" s="3">
        <f ca="1">Demand!H306+Demand!H313+H356+H373</f>
        <v>1931</v>
      </c>
      <c r="I375" s="3">
        <f ca="1">Demand!I306+Demand!I313+I356+I373</f>
        <v>597.86000000000013</v>
      </c>
      <c r="J375" s="3">
        <f ca="1">Demand!J306+Demand!J313+J356+J373</f>
        <v>1172110</v>
      </c>
      <c r="K375" s="3">
        <f ca="1">Demand!K306+Demand!K313+K356+K373</f>
        <v>0</v>
      </c>
      <c r="L375" s="3">
        <f ca="1">Demand!L306+Demand!L313+L356+L373</f>
        <v>0</v>
      </c>
    </row>
    <row r="376" spans="1:12" ht="11.25" x14ac:dyDescent="0.2">
      <c r="A376" s="3" t="s">
        <v>819</v>
      </c>
      <c r="B376" s="3"/>
      <c r="C376" s="3"/>
      <c r="D376" s="325"/>
      <c r="E376" s="3"/>
      <c r="F376" s="325" t="str">
        <f>""&amp;+Input!$B$1</f>
        <v>COLUMBIA GAS OF KENTUCKY, INC.</v>
      </c>
      <c r="H376" s="3"/>
      <c r="I376" s="3"/>
      <c r="J376" s="3"/>
      <c r="K376" s="3"/>
      <c r="L376" s="32" t="str">
        <f>Input!$B$2</f>
        <v>ATTACHMENT CEN-2</v>
      </c>
    </row>
    <row r="377" spans="1:12" ht="11.25" x14ac:dyDescent="0.2">
      <c r="A377" s="3" t="str">
        <f>Input!$B$7</f>
        <v>DEMAND-COMMODITY</v>
      </c>
      <c r="B377" s="3"/>
      <c r="C377" s="3"/>
      <c r="D377" s="325"/>
      <c r="E377" s="3"/>
      <c r="F377" s="325" t="s">
        <v>57</v>
      </c>
      <c r="H377" s="3"/>
      <c r="I377" s="3"/>
      <c r="J377" s="3"/>
      <c r="K377" s="3"/>
      <c r="L377" s="32" t="str">
        <f>"PAGE 114 OF "&amp;FIXED(Input!$B$8,0,TRUE)</f>
        <v>PAGE 114 OF 129</v>
      </c>
    </row>
    <row r="378" spans="1:12" ht="11.25" x14ac:dyDescent="0.2">
      <c r="A378" s="17" t="str">
        <f>Input!$B$6</f>
        <v>FORECASTED TEST YEAR - ORIGINAL FILING</v>
      </c>
      <c r="B378" s="17"/>
      <c r="C378" s="17"/>
      <c r="D378" s="34"/>
      <c r="E378" s="18"/>
      <c r="F378" s="19" t="str">
        <f>"FOR THE TWELVE MONTHS ENDED "&amp;Input!$B$4</f>
        <v>FOR THE TWELVE MONTHS ENDED 12/31/2017</v>
      </c>
      <c r="G378" s="329"/>
      <c r="H378" s="17"/>
      <c r="I378" s="17"/>
      <c r="J378" s="17"/>
      <c r="K378" s="17"/>
      <c r="L378" s="183" t="str">
        <f>"WITNESS: "&amp;Input!$B$5</f>
        <v>WITNESS: C. NOTESTONE</v>
      </c>
    </row>
    <row r="379" spans="1:12" ht="11.25" x14ac:dyDescent="0.2">
      <c r="A379" s="325" t="s">
        <v>5</v>
      </c>
      <c r="B379" s="3" t="s">
        <v>6</v>
      </c>
      <c r="C379" s="3"/>
      <c r="D379" s="325" t="s">
        <v>7</v>
      </c>
      <c r="E379" s="325" t="s">
        <v>8</v>
      </c>
      <c r="F379" s="3"/>
      <c r="G379" s="3"/>
      <c r="H379" s="3"/>
      <c r="I379" s="3"/>
      <c r="J379" s="3"/>
      <c r="K379" s="3"/>
      <c r="L379" s="3"/>
    </row>
    <row r="380" spans="1:12" ht="11.25" x14ac:dyDescent="0.2">
      <c r="A380" s="341" t="s">
        <v>9</v>
      </c>
      <c r="B380" s="341" t="s">
        <v>9</v>
      </c>
      <c r="C380" s="34" t="str">
        <f>Demand!C128</f>
        <v xml:space="preserve"> ACCOUNT TITLE</v>
      </c>
      <c r="D380" s="341" t="s">
        <v>10</v>
      </c>
      <c r="E380" s="341" t="s">
        <v>813</v>
      </c>
      <c r="F380" s="341" t="str">
        <f>"  "&amp;+Input!$C$12</f>
        <v xml:space="preserve">  GS-RESIDENTIAL</v>
      </c>
      <c r="G380" s="341" t="str">
        <f>Input!$C$13</f>
        <v>GS-OTHER</v>
      </c>
      <c r="H380" s="341" t="str">
        <f>Input!$C$14</f>
        <v>IUS</v>
      </c>
      <c r="I380" s="341" t="str">
        <f>Input!$C$15</f>
        <v>DS-ML</v>
      </c>
      <c r="J380" s="341" t="str">
        <f>Input!$C$16</f>
        <v>DS/IS</v>
      </c>
      <c r="K380" s="341" t="str">
        <f>Input!$C$17</f>
        <v>NOT USED</v>
      </c>
      <c r="L380" s="341" t="str">
        <f>Input!$C$18</f>
        <v>NOT USED</v>
      </c>
    </row>
    <row r="381" spans="1:12" ht="11.25" x14ac:dyDescent="0.2">
      <c r="A381" s="3"/>
      <c r="B381" s="342" t="s">
        <v>13</v>
      </c>
      <c r="C381" s="342" t="s">
        <v>14</v>
      </c>
      <c r="D381" s="325" t="s">
        <v>15</v>
      </c>
      <c r="E381" s="325" t="s">
        <v>16</v>
      </c>
      <c r="F381" s="325" t="s">
        <v>17</v>
      </c>
      <c r="G381" s="325" t="s">
        <v>18</v>
      </c>
      <c r="H381" s="325" t="s">
        <v>19</v>
      </c>
      <c r="I381" s="325" t="s">
        <v>20</v>
      </c>
      <c r="J381" s="325" t="s">
        <v>21</v>
      </c>
      <c r="K381" s="325" t="s">
        <v>22</v>
      </c>
      <c r="L381" s="325" t="s">
        <v>23</v>
      </c>
    </row>
    <row r="382" spans="1:12" ht="11.25" x14ac:dyDescent="0.2">
      <c r="A382" s="3"/>
      <c r="B382" s="3"/>
      <c r="C382" s="3"/>
      <c r="D382" s="325"/>
      <c r="E382" s="325" t="s">
        <v>26</v>
      </c>
      <c r="F382" s="325" t="s">
        <v>26</v>
      </c>
      <c r="G382" s="325" t="s">
        <v>26</v>
      </c>
      <c r="H382" s="325" t="s">
        <v>26</v>
      </c>
      <c r="I382" s="325" t="s">
        <v>26</v>
      </c>
      <c r="J382" s="325" t="s">
        <v>26</v>
      </c>
      <c r="K382" s="325" t="s">
        <v>26</v>
      </c>
      <c r="L382" s="325" t="s">
        <v>26</v>
      </c>
    </row>
    <row r="383" spans="1:12" ht="11.25" x14ac:dyDescent="0.2">
      <c r="A383" s="3">
        <v>1</v>
      </c>
      <c r="B383" s="3" t="s">
        <v>27</v>
      </c>
      <c r="C383" s="3"/>
      <c r="D383" s="325"/>
      <c r="E383" s="3"/>
      <c r="F383" s="3"/>
      <c r="G383" s="3"/>
      <c r="H383" s="3"/>
      <c r="I383" s="3"/>
      <c r="J383" s="3"/>
      <c r="K383" s="3"/>
      <c r="L383" s="3"/>
    </row>
    <row r="384" spans="1:12" ht="11.25" x14ac:dyDescent="0.2">
      <c r="A384" s="3"/>
      <c r="B384" s="3"/>
      <c r="C384" s="1"/>
      <c r="D384" s="118"/>
      <c r="E384" s="1"/>
      <c r="F384" s="1"/>
      <c r="G384" s="1"/>
      <c r="H384" s="1"/>
      <c r="I384" s="1"/>
      <c r="J384" s="1"/>
      <c r="K384" s="1"/>
      <c r="L384" s="1"/>
    </row>
    <row r="385" spans="1:12" ht="11.25" x14ac:dyDescent="0.2">
      <c r="A385" s="3">
        <f>A383+1</f>
        <v>2</v>
      </c>
      <c r="B385" s="24" t="str">
        <f>Input!A273</f>
        <v>480.00</v>
      </c>
      <c r="C385" s="24" t="s">
        <v>169</v>
      </c>
      <c r="D385" s="118"/>
      <c r="E385" s="1">
        <f ca="1">SUM(F385:L385)</f>
        <v>10103102.510000005</v>
      </c>
      <c r="F385" s="1">
        <f ca="1">Input!E273-Commodity!F385-Customer!F385</f>
        <v>10103102.510000005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</row>
    <row r="386" spans="1:12" ht="11.25" x14ac:dyDescent="0.2">
      <c r="A386" s="3">
        <f>A385+1</f>
        <v>3</v>
      </c>
      <c r="B386" s="24" t="str">
        <f>Input!A274</f>
        <v>481.10</v>
      </c>
      <c r="C386" s="24" t="s">
        <v>171</v>
      </c>
      <c r="D386" s="118"/>
      <c r="E386" s="1">
        <f ca="1">SUM(F386:L386)</f>
        <v>3214159.4799999967</v>
      </c>
      <c r="F386" s="1">
        <v>0</v>
      </c>
      <c r="G386" s="1">
        <f ca="1">Input!F274-Customer!G386-Commodity!G386</f>
        <v>3214159.4799999967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</row>
    <row r="387" spans="1:12" ht="11.25" x14ac:dyDescent="0.2">
      <c r="A387" s="3">
        <f>A386+1</f>
        <v>4</v>
      </c>
      <c r="B387" s="24" t="str">
        <f>Input!A275</f>
        <v>481.20</v>
      </c>
      <c r="C387" s="24" t="s">
        <v>173</v>
      </c>
      <c r="D387" s="118"/>
      <c r="E387" s="116">
        <f ca="1">SUM(F387:L387)</f>
        <v>251281.36999999988</v>
      </c>
      <c r="F387" s="116">
        <v>0</v>
      </c>
      <c r="G387" s="116">
        <f ca="1">Input!F275-Customer!G387-Commodity!G387</f>
        <v>244858.59999999986</v>
      </c>
      <c r="H387" s="116">
        <f ca="1">Input!G276-Customer!H387-Commodity!H387</f>
        <v>6422.7700000000077</v>
      </c>
      <c r="I387" s="116">
        <v>0</v>
      </c>
      <c r="J387" s="116">
        <v>0</v>
      </c>
      <c r="K387" s="116">
        <v>0</v>
      </c>
      <c r="L387" s="116">
        <v>0</v>
      </c>
    </row>
    <row r="388" spans="1:12" ht="11.25" x14ac:dyDescent="0.2">
      <c r="A388" s="3">
        <f>A387+1</f>
        <v>5</v>
      </c>
      <c r="B388" s="3"/>
      <c r="C388" s="189" t="s">
        <v>239</v>
      </c>
      <c r="D388" s="118"/>
      <c r="E388" s="1">
        <f t="shared" ref="E388:L388" ca="1" si="52">SUM(E385:E387)</f>
        <v>13568543.360000001</v>
      </c>
      <c r="F388" s="1">
        <f t="shared" ca="1" si="52"/>
        <v>10103102.510000005</v>
      </c>
      <c r="G388" s="1">
        <f t="shared" ca="1" si="52"/>
        <v>3459018.0799999963</v>
      </c>
      <c r="H388" s="1">
        <f t="shared" ca="1" si="52"/>
        <v>6422.7700000000077</v>
      </c>
      <c r="I388" s="1">
        <f t="shared" si="52"/>
        <v>0</v>
      </c>
      <c r="J388" s="1">
        <f t="shared" si="52"/>
        <v>0</v>
      </c>
      <c r="K388" s="1">
        <f t="shared" si="52"/>
        <v>0</v>
      </c>
      <c r="L388" s="1">
        <f t="shared" si="52"/>
        <v>0</v>
      </c>
    </row>
    <row r="389" spans="1:12" ht="11.25" x14ac:dyDescent="0.2">
      <c r="A389" s="3"/>
      <c r="B389" s="3"/>
      <c r="C389" s="1"/>
      <c r="D389" s="118"/>
      <c r="E389" s="1"/>
      <c r="F389" s="1"/>
      <c r="G389" s="1"/>
      <c r="H389" s="1"/>
      <c r="I389" s="1"/>
      <c r="J389" s="1"/>
      <c r="K389" s="1"/>
      <c r="L389" s="1"/>
    </row>
    <row r="390" spans="1:12" ht="11.25" x14ac:dyDescent="0.2">
      <c r="A390" s="3">
        <f>A388+1</f>
        <v>6</v>
      </c>
      <c r="B390" s="24" t="str">
        <f>Input!A277</f>
        <v>487.00</v>
      </c>
      <c r="C390" s="189" t="str">
        <f>Input!B277</f>
        <v>FORFEITED DISCOUNTS</v>
      </c>
      <c r="D390" s="118"/>
      <c r="E390" s="1">
        <f ca="1">Classification!E390-Classification!F390-Classification!G390</f>
        <v>134636</v>
      </c>
      <c r="F390" s="1">
        <f ca="1">Input!E277-Commodity!F390-Customer!F390</f>
        <v>86011</v>
      </c>
      <c r="G390" s="1">
        <f ca="1">Input!F277-Commodity!G390-Customer!G390</f>
        <v>31857</v>
      </c>
      <c r="H390" s="1">
        <f ca="1">Input!G277-Commodity!H390-Customer!H390</f>
        <v>128</v>
      </c>
      <c r="I390" s="1">
        <f ca="1">Input!H277-Commodity!I390-Customer!I390</f>
        <v>1279</v>
      </c>
      <c r="J390" s="1">
        <f ca="1">Input!I277-Commodity!J390-Customer!J390</f>
        <v>15361</v>
      </c>
      <c r="K390" s="1">
        <v>0</v>
      </c>
      <c r="L390" s="1">
        <v>0</v>
      </c>
    </row>
    <row r="391" spans="1:12" ht="11.25" x14ac:dyDescent="0.2">
      <c r="A391" s="3">
        <f>A390+1</f>
        <v>7</v>
      </c>
      <c r="B391" s="24" t="str">
        <f>Input!A278</f>
        <v>488.00</v>
      </c>
      <c r="C391" s="189" t="str">
        <f>Input!B278</f>
        <v>MISC. SERVICE REVENUE</v>
      </c>
      <c r="D391" s="118">
        <f>Input!C278</f>
        <v>6</v>
      </c>
      <c r="E391" s="1">
        <f>Classification!E391-Classification!F391-Classification!G391</f>
        <v>0</v>
      </c>
      <c r="F391" s="1">
        <f>ROUND((VLOOKUP($D391,'Alloc Table Dem'!$B$7:$T$56,13,FALSE)*$E391),0)</f>
        <v>0</v>
      </c>
      <c r="G391" s="1">
        <f>ROUND((VLOOKUP($D391,'Alloc Table Dem'!$B$7:$T$56,14,FALSE)*$E391),0)</f>
        <v>0</v>
      </c>
      <c r="H391" s="1">
        <f>ROUND((VLOOKUP($D391,'Alloc Table Dem'!$B$7:$T$56,15,FALSE)*$E391),0)</f>
        <v>0</v>
      </c>
      <c r="I391" s="1">
        <f>ROUND((VLOOKUP($D391,'Alloc Table Dem'!$B$7:$T$56,16,FALSE)*$E391),0)</f>
        <v>0</v>
      </c>
      <c r="J391" s="1">
        <f>ROUND((VLOOKUP($D391,'Alloc Table Dem'!$B$7:$T$56,17,FALSE)*$E391),0)</f>
        <v>0</v>
      </c>
      <c r="K391" s="1">
        <f>ROUND((VLOOKUP($D391,'Alloc Table Dem'!$B$7:$T$56,18,FALSE)*$E391),0)</f>
        <v>0</v>
      </c>
      <c r="L391" s="1">
        <f>ROUND((VLOOKUP($D391,'Alloc Table Dem'!$B$7:$T$56,19,FALSE)*$E391),0)</f>
        <v>0</v>
      </c>
    </row>
    <row r="392" spans="1:12" ht="11.25" x14ac:dyDescent="0.2">
      <c r="A392" s="3">
        <f>A391+1</f>
        <v>8</v>
      </c>
      <c r="B392" s="24" t="str">
        <f>Input!A279</f>
        <v>489.00</v>
      </c>
      <c r="C392" s="189" t="s">
        <v>177</v>
      </c>
      <c r="D392" s="118"/>
      <c r="E392" s="1">
        <f ca="1">SUM(F392:L392)</f>
        <v>6138906.2399999993</v>
      </c>
      <c r="F392" s="1">
        <f ca="1">Input!E279-Commodity!F392-Customer!F392</f>
        <v>2541783.34</v>
      </c>
      <c r="G392" s="1">
        <f ca="1">Input!F280-Commodity!G392-Customer!G392</f>
        <v>1841604.9299999997</v>
      </c>
      <c r="H392" s="1">
        <v>0</v>
      </c>
      <c r="I392" s="1">
        <f ca="1">Input!H281-Commodity!I392-Customer!I392</f>
        <v>134902.93999999994</v>
      </c>
      <c r="J392" s="1">
        <f ca="1">Input!I282-Commodity!J392-Customer!J392</f>
        <v>1620615.0300000003</v>
      </c>
      <c r="K392" s="1">
        <v>0</v>
      </c>
      <c r="L392" s="1">
        <v>0</v>
      </c>
    </row>
    <row r="393" spans="1:12" ht="11.25" x14ac:dyDescent="0.2">
      <c r="A393" s="3">
        <f>A392+1</f>
        <v>9</v>
      </c>
      <c r="B393" s="24">
        <f>Input!A283</f>
        <v>495</v>
      </c>
      <c r="C393" s="189" t="str">
        <f>Input!B283</f>
        <v>OTHER</v>
      </c>
      <c r="D393" s="118">
        <f>Input!C283</f>
        <v>6</v>
      </c>
      <c r="E393" s="116">
        <f>Classification!E393-Classification!F393-Classification!G393</f>
        <v>0</v>
      </c>
      <c r="F393" s="116">
        <f>ROUND((VLOOKUP($D393,'Alloc Table Dem'!$B$7:$T$56,13,FALSE)*$E393),0)</f>
        <v>0</v>
      </c>
      <c r="G393" s="116">
        <f>ROUND((VLOOKUP($D393,'Alloc Table Dem'!$B$7:$T$56,14,FALSE)*$E393),0)</f>
        <v>0</v>
      </c>
      <c r="H393" s="116">
        <f>ROUND((VLOOKUP($D393,'Alloc Table Dem'!$B$7:$T$56,15,FALSE)*$E393),0)</f>
        <v>0</v>
      </c>
      <c r="I393" s="116">
        <f>ROUND((VLOOKUP($D393,'Alloc Table Dem'!$B$7:$T$56,16,FALSE)*$E393),0)</f>
        <v>0</v>
      </c>
      <c r="J393" s="116">
        <f>ROUND((VLOOKUP($D393,'Alloc Table Dem'!$B$7:$T$56,17,FALSE)*$E393),0)</f>
        <v>0</v>
      </c>
      <c r="K393" s="116">
        <f>ROUND((VLOOKUP($D393,'Alloc Table Dem'!$B$7:$T$56,18,FALSE)*$E393),0)</f>
        <v>0</v>
      </c>
      <c r="L393" s="116">
        <f>ROUND((VLOOKUP($D393,'Alloc Table Dem'!$B$7:$T$56,19,FALSE)*$E393),0)</f>
        <v>0</v>
      </c>
    </row>
    <row r="394" spans="1:12" ht="11.25" x14ac:dyDescent="0.2">
      <c r="A394" s="3">
        <f>A393+1</f>
        <v>10</v>
      </c>
      <c r="B394" s="3"/>
      <c r="C394" s="1" t="s">
        <v>253</v>
      </c>
      <c r="D394" s="118"/>
      <c r="E394" s="116">
        <f t="shared" ref="E394:L394" ca="1" si="53">SUM(E390:E393)</f>
        <v>6273542.2399999993</v>
      </c>
      <c r="F394" s="116">
        <f t="shared" ca="1" si="53"/>
        <v>2627794.34</v>
      </c>
      <c r="G394" s="116">
        <f t="shared" ca="1" si="53"/>
        <v>1873461.9299999997</v>
      </c>
      <c r="H394" s="116">
        <f t="shared" ca="1" si="53"/>
        <v>128</v>
      </c>
      <c r="I394" s="116">
        <f t="shared" ca="1" si="53"/>
        <v>136181.93999999994</v>
      </c>
      <c r="J394" s="116">
        <f t="shared" ca="1" si="53"/>
        <v>1635976.0300000003</v>
      </c>
      <c r="K394" s="116">
        <f t="shared" si="53"/>
        <v>0</v>
      </c>
      <c r="L394" s="116">
        <f t="shared" si="53"/>
        <v>0</v>
      </c>
    </row>
    <row r="395" spans="1:12" ht="11.25" x14ac:dyDescent="0.2">
      <c r="A395" s="3"/>
      <c r="B395" s="3"/>
      <c r="C395" s="1"/>
      <c r="D395" s="118"/>
      <c r="E395" s="1"/>
      <c r="F395" s="1"/>
      <c r="G395" s="1"/>
      <c r="H395" s="1"/>
      <c r="I395" s="1"/>
      <c r="J395" s="1"/>
      <c r="K395" s="1"/>
      <c r="L395" s="1"/>
    </row>
    <row r="396" spans="1:12" ht="11.25" x14ac:dyDescent="0.2">
      <c r="A396" s="3">
        <f>A394+1</f>
        <v>11</v>
      </c>
      <c r="B396" s="3"/>
      <c r="C396" s="3" t="s">
        <v>256</v>
      </c>
      <c r="D396" s="325"/>
      <c r="E396" s="3">
        <f t="shared" ref="E396:L396" ca="1" si="54">E388+E394</f>
        <v>19842085.600000001</v>
      </c>
      <c r="F396" s="3">
        <f t="shared" ca="1" si="54"/>
        <v>12730896.850000005</v>
      </c>
      <c r="G396" s="3">
        <f t="shared" ca="1" si="54"/>
        <v>5332480.0099999961</v>
      </c>
      <c r="H396" s="3">
        <f t="shared" ca="1" si="54"/>
        <v>6550.7700000000077</v>
      </c>
      <c r="I396" s="3">
        <f t="shared" ca="1" si="54"/>
        <v>136181.93999999994</v>
      </c>
      <c r="J396" s="3">
        <f t="shared" ca="1" si="54"/>
        <v>1635976.0300000003</v>
      </c>
      <c r="K396" s="3">
        <f t="shared" si="54"/>
        <v>0</v>
      </c>
      <c r="L396" s="3">
        <f t="shared" si="54"/>
        <v>0</v>
      </c>
    </row>
    <row r="397" spans="1:12" ht="11.25" x14ac:dyDescent="0.2">
      <c r="A397" s="3" t="s">
        <v>819</v>
      </c>
      <c r="B397" s="3"/>
      <c r="C397" s="3"/>
      <c r="D397" s="325"/>
      <c r="E397" s="3"/>
      <c r="F397" s="325" t="str">
        <f>" "&amp;+Input!$B$1</f>
        <v xml:space="preserve"> COLUMBIA GAS OF KENTUCKY, INC.</v>
      </c>
      <c r="H397" s="3"/>
      <c r="I397" s="3"/>
      <c r="J397" s="3"/>
      <c r="K397" s="3"/>
      <c r="L397" s="32" t="str">
        <f>Input!$B$2</f>
        <v>ATTACHMENT CEN-2</v>
      </c>
    </row>
    <row r="398" spans="1:12" ht="11.25" x14ac:dyDescent="0.2">
      <c r="A398" s="3" t="str">
        <f>Input!$B$7</f>
        <v>DEMAND-COMMODITY</v>
      </c>
      <c r="B398" s="3"/>
      <c r="C398" s="3"/>
      <c r="D398" s="325"/>
      <c r="E398" s="3"/>
      <c r="F398" s="325" t="s">
        <v>60</v>
      </c>
      <c r="H398" s="3"/>
      <c r="I398" s="3"/>
      <c r="J398" s="3"/>
      <c r="K398" s="3"/>
      <c r="L398" s="32" t="str">
        <f>"PAGE 115 OF "&amp;FIXED(Input!$B$8,0,TRUE)</f>
        <v>PAGE 115 OF 129</v>
      </c>
    </row>
    <row r="399" spans="1:12" ht="11.25" x14ac:dyDescent="0.2">
      <c r="A399" s="17" t="str">
        <f>Input!$B$6</f>
        <v>FORECASTED TEST YEAR - ORIGINAL FILING</v>
      </c>
      <c r="B399" s="17"/>
      <c r="C399" s="17"/>
      <c r="D399" s="34"/>
      <c r="E399" s="18"/>
      <c r="F399" s="19" t="str">
        <f>"FOR THE TWELVE MONTHS ENDED "&amp;Input!$B$4</f>
        <v>FOR THE TWELVE MONTHS ENDED 12/31/2017</v>
      </c>
      <c r="G399" s="329"/>
      <c r="H399" s="17"/>
      <c r="I399" s="17"/>
      <c r="J399" s="17"/>
      <c r="K399" s="17"/>
      <c r="L399" s="183" t="str">
        <f>"WITNESS: "&amp;Input!$B$5</f>
        <v>WITNESS: C. NOTESTONE</v>
      </c>
    </row>
    <row r="400" spans="1:12" ht="11.25" x14ac:dyDescent="0.2">
      <c r="A400" s="325" t="s">
        <v>5</v>
      </c>
      <c r="B400" s="3" t="s">
        <v>6</v>
      </c>
      <c r="C400" s="3"/>
      <c r="D400" s="325" t="s">
        <v>7</v>
      </c>
      <c r="E400" s="325" t="s">
        <v>8</v>
      </c>
      <c r="F400" s="3"/>
      <c r="G400" s="3"/>
      <c r="H400" s="3"/>
      <c r="I400" s="3"/>
      <c r="J400" s="3"/>
      <c r="K400" s="3"/>
      <c r="L400" s="3"/>
    </row>
    <row r="401" spans="1:12" ht="11.25" x14ac:dyDescent="0.2">
      <c r="A401" s="341" t="s">
        <v>9</v>
      </c>
      <c r="B401" s="341" t="s">
        <v>9</v>
      </c>
      <c r="C401" s="34" t="str">
        <f>Demand!C128</f>
        <v xml:space="preserve"> ACCOUNT TITLE</v>
      </c>
      <c r="D401" s="341" t="s">
        <v>10</v>
      </c>
      <c r="E401" s="341" t="s">
        <v>813</v>
      </c>
      <c r="F401" s="341" t="str">
        <f>"  "&amp;+Input!$C$12</f>
        <v xml:space="preserve">  GS-RESIDENTIAL</v>
      </c>
      <c r="G401" s="341" t="str">
        <f>Input!$C$13</f>
        <v>GS-OTHER</v>
      </c>
      <c r="H401" s="341" t="str">
        <f>Input!$C$14</f>
        <v>IUS</v>
      </c>
      <c r="I401" s="341" t="str">
        <f>Input!$C$15</f>
        <v>DS-ML</v>
      </c>
      <c r="J401" s="341" t="str">
        <f>Input!$C$16</f>
        <v>DS/IS</v>
      </c>
      <c r="K401" s="341" t="str">
        <f>Input!$C$17</f>
        <v>NOT USED</v>
      </c>
      <c r="L401" s="341" t="str">
        <f>Input!$C$18</f>
        <v>NOT USED</v>
      </c>
    </row>
    <row r="402" spans="1:12" ht="11.25" x14ac:dyDescent="0.2">
      <c r="A402" s="3"/>
      <c r="B402" s="342" t="s">
        <v>13</v>
      </c>
      <c r="C402" s="342" t="s">
        <v>14</v>
      </c>
      <c r="D402" s="325" t="s">
        <v>15</v>
      </c>
      <c r="E402" s="325" t="s">
        <v>16</v>
      </c>
      <c r="F402" s="325" t="s">
        <v>17</v>
      </c>
      <c r="G402" s="325" t="s">
        <v>18</v>
      </c>
      <c r="H402" s="325" t="s">
        <v>19</v>
      </c>
      <c r="I402" s="325" t="s">
        <v>20</v>
      </c>
      <c r="J402" s="325" t="s">
        <v>21</v>
      </c>
      <c r="K402" s="325" t="s">
        <v>22</v>
      </c>
      <c r="L402" s="325" t="s">
        <v>23</v>
      </c>
    </row>
    <row r="403" spans="1:12" ht="11.25" x14ac:dyDescent="0.2">
      <c r="A403" s="3"/>
      <c r="B403" s="3"/>
      <c r="C403" s="3"/>
      <c r="D403" s="325"/>
      <c r="E403" s="325" t="s">
        <v>26</v>
      </c>
      <c r="F403" s="325" t="s">
        <v>26</v>
      </c>
      <c r="G403" s="325" t="s">
        <v>26</v>
      </c>
      <c r="H403" s="325" t="s">
        <v>26</v>
      </c>
      <c r="I403" s="325" t="s">
        <v>26</v>
      </c>
      <c r="J403" s="325" t="s">
        <v>26</v>
      </c>
      <c r="K403" s="325" t="s">
        <v>26</v>
      </c>
      <c r="L403" s="325" t="s">
        <v>26</v>
      </c>
    </row>
    <row r="404" spans="1:12" ht="11.25" x14ac:dyDescent="0.2">
      <c r="A404" s="3">
        <v>1</v>
      </c>
      <c r="B404" s="3" t="s">
        <v>263</v>
      </c>
      <c r="C404" s="3"/>
      <c r="D404" s="325"/>
      <c r="E404" s="3"/>
      <c r="F404" s="3"/>
      <c r="G404" s="3"/>
      <c r="H404" s="3"/>
      <c r="I404" s="3"/>
      <c r="J404" s="3"/>
      <c r="K404" s="3"/>
      <c r="L404" s="3"/>
    </row>
    <row r="405" spans="1:12" ht="11.25" x14ac:dyDescent="0.2">
      <c r="A405" s="3"/>
      <c r="B405" s="3"/>
      <c r="C405" s="3"/>
      <c r="D405" s="325"/>
      <c r="E405" s="3"/>
      <c r="F405" s="3"/>
      <c r="G405" s="3"/>
      <c r="H405" s="3"/>
      <c r="I405" s="3"/>
      <c r="J405" s="3"/>
      <c r="K405" s="3"/>
      <c r="L405" s="3"/>
    </row>
    <row r="406" spans="1:12" ht="11.25" x14ac:dyDescent="0.2">
      <c r="A406" s="3">
        <f>A404+1</f>
        <v>2</v>
      </c>
      <c r="B406" s="3"/>
      <c r="C406" s="3" t="s">
        <v>266</v>
      </c>
      <c r="D406" s="325"/>
      <c r="E406" s="3"/>
      <c r="F406" s="3"/>
      <c r="G406" s="3"/>
      <c r="H406" s="3"/>
      <c r="I406" s="3"/>
      <c r="J406" s="3"/>
      <c r="K406" s="3"/>
      <c r="L406" s="3"/>
    </row>
    <row r="407" spans="1:12" ht="11.25" x14ac:dyDescent="0.2">
      <c r="A407" s="3"/>
      <c r="B407" s="3"/>
      <c r="C407" s="3"/>
      <c r="D407" s="325"/>
      <c r="E407" s="3"/>
      <c r="F407" s="3"/>
      <c r="G407" s="3"/>
      <c r="H407" s="3"/>
      <c r="I407" s="3"/>
      <c r="J407" s="3"/>
      <c r="K407" s="3"/>
      <c r="L407" s="3"/>
    </row>
    <row r="408" spans="1:12" ht="11.25" x14ac:dyDescent="0.2">
      <c r="A408" s="3">
        <f>A406+1</f>
        <v>3</v>
      </c>
      <c r="B408" s="24" t="str">
        <f>Input!A317</f>
        <v>717</v>
      </c>
      <c r="C408" s="24" t="str">
        <f>Input!B317</f>
        <v>LIQUE PETRO GAS EXP - LABOR</v>
      </c>
      <c r="D408" s="325">
        <f>Input!C317</f>
        <v>2</v>
      </c>
      <c r="E408" s="3">
        <f>Classification!E408-Classification!F408-Classification!G408</f>
        <v>0</v>
      </c>
      <c r="F408" s="3">
        <f>ROUND((VLOOKUP($D408,'Alloc Table Dem'!$B$7:$T$56,13,FALSE)*$E408),0)</f>
        <v>0</v>
      </c>
      <c r="G408" s="3">
        <f>ROUND((VLOOKUP($D408,'Alloc Table Dem'!$B$7:$T$56,14,FALSE)*$E408),0)</f>
        <v>0</v>
      </c>
      <c r="H408" s="3">
        <f>ROUND((VLOOKUP($D408,'Alloc Table Dem'!$B$7:$T$56,15,FALSE)*$E408),0)</f>
        <v>0</v>
      </c>
      <c r="I408" s="3">
        <f>ROUND((VLOOKUP($D408,'Alloc Table Dem'!$B$7:$T$56,16,FALSE)*$E408),0)</f>
        <v>0</v>
      </c>
      <c r="J408" s="3">
        <f>ROUND((VLOOKUP($D408,'Alloc Table Dem'!$B$7:$T$56,17,FALSE)*$E408),0)</f>
        <v>0</v>
      </c>
      <c r="K408" s="3">
        <f>ROUND((VLOOKUP($D408,'Alloc Table Dem'!$B$7:$T$56,18,FALSE)*$E408),0)</f>
        <v>0</v>
      </c>
      <c r="L408" s="3">
        <f>ROUND((VLOOKUP($D408,'Alloc Table Dem'!$B$7:$T$56,19,FALSE)*$E408),0)</f>
        <v>0</v>
      </c>
    </row>
    <row r="409" spans="1:12" ht="11.25" x14ac:dyDescent="0.2">
      <c r="A409" s="3">
        <f>A408+1</f>
        <v>4</v>
      </c>
      <c r="B409" s="24" t="str">
        <f>Input!A318</f>
        <v>717</v>
      </c>
      <c r="C409" s="24" t="str">
        <f>Input!B318</f>
        <v>LIQUE PETRO GAS EXP - M&amp;E</v>
      </c>
      <c r="D409" s="325">
        <f>Input!C318</f>
        <v>2</v>
      </c>
      <c r="E409" s="3">
        <f>Classification!E409-Classification!F409-Classification!G409</f>
        <v>2139</v>
      </c>
      <c r="F409" s="3">
        <f>ROUND((VLOOKUP($D409,'Alloc Table Dem'!$B$7:$T$56,13,FALSE)*$E409),0)</f>
        <v>1304</v>
      </c>
      <c r="G409" s="3">
        <f>ROUND((VLOOKUP($D409,'Alloc Table Dem'!$B$7:$T$56,14,FALSE)*$E409),0)</f>
        <v>797</v>
      </c>
      <c r="H409" s="3">
        <f>ROUND((VLOOKUP($D409,'Alloc Table Dem'!$B$7:$T$56,15,FALSE)*$E409),0)</f>
        <v>2</v>
      </c>
      <c r="I409" s="3">
        <f>ROUND((VLOOKUP($D409,'Alloc Table Dem'!$B$7:$T$56,16,FALSE)*$E409),0)</f>
        <v>0</v>
      </c>
      <c r="J409" s="3">
        <f>ROUND((VLOOKUP($D409,'Alloc Table Dem'!$B$7:$T$56,17,FALSE)*$E409),0)</f>
        <v>37</v>
      </c>
      <c r="K409" s="3">
        <f>ROUND((VLOOKUP($D409,'Alloc Table Dem'!$B$7:$T$56,18,FALSE)*$E409),0)</f>
        <v>0</v>
      </c>
      <c r="L409" s="3">
        <f>ROUND((VLOOKUP($D409,'Alloc Table Dem'!$B$7:$T$56,19,FALSE)*$E409),0)</f>
        <v>0</v>
      </c>
    </row>
    <row r="410" spans="1:12" ht="11.25" x14ac:dyDescent="0.2">
      <c r="A410" s="3">
        <f>A409+1</f>
        <v>5</v>
      </c>
      <c r="B410" s="24" t="str">
        <f>Input!A319</f>
        <v>723</v>
      </c>
      <c r="C410" s="24" t="str">
        <f>Input!B319</f>
        <v>LIQUIFIED PETROLEUM GAS PROCESS</v>
      </c>
      <c r="D410" s="325">
        <f>Input!C319</f>
        <v>2</v>
      </c>
      <c r="E410" s="3">
        <f>Classification!E410-Classification!F410-Classification!G410</f>
        <v>0</v>
      </c>
      <c r="F410" s="3">
        <f>ROUND((VLOOKUP($D410,'Alloc Table Dem'!$B$7:$T$56,13,FALSE)*$E410),0)</f>
        <v>0</v>
      </c>
      <c r="G410" s="3">
        <f>ROUND((VLOOKUP($D410,'Alloc Table Dem'!$B$7:$T$56,14,FALSE)*$E410),0)</f>
        <v>0</v>
      </c>
      <c r="H410" s="3">
        <f>ROUND((VLOOKUP($D410,'Alloc Table Dem'!$B$7:$T$56,15,FALSE)*$E410),0)</f>
        <v>0</v>
      </c>
      <c r="I410" s="3">
        <f>ROUND((VLOOKUP($D410,'Alloc Table Dem'!$B$7:$T$56,16,FALSE)*$E410),0)</f>
        <v>0</v>
      </c>
      <c r="J410" s="3">
        <f>ROUND((VLOOKUP($D410,'Alloc Table Dem'!$B$7:$T$56,17,FALSE)*$E410),0)</f>
        <v>0</v>
      </c>
      <c r="K410" s="3">
        <f>ROUND((VLOOKUP($D410,'Alloc Table Dem'!$B$7:$T$56,18,FALSE)*$E410),0)</f>
        <v>0</v>
      </c>
      <c r="L410" s="3">
        <f>ROUND((VLOOKUP($D410,'Alloc Table Dem'!$B$7:$T$56,19,FALSE)*$E410),0)</f>
        <v>0</v>
      </c>
    </row>
    <row r="411" spans="1:12" ht="11.25" x14ac:dyDescent="0.2">
      <c r="A411" s="3">
        <f>A410+1</f>
        <v>6</v>
      </c>
      <c r="B411" s="24" t="str">
        <f>Input!A320</f>
        <v>728</v>
      </c>
      <c r="C411" s="24" t="str">
        <f>Input!B320</f>
        <v xml:space="preserve">LIQUIFIED PETROLEUM GAS </v>
      </c>
      <c r="D411" s="325">
        <f>Input!C320</f>
        <v>2</v>
      </c>
      <c r="E411" s="26">
        <f>Classification!E411-Classification!F411-Classification!G411</f>
        <v>0</v>
      </c>
      <c r="F411" s="26">
        <f>ROUND((VLOOKUP($D411,'Alloc Table Dem'!$B$7:$T$56,13,FALSE)*$E411),0)</f>
        <v>0</v>
      </c>
      <c r="G411" s="26">
        <f>ROUND((VLOOKUP($D411,'Alloc Table Dem'!$B$7:$T$56,14,FALSE)*$E411),0)</f>
        <v>0</v>
      </c>
      <c r="H411" s="26">
        <f>ROUND((VLOOKUP($D411,'Alloc Table Dem'!$B$7:$T$56,15,FALSE)*$E411),0)</f>
        <v>0</v>
      </c>
      <c r="I411" s="26">
        <f>ROUND((VLOOKUP($D411,'Alloc Table Dem'!$B$7:$T$56,16,FALSE)*$E411),0)</f>
        <v>0</v>
      </c>
      <c r="J411" s="26">
        <f>ROUND((VLOOKUP($D411,'Alloc Table Dem'!$B$7:$T$56,17,FALSE)*$E411),0)</f>
        <v>0</v>
      </c>
      <c r="K411" s="26">
        <f>ROUND((VLOOKUP($D411,'Alloc Table Dem'!$B$7:$T$56,18,FALSE)*$E411),0)</f>
        <v>0</v>
      </c>
      <c r="L411" s="26">
        <f>ROUND((VLOOKUP($D411,'Alloc Table Dem'!$B$7:$T$56,19,FALSE)*$E411),0)</f>
        <v>0</v>
      </c>
    </row>
    <row r="412" spans="1:12" ht="11.25" x14ac:dyDescent="0.2">
      <c r="A412" s="3">
        <f>A411+1</f>
        <v>7</v>
      </c>
      <c r="B412" s="3"/>
      <c r="C412" s="3" t="s">
        <v>271</v>
      </c>
      <c r="D412" s="325"/>
      <c r="E412" s="3">
        <f t="shared" ref="E412:L412" si="55">SUM(E408:E411)</f>
        <v>2139</v>
      </c>
      <c r="F412" s="3">
        <f t="shared" si="55"/>
        <v>1304</v>
      </c>
      <c r="G412" s="3">
        <f t="shared" si="55"/>
        <v>797</v>
      </c>
      <c r="H412" s="3">
        <f t="shared" si="55"/>
        <v>2</v>
      </c>
      <c r="I412" s="3">
        <f t="shared" si="55"/>
        <v>0</v>
      </c>
      <c r="J412" s="3">
        <f t="shared" si="55"/>
        <v>37</v>
      </c>
      <c r="K412" s="3">
        <f t="shared" si="55"/>
        <v>0</v>
      </c>
      <c r="L412" s="3">
        <f t="shared" si="55"/>
        <v>0</v>
      </c>
    </row>
    <row r="413" spans="1:12" ht="11.25" x14ac:dyDescent="0.2">
      <c r="A413" s="3"/>
      <c r="B413" s="3"/>
      <c r="C413" s="3"/>
      <c r="D413" s="325"/>
      <c r="E413" s="3"/>
      <c r="F413" s="3"/>
      <c r="G413" s="3"/>
      <c r="H413" s="3"/>
      <c r="I413" s="3"/>
      <c r="J413" s="3"/>
      <c r="K413" s="3"/>
      <c r="L413" s="3"/>
    </row>
    <row r="414" spans="1:12" ht="11.25" x14ac:dyDescent="0.2">
      <c r="A414" s="3">
        <f>A412+1</f>
        <v>8</v>
      </c>
      <c r="B414" s="3"/>
      <c r="C414" s="3" t="s">
        <v>272</v>
      </c>
      <c r="D414" s="325"/>
      <c r="E414" s="3"/>
      <c r="F414" s="3"/>
      <c r="G414" s="3"/>
      <c r="H414" s="3"/>
      <c r="I414" s="3"/>
      <c r="J414" s="3"/>
      <c r="K414" s="3"/>
      <c r="L414" s="3"/>
    </row>
    <row r="415" spans="1:12" ht="11.25" x14ac:dyDescent="0.2">
      <c r="A415" s="3"/>
      <c r="B415" s="3"/>
      <c r="C415" s="3"/>
      <c r="D415" s="325"/>
      <c r="E415" s="3"/>
      <c r="F415" s="3"/>
      <c r="G415" s="3"/>
      <c r="H415" s="3"/>
      <c r="I415" s="3"/>
      <c r="J415" s="3"/>
      <c r="K415" s="3"/>
      <c r="L415" s="3"/>
    </row>
    <row r="416" spans="1:12" ht="11.25" x14ac:dyDescent="0.2">
      <c r="A416" s="3">
        <f>A414+1</f>
        <v>9</v>
      </c>
      <c r="B416" s="24" t="str">
        <f>Input!A321</f>
        <v>741</v>
      </c>
      <c r="C416" s="24" t="str">
        <f>Input!B321</f>
        <v>STRUCTURES &amp; IMPROV - LABOR</v>
      </c>
      <c r="D416" s="325">
        <f>Input!C321</f>
        <v>2</v>
      </c>
      <c r="E416" s="3">
        <f>Classification!E416-Classification!F416-Classification!G416</f>
        <v>0</v>
      </c>
      <c r="F416" s="3">
        <f>ROUND((VLOOKUP($D416,'Alloc Table Dem'!$B$7:$T$56,13,FALSE)*$E416),0)</f>
        <v>0</v>
      </c>
      <c r="G416" s="3">
        <f>ROUND((VLOOKUP($D416,'Alloc Table Dem'!$B$7:$T$56,14,FALSE)*$E416),0)</f>
        <v>0</v>
      </c>
      <c r="H416" s="3">
        <f>ROUND((VLOOKUP($D416,'Alloc Table Dem'!$B$7:$T$56,15,FALSE)*$E416),0)</f>
        <v>0</v>
      </c>
      <c r="I416" s="3">
        <f>ROUND((VLOOKUP($D416,'Alloc Table Dem'!$B$7:$T$56,16,FALSE)*$E416),0)</f>
        <v>0</v>
      </c>
      <c r="J416" s="3">
        <f>ROUND((VLOOKUP($D416,'Alloc Table Dem'!$B$7:$T$56,17,FALSE)*$E416),0)</f>
        <v>0</v>
      </c>
      <c r="K416" s="3">
        <f>ROUND((VLOOKUP($D416,'Alloc Table Dem'!$B$7:$T$56,18,FALSE)*$E416),0)</f>
        <v>0</v>
      </c>
      <c r="L416" s="3">
        <f>ROUND((VLOOKUP($D416,'Alloc Table Dem'!$B$7:$T$56,19,FALSE)*$E416),0)</f>
        <v>0</v>
      </c>
    </row>
    <row r="417" spans="1:12" ht="11.25" x14ac:dyDescent="0.2">
      <c r="A417" s="3">
        <f>A416+1</f>
        <v>10</v>
      </c>
      <c r="B417" s="24" t="str">
        <f>Input!A322</f>
        <v>741</v>
      </c>
      <c r="C417" s="24" t="str">
        <f>Input!B322</f>
        <v>STRUCTURES &amp; IMPROV - M&amp;E</v>
      </c>
      <c r="D417" s="325">
        <f>Input!C322</f>
        <v>2</v>
      </c>
      <c r="E417" s="3">
        <f>Classification!E417-Classification!F417-Classification!G417</f>
        <v>0</v>
      </c>
      <c r="F417" s="3">
        <f>ROUND((VLOOKUP($D417,'Alloc Table Dem'!$B$7:$T$56,13,FALSE)*$E417),0)</f>
        <v>0</v>
      </c>
      <c r="G417" s="3">
        <f>ROUND((VLOOKUP($D417,'Alloc Table Dem'!$B$7:$T$56,14,FALSE)*$E417),0)</f>
        <v>0</v>
      </c>
      <c r="H417" s="3">
        <f>ROUND((VLOOKUP($D417,'Alloc Table Dem'!$B$7:$T$56,15,FALSE)*$E417),0)</f>
        <v>0</v>
      </c>
      <c r="I417" s="3">
        <f>ROUND((VLOOKUP($D417,'Alloc Table Dem'!$B$7:$T$56,16,FALSE)*$E417),0)</f>
        <v>0</v>
      </c>
      <c r="J417" s="3">
        <f>ROUND((VLOOKUP($D417,'Alloc Table Dem'!$B$7:$T$56,17,FALSE)*$E417),0)</f>
        <v>0</v>
      </c>
      <c r="K417" s="3">
        <f>ROUND((VLOOKUP($D417,'Alloc Table Dem'!$B$7:$T$56,18,FALSE)*$E417),0)</f>
        <v>0</v>
      </c>
      <c r="L417" s="3">
        <f>ROUND((VLOOKUP($D417,'Alloc Table Dem'!$B$7:$T$56,19,FALSE)*$E417),0)</f>
        <v>0</v>
      </c>
    </row>
    <row r="418" spans="1:12" ht="11.25" x14ac:dyDescent="0.2">
      <c r="A418" s="3">
        <f>A417+1</f>
        <v>11</v>
      </c>
      <c r="B418" s="24" t="str">
        <f>Input!A323</f>
        <v>742</v>
      </c>
      <c r="C418" s="24" t="str">
        <f>Input!B323</f>
        <v>PRODUCTION EQUIPMENT - LABOR</v>
      </c>
      <c r="D418" s="325">
        <f>Input!C323</f>
        <v>2</v>
      </c>
      <c r="E418" s="3">
        <f>Classification!E418-Classification!F418-Classification!G418</f>
        <v>0</v>
      </c>
      <c r="F418" s="3">
        <f>ROUND((VLOOKUP($D418,'Alloc Table Dem'!$B$7:$T$56,13,FALSE)*$E418),0)</f>
        <v>0</v>
      </c>
      <c r="G418" s="3">
        <f>ROUND((VLOOKUP($D418,'Alloc Table Dem'!$B$7:$T$56,14,FALSE)*$E418),0)</f>
        <v>0</v>
      </c>
      <c r="H418" s="3">
        <f>ROUND((VLOOKUP($D418,'Alloc Table Dem'!$B$7:$T$56,15,FALSE)*$E418),0)</f>
        <v>0</v>
      </c>
      <c r="I418" s="3">
        <f>ROUND((VLOOKUP($D418,'Alloc Table Dem'!$B$7:$T$56,16,FALSE)*$E418),0)</f>
        <v>0</v>
      </c>
      <c r="J418" s="3">
        <f>ROUND((VLOOKUP($D418,'Alloc Table Dem'!$B$7:$T$56,17,FALSE)*$E418),0)</f>
        <v>0</v>
      </c>
      <c r="K418" s="3">
        <f>ROUND((VLOOKUP($D418,'Alloc Table Dem'!$B$7:$T$56,18,FALSE)*$E418),0)</f>
        <v>0</v>
      </c>
      <c r="L418" s="3">
        <f>ROUND((VLOOKUP($D418,'Alloc Table Dem'!$B$7:$T$56,19,FALSE)*$E418),0)</f>
        <v>0</v>
      </c>
    </row>
    <row r="419" spans="1:12" ht="11.25" x14ac:dyDescent="0.2">
      <c r="A419" s="3">
        <f>A418+1</f>
        <v>12</v>
      </c>
      <c r="B419" s="24" t="str">
        <f>Input!A324</f>
        <v>742</v>
      </c>
      <c r="C419" s="24" t="str">
        <f>Input!B324</f>
        <v>PRODUCTION EQUIPMENT - M&amp;E</v>
      </c>
      <c r="D419" s="325">
        <f>Input!C324</f>
        <v>2</v>
      </c>
      <c r="E419" s="26">
        <f>Classification!E419-Classification!F419-Classification!G419</f>
        <v>0</v>
      </c>
      <c r="F419" s="26">
        <f>ROUND((VLOOKUP($D419,'Alloc Table Dem'!$B$7:$T$56,13,FALSE)*$E419),0)</f>
        <v>0</v>
      </c>
      <c r="G419" s="26">
        <f>ROUND((VLOOKUP($D419,'Alloc Table Dem'!$B$7:$T$56,14,FALSE)*$E419),0)</f>
        <v>0</v>
      </c>
      <c r="H419" s="26">
        <f>ROUND((VLOOKUP($D419,'Alloc Table Dem'!$B$7:$T$56,15,FALSE)*$E419),0)</f>
        <v>0</v>
      </c>
      <c r="I419" s="26">
        <f>ROUND((VLOOKUP($D419,'Alloc Table Dem'!$B$7:$T$56,16,FALSE)*$E419),0)</f>
        <v>0</v>
      </c>
      <c r="J419" s="26">
        <f>ROUND((VLOOKUP($D419,'Alloc Table Dem'!$B$7:$T$56,17,FALSE)*$E419),0)</f>
        <v>0</v>
      </c>
      <c r="K419" s="26">
        <f>ROUND((VLOOKUP($D419,'Alloc Table Dem'!$B$7:$T$56,18,FALSE)*$E419),0)</f>
        <v>0</v>
      </c>
      <c r="L419" s="26">
        <f>ROUND((VLOOKUP($D419,'Alloc Table Dem'!$B$7:$T$56,19,FALSE)*$E419),0)</f>
        <v>0</v>
      </c>
    </row>
    <row r="420" spans="1:12" ht="11.25" x14ac:dyDescent="0.2">
      <c r="A420" s="3">
        <f>A419+1</f>
        <v>13</v>
      </c>
      <c r="B420" s="3"/>
      <c r="C420" s="3" t="s">
        <v>273</v>
      </c>
      <c r="D420" s="325"/>
      <c r="E420" s="26">
        <f t="shared" ref="E420:L420" si="56">SUM(E416:E419)</f>
        <v>0</v>
      </c>
      <c r="F420" s="26">
        <f t="shared" si="56"/>
        <v>0</v>
      </c>
      <c r="G420" s="26">
        <f t="shared" si="56"/>
        <v>0</v>
      </c>
      <c r="H420" s="26">
        <f t="shared" si="56"/>
        <v>0</v>
      </c>
      <c r="I420" s="26">
        <f t="shared" si="56"/>
        <v>0</v>
      </c>
      <c r="J420" s="26">
        <f t="shared" si="56"/>
        <v>0</v>
      </c>
      <c r="K420" s="26">
        <f t="shared" si="56"/>
        <v>0</v>
      </c>
      <c r="L420" s="26">
        <f t="shared" si="56"/>
        <v>0</v>
      </c>
    </row>
    <row r="421" spans="1:12" ht="11.25" x14ac:dyDescent="0.2">
      <c r="A421" s="3"/>
      <c r="B421" s="3"/>
      <c r="C421" s="3"/>
      <c r="D421" s="325"/>
      <c r="E421" s="3"/>
      <c r="F421" s="3"/>
      <c r="G421" s="3"/>
      <c r="H421" s="3"/>
      <c r="I421" s="3"/>
      <c r="J421" s="3"/>
      <c r="K421" s="3"/>
      <c r="L421" s="3"/>
    </row>
    <row r="422" spans="1:12" ht="11.25" x14ac:dyDescent="0.2">
      <c r="A422" s="3">
        <f>A420+1</f>
        <v>14</v>
      </c>
      <c r="B422" s="3"/>
      <c r="C422" s="3" t="s">
        <v>274</v>
      </c>
      <c r="D422" s="325"/>
      <c r="E422" s="3">
        <f t="shared" ref="E422:L422" si="57">E412+E420</f>
        <v>2139</v>
      </c>
      <c r="F422" s="3">
        <f t="shared" si="57"/>
        <v>1304</v>
      </c>
      <c r="G422" s="3">
        <f t="shared" si="57"/>
        <v>797</v>
      </c>
      <c r="H422" s="3">
        <f t="shared" si="57"/>
        <v>2</v>
      </c>
      <c r="I422" s="3">
        <f t="shared" si="57"/>
        <v>0</v>
      </c>
      <c r="J422" s="3">
        <f t="shared" si="57"/>
        <v>37</v>
      </c>
      <c r="K422" s="3">
        <f t="shared" si="57"/>
        <v>0</v>
      </c>
      <c r="L422" s="3">
        <f t="shared" si="57"/>
        <v>0</v>
      </c>
    </row>
    <row r="423" spans="1:12" ht="11.25" x14ac:dyDescent="0.2">
      <c r="A423" s="3"/>
      <c r="B423" s="3"/>
      <c r="C423" s="3"/>
      <c r="D423" s="325"/>
      <c r="E423" s="3"/>
      <c r="F423" s="3"/>
      <c r="G423" s="3"/>
      <c r="H423" s="3"/>
      <c r="I423" s="3"/>
      <c r="J423" s="3"/>
      <c r="K423" s="3"/>
      <c r="L423" s="3"/>
    </row>
    <row r="424" spans="1:12" ht="11.25" x14ac:dyDescent="0.2">
      <c r="A424" s="3">
        <f>A422+1</f>
        <v>15</v>
      </c>
      <c r="B424" s="3"/>
      <c r="C424" s="3" t="s">
        <v>275</v>
      </c>
      <c r="D424" s="325"/>
      <c r="E424" s="3"/>
      <c r="F424" s="3"/>
      <c r="G424" s="3"/>
      <c r="H424" s="3"/>
      <c r="I424" s="3"/>
      <c r="J424" s="3"/>
      <c r="K424" s="3"/>
      <c r="L424" s="3"/>
    </row>
    <row r="425" spans="1:12" ht="11.25" x14ac:dyDescent="0.2">
      <c r="A425" s="3"/>
      <c r="B425" s="3"/>
      <c r="C425" s="3"/>
      <c r="D425" s="325"/>
      <c r="E425" s="3"/>
      <c r="F425" s="3"/>
      <c r="G425" s="3"/>
      <c r="H425" s="3"/>
      <c r="I425" s="3"/>
      <c r="J425" s="3"/>
      <c r="K425" s="3"/>
      <c r="L425" s="3"/>
    </row>
    <row r="426" spans="1:12" ht="11.25" x14ac:dyDescent="0.2">
      <c r="A426" s="3">
        <f>A424+1</f>
        <v>16</v>
      </c>
      <c r="B426" s="24" t="s">
        <v>276</v>
      </c>
      <c r="C426" s="3"/>
      <c r="D426" s="325"/>
      <c r="E426" s="3"/>
      <c r="F426" s="3"/>
      <c r="G426" s="3"/>
      <c r="H426" s="3"/>
      <c r="I426" s="3"/>
      <c r="J426" s="3"/>
      <c r="K426" s="3"/>
      <c r="L426" s="3"/>
    </row>
    <row r="427" spans="1:12" ht="11.25" x14ac:dyDescent="0.2">
      <c r="A427" s="3">
        <f>A426+1</f>
        <v>17</v>
      </c>
      <c r="B427" s="3" t="s">
        <v>277</v>
      </c>
      <c r="C427" s="3" t="str">
        <f>Input!B325</f>
        <v>COST OF GAS @ CITY GATE</v>
      </c>
      <c r="D427" s="325"/>
      <c r="E427" s="3">
        <f>Classification!E427-Classification!F427-Classification!G427</f>
        <v>0.10999999567866325</v>
      </c>
      <c r="F427" s="3">
        <v>0</v>
      </c>
      <c r="G427" s="3">
        <v>0</v>
      </c>
      <c r="H427" s="3">
        <v>0</v>
      </c>
      <c r="I427" s="3">
        <v>0</v>
      </c>
      <c r="J427" s="3">
        <v>0</v>
      </c>
      <c r="K427" s="3">
        <v>0</v>
      </c>
      <c r="L427" s="3">
        <v>0</v>
      </c>
    </row>
    <row r="428" spans="1:12" ht="11.25" x14ac:dyDescent="0.2">
      <c r="A428" s="3">
        <f>A427+1</f>
        <v>18</v>
      </c>
      <c r="B428" s="24" t="str">
        <f>Input!A326</f>
        <v>807</v>
      </c>
      <c r="C428" s="3" t="str">
        <f>Input!B326</f>
        <v>OTHER PURCHASED GAS - LABOR</v>
      </c>
      <c r="D428" s="325">
        <f>Input!C326</f>
        <v>9</v>
      </c>
      <c r="E428" s="3">
        <f>Classification!E428-Classification!F428-Classification!G428</f>
        <v>0</v>
      </c>
      <c r="F428" s="3">
        <f>ROUND((VLOOKUP($D428,'Alloc Table Dem'!$B$7:$T$56,13,FALSE)*$E428),0)</f>
        <v>0</v>
      </c>
      <c r="G428" s="3">
        <f>ROUND((VLOOKUP($D428,'Alloc Table Dem'!$B$7:$T$56,14,FALSE)*$E428),0)</f>
        <v>0</v>
      </c>
      <c r="H428" s="3">
        <f>ROUND((VLOOKUP($D428,'Alloc Table Dem'!$B$7:$T$56,15,FALSE)*$E428),0)</f>
        <v>0</v>
      </c>
      <c r="I428" s="3">
        <f>ROUND((VLOOKUP($D428,'Alloc Table Dem'!$B$7:$T$56,16,FALSE)*$E428),0)</f>
        <v>0</v>
      </c>
      <c r="J428" s="3">
        <f>ROUND((VLOOKUP($D428,'Alloc Table Dem'!$B$7:$T$56,17,FALSE)*$E428),0)</f>
        <v>0</v>
      </c>
      <c r="K428" s="3">
        <f>ROUND((VLOOKUP($D428,'Alloc Table Dem'!$B$7:$T$56,18,FALSE)*$E428),0)</f>
        <v>0</v>
      </c>
      <c r="L428" s="3">
        <f>ROUND((VLOOKUP($D428,'Alloc Table Dem'!$B$7:$T$56,19,FALSE)*$E428),0)</f>
        <v>0</v>
      </c>
    </row>
    <row r="429" spans="1:12" ht="11.25" x14ac:dyDescent="0.2">
      <c r="A429" s="3">
        <f>A428+1</f>
        <v>19</v>
      </c>
      <c r="B429" s="24" t="str">
        <f>Input!A327</f>
        <v>807</v>
      </c>
      <c r="C429" s="3" t="str">
        <f>Input!B327</f>
        <v xml:space="preserve">OTHER PURCHASED GAS - M &amp; E </v>
      </c>
      <c r="D429" s="325">
        <f>Input!C327</f>
        <v>9</v>
      </c>
      <c r="E429" s="3">
        <f>Classification!E429-Classification!F429-Classification!G429</f>
        <v>0</v>
      </c>
      <c r="F429" s="3">
        <f>ROUND((VLOOKUP($D429,'Alloc Table Dem'!$B$7:$T$56,13,FALSE)*$E429),0)</f>
        <v>0</v>
      </c>
      <c r="G429" s="3">
        <f>ROUND((VLOOKUP($D429,'Alloc Table Dem'!$B$7:$T$56,14,FALSE)*$E429),0)</f>
        <v>0</v>
      </c>
      <c r="H429" s="3">
        <f>ROUND((VLOOKUP($D429,'Alloc Table Dem'!$B$7:$T$56,15,FALSE)*$E429),0)</f>
        <v>0</v>
      </c>
      <c r="I429" s="3">
        <f>ROUND((VLOOKUP($D429,'Alloc Table Dem'!$B$7:$T$56,16,FALSE)*$E429),0)</f>
        <v>0</v>
      </c>
      <c r="J429" s="3">
        <f>ROUND((VLOOKUP($D429,'Alloc Table Dem'!$B$7:$T$56,17,FALSE)*$E429),0)</f>
        <v>0</v>
      </c>
      <c r="K429" s="3">
        <f>ROUND((VLOOKUP($D429,'Alloc Table Dem'!$B$7:$T$56,18,FALSE)*$E429),0)</f>
        <v>0</v>
      </c>
      <c r="L429" s="3">
        <f>ROUND((VLOOKUP($D429,'Alloc Table Dem'!$B$7:$T$56,19,FALSE)*$E429),0)</f>
        <v>0</v>
      </c>
    </row>
    <row r="430" spans="1:12" ht="11.25" x14ac:dyDescent="0.2">
      <c r="A430" s="3">
        <f>A429+1</f>
        <v>20</v>
      </c>
      <c r="B430" s="3" t="str">
        <f>Input!A328</f>
        <v>812</v>
      </c>
      <c r="C430" s="3" t="str">
        <f>Input!B328</f>
        <v>GAS USED IN OPERATIONS</v>
      </c>
      <c r="D430" s="325">
        <f>Input!C328</f>
        <v>9</v>
      </c>
      <c r="E430" s="26">
        <f>Classification!E430-Classification!F430-Classification!G430</f>
        <v>0</v>
      </c>
      <c r="F430" s="26">
        <f>ROUND((VLOOKUP($D430,'Alloc Table Dem'!$B$7:$T$56,13,FALSE)*$E430),0)</f>
        <v>0</v>
      </c>
      <c r="G430" s="26">
        <f>ROUND((VLOOKUP($D430,'Alloc Table Dem'!$B$7:$T$56,14,FALSE)*$E430),0)</f>
        <v>0</v>
      </c>
      <c r="H430" s="26">
        <f>ROUND((VLOOKUP($D430,'Alloc Table Dem'!$B$7:$T$56,15,FALSE)*$E430),0)</f>
        <v>0</v>
      </c>
      <c r="I430" s="26">
        <f>ROUND((VLOOKUP($D430,'Alloc Table Dem'!$B$7:$T$56,16,FALSE)*$E430),0)</f>
        <v>0</v>
      </c>
      <c r="J430" s="26">
        <f>ROUND((VLOOKUP($D430,'Alloc Table Dem'!$B$7:$T$56,17,FALSE)*$E430),0)</f>
        <v>0</v>
      </c>
      <c r="K430" s="26">
        <f>ROUND((VLOOKUP($D430,'Alloc Table Dem'!$B$7:$T$56,18,FALSE)*$E430),0)</f>
        <v>0</v>
      </c>
      <c r="L430" s="26">
        <f>ROUND((VLOOKUP($D430,'Alloc Table Dem'!$B$7:$T$56,19,FALSE)*$E430),0)</f>
        <v>0</v>
      </c>
    </row>
    <row r="431" spans="1:12" ht="11.25" x14ac:dyDescent="0.2">
      <c r="A431" s="3">
        <f>A430+1</f>
        <v>21</v>
      </c>
      <c r="B431" s="3"/>
      <c r="C431" s="3" t="s">
        <v>278</v>
      </c>
      <c r="D431" s="325"/>
      <c r="E431" s="26">
        <f t="shared" ref="E431:L431" si="58">SUM(E427:E430)</f>
        <v>0.10999999567866325</v>
      </c>
      <c r="F431" s="26">
        <f t="shared" si="58"/>
        <v>0</v>
      </c>
      <c r="G431" s="26">
        <f t="shared" si="58"/>
        <v>0</v>
      </c>
      <c r="H431" s="26">
        <f t="shared" si="58"/>
        <v>0</v>
      </c>
      <c r="I431" s="26">
        <f t="shared" si="58"/>
        <v>0</v>
      </c>
      <c r="J431" s="26">
        <f t="shared" si="58"/>
        <v>0</v>
      </c>
      <c r="K431" s="26">
        <f t="shared" si="58"/>
        <v>0</v>
      </c>
      <c r="L431" s="26">
        <f t="shared" si="58"/>
        <v>0</v>
      </c>
    </row>
    <row r="432" spans="1:12" ht="11.25" x14ac:dyDescent="0.2">
      <c r="A432" s="3"/>
      <c r="B432" s="3"/>
      <c r="C432" s="3"/>
      <c r="D432" s="325"/>
      <c r="E432" s="3"/>
      <c r="F432" s="3"/>
      <c r="G432" s="3"/>
      <c r="H432" s="3"/>
      <c r="I432" s="3"/>
      <c r="J432" s="3"/>
      <c r="K432" s="3"/>
      <c r="L432" s="3"/>
    </row>
    <row r="433" spans="1:12" ht="11.25" x14ac:dyDescent="0.2">
      <c r="A433" s="3">
        <f>A431+1</f>
        <v>22</v>
      </c>
      <c r="B433" s="3"/>
      <c r="C433" s="3" t="s">
        <v>279</v>
      </c>
      <c r="D433" s="325"/>
      <c r="E433" s="3">
        <f t="shared" ref="E433:L433" si="59">E422+E431</f>
        <v>2139.1099999956787</v>
      </c>
      <c r="F433" s="3">
        <f t="shared" si="59"/>
        <v>1304</v>
      </c>
      <c r="G433" s="3">
        <f t="shared" si="59"/>
        <v>797</v>
      </c>
      <c r="H433" s="3">
        <f t="shared" si="59"/>
        <v>2</v>
      </c>
      <c r="I433" s="3">
        <f t="shared" si="59"/>
        <v>0</v>
      </c>
      <c r="J433" s="3">
        <f t="shared" si="59"/>
        <v>37</v>
      </c>
      <c r="K433" s="3">
        <f t="shared" si="59"/>
        <v>0</v>
      </c>
      <c r="L433" s="3">
        <f t="shared" si="59"/>
        <v>0</v>
      </c>
    </row>
    <row r="434" spans="1:12" ht="11.25" x14ac:dyDescent="0.2">
      <c r="A434" s="3" t="s">
        <v>819</v>
      </c>
      <c r="B434" s="3"/>
      <c r="C434" s="3"/>
      <c r="D434" s="325"/>
      <c r="E434" s="3"/>
      <c r="F434" s="325" t="str">
        <f>""&amp;+Input!$B$1</f>
        <v>COLUMBIA GAS OF KENTUCKY, INC.</v>
      </c>
      <c r="H434" s="3"/>
      <c r="I434" s="3"/>
      <c r="J434" s="3"/>
      <c r="K434" s="3"/>
      <c r="L434" s="32" t="str">
        <f>Input!$B$2</f>
        <v>ATTACHMENT CEN-2</v>
      </c>
    </row>
    <row r="435" spans="1:12" ht="11.25" x14ac:dyDescent="0.2">
      <c r="A435" s="3" t="str">
        <f>Input!$B$7</f>
        <v>DEMAND-COMMODITY</v>
      </c>
      <c r="B435" s="3"/>
      <c r="C435" s="3"/>
      <c r="D435" s="325"/>
      <c r="E435" s="3"/>
      <c r="F435" s="325" t="s">
        <v>568</v>
      </c>
      <c r="H435" s="3"/>
      <c r="I435" s="3"/>
      <c r="J435" s="3"/>
      <c r="K435" s="3"/>
      <c r="L435" s="32" t="str">
        <f>"PAGE 116 OF "&amp;FIXED(Input!$B$8,0,TRUE)</f>
        <v>PAGE 116 OF 129</v>
      </c>
    </row>
    <row r="436" spans="1:12" ht="11.25" x14ac:dyDescent="0.2">
      <c r="A436" s="17" t="str">
        <f>Input!$B$6</f>
        <v>FORECASTED TEST YEAR - ORIGINAL FILING</v>
      </c>
      <c r="B436" s="17"/>
      <c r="C436" s="17"/>
      <c r="D436" s="34"/>
      <c r="E436" s="18"/>
      <c r="F436" s="19" t="str">
        <f>"FOR THE TWELVE MONTHS ENDED "&amp;Input!$B$4</f>
        <v>FOR THE TWELVE MONTHS ENDED 12/31/2017</v>
      </c>
      <c r="G436" s="329"/>
      <c r="H436" s="17"/>
      <c r="I436" s="17"/>
      <c r="J436" s="17"/>
      <c r="K436" s="17"/>
      <c r="L436" s="183" t="str">
        <f>"WITNESS: "&amp;Input!$B$5</f>
        <v>WITNESS: C. NOTESTONE</v>
      </c>
    </row>
    <row r="437" spans="1:12" ht="11.25" x14ac:dyDescent="0.2">
      <c r="A437" s="325" t="s">
        <v>5</v>
      </c>
      <c r="B437" s="3" t="s">
        <v>6</v>
      </c>
      <c r="C437" s="3"/>
      <c r="D437" s="325" t="s">
        <v>7</v>
      </c>
      <c r="E437" s="325" t="s">
        <v>8</v>
      </c>
      <c r="F437" s="3"/>
      <c r="G437" s="3"/>
      <c r="H437" s="3"/>
      <c r="I437" s="3"/>
      <c r="J437" s="3"/>
      <c r="K437" s="3"/>
      <c r="L437" s="3"/>
    </row>
    <row r="438" spans="1:12" ht="11.25" x14ac:dyDescent="0.2">
      <c r="A438" s="341" t="s">
        <v>9</v>
      </c>
      <c r="B438" s="341" t="s">
        <v>9</v>
      </c>
      <c r="C438" s="34" t="str">
        <f>Demand!C128</f>
        <v xml:space="preserve"> ACCOUNT TITLE</v>
      </c>
      <c r="D438" s="341" t="s">
        <v>10</v>
      </c>
      <c r="E438" s="341" t="s">
        <v>813</v>
      </c>
      <c r="F438" s="341" t="str">
        <f>"  "&amp;+Input!$C$12</f>
        <v xml:space="preserve">  GS-RESIDENTIAL</v>
      </c>
      <c r="G438" s="341" t="str">
        <f>Input!$C$13</f>
        <v>GS-OTHER</v>
      </c>
      <c r="H438" s="341" t="str">
        <f>Input!$C$14</f>
        <v>IUS</v>
      </c>
      <c r="I438" s="341" t="str">
        <f>Input!$C$15</f>
        <v>DS-ML</v>
      </c>
      <c r="J438" s="341" t="str">
        <f>Input!$C$16</f>
        <v>DS/IS</v>
      </c>
      <c r="K438" s="341" t="str">
        <f>Input!$C$17</f>
        <v>NOT USED</v>
      </c>
      <c r="L438" s="341" t="str">
        <f>Input!$C$18</f>
        <v>NOT USED</v>
      </c>
    </row>
    <row r="439" spans="1:12" ht="11.25" x14ac:dyDescent="0.2">
      <c r="A439" s="3"/>
      <c r="B439" s="342" t="s">
        <v>13</v>
      </c>
      <c r="C439" s="342" t="s">
        <v>14</v>
      </c>
      <c r="D439" s="325" t="s">
        <v>15</v>
      </c>
      <c r="E439" s="325" t="s">
        <v>16</v>
      </c>
      <c r="F439" s="325" t="s">
        <v>17</v>
      </c>
      <c r="G439" s="325" t="s">
        <v>18</v>
      </c>
      <c r="H439" s="325" t="s">
        <v>19</v>
      </c>
      <c r="I439" s="3"/>
      <c r="J439" s="325" t="s">
        <v>21</v>
      </c>
      <c r="K439" s="325" t="s">
        <v>22</v>
      </c>
      <c r="L439" s="325" t="s">
        <v>23</v>
      </c>
    </row>
    <row r="440" spans="1:12" ht="11.25" x14ac:dyDescent="0.2">
      <c r="A440" s="3"/>
      <c r="B440" s="3"/>
      <c r="C440" s="3"/>
      <c r="D440" s="325"/>
      <c r="E440" s="325" t="s">
        <v>26</v>
      </c>
      <c r="F440" s="325" t="s">
        <v>26</v>
      </c>
      <c r="G440" s="325" t="s">
        <v>26</v>
      </c>
      <c r="H440" s="325" t="s">
        <v>26</v>
      </c>
      <c r="I440" s="325" t="s">
        <v>26</v>
      </c>
      <c r="J440" s="325" t="s">
        <v>26</v>
      </c>
      <c r="K440" s="325" t="s">
        <v>26</v>
      </c>
      <c r="L440" s="325" t="s">
        <v>26</v>
      </c>
    </row>
    <row r="441" spans="1:12" ht="11.25" x14ac:dyDescent="0.2">
      <c r="A441" s="3">
        <v>1</v>
      </c>
      <c r="B441" s="3"/>
      <c r="C441" s="3" t="str">
        <f>Input!A338</f>
        <v>DISTRIBUTION EXPENSES</v>
      </c>
      <c r="D441" s="325"/>
      <c r="E441" s="3"/>
      <c r="F441" s="3"/>
      <c r="G441" s="3"/>
      <c r="H441" s="3"/>
      <c r="I441" s="3"/>
      <c r="J441" s="3"/>
      <c r="K441" s="3"/>
      <c r="L441" s="3"/>
    </row>
    <row r="442" spans="1:12" ht="11.25" x14ac:dyDescent="0.2">
      <c r="A442" s="3"/>
      <c r="B442" s="3"/>
      <c r="C442" s="3"/>
      <c r="D442" s="325"/>
      <c r="E442" s="3"/>
      <c r="F442" s="3"/>
      <c r="G442" s="3"/>
      <c r="H442" s="3"/>
      <c r="I442" s="3"/>
      <c r="J442" s="3"/>
      <c r="K442" s="3"/>
      <c r="L442" s="3"/>
    </row>
    <row r="443" spans="1:12" ht="11.25" x14ac:dyDescent="0.2">
      <c r="A443" s="3">
        <f>A441+1</f>
        <v>2</v>
      </c>
      <c r="B443" s="3" t="str">
        <f>Input!A341</f>
        <v>870</v>
      </c>
      <c r="C443" s="3" t="str">
        <f>Input!B341</f>
        <v>SUPERVISION &amp; ENGINEERING</v>
      </c>
      <c r="D443" s="325" t="str">
        <f>VLOOKUP(Input!C341,'Alloc Table Dem'!$A$7:$B$27,2,FALSE)</f>
        <v>10DEM</v>
      </c>
      <c r="E443" s="3">
        <f>Classification!E443-Classification!F443-Classification!G443</f>
        <v>17917</v>
      </c>
      <c r="F443" s="3">
        <f ca="1">ROUND((VLOOKUP($D443,'Alloc Table Dem'!$B$7:$T$56,13,FALSE)*$E443),0)</f>
        <v>6984</v>
      </c>
      <c r="G443" s="3">
        <f ca="1">ROUND((VLOOKUP($D443,'Alloc Table Dem'!$B$7:$T$56,14,FALSE)*$E443),0)</f>
        <v>4730</v>
      </c>
      <c r="H443" s="3">
        <f ca="1">ROUND((VLOOKUP($D443,'Alloc Table Dem'!$B$7:$T$56,15,FALSE)*$E443),0)</f>
        <v>10</v>
      </c>
      <c r="I443" s="3">
        <f ca="1">ROUND((VLOOKUP($D443,'Alloc Table Dem'!$B$7:$T$56,16,FALSE)*$E443),0)</f>
        <v>1</v>
      </c>
      <c r="J443" s="3">
        <f ca="1">ROUND((VLOOKUP($D443,'Alloc Table Dem'!$B$7:$T$56,17,FALSE)*$E443),0)</f>
        <v>6192</v>
      </c>
      <c r="K443" s="3">
        <f ca="1">ROUND((VLOOKUP($D443,'Alloc Table Dem'!$B$7:$T$56,18,FALSE)*$E443),0)</f>
        <v>0</v>
      </c>
      <c r="L443" s="3">
        <f ca="1">ROUND((VLOOKUP($D443,'Alloc Table Dem'!$B$7:$T$56,19,FALSE)*$E443),0)</f>
        <v>0</v>
      </c>
    </row>
    <row r="444" spans="1:12" ht="11.25" x14ac:dyDescent="0.2">
      <c r="A444" s="1">
        <f t="shared" ref="A444:A452" si="60">A443+1</f>
        <v>3</v>
      </c>
      <c r="B444" s="1" t="str">
        <f>Input!A342</f>
        <v>871</v>
      </c>
      <c r="C444" s="1" t="str">
        <f>Input!B342</f>
        <v>DISTRIBUTION LOAD DISPATCH</v>
      </c>
      <c r="D444" s="118">
        <f>Input!C342</f>
        <v>4</v>
      </c>
      <c r="E444" s="3">
        <f>Classification!E444-Classification!F444-Classification!G444</f>
        <v>0</v>
      </c>
      <c r="F444" s="3">
        <f>ROUND((VLOOKUP($D444,'Alloc Table Dem'!$B$7:$T$56,13,FALSE)*$E444),0)</f>
        <v>0</v>
      </c>
      <c r="G444" s="3">
        <f>ROUND((VLOOKUP($D444,'Alloc Table Dem'!$B$7:$T$56,14,FALSE)*$E444),0)</f>
        <v>0</v>
      </c>
      <c r="H444" s="3">
        <f>ROUND((VLOOKUP($D444,'Alloc Table Dem'!$B$7:$T$56,15,FALSE)*$E444),0)</f>
        <v>0</v>
      </c>
      <c r="I444" s="3">
        <f>ROUND((VLOOKUP($D444,'Alloc Table Dem'!$B$7:$T$56,16,FALSE)*$E444),0)</f>
        <v>0</v>
      </c>
      <c r="J444" s="3">
        <f>ROUND((VLOOKUP($D444,'Alloc Table Dem'!$B$7:$T$56,17,FALSE)*$E444),0)</f>
        <v>0</v>
      </c>
      <c r="K444" s="3">
        <f>ROUND((VLOOKUP($D444,'Alloc Table Dem'!$B$7:$T$56,18,FALSE)*$E444),0)</f>
        <v>0</v>
      </c>
      <c r="L444" s="3">
        <f>ROUND((VLOOKUP($D444,'Alloc Table Dem'!$B$7:$T$56,19,FALSE)*$E444),0)</f>
        <v>0</v>
      </c>
    </row>
    <row r="445" spans="1:12" ht="11.25" x14ac:dyDescent="0.2">
      <c r="A445" s="1">
        <f t="shared" si="60"/>
        <v>4</v>
      </c>
      <c r="B445" s="1" t="str">
        <f>Input!A343</f>
        <v>874</v>
      </c>
      <c r="C445" s="1" t="str">
        <f>Input!B343</f>
        <v>MAINS &amp; SERVICES</v>
      </c>
      <c r="D445" s="325" t="str">
        <f>VLOOKUP(Input!C343,'Alloc Table Dem'!$A$7:$B$27,2,FALSE)</f>
        <v>14DEM</v>
      </c>
      <c r="E445" s="3">
        <f>Classification!E445-Classification!F445-Classification!G445</f>
        <v>547772</v>
      </c>
      <c r="F445" s="3">
        <f ca="1">ROUND((VLOOKUP($D445,'Alloc Table Dem'!$B$7:$T$56,13,FALSE)*$E445),0)</f>
        <v>213532</v>
      </c>
      <c r="G445" s="3">
        <f ca="1">ROUND((VLOOKUP($D445,'Alloc Table Dem'!$B$7:$T$56,14,FALSE)*$E445),0)</f>
        <v>144601</v>
      </c>
      <c r="H445" s="3">
        <f ca="1">ROUND((VLOOKUP($D445,'Alloc Table Dem'!$B$7:$T$56,15,FALSE)*$E445),0)</f>
        <v>312</v>
      </c>
      <c r="I445" s="3">
        <f ca="1">ROUND((VLOOKUP($D445,'Alloc Table Dem'!$B$7:$T$56,16,FALSE)*$E445),0)</f>
        <v>27</v>
      </c>
      <c r="J445" s="3">
        <f ca="1">ROUND((VLOOKUP($D445,'Alloc Table Dem'!$B$7:$T$56,17,FALSE)*$E445),0)</f>
        <v>189299</v>
      </c>
      <c r="K445" s="3">
        <f ca="1">ROUND((VLOOKUP($D445,'Alloc Table Dem'!$B$7:$T$56,18,FALSE)*$E445),0)</f>
        <v>0</v>
      </c>
      <c r="L445" s="3">
        <f ca="1">ROUND((VLOOKUP($D445,'Alloc Table Dem'!$B$7:$T$56,19,FALSE)*$E445),0)</f>
        <v>0</v>
      </c>
    </row>
    <row r="446" spans="1:12" ht="11.25" x14ac:dyDescent="0.2">
      <c r="A446" s="1">
        <f t="shared" si="60"/>
        <v>5</v>
      </c>
      <c r="B446" s="1" t="str">
        <f>Input!A344</f>
        <v>875</v>
      </c>
      <c r="C446" s="1" t="str">
        <f>Input!B344</f>
        <v>M &amp; R - GENERAL</v>
      </c>
      <c r="D446" s="325" t="str">
        <f>VLOOKUP(Input!C344,'Alloc Table Dem'!$A$7:$B$27,2,FALSE)</f>
        <v>18DEM</v>
      </c>
      <c r="E446" s="3">
        <f>Classification!E446-Classification!F446-Classification!G446</f>
        <v>41173</v>
      </c>
      <c r="F446" s="3">
        <f>ROUND((VLOOKUP($D446,'Alloc Table Dem'!$B$7:$T$56,13,FALSE)*$E446),0)</f>
        <v>16050</v>
      </c>
      <c r="G446" s="3">
        <f>ROUND((VLOOKUP($D446,'Alloc Table Dem'!$B$7:$T$56,14,FALSE)*$E446),0)</f>
        <v>10869</v>
      </c>
      <c r="H446" s="3">
        <f>ROUND((VLOOKUP($D446,'Alloc Table Dem'!$B$7:$T$56,15,FALSE)*$E446),0)</f>
        <v>23</v>
      </c>
      <c r="I446" s="3">
        <f>ROUND((VLOOKUP($D446,'Alloc Table Dem'!$B$7:$T$56,16,FALSE)*$E446),0)</f>
        <v>2</v>
      </c>
      <c r="J446" s="3">
        <f>ROUND((VLOOKUP($D446,'Alloc Table Dem'!$B$7:$T$56,17,FALSE)*$E446),0)</f>
        <v>14229</v>
      </c>
      <c r="K446" s="3">
        <f>ROUND((VLOOKUP($D446,'Alloc Table Dem'!$B$7:$T$56,18,FALSE)*$E446),0)</f>
        <v>0</v>
      </c>
      <c r="L446" s="3">
        <f>ROUND((VLOOKUP($D446,'Alloc Table Dem'!$B$7:$T$56,19,FALSE)*$E446),0)</f>
        <v>0</v>
      </c>
    </row>
    <row r="447" spans="1:12" ht="11.25" x14ac:dyDescent="0.2">
      <c r="A447" s="1">
        <f t="shared" si="60"/>
        <v>6</v>
      </c>
      <c r="B447" s="1" t="str">
        <f>Input!A345</f>
        <v>876</v>
      </c>
      <c r="C447" s="1" t="str">
        <f>Input!B345</f>
        <v>M &amp; R - INDUSTRIAL</v>
      </c>
      <c r="D447" s="118">
        <f>Input!C345</f>
        <v>8</v>
      </c>
      <c r="E447" s="3">
        <f>Classification!E447-Classification!F447-Classification!G447</f>
        <v>0</v>
      </c>
      <c r="F447" s="3">
        <f>ROUND((VLOOKUP($D447,'Alloc Table Dem'!$B$7:$T$56,13,FALSE)*$E447),0)</f>
        <v>0</v>
      </c>
      <c r="G447" s="3">
        <f>ROUND((VLOOKUP($D447,'Alloc Table Dem'!$B$7:$T$56,14,FALSE)*$E447),0)</f>
        <v>0</v>
      </c>
      <c r="H447" s="3">
        <f>ROUND((VLOOKUP($D447,'Alloc Table Dem'!$B$7:$T$56,15,FALSE)*$E447),0)</f>
        <v>0</v>
      </c>
      <c r="I447" s="3">
        <f>ROUND((VLOOKUP($D447,'Alloc Table Dem'!$B$7:$T$56,16,FALSE)*$E447),0)</f>
        <v>0</v>
      </c>
      <c r="J447" s="3">
        <f>ROUND((VLOOKUP($D447,'Alloc Table Dem'!$B$7:$T$56,17,FALSE)*$E447),0)</f>
        <v>0</v>
      </c>
      <c r="K447" s="3">
        <f>ROUND((VLOOKUP($D447,'Alloc Table Dem'!$B$7:$T$56,18,FALSE)*$E447),0)</f>
        <v>0</v>
      </c>
      <c r="L447" s="3">
        <f>ROUND((VLOOKUP($D447,'Alloc Table Dem'!$B$7:$T$56,19,FALSE)*$E447),0)</f>
        <v>0</v>
      </c>
    </row>
    <row r="448" spans="1:12" ht="11.25" x14ac:dyDescent="0.2">
      <c r="A448" s="1">
        <f t="shared" si="60"/>
        <v>7</v>
      </c>
      <c r="B448" s="1" t="str">
        <f>Input!A346</f>
        <v>878</v>
      </c>
      <c r="C448" s="1" t="str">
        <f>Input!B346</f>
        <v>METERS &amp; HOUSE REGULATORS</v>
      </c>
      <c r="D448" s="118">
        <f>Input!C346</f>
        <v>16</v>
      </c>
      <c r="E448" s="3">
        <f>Classification!E448-Classification!F448-Classification!G448</f>
        <v>0</v>
      </c>
      <c r="F448" s="3">
        <f>ROUND((VLOOKUP($D448,'Alloc Table Dem'!$B$7:$T$56,13,FALSE)*$E448),0)</f>
        <v>0</v>
      </c>
      <c r="G448" s="3">
        <f>ROUND((VLOOKUP($D448,'Alloc Table Dem'!$B$7:$T$56,14,FALSE)*$E448),0)</f>
        <v>0</v>
      </c>
      <c r="H448" s="3">
        <f>ROUND((VLOOKUP($D448,'Alloc Table Dem'!$B$7:$T$56,15,FALSE)*$E448),0)</f>
        <v>0</v>
      </c>
      <c r="I448" s="3">
        <f>ROUND((VLOOKUP($D448,'Alloc Table Dem'!$B$7:$T$56,16,FALSE)*$E448),0)</f>
        <v>0</v>
      </c>
      <c r="J448" s="3">
        <f>ROUND((VLOOKUP($D448,'Alloc Table Dem'!$B$7:$T$56,17,FALSE)*$E448),0)</f>
        <v>0</v>
      </c>
      <c r="K448" s="3">
        <f>ROUND((VLOOKUP($D448,'Alloc Table Dem'!$B$7:$T$56,18,FALSE)*$E448),0)</f>
        <v>0</v>
      </c>
      <c r="L448" s="3">
        <f>ROUND((VLOOKUP($D448,'Alloc Table Dem'!$B$7:$T$56,19,FALSE)*$E448),0)</f>
        <v>0</v>
      </c>
    </row>
    <row r="449" spans="1:12" ht="11.25" x14ac:dyDescent="0.2">
      <c r="A449" s="1">
        <f t="shared" si="60"/>
        <v>8</v>
      </c>
      <c r="B449" s="1" t="str">
        <f>Input!A347</f>
        <v>879</v>
      </c>
      <c r="C449" s="1" t="str">
        <f>Input!B347</f>
        <v xml:space="preserve">CUSTOMER INSTALLATION </v>
      </c>
      <c r="D449" s="118">
        <f>Input!C347</f>
        <v>16</v>
      </c>
      <c r="E449" s="3">
        <f>Classification!E449-Classification!F449-Classification!G449</f>
        <v>0</v>
      </c>
      <c r="F449" s="3">
        <f>ROUND((VLOOKUP($D449,'Alloc Table Dem'!$B$7:$T$56,13,FALSE)*$E449),0)</f>
        <v>0</v>
      </c>
      <c r="G449" s="3">
        <f>ROUND((VLOOKUP($D449,'Alloc Table Dem'!$B$7:$T$56,14,FALSE)*$E449),0)</f>
        <v>0</v>
      </c>
      <c r="H449" s="3">
        <f>ROUND((VLOOKUP($D449,'Alloc Table Dem'!$B$7:$T$56,15,FALSE)*$E449),0)</f>
        <v>0</v>
      </c>
      <c r="I449" s="3">
        <f>ROUND((VLOOKUP($D449,'Alloc Table Dem'!$B$7:$T$56,16,FALSE)*$E449),0)</f>
        <v>0</v>
      </c>
      <c r="J449" s="3">
        <f>ROUND((VLOOKUP($D449,'Alloc Table Dem'!$B$7:$T$56,17,FALSE)*$E449),0)</f>
        <v>0</v>
      </c>
      <c r="K449" s="3">
        <f>ROUND((VLOOKUP($D449,'Alloc Table Dem'!$B$7:$T$56,18,FALSE)*$E449),0)</f>
        <v>0</v>
      </c>
      <c r="L449" s="3">
        <f>ROUND((VLOOKUP($D449,'Alloc Table Dem'!$B$7:$T$56,19,FALSE)*$E449),0)</f>
        <v>0</v>
      </c>
    </row>
    <row r="450" spans="1:12" ht="11.25" x14ac:dyDescent="0.2">
      <c r="A450" s="1">
        <f t="shared" si="60"/>
        <v>9</v>
      </c>
      <c r="B450" s="1" t="str">
        <f>Input!A348</f>
        <v>880</v>
      </c>
      <c r="C450" s="1" t="str">
        <f>Input!B348</f>
        <v>OTHER</v>
      </c>
      <c r="D450" s="325" t="str">
        <f>VLOOKUP(Input!C348,'Alloc Table Dem'!$A$7:$B$27,2,FALSE)</f>
        <v>10DEM</v>
      </c>
      <c r="E450" s="3">
        <f>Classification!E450-Classification!F450-Classification!G450</f>
        <v>100737</v>
      </c>
      <c r="F450" s="3">
        <f ca="1">ROUND((VLOOKUP($D450,'Alloc Table Dem'!$B$7:$T$56,13,FALSE)*$E450),0)</f>
        <v>39269</v>
      </c>
      <c r="G450" s="3">
        <f ca="1">ROUND((VLOOKUP($D450,'Alloc Table Dem'!$B$7:$T$56,14,FALSE)*$E450),0)</f>
        <v>26593</v>
      </c>
      <c r="H450" s="3">
        <f ca="1">ROUND((VLOOKUP($D450,'Alloc Table Dem'!$B$7:$T$56,15,FALSE)*$E450),0)</f>
        <v>57</v>
      </c>
      <c r="I450" s="3">
        <f ca="1">ROUND((VLOOKUP($D450,'Alloc Table Dem'!$B$7:$T$56,16,FALSE)*$E450),0)</f>
        <v>5</v>
      </c>
      <c r="J450" s="3">
        <f ca="1">ROUND((VLOOKUP($D450,'Alloc Table Dem'!$B$7:$T$56,17,FALSE)*$E450),0)</f>
        <v>34813</v>
      </c>
      <c r="K450" s="3">
        <f ca="1">ROUND((VLOOKUP($D450,'Alloc Table Dem'!$B$7:$T$56,18,FALSE)*$E450),0)</f>
        <v>0</v>
      </c>
      <c r="L450" s="3">
        <f ca="1">ROUND((VLOOKUP($D450,'Alloc Table Dem'!$B$7:$T$56,19,FALSE)*$E450),0)</f>
        <v>0</v>
      </c>
    </row>
    <row r="451" spans="1:12" ht="11.25" x14ac:dyDescent="0.2">
      <c r="A451" s="1">
        <f t="shared" si="60"/>
        <v>10</v>
      </c>
      <c r="B451" s="1" t="str">
        <f>Input!A349</f>
        <v>881</v>
      </c>
      <c r="C451" s="1" t="str">
        <f>Input!B349</f>
        <v>RENTS</v>
      </c>
      <c r="D451" s="325" t="str">
        <f>VLOOKUP(Input!C349,'Alloc Table Dem'!$A$7:$B$27,2,FALSE)</f>
        <v>10DEM</v>
      </c>
      <c r="E451" s="26">
        <f>Classification!E451-Classification!F451-Classification!G451</f>
        <v>0</v>
      </c>
      <c r="F451" s="26">
        <f ca="1">ROUND((VLOOKUP($D451,'Alloc Table Dem'!$B$7:$T$56,13,FALSE)*$E451),0)</f>
        <v>0</v>
      </c>
      <c r="G451" s="26">
        <f ca="1">ROUND((VLOOKUP($D451,'Alloc Table Dem'!$B$7:$T$56,14,FALSE)*$E451),0)</f>
        <v>0</v>
      </c>
      <c r="H451" s="26">
        <f ca="1">ROUND((VLOOKUP($D451,'Alloc Table Dem'!$B$7:$T$56,15,FALSE)*$E451),0)</f>
        <v>0</v>
      </c>
      <c r="I451" s="26">
        <f ca="1">ROUND((VLOOKUP($D451,'Alloc Table Dem'!$B$7:$T$56,16,FALSE)*$E451),0)</f>
        <v>0</v>
      </c>
      <c r="J451" s="26">
        <f ca="1">ROUND((VLOOKUP($D451,'Alloc Table Dem'!$B$7:$T$56,17,FALSE)*$E451),0)</f>
        <v>0</v>
      </c>
      <c r="K451" s="26">
        <f ca="1">ROUND((VLOOKUP($D451,'Alloc Table Dem'!$B$7:$T$56,18,FALSE)*$E451),0)</f>
        <v>0</v>
      </c>
      <c r="L451" s="26">
        <f ca="1">ROUND((VLOOKUP($D451,'Alloc Table Dem'!$B$7:$T$56,19,FALSE)*$E451),0)</f>
        <v>0</v>
      </c>
    </row>
    <row r="452" spans="1:12" ht="11.25" x14ac:dyDescent="0.2">
      <c r="A452" s="1">
        <f t="shared" si="60"/>
        <v>11</v>
      </c>
      <c r="B452" s="1"/>
      <c r="C452" s="1" t="s">
        <v>271</v>
      </c>
      <c r="D452" s="118"/>
      <c r="E452" s="1">
        <f t="shared" ref="E452:L452" si="61">SUM(E443:E451)</f>
        <v>707599</v>
      </c>
      <c r="F452" s="3">
        <f t="shared" ca="1" si="61"/>
        <v>275835</v>
      </c>
      <c r="G452" s="3">
        <f t="shared" ca="1" si="61"/>
        <v>186793</v>
      </c>
      <c r="H452" s="3">
        <f t="shared" ca="1" si="61"/>
        <v>402</v>
      </c>
      <c r="I452" s="3">
        <f t="shared" ca="1" si="61"/>
        <v>35</v>
      </c>
      <c r="J452" s="3">
        <f t="shared" ca="1" si="61"/>
        <v>244533</v>
      </c>
      <c r="K452" s="3">
        <f t="shared" ca="1" si="61"/>
        <v>0</v>
      </c>
      <c r="L452" s="3">
        <f t="shared" ca="1" si="61"/>
        <v>0</v>
      </c>
    </row>
    <row r="453" spans="1:12" ht="11.25" x14ac:dyDescent="0.2">
      <c r="A453" s="1"/>
      <c r="B453" s="1"/>
      <c r="C453" s="1"/>
      <c r="D453" s="118"/>
      <c r="E453" s="1"/>
      <c r="F453" s="3"/>
      <c r="G453" s="3"/>
      <c r="H453" s="3"/>
      <c r="I453" s="3"/>
      <c r="J453" s="3"/>
      <c r="K453" s="3"/>
      <c r="L453" s="3"/>
    </row>
    <row r="454" spans="1:12" ht="11.25" x14ac:dyDescent="0.2">
      <c r="A454" s="1">
        <f>A452+1</f>
        <v>12</v>
      </c>
      <c r="B454" s="1"/>
      <c r="C454" s="1" t="str">
        <f>Input!A350</f>
        <v>MAINTENANCE</v>
      </c>
      <c r="D454" s="118"/>
      <c r="E454" s="1"/>
      <c r="F454" s="3"/>
      <c r="G454" s="3"/>
      <c r="H454" s="3"/>
      <c r="I454" s="3"/>
      <c r="J454" s="3"/>
      <c r="K454" s="3"/>
      <c r="L454" s="3"/>
    </row>
    <row r="455" spans="1:12" ht="11.25" x14ac:dyDescent="0.2">
      <c r="A455" s="1"/>
      <c r="B455" s="1"/>
      <c r="C455" s="1"/>
      <c r="D455" s="118"/>
      <c r="E455" s="1"/>
      <c r="F455" s="3"/>
      <c r="G455" s="3"/>
      <c r="H455" s="3"/>
      <c r="I455" s="3"/>
      <c r="J455" s="3"/>
      <c r="K455" s="3"/>
      <c r="L455" s="3"/>
    </row>
    <row r="456" spans="1:12" ht="11.25" x14ac:dyDescent="0.2">
      <c r="A456" s="1">
        <f>A454+1</f>
        <v>13</v>
      </c>
      <c r="B456" s="1" t="str">
        <f>Input!A351</f>
        <v>885</v>
      </c>
      <c r="C456" s="1" t="str">
        <f>Input!B351</f>
        <v>SUPERVISION &amp; ENGINEERING</v>
      </c>
      <c r="D456" s="325" t="str">
        <f>VLOOKUP(Input!C351,'Alloc Table Dem'!$A$7:$B$27,2,FALSE)</f>
        <v>10DEM</v>
      </c>
      <c r="E456" s="3">
        <f>Classification!E456-Classification!F456-Classification!G456</f>
        <v>1590</v>
      </c>
      <c r="F456" s="3">
        <f ca="1">ROUND((VLOOKUP($D456,'Alloc Table Dem'!$B$7:$T$56,13,FALSE)*$E456),0)</f>
        <v>620</v>
      </c>
      <c r="G456" s="3">
        <f ca="1">ROUND((VLOOKUP($D456,'Alloc Table Dem'!$B$7:$T$56,14,FALSE)*$E456),0)</f>
        <v>420</v>
      </c>
      <c r="H456" s="3">
        <f ca="1">ROUND((VLOOKUP($D456,'Alloc Table Dem'!$B$7:$T$56,15,FALSE)*$E456),0)</f>
        <v>1</v>
      </c>
      <c r="I456" s="3">
        <f ca="1">ROUND((VLOOKUP($D456,'Alloc Table Dem'!$B$7:$T$56,16,FALSE)*$E456),0)</f>
        <v>0</v>
      </c>
      <c r="J456" s="3">
        <f ca="1">ROUND((VLOOKUP($D456,'Alloc Table Dem'!$B$7:$T$56,17,FALSE)*$E456),0)</f>
        <v>549</v>
      </c>
      <c r="K456" s="3">
        <f ca="1">ROUND((VLOOKUP($D456,'Alloc Table Dem'!$B$7:$T$56,18,FALSE)*$E456),0)</f>
        <v>0</v>
      </c>
      <c r="L456" s="3">
        <f ca="1">ROUND((VLOOKUP($D456,'Alloc Table Dem'!$B$7:$T$56,19,FALSE)*$E456),0)</f>
        <v>0</v>
      </c>
    </row>
    <row r="457" spans="1:12" ht="11.25" x14ac:dyDescent="0.2">
      <c r="A457" s="1">
        <f t="shared" ref="A457:A464" si="62">A456+1</f>
        <v>14</v>
      </c>
      <c r="B457" s="1" t="str">
        <f>Input!A352</f>
        <v>886</v>
      </c>
      <c r="C457" s="1" t="str">
        <f>Input!B352</f>
        <v>STRUCTURES &amp; IMPROVEMENTS</v>
      </c>
      <c r="D457" s="325" t="str">
        <f>VLOOKUP(Input!C352,'Alloc Table Dem'!$A$7:$B$27,2,FALSE)</f>
        <v>18DEM</v>
      </c>
      <c r="E457" s="3">
        <f>Classification!E457-Classification!F457-Classification!G457</f>
        <v>1254</v>
      </c>
      <c r="F457" s="3">
        <f>ROUND((VLOOKUP($D457,'Alloc Table Dem'!$B$7:$T$56,13,FALSE)*$E457),0)</f>
        <v>489</v>
      </c>
      <c r="G457" s="3">
        <f>ROUND((VLOOKUP($D457,'Alloc Table Dem'!$B$7:$T$56,14,FALSE)*$E457),0)</f>
        <v>331</v>
      </c>
      <c r="H457" s="3">
        <f>ROUND((VLOOKUP($D457,'Alloc Table Dem'!$B$7:$T$56,15,FALSE)*$E457),0)</f>
        <v>1</v>
      </c>
      <c r="I457" s="3">
        <f>ROUND((VLOOKUP($D457,'Alloc Table Dem'!$B$7:$T$56,16,FALSE)*$E457),0)</f>
        <v>0</v>
      </c>
      <c r="J457" s="3">
        <f>ROUND((VLOOKUP($D457,'Alloc Table Dem'!$B$7:$T$56,17,FALSE)*$E457),0)</f>
        <v>433</v>
      </c>
      <c r="K457" s="3">
        <f>ROUND((VLOOKUP($D457,'Alloc Table Dem'!$B$7:$T$56,18,FALSE)*$E457),0)</f>
        <v>0</v>
      </c>
      <c r="L457" s="3">
        <f>ROUND((VLOOKUP($D457,'Alloc Table Dem'!$B$7:$T$56,19,FALSE)*$E457),0)</f>
        <v>0</v>
      </c>
    </row>
    <row r="458" spans="1:12" ht="11.25" x14ac:dyDescent="0.2">
      <c r="A458" s="1">
        <f t="shared" si="62"/>
        <v>15</v>
      </c>
      <c r="B458" s="1" t="str">
        <f>Input!A353</f>
        <v>887</v>
      </c>
      <c r="C458" s="1" t="str">
        <f>Input!B353</f>
        <v>MAINS</v>
      </c>
      <c r="D458" s="325" t="str">
        <f>VLOOKUP(Input!C353,'Alloc Table Dem'!$A$7:$B$27,2,FALSE)</f>
        <v>18DEM</v>
      </c>
      <c r="E458" s="3">
        <f>Classification!E458-Classification!F458-Classification!G458</f>
        <v>463177</v>
      </c>
      <c r="F458" s="3">
        <f>ROUND((VLOOKUP($D458,'Alloc Table Dem'!$B$7:$T$56,13,FALSE)*$E458),0)</f>
        <v>180556</v>
      </c>
      <c r="G458" s="3">
        <f>ROUND((VLOOKUP($D458,'Alloc Table Dem'!$B$7:$T$56,14,FALSE)*$E458),0)</f>
        <v>122269</v>
      </c>
      <c r="H458" s="3">
        <f>ROUND((VLOOKUP($D458,'Alloc Table Dem'!$B$7:$T$56,15,FALSE)*$E458),0)</f>
        <v>264</v>
      </c>
      <c r="I458" s="3">
        <f>ROUND((VLOOKUP($D458,'Alloc Table Dem'!$B$7:$T$56,16,FALSE)*$E458),0)</f>
        <v>23</v>
      </c>
      <c r="J458" s="3">
        <f>ROUND((VLOOKUP($D458,'Alloc Table Dem'!$B$7:$T$56,17,FALSE)*$E458),0)</f>
        <v>160065</v>
      </c>
      <c r="K458" s="3">
        <f>ROUND((VLOOKUP($D458,'Alloc Table Dem'!$B$7:$T$56,18,FALSE)*$E458),0)</f>
        <v>0</v>
      </c>
      <c r="L458" s="3">
        <f>ROUND((VLOOKUP($D458,'Alloc Table Dem'!$B$7:$T$56,19,FALSE)*$E458),0)</f>
        <v>0</v>
      </c>
    </row>
    <row r="459" spans="1:12" ht="11.25" x14ac:dyDescent="0.2">
      <c r="A459" s="1">
        <f t="shared" si="62"/>
        <v>16</v>
      </c>
      <c r="B459" s="1" t="str">
        <f>Input!A354</f>
        <v>889</v>
      </c>
      <c r="C459" s="1" t="str">
        <f>Input!B354</f>
        <v>M &amp; R - GENERAL</v>
      </c>
      <c r="D459" s="325" t="str">
        <f>VLOOKUP(Input!C354,'Alloc Table Dem'!$A$7:$B$27,2,FALSE)</f>
        <v>18DEM</v>
      </c>
      <c r="E459" s="3">
        <f>Classification!E459-Classification!F459-Classification!G459</f>
        <v>69297</v>
      </c>
      <c r="F459" s="3">
        <f>ROUND((VLOOKUP($D459,'Alloc Table Dem'!$B$7:$T$56,13,FALSE)*$E459),0)</f>
        <v>27013</v>
      </c>
      <c r="G459" s="3">
        <f>ROUND((VLOOKUP($D459,'Alloc Table Dem'!$B$7:$T$56,14,FALSE)*$E459),0)</f>
        <v>18293</v>
      </c>
      <c r="H459" s="3">
        <f>ROUND((VLOOKUP($D459,'Alloc Table Dem'!$B$7:$T$56,15,FALSE)*$E459),0)</f>
        <v>39</v>
      </c>
      <c r="I459" s="3">
        <f>ROUND((VLOOKUP($D459,'Alloc Table Dem'!$B$7:$T$56,16,FALSE)*$E459),0)</f>
        <v>3</v>
      </c>
      <c r="J459" s="3">
        <f>ROUND((VLOOKUP($D459,'Alloc Table Dem'!$B$7:$T$56,17,FALSE)*$E459),0)</f>
        <v>23948</v>
      </c>
      <c r="K459" s="3">
        <f>ROUND((VLOOKUP($D459,'Alloc Table Dem'!$B$7:$T$56,18,FALSE)*$E459),0)</f>
        <v>0</v>
      </c>
      <c r="L459" s="3">
        <f>ROUND((VLOOKUP($D459,'Alloc Table Dem'!$B$7:$T$56,19,FALSE)*$E459),0)</f>
        <v>0</v>
      </c>
    </row>
    <row r="460" spans="1:12" ht="11.25" x14ac:dyDescent="0.2">
      <c r="A460" s="1">
        <f t="shared" si="62"/>
        <v>17</v>
      </c>
      <c r="B460" s="1" t="str">
        <f>Input!A355</f>
        <v>890</v>
      </c>
      <c r="C460" s="1" t="str">
        <f>Input!B355</f>
        <v>M &amp; R - INDUSTRIAL</v>
      </c>
      <c r="D460" s="118">
        <f>Input!C355</f>
        <v>8</v>
      </c>
      <c r="E460" s="3">
        <f>Classification!E460-Classification!F460-Classification!G460</f>
        <v>0</v>
      </c>
      <c r="F460" s="3">
        <f>ROUND((VLOOKUP($D460,'Alloc Table Dem'!$B$7:$T$56,13,FALSE)*$E460),0)</f>
        <v>0</v>
      </c>
      <c r="G460" s="3">
        <f>ROUND((VLOOKUP($D460,'Alloc Table Dem'!$B$7:$T$56,14,FALSE)*$E460),0)</f>
        <v>0</v>
      </c>
      <c r="H460" s="3">
        <f>ROUND((VLOOKUP($D460,'Alloc Table Dem'!$B$7:$T$56,15,FALSE)*$E460),0)</f>
        <v>0</v>
      </c>
      <c r="I460" s="3">
        <f>ROUND((VLOOKUP($D460,'Alloc Table Dem'!$B$7:$T$56,16,FALSE)*$E460),0)</f>
        <v>0</v>
      </c>
      <c r="J460" s="3">
        <f>ROUND((VLOOKUP($D460,'Alloc Table Dem'!$B$7:$T$56,17,FALSE)*$E460),0)</f>
        <v>0</v>
      </c>
      <c r="K460" s="3">
        <f>ROUND((VLOOKUP($D460,'Alloc Table Dem'!$B$7:$T$56,18,FALSE)*$E460),0)</f>
        <v>0</v>
      </c>
      <c r="L460" s="3">
        <f>ROUND((VLOOKUP($D460,'Alloc Table Dem'!$B$7:$T$56,19,FALSE)*$E460),0)</f>
        <v>0</v>
      </c>
    </row>
    <row r="461" spans="1:12" ht="11.25" x14ac:dyDescent="0.2">
      <c r="A461" s="1">
        <f t="shared" si="62"/>
        <v>18</v>
      </c>
      <c r="B461" s="1" t="str">
        <f>Input!A356</f>
        <v>892</v>
      </c>
      <c r="C461" s="1" t="str">
        <f>Input!B356</f>
        <v>SERVICES</v>
      </c>
      <c r="D461" s="118">
        <f>Input!C356</f>
        <v>15</v>
      </c>
      <c r="E461" s="3">
        <f>Classification!E461-Classification!F461-Classification!G461</f>
        <v>0</v>
      </c>
      <c r="F461" s="3">
        <f ca="1">ROUND((VLOOKUP($D461,'Alloc Table Dem'!$B$7:$T$56,13,FALSE)*$E461),0)</f>
        <v>0</v>
      </c>
      <c r="G461" s="3">
        <f ca="1">ROUND((VLOOKUP($D461,'Alloc Table Dem'!$B$7:$T$56,14,FALSE)*$E461),0)</f>
        <v>0</v>
      </c>
      <c r="H461" s="3">
        <f ca="1">ROUND((VLOOKUP($D461,'Alloc Table Dem'!$B$7:$T$56,15,FALSE)*$E461),0)</f>
        <v>0</v>
      </c>
      <c r="I461" s="3">
        <f ca="1">ROUND((VLOOKUP($D461,'Alloc Table Dem'!$B$7:$T$56,16,FALSE)*$E461),0)</f>
        <v>0</v>
      </c>
      <c r="J461" s="3">
        <f ca="1">ROUND((VLOOKUP($D461,'Alloc Table Dem'!$B$7:$T$56,17,FALSE)*$E461),0)</f>
        <v>0</v>
      </c>
      <c r="K461" s="3">
        <f ca="1">ROUND((VLOOKUP($D461,'Alloc Table Dem'!$B$7:$T$56,18,FALSE)*$E461),0)</f>
        <v>0</v>
      </c>
      <c r="L461" s="3">
        <f ca="1">ROUND((VLOOKUP($D461,'Alloc Table Dem'!$B$7:$T$56,19,FALSE)*$E461),0)</f>
        <v>0</v>
      </c>
    </row>
    <row r="462" spans="1:12" ht="11.25" x14ac:dyDescent="0.2">
      <c r="A462" s="1">
        <f t="shared" si="62"/>
        <v>19</v>
      </c>
      <c r="B462" s="1" t="str">
        <f>Input!A357</f>
        <v>893</v>
      </c>
      <c r="C462" s="1" t="str">
        <f>Input!B357</f>
        <v>METERS &amp; HOUSE REGULATORS</v>
      </c>
      <c r="D462" s="118">
        <f>Input!C357</f>
        <v>16</v>
      </c>
      <c r="E462" s="3">
        <f>Classification!E462-Classification!F462-Classification!G462</f>
        <v>0</v>
      </c>
      <c r="F462" s="3">
        <f>ROUND((VLOOKUP($D462,'Alloc Table Dem'!$B$7:$T$56,13,FALSE)*$E462),0)</f>
        <v>0</v>
      </c>
      <c r="G462" s="3">
        <f>ROUND((VLOOKUP($D462,'Alloc Table Dem'!$B$7:$T$56,14,FALSE)*$E462),0)</f>
        <v>0</v>
      </c>
      <c r="H462" s="3">
        <f>ROUND((VLOOKUP($D462,'Alloc Table Dem'!$B$7:$T$56,15,FALSE)*$E462),0)</f>
        <v>0</v>
      </c>
      <c r="I462" s="3">
        <f>ROUND((VLOOKUP($D462,'Alloc Table Dem'!$B$7:$T$56,16,FALSE)*$E462),0)</f>
        <v>0</v>
      </c>
      <c r="J462" s="3">
        <f>ROUND((VLOOKUP($D462,'Alloc Table Dem'!$B$7:$T$56,17,FALSE)*$E462),0)</f>
        <v>0</v>
      </c>
      <c r="K462" s="3">
        <f>ROUND((VLOOKUP($D462,'Alloc Table Dem'!$B$7:$T$56,18,FALSE)*$E462),0)</f>
        <v>0</v>
      </c>
      <c r="L462" s="3">
        <f>ROUND((VLOOKUP($D462,'Alloc Table Dem'!$B$7:$T$56,19,FALSE)*$E462),0)</f>
        <v>0</v>
      </c>
    </row>
    <row r="463" spans="1:12" ht="11.25" x14ac:dyDescent="0.2">
      <c r="A463" s="1">
        <f t="shared" si="62"/>
        <v>20</v>
      </c>
      <c r="B463" s="1" t="str">
        <f>Input!A358</f>
        <v>894</v>
      </c>
      <c r="C463" s="1" t="str">
        <f>Input!B358</f>
        <v>OTHER EQUIPMENT</v>
      </c>
      <c r="D463" s="325" t="str">
        <f>VLOOKUP(Input!C358,'Alloc Table Dem'!$A$7:$B$27,2,FALSE)</f>
        <v>10DEM</v>
      </c>
      <c r="E463" s="26">
        <f>Classification!E463-Classification!F463-Classification!G463</f>
        <v>22828</v>
      </c>
      <c r="F463" s="26">
        <f ca="1">ROUND((VLOOKUP($D463,'Alloc Table Dem'!$B$7:$T$56,13,FALSE)*$E463),0)</f>
        <v>8899</v>
      </c>
      <c r="G463" s="26">
        <f ca="1">ROUND((VLOOKUP($D463,'Alloc Table Dem'!$B$7:$T$56,14,FALSE)*$E463),0)</f>
        <v>6026</v>
      </c>
      <c r="H463" s="26">
        <f ca="1">ROUND((VLOOKUP($D463,'Alloc Table Dem'!$B$7:$T$56,15,FALSE)*$E463),0)</f>
        <v>13</v>
      </c>
      <c r="I463" s="26">
        <f ca="1">ROUND((VLOOKUP($D463,'Alloc Table Dem'!$B$7:$T$56,16,FALSE)*$E463),0)</f>
        <v>1</v>
      </c>
      <c r="J463" s="26">
        <f ca="1">ROUND((VLOOKUP($D463,'Alloc Table Dem'!$B$7:$T$56,17,FALSE)*$E463),0)</f>
        <v>7889</v>
      </c>
      <c r="K463" s="26">
        <f ca="1">ROUND((VLOOKUP($D463,'Alloc Table Dem'!$B$7:$T$56,18,FALSE)*$E463),0)</f>
        <v>0</v>
      </c>
      <c r="L463" s="26">
        <f ca="1">ROUND((VLOOKUP($D463,'Alloc Table Dem'!$B$7:$T$56,19,FALSE)*$E463),0)</f>
        <v>0</v>
      </c>
    </row>
    <row r="464" spans="1:12" ht="11.25" x14ac:dyDescent="0.2">
      <c r="A464" s="1">
        <f t="shared" si="62"/>
        <v>21</v>
      </c>
      <c r="B464" s="1"/>
      <c r="C464" s="1" t="s">
        <v>280</v>
      </c>
      <c r="D464" s="118"/>
      <c r="E464" s="1">
        <f t="shared" ref="E464:L464" si="63">SUM(E456:E463)</f>
        <v>558146</v>
      </c>
      <c r="F464" s="3">
        <f t="shared" ca="1" si="63"/>
        <v>217577</v>
      </c>
      <c r="G464" s="3">
        <f t="shared" ca="1" si="63"/>
        <v>147339</v>
      </c>
      <c r="H464" s="3">
        <f t="shared" ca="1" si="63"/>
        <v>318</v>
      </c>
      <c r="I464" s="3">
        <f t="shared" ca="1" si="63"/>
        <v>27</v>
      </c>
      <c r="J464" s="3">
        <f t="shared" ca="1" si="63"/>
        <v>192884</v>
      </c>
      <c r="K464" s="3">
        <f t="shared" ca="1" si="63"/>
        <v>0</v>
      </c>
      <c r="L464" s="3">
        <f t="shared" ca="1" si="63"/>
        <v>0</v>
      </c>
    </row>
    <row r="465" spans="1:12" ht="11.25" x14ac:dyDescent="0.2">
      <c r="A465" s="3" t="s">
        <v>819</v>
      </c>
      <c r="B465" s="3"/>
      <c r="C465" s="3"/>
      <c r="D465" s="325"/>
      <c r="E465" s="1"/>
      <c r="F465" s="325" t="str">
        <f>""&amp;+Input!$B$1</f>
        <v>COLUMBIA GAS OF KENTUCKY, INC.</v>
      </c>
      <c r="H465" s="3"/>
      <c r="I465" s="3"/>
      <c r="J465" s="3"/>
      <c r="K465" s="3"/>
      <c r="L465" s="32" t="str">
        <f>Input!$B$2</f>
        <v>ATTACHMENT CEN-2</v>
      </c>
    </row>
    <row r="466" spans="1:12" ht="11.25" x14ac:dyDescent="0.2">
      <c r="A466" s="3" t="str">
        <f>Input!$B$7</f>
        <v>DEMAND-COMMODITY</v>
      </c>
      <c r="B466" s="3"/>
      <c r="C466" s="3"/>
      <c r="D466" s="325"/>
      <c r="E466" s="1"/>
      <c r="F466" s="325" t="s">
        <v>568</v>
      </c>
      <c r="H466" s="3"/>
      <c r="I466" s="3"/>
      <c r="J466" s="3"/>
      <c r="K466" s="3"/>
      <c r="L466" s="32" t="str">
        <f>"PAGE 117 OF "&amp;FIXED(Input!$B$8,0,TRUE)</f>
        <v>PAGE 117 OF 129</v>
      </c>
    </row>
    <row r="467" spans="1:12" ht="11.25" x14ac:dyDescent="0.2">
      <c r="A467" s="17" t="str">
        <f>Input!$B$6</f>
        <v>FORECASTED TEST YEAR - ORIGINAL FILING</v>
      </c>
      <c r="B467" s="17"/>
      <c r="C467" s="17"/>
      <c r="D467" s="34"/>
      <c r="E467" s="117"/>
      <c r="F467" s="19" t="str">
        <f>"FOR THE TWELVE MONTHS ENDED "&amp;Input!$B$4</f>
        <v>FOR THE TWELVE MONTHS ENDED 12/31/2017</v>
      </c>
      <c r="G467" s="329"/>
      <c r="H467" s="17"/>
      <c r="I467" s="17"/>
      <c r="J467" s="17"/>
      <c r="K467" s="17"/>
      <c r="L467" s="183" t="str">
        <f>"WITNESS: "&amp;Input!$B$5</f>
        <v>WITNESS: C. NOTESTONE</v>
      </c>
    </row>
    <row r="468" spans="1:12" ht="11.25" x14ac:dyDescent="0.2">
      <c r="A468" s="325" t="s">
        <v>5</v>
      </c>
      <c r="B468" s="3" t="s">
        <v>6</v>
      </c>
      <c r="C468" s="3"/>
      <c r="D468" s="325" t="s">
        <v>7</v>
      </c>
      <c r="E468" s="118" t="s">
        <v>8</v>
      </c>
      <c r="F468" s="3"/>
      <c r="G468" s="3"/>
      <c r="H468" s="3"/>
      <c r="I468" s="3"/>
      <c r="J468" s="3"/>
      <c r="K468" s="3"/>
      <c r="L468" s="3"/>
    </row>
    <row r="469" spans="1:12" ht="11.25" x14ac:dyDescent="0.2">
      <c r="A469" s="341" t="s">
        <v>9</v>
      </c>
      <c r="B469" s="341" t="s">
        <v>9</v>
      </c>
      <c r="C469" s="34" t="str">
        <f>Demand!C128</f>
        <v xml:space="preserve"> ACCOUNT TITLE</v>
      </c>
      <c r="D469" s="341" t="s">
        <v>10</v>
      </c>
      <c r="E469" s="341" t="s">
        <v>813</v>
      </c>
      <c r="F469" s="341" t="str">
        <f>"  "&amp;+Input!$C$12</f>
        <v xml:space="preserve">  GS-RESIDENTIAL</v>
      </c>
      <c r="G469" s="341" t="str">
        <f>Input!$C$13</f>
        <v>GS-OTHER</v>
      </c>
      <c r="H469" s="341" t="str">
        <f>Input!$C$14</f>
        <v>IUS</v>
      </c>
      <c r="I469" s="341" t="str">
        <f>Input!$C$15</f>
        <v>DS-ML</v>
      </c>
      <c r="J469" s="341" t="str">
        <f>Input!$C$16</f>
        <v>DS/IS</v>
      </c>
      <c r="K469" s="341" t="str">
        <f>Input!$C$17</f>
        <v>NOT USED</v>
      </c>
      <c r="L469" s="341" t="str">
        <f>Input!$C$18</f>
        <v>NOT USED</v>
      </c>
    </row>
    <row r="470" spans="1:12" ht="11.25" x14ac:dyDescent="0.2">
      <c r="A470" s="3"/>
      <c r="B470" s="342" t="s">
        <v>13</v>
      </c>
      <c r="C470" s="342" t="s">
        <v>14</v>
      </c>
      <c r="D470" s="325" t="s">
        <v>15</v>
      </c>
      <c r="E470" s="118" t="s">
        <v>16</v>
      </c>
      <c r="F470" s="325" t="s">
        <v>17</v>
      </c>
      <c r="G470" s="325" t="s">
        <v>18</v>
      </c>
      <c r="H470" s="325" t="s">
        <v>19</v>
      </c>
      <c r="I470" s="325" t="s">
        <v>20</v>
      </c>
      <c r="J470" s="325" t="s">
        <v>21</v>
      </c>
      <c r="K470" s="325" t="s">
        <v>22</v>
      </c>
      <c r="L470" s="325" t="s">
        <v>23</v>
      </c>
    </row>
    <row r="471" spans="1:12" ht="11.25" x14ac:dyDescent="0.2">
      <c r="A471" s="3"/>
      <c r="B471" s="3"/>
      <c r="C471" s="3"/>
      <c r="D471" s="325"/>
      <c r="E471" s="118" t="s">
        <v>26</v>
      </c>
      <c r="F471" s="325" t="s">
        <v>26</v>
      </c>
      <c r="G471" s="325" t="s">
        <v>26</v>
      </c>
      <c r="H471" s="325" t="s">
        <v>26</v>
      </c>
      <c r="I471" s="325" t="s">
        <v>26</v>
      </c>
      <c r="J471" s="325" t="s">
        <v>26</v>
      </c>
      <c r="K471" s="325" t="s">
        <v>26</v>
      </c>
      <c r="L471" s="325" t="s">
        <v>26</v>
      </c>
    </row>
    <row r="472" spans="1:12" ht="11.25" x14ac:dyDescent="0.2">
      <c r="A472" s="3">
        <v>1</v>
      </c>
      <c r="B472" s="3"/>
      <c r="C472" s="3" t="str">
        <f>Input!A359</f>
        <v>CUSTOMER ACCOUNTS</v>
      </c>
      <c r="D472" s="325"/>
      <c r="E472" s="1"/>
      <c r="F472" s="3"/>
      <c r="G472" s="3"/>
      <c r="H472" s="3"/>
      <c r="I472" s="3"/>
      <c r="J472" s="3"/>
      <c r="K472" s="3"/>
      <c r="L472" s="3"/>
    </row>
    <row r="473" spans="1:12" ht="11.25" x14ac:dyDescent="0.2">
      <c r="A473" s="3"/>
      <c r="B473" s="3"/>
      <c r="C473" s="3"/>
      <c r="D473" s="325"/>
      <c r="E473" s="1"/>
      <c r="F473" s="3"/>
      <c r="G473" s="3"/>
      <c r="H473" s="3"/>
      <c r="I473" s="3"/>
      <c r="J473" s="3"/>
      <c r="K473" s="3"/>
      <c r="L473" s="3"/>
    </row>
    <row r="474" spans="1:12" ht="11.25" x14ac:dyDescent="0.2">
      <c r="A474" s="3">
        <f>A472+1</f>
        <v>2</v>
      </c>
      <c r="B474" s="3" t="str">
        <f>Input!A360</f>
        <v>901</v>
      </c>
      <c r="C474" s="3" t="str">
        <f>Input!B360</f>
        <v>SUPERVISION</v>
      </c>
      <c r="D474" s="325">
        <f>Input!C360</f>
        <v>6</v>
      </c>
      <c r="E474" s="3">
        <f>Classification!E474-Classification!F474-Classification!G474</f>
        <v>0</v>
      </c>
      <c r="F474" s="3">
        <f>ROUND((VLOOKUP($D474,'Alloc Table Dem'!$B$7:$T$56,13,FALSE)*$E474),0)</f>
        <v>0</v>
      </c>
      <c r="G474" s="3">
        <f>ROUND((VLOOKUP($D474,'Alloc Table Dem'!$B$7:$T$56,14,FALSE)*$E474),0)</f>
        <v>0</v>
      </c>
      <c r="H474" s="3">
        <f>ROUND((VLOOKUP($D474,'Alloc Table Dem'!$B$7:$T$56,15,FALSE)*$E474),0)</f>
        <v>0</v>
      </c>
      <c r="I474" s="3">
        <f>ROUND((VLOOKUP($D474,'Alloc Table Dem'!$B$7:$T$56,16,FALSE)*$E474),0)</f>
        <v>0</v>
      </c>
      <c r="J474" s="3">
        <f>ROUND((VLOOKUP($D474,'Alloc Table Dem'!$B$7:$T$56,17,FALSE)*$E474),0)</f>
        <v>0</v>
      </c>
      <c r="K474" s="3">
        <f>ROUND((VLOOKUP($D474,'Alloc Table Dem'!$B$7:$T$56,18,FALSE)*$E474),0)</f>
        <v>0</v>
      </c>
      <c r="L474" s="3">
        <f>ROUND((VLOOKUP($D474,'Alloc Table Dem'!$B$7:$T$56,19,FALSE)*$E474),0)</f>
        <v>0</v>
      </c>
    </row>
    <row r="475" spans="1:12" ht="11.25" x14ac:dyDescent="0.2">
      <c r="A475" s="3">
        <f t="shared" ref="A475:A483" si="64">A474+1</f>
        <v>3</v>
      </c>
      <c r="B475" s="3" t="str">
        <f>Input!A361</f>
        <v>902</v>
      </c>
      <c r="C475" s="3" t="str">
        <f>Input!B361</f>
        <v>METER READING</v>
      </c>
      <c r="D475" s="325">
        <f>Input!C361</f>
        <v>6</v>
      </c>
      <c r="E475" s="3">
        <f>Classification!E475-Classification!F475-Classification!G475</f>
        <v>0</v>
      </c>
      <c r="F475" s="3">
        <f>ROUND((VLOOKUP($D475,'Alloc Table Dem'!$B$7:$T$56,13,FALSE)*$E475),0)</f>
        <v>0</v>
      </c>
      <c r="G475" s="3">
        <f>ROUND((VLOOKUP($D475,'Alloc Table Dem'!$B$7:$T$56,14,FALSE)*$E475),0)</f>
        <v>0</v>
      </c>
      <c r="H475" s="3">
        <f>ROUND((VLOOKUP($D475,'Alloc Table Dem'!$B$7:$T$56,15,FALSE)*$E475),0)</f>
        <v>0</v>
      </c>
      <c r="I475" s="3">
        <f>ROUND((VLOOKUP($D475,'Alloc Table Dem'!$B$7:$T$56,16,FALSE)*$E475),0)</f>
        <v>0</v>
      </c>
      <c r="J475" s="3">
        <f>ROUND((VLOOKUP($D475,'Alloc Table Dem'!$B$7:$T$56,17,FALSE)*$E475),0)</f>
        <v>0</v>
      </c>
      <c r="K475" s="3">
        <f>ROUND((VLOOKUP($D475,'Alloc Table Dem'!$B$7:$T$56,18,FALSE)*$E475),0)</f>
        <v>0</v>
      </c>
      <c r="L475" s="3">
        <f>ROUND((VLOOKUP($D475,'Alloc Table Dem'!$B$7:$T$56,19,FALSE)*$E475),0)</f>
        <v>0</v>
      </c>
    </row>
    <row r="476" spans="1:12" ht="11.25" x14ac:dyDescent="0.2">
      <c r="A476" s="3">
        <f t="shared" si="64"/>
        <v>4</v>
      </c>
      <c r="B476" s="3" t="str">
        <f>Input!A362</f>
        <v>903</v>
      </c>
      <c r="C476" s="3" t="str">
        <f>Input!B362</f>
        <v>CUSTOMER RECORDS &amp; COLLECTIONS</v>
      </c>
      <c r="D476" s="325">
        <f>Input!C362</f>
        <v>6</v>
      </c>
      <c r="E476" s="3">
        <f>Classification!E476-Classification!F476-Classification!G476</f>
        <v>0</v>
      </c>
      <c r="F476" s="3">
        <f>ROUND((VLOOKUP($D476,'Alloc Table Dem'!$B$7:$T$56,13,FALSE)*$E476),0)</f>
        <v>0</v>
      </c>
      <c r="G476" s="3">
        <f>ROUND((VLOOKUP($D476,'Alloc Table Dem'!$B$7:$T$56,14,FALSE)*$E476),0)</f>
        <v>0</v>
      </c>
      <c r="H476" s="3">
        <f>ROUND((VLOOKUP($D476,'Alloc Table Dem'!$B$7:$T$56,15,FALSE)*$E476),0)</f>
        <v>0</v>
      </c>
      <c r="I476" s="3">
        <f>ROUND((VLOOKUP($D476,'Alloc Table Dem'!$B$7:$T$56,16,FALSE)*$E476),0)</f>
        <v>0</v>
      </c>
      <c r="J476" s="3">
        <f>ROUND((VLOOKUP($D476,'Alloc Table Dem'!$B$7:$T$56,17,FALSE)*$E476),0)</f>
        <v>0</v>
      </c>
      <c r="K476" s="3">
        <f>ROUND((VLOOKUP($D476,'Alloc Table Dem'!$B$7:$T$56,18,FALSE)*$E476),0)</f>
        <v>0</v>
      </c>
      <c r="L476" s="3">
        <f>ROUND((VLOOKUP($D476,'Alloc Table Dem'!$B$7:$T$56,19,FALSE)*$E476),0)</f>
        <v>0</v>
      </c>
    </row>
    <row r="477" spans="1:12" ht="11.25" x14ac:dyDescent="0.2">
      <c r="A477" s="3">
        <f t="shared" si="64"/>
        <v>5</v>
      </c>
      <c r="B477" s="3" t="str">
        <f>Input!A364</f>
        <v>904</v>
      </c>
      <c r="C477" s="3" t="str">
        <f>Input!B364</f>
        <v>UNCOLLECTIBLE ACCOUNTS</v>
      </c>
      <c r="D477" s="325">
        <f>Input!C364</f>
        <v>21</v>
      </c>
      <c r="E477" s="3">
        <f>Classification!E477-Classification!F477-Classification!G477</f>
        <v>0</v>
      </c>
      <c r="F477" s="3">
        <f>ROUND((VLOOKUP($D477,'Alloc Table Dem'!$B$7:$T$56,13,FALSE)*$E477),0)</f>
        <v>0</v>
      </c>
      <c r="G477" s="3">
        <f>ROUND((VLOOKUP($D477,'Alloc Table Dem'!$B$7:$T$56,14,FALSE)*$E477),0)</f>
        <v>0</v>
      </c>
      <c r="H477" s="3">
        <f>ROUND((VLOOKUP($D477,'Alloc Table Dem'!$B$7:$T$56,15,FALSE)*$E477),0)</f>
        <v>0</v>
      </c>
      <c r="I477" s="3">
        <f>ROUND((VLOOKUP($D477,'Alloc Table Dem'!$B$7:$T$56,16,FALSE)*$E477),0)</f>
        <v>0</v>
      </c>
      <c r="J477" s="3">
        <f>ROUND((VLOOKUP($D477,'Alloc Table Dem'!$B$7:$T$56,17,FALSE)*$E477),0)</f>
        <v>0</v>
      </c>
      <c r="K477" s="3">
        <f>ROUND((VLOOKUP($D477,'Alloc Table Dem'!$B$7:$T$56,18,FALSE)*$E477),0)</f>
        <v>0</v>
      </c>
      <c r="L477" s="3">
        <f>ROUND((VLOOKUP($D477,'Alloc Table Dem'!$B$7:$T$56,19,FALSE)*$E477),0)</f>
        <v>0</v>
      </c>
    </row>
    <row r="478" spans="1:12" ht="11.25" x14ac:dyDescent="0.2">
      <c r="A478" s="3">
        <f t="shared" si="64"/>
        <v>6</v>
      </c>
      <c r="B478" s="3" t="str">
        <f>Input!A365</f>
        <v>905</v>
      </c>
      <c r="C478" s="3" t="str">
        <f>Input!B365</f>
        <v>MISC.</v>
      </c>
      <c r="D478" s="325">
        <f>Input!C365</f>
        <v>6</v>
      </c>
      <c r="E478" s="3">
        <f>Classification!E478-Classification!F478-Classification!G478</f>
        <v>0</v>
      </c>
      <c r="F478" s="3">
        <f>ROUND((VLOOKUP($D478,'Alloc Table Dem'!$B$7:$T$56,13,FALSE)*$E478),0)</f>
        <v>0</v>
      </c>
      <c r="G478" s="3">
        <f>ROUND((VLOOKUP($D478,'Alloc Table Dem'!$B$7:$T$56,14,FALSE)*$E478),0)</f>
        <v>0</v>
      </c>
      <c r="H478" s="3">
        <f>ROUND((VLOOKUP($D478,'Alloc Table Dem'!$B$7:$T$56,15,FALSE)*$E478),0)</f>
        <v>0</v>
      </c>
      <c r="I478" s="3">
        <f>ROUND((VLOOKUP($D478,'Alloc Table Dem'!$B$7:$T$56,16,FALSE)*$E478),0)</f>
        <v>0</v>
      </c>
      <c r="J478" s="3">
        <f>ROUND((VLOOKUP($D478,'Alloc Table Dem'!$B$7:$T$56,17,FALSE)*$E478),0)</f>
        <v>0</v>
      </c>
      <c r="K478" s="3">
        <f>ROUND((VLOOKUP($D478,'Alloc Table Dem'!$B$7:$T$56,18,FALSE)*$E478),0)</f>
        <v>0</v>
      </c>
      <c r="L478" s="3">
        <f>ROUND((VLOOKUP($D478,'Alloc Table Dem'!$B$7:$T$56,19,FALSE)*$E478),0)</f>
        <v>0</v>
      </c>
    </row>
    <row r="479" spans="1:12" ht="11.25" x14ac:dyDescent="0.2">
      <c r="A479" s="3">
        <f t="shared" si="64"/>
        <v>7</v>
      </c>
      <c r="B479" s="3" t="str">
        <f>Input!A366</f>
        <v>920</v>
      </c>
      <c r="C479" s="3" t="str">
        <f>Input!B366</f>
        <v>SALARIES</v>
      </c>
      <c r="D479" s="325">
        <f>Input!C366</f>
        <v>6</v>
      </c>
      <c r="E479" s="3">
        <f>Classification!E479-Classification!F479-Classification!G479</f>
        <v>0</v>
      </c>
      <c r="F479" s="3">
        <f>ROUND((VLOOKUP($D479,'Alloc Table Dem'!$B$7:$T$56,13,FALSE)*$E479),0)</f>
        <v>0</v>
      </c>
      <c r="G479" s="3">
        <f>ROUND((VLOOKUP($D479,'Alloc Table Dem'!$B$7:$T$56,14,FALSE)*$E479),0)</f>
        <v>0</v>
      </c>
      <c r="H479" s="3">
        <f>ROUND((VLOOKUP($D479,'Alloc Table Dem'!$B$7:$T$56,15,FALSE)*$E479),0)</f>
        <v>0</v>
      </c>
      <c r="I479" s="3">
        <f>ROUND((VLOOKUP($D479,'Alloc Table Dem'!$B$7:$T$56,16,FALSE)*$E479),0)</f>
        <v>0</v>
      </c>
      <c r="J479" s="3">
        <f>ROUND((VLOOKUP($D479,'Alloc Table Dem'!$B$7:$T$56,17,FALSE)*$E479),0)</f>
        <v>0</v>
      </c>
      <c r="K479" s="3">
        <f>ROUND((VLOOKUP($D479,'Alloc Table Dem'!$B$7:$T$56,18,FALSE)*$E479),0)</f>
        <v>0</v>
      </c>
      <c r="L479" s="3">
        <f>ROUND((VLOOKUP($D479,'Alloc Table Dem'!$B$7:$T$56,19,FALSE)*$E479),0)</f>
        <v>0</v>
      </c>
    </row>
    <row r="480" spans="1:12" ht="11.25" x14ac:dyDescent="0.2">
      <c r="A480" s="3">
        <f t="shared" si="64"/>
        <v>8</v>
      </c>
      <c r="B480" s="3" t="str">
        <f>Input!A367</f>
        <v>921</v>
      </c>
      <c r="C480" s="3" t="str">
        <f>Input!B367</f>
        <v>OFFICE SUPPLIES AND EXPENSE</v>
      </c>
      <c r="D480" s="325">
        <f>Input!C367</f>
        <v>6</v>
      </c>
      <c r="E480" s="3">
        <f>Classification!E480-Classification!F480-Classification!G480</f>
        <v>0</v>
      </c>
      <c r="F480" s="3">
        <f>ROUND((VLOOKUP($D480,'Alloc Table Dem'!$B$7:$T$56,13,FALSE)*$E480),0)</f>
        <v>0</v>
      </c>
      <c r="G480" s="3">
        <f>ROUND((VLOOKUP($D480,'Alloc Table Dem'!$B$7:$T$56,14,FALSE)*$E480),0)</f>
        <v>0</v>
      </c>
      <c r="H480" s="3">
        <f>ROUND((VLOOKUP($D480,'Alloc Table Dem'!$B$7:$T$56,15,FALSE)*$E480),0)</f>
        <v>0</v>
      </c>
      <c r="I480" s="3">
        <f>ROUND((VLOOKUP($D480,'Alloc Table Dem'!$B$7:$T$56,16,FALSE)*$E480),0)</f>
        <v>0</v>
      </c>
      <c r="J480" s="3">
        <f>ROUND((VLOOKUP($D480,'Alloc Table Dem'!$B$7:$T$56,17,FALSE)*$E480),0)</f>
        <v>0</v>
      </c>
      <c r="K480" s="3">
        <f>ROUND((VLOOKUP($D480,'Alloc Table Dem'!$B$7:$T$56,18,FALSE)*$E480),0)</f>
        <v>0</v>
      </c>
      <c r="L480" s="3">
        <f>ROUND((VLOOKUP($D480,'Alloc Table Dem'!$B$7:$T$56,19,FALSE)*$E480),0)</f>
        <v>0</v>
      </c>
    </row>
    <row r="481" spans="1:12" ht="11.25" x14ac:dyDescent="0.2">
      <c r="A481" s="3">
        <f t="shared" si="64"/>
        <v>9</v>
      </c>
      <c r="B481" s="3" t="str">
        <f>Input!A368</f>
        <v>931</v>
      </c>
      <c r="C481" s="3" t="str">
        <f>Input!B368</f>
        <v>RENTS</v>
      </c>
      <c r="D481" s="325">
        <f>Input!C368</f>
        <v>6</v>
      </c>
      <c r="E481" s="3">
        <f>Classification!E481-Classification!F481-Classification!G481</f>
        <v>0</v>
      </c>
      <c r="F481" s="3">
        <f>ROUND((VLOOKUP($D481,'Alloc Table Dem'!$B$7:$T$56,13,FALSE)*$E481),0)</f>
        <v>0</v>
      </c>
      <c r="G481" s="3">
        <f>ROUND((VLOOKUP($D481,'Alloc Table Dem'!$B$7:$T$56,14,FALSE)*$E481),0)</f>
        <v>0</v>
      </c>
      <c r="H481" s="3">
        <f>ROUND((VLOOKUP($D481,'Alloc Table Dem'!$B$7:$T$56,15,FALSE)*$E481),0)</f>
        <v>0</v>
      </c>
      <c r="I481" s="3">
        <f>ROUND((VLOOKUP($D481,'Alloc Table Dem'!$B$7:$T$56,16,FALSE)*$E481),0)</f>
        <v>0</v>
      </c>
      <c r="J481" s="3">
        <f>ROUND((VLOOKUP($D481,'Alloc Table Dem'!$B$7:$T$56,17,FALSE)*$E481),0)</f>
        <v>0</v>
      </c>
      <c r="K481" s="3">
        <f>ROUND((VLOOKUP($D481,'Alloc Table Dem'!$B$7:$T$56,18,FALSE)*$E481),0)</f>
        <v>0</v>
      </c>
      <c r="L481" s="3">
        <f>ROUND((VLOOKUP($D481,'Alloc Table Dem'!$B$7:$T$56,19,FALSE)*$E481),0)</f>
        <v>0</v>
      </c>
    </row>
    <row r="482" spans="1:12" ht="11.25" x14ac:dyDescent="0.2">
      <c r="A482" s="3">
        <f t="shared" si="64"/>
        <v>10</v>
      </c>
      <c r="B482" s="3" t="str">
        <f>Input!A369</f>
        <v>935</v>
      </c>
      <c r="C482" s="3" t="str">
        <f>Input!B369</f>
        <v>GENERAL PLANT MAINTENANCE</v>
      </c>
      <c r="D482" s="325">
        <f>Input!C369</f>
        <v>6</v>
      </c>
      <c r="E482" s="26">
        <f>Classification!E482-Classification!F482-Classification!G482</f>
        <v>0</v>
      </c>
      <c r="F482" s="26">
        <f>ROUND((VLOOKUP($D482,'Alloc Table Dem'!$B$7:$T$56,13,FALSE)*$E482),0)</f>
        <v>0</v>
      </c>
      <c r="G482" s="26">
        <f>ROUND((VLOOKUP($D482,'Alloc Table Dem'!$B$7:$T$56,14,FALSE)*$E482),0)</f>
        <v>0</v>
      </c>
      <c r="H482" s="26">
        <f>ROUND((VLOOKUP($D482,'Alloc Table Dem'!$B$7:$T$56,15,FALSE)*$E482),0)</f>
        <v>0</v>
      </c>
      <c r="I482" s="26">
        <f>ROUND((VLOOKUP($D482,'Alloc Table Dem'!$B$7:$T$56,16,FALSE)*$E482),0)</f>
        <v>0</v>
      </c>
      <c r="J482" s="26">
        <f>ROUND((VLOOKUP($D482,'Alloc Table Dem'!$B$7:$T$56,17,FALSE)*$E482),0)</f>
        <v>0</v>
      </c>
      <c r="K482" s="26">
        <f>ROUND((VLOOKUP($D482,'Alloc Table Dem'!$B$7:$T$56,18,FALSE)*$E482),0)</f>
        <v>0</v>
      </c>
      <c r="L482" s="26">
        <f>ROUND((VLOOKUP($D482,'Alloc Table Dem'!$B$7:$T$56,19,FALSE)*$E482),0)</f>
        <v>0</v>
      </c>
    </row>
    <row r="483" spans="1:12" ht="11.25" x14ac:dyDescent="0.2">
      <c r="A483" s="3">
        <f t="shared" si="64"/>
        <v>11</v>
      </c>
      <c r="B483" s="3"/>
      <c r="C483" s="3" t="s">
        <v>301</v>
      </c>
      <c r="D483" s="325"/>
      <c r="E483" s="1">
        <f t="shared" ref="E483:L483" si="65">SUM(E474:E482)</f>
        <v>0</v>
      </c>
      <c r="F483" s="3">
        <f t="shared" si="65"/>
        <v>0</v>
      </c>
      <c r="G483" s="3">
        <f t="shared" si="65"/>
        <v>0</v>
      </c>
      <c r="H483" s="3">
        <f t="shared" si="65"/>
        <v>0</v>
      </c>
      <c r="I483" s="3">
        <f t="shared" si="65"/>
        <v>0</v>
      </c>
      <c r="J483" s="3">
        <f t="shared" si="65"/>
        <v>0</v>
      </c>
      <c r="K483" s="3">
        <f t="shared" si="65"/>
        <v>0</v>
      </c>
      <c r="L483" s="3">
        <f t="shared" si="65"/>
        <v>0</v>
      </c>
    </row>
    <row r="484" spans="1:12" ht="11.25" x14ac:dyDescent="0.2">
      <c r="A484" s="3"/>
      <c r="B484" s="3"/>
      <c r="C484" s="3"/>
      <c r="D484" s="325"/>
      <c r="E484" s="1"/>
      <c r="F484" s="3"/>
      <c r="G484" s="3"/>
      <c r="H484" s="3"/>
      <c r="I484" s="3"/>
      <c r="J484" s="3"/>
      <c r="K484" s="3"/>
      <c r="L484" s="3"/>
    </row>
    <row r="485" spans="1:12" ht="11.25" x14ac:dyDescent="0.2">
      <c r="A485" s="3">
        <f>A483+1</f>
        <v>12</v>
      </c>
      <c r="B485" s="3"/>
      <c r="C485" s="3" t="str">
        <f>Input!A370</f>
        <v>CUSTOMER SERVICE &amp; INFORMATIONAL</v>
      </c>
      <c r="D485" s="325"/>
      <c r="E485" s="1"/>
      <c r="F485" s="3"/>
      <c r="G485" s="3"/>
      <c r="H485" s="3"/>
      <c r="I485" s="3"/>
      <c r="J485" s="3"/>
      <c r="K485" s="3"/>
      <c r="L485" s="3"/>
    </row>
    <row r="486" spans="1:12" ht="11.25" x14ac:dyDescent="0.2">
      <c r="A486" s="3"/>
      <c r="B486" s="3"/>
      <c r="C486" s="3"/>
      <c r="D486" s="325"/>
      <c r="E486" s="1"/>
      <c r="F486" s="3"/>
      <c r="G486" s="3"/>
      <c r="H486" s="3"/>
      <c r="I486" s="3"/>
      <c r="J486" s="3"/>
      <c r="K486" s="3"/>
      <c r="L486" s="3"/>
    </row>
    <row r="487" spans="1:12" ht="11.25" x14ac:dyDescent="0.2">
      <c r="A487" s="3">
        <f>A485+1</f>
        <v>13</v>
      </c>
      <c r="B487" s="3" t="str">
        <f>Input!A371</f>
        <v>907</v>
      </c>
      <c r="C487" s="3" t="str">
        <f>Input!B371</f>
        <v>SUPERVISION</v>
      </c>
      <c r="D487" s="325">
        <f>Input!C371</f>
        <v>6</v>
      </c>
      <c r="E487" s="3">
        <f>Classification!E487-Classification!F487-Classification!G487</f>
        <v>0</v>
      </c>
      <c r="F487" s="3">
        <f>ROUND((VLOOKUP($D487,'Alloc Table Dem'!$B$7:$T$56,13,FALSE)*$E487),0)</f>
        <v>0</v>
      </c>
      <c r="G487" s="3">
        <f>ROUND((VLOOKUP($D487,'Alloc Table Dem'!$B$7:$T$56,14,FALSE)*$E487),0)</f>
        <v>0</v>
      </c>
      <c r="H487" s="3">
        <f>ROUND((VLOOKUP($D487,'Alloc Table Dem'!$B$7:$T$56,15,FALSE)*$E487),0)</f>
        <v>0</v>
      </c>
      <c r="I487" s="3">
        <f>ROUND((VLOOKUP($D487,'Alloc Table Dem'!$B$7:$T$56,16,FALSE)*$E487),0)</f>
        <v>0</v>
      </c>
      <c r="J487" s="3">
        <f>ROUND((VLOOKUP($D487,'Alloc Table Dem'!$B$7:$T$56,17,FALSE)*$E487),0)</f>
        <v>0</v>
      </c>
      <c r="K487" s="3">
        <f>ROUND((VLOOKUP($D487,'Alloc Table Dem'!$B$7:$T$56,18,FALSE)*$E487),0)</f>
        <v>0</v>
      </c>
      <c r="L487" s="3">
        <f>ROUND((VLOOKUP($D487,'Alloc Table Dem'!$B$7:$T$56,19,FALSE)*$E487),0)</f>
        <v>0</v>
      </c>
    </row>
    <row r="488" spans="1:12" ht="11.25" x14ac:dyDescent="0.2">
      <c r="A488" s="3">
        <f t="shared" ref="A488:A495" si="66">A487+1</f>
        <v>14</v>
      </c>
      <c r="B488" s="3" t="str">
        <f>Input!A373</f>
        <v>908</v>
      </c>
      <c r="C488" s="3" t="str">
        <f>Input!B373</f>
        <v>CUSTOMER ASSISTANCE</v>
      </c>
      <c r="D488" s="325">
        <f>Input!C373</f>
        <v>6</v>
      </c>
      <c r="E488" s="3">
        <f>Classification!E488-Classification!F488-Classification!G488</f>
        <v>0</v>
      </c>
      <c r="F488" s="3">
        <f>ROUND((VLOOKUP($D488,'Alloc Table Dem'!$B$7:$T$56,13,FALSE)*$E488),0)</f>
        <v>0</v>
      </c>
      <c r="G488" s="3">
        <f>ROUND((VLOOKUP($D488,'Alloc Table Dem'!$B$7:$T$56,14,FALSE)*$E488),0)</f>
        <v>0</v>
      </c>
      <c r="H488" s="3">
        <f>ROUND((VLOOKUP($D488,'Alloc Table Dem'!$B$7:$T$56,15,FALSE)*$E488),0)</f>
        <v>0</v>
      </c>
      <c r="I488" s="3">
        <f>ROUND((VLOOKUP($D488,'Alloc Table Dem'!$B$7:$T$56,16,FALSE)*$E488),0)</f>
        <v>0</v>
      </c>
      <c r="J488" s="3">
        <f>ROUND((VLOOKUP($D488,'Alloc Table Dem'!$B$7:$T$56,17,FALSE)*$E488),0)</f>
        <v>0</v>
      </c>
      <c r="K488" s="3">
        <f>ROUND((VLOOKUP($D488,'Alloc Table Dem'!$B$7:$T$56,18,FALSE)*$E488),0)</f>
        <v>0</v>
      </c>
      <c r="L488" s="3">
        <f>ROUND((VLOOKUP($D488,'Alloc Table Dem'!$B$7:$T$56,19,FALSE)*$E488),0)</f>
        <v>0</v>
      </c>
    </row>
    <row r="489" spans="1:12" ht="11.25" x14ac:dyDescent="0.2">
      <c r="A489" s="3">
        <f t="shared" si="66"/>
        <v>15</v>
      </c>
      <c r="B489" s="3" t="str">
        <f>Input!A375</f>
        <v>909</v>
      </c>
      <c r="C489" s="3" t="str">
        <f>Input!B375</f>
        <v>INFO. &amp; INSTRUCTIONAL</v>
      </c>
      <c r="D489" s="325">
        <f>Input!C375</f>
        <v>6</v>
      </c>
      <c r="E489" s="3">
        <f>Classification!E489-Classification!F489-Classification!G489</f>
        <v>0</v>
      </c>
      <c r="F489" s="3">
        <f>ROUND((VLOOKUP($D489,'Alloc Table Dem'!$B$7:$T$56,13,FALSE)*$E489),0)</f>
        <v>0</v>
      </c>
      <c r="G489" s="3">
        <f>ROUND((VLOOKUP($D489,'Alloc Table Dem'!$B$7:$T$56,14,FALSE)*$E489),0)</f>
        <v>0</v>
      </c>
      <c r="H489" s="3">
        <f>ROUND((VLOOKUP($D489,'Alloc Table Dem'!$B$7:$T$56,15,FALSE)*$E489),0)</f>
        <v>0</v>
      </c>
      <c r="I489" s="3">
        <f>ROUND((VLOOKUP($D489,'Alloc Table Dem'!$B$7:$T$56,16,FALSE)*$E489),0)</f>
        <v>0</v>
      </c>
      <c r="J489" s="3">
        <f>ROUND((VLOOKUP($D489,'Alloc Table Dem'!$B$7:$T$56,17,FALSE)*$E489),0)</f>
        <v>0</v>
      </c>
      <c r="K489" s="3">
        <f>ROUND((VLOOKUP($D489,'Alloc Table Dem'!$B$7:$T$56,18,FALSE)*$E489),0)</f>
        <v>0</v>
      </c>
      <c r="L489" s="3">
        <f>ROUND((VLOOKUP($D489,'Alloc Table Dem'!$B$7:$T$56,19,FALSE)*$E489),0)</f>
        <v>0</v>
      </c>
    </row>
    <row r="490" spans="1:12" ht="11.25" x14ac:dyDescent="0.2">
      <c r="A490" s="3">
        <f t="shared" si="66"/>
        <v>16</v>
      </c>
      <c r="B490" s="3" t="str">
        <f>Input!A376</f>
        <v>910</v>
      </c>
      <c r="C490" s="3" t="str">
        <f>Input!B376</f>
        <v>MISCELLANEOUS</v>
      </c>
      <c r="D490" s="325">
        <f>Input!C376</f>
        <v>6</v>
      </c>
      <c r="E490" s="3">
        <f>Classification!E490-Classification!F490-Classification!G490</f>
        <v>0</v>
      </c>
      <c r="F490" s="3">
        <f>ROUND((VLOOKUP($D490,'Alloc Table Dem'!$B$7:$T$56,13,FALSE)*$E490),0)</f>
        <v>0</v>
      </c>
      <c r="G490" s="3">
        <f>ROUND((VLOOKUP($D490,'Alloc Table Dem'!$B$7:$T$56,14,FALSE)*$E490),0)</f>
        <v>0</v>
      </c>
      <c r="H490" s="3">
        <f>ROUND((VLOOKUP($D490,'Alloc Table Dem'!$B$7:$T$56,15,FALSE)*$E490),0)</f>
        <v>0</v>
      </c>
      <c r="I490" s="3">
        <f>ROUND((VLOOKUP($D490,'Alloc Table Dem'!$B$7:$T$56,16,FALSE)*$E490),0)</f>
        <v>0</v>
      </c>
      <c r="J490" s="3">
        <f>ROUND((VLOOKUP($D490,'Alloc Table Dem'!$B$7:$T$56,17,FALSE)*$E490),0)</f>
        <v>0</v>
      </c>
      <c r="K490" s="3">
        <f>ROUND((VLOOKUP($D490,'Alloc Table Dem'!$B$7:$T$56,18,FALSE)*$E490),0)</f>
        <v>0</v>
      </c>
      <c r="L490" s="3">
        <f>ROUND((VLOOKUP($D490,'Alloc Table Dem'!$B$7:$T$56,19,FALSE)*$E490),0)</f>
        <v>0</v>
      </c>
    </row>
    <row r="491" spans="1:12" ht="11.25" x14ac:dyDescent="0.2">
      <c r="A491" s="3">
        <f t="shared" si="66"/>
        <v>17</v>
      </c>
      <c r="B491" s="3" t="str">
        <f>Input!A377</f>
        <v>920</v>
      </c>
      <c r="C491" s="3" t="str">
        <f>Input!B377</f>
        <v>SALARIES</v>
      </c>
      <c r="D491" s="325">
        <f>Input!C377</f>
        <v>6</v>
      </c>
      <c r="E491" s="3">
        <f>Classification!E491-Classification!F491-Classification!G491</f>
        <v>0</v>
      </c>
      <c r="F491" s="3">
        <f>ROUND((VLOOKUP($D491,'Alloc Table Dem'!$B$7:$T$56,13,FALSE)*$E491),0)</f>
        <v>0</v>
      </c>
      <c r="G491" s="3">
        <f>ROUND((VLOOKUP($D491,'Alloc Table Dem'!$B$7:$T$56,14,FALSE)*$E491),0)</f>
        <v>0</v>
      </c>
      <c r="H491" s="3">
        <f>ROUND((VLOOKUP($D491,'Alloc Table Dem'!$B$7:$T$56,15,FALSE)*$E491),0)</f>
        <v>0</v>
      </c>
      <c r="I491" s="3">
        <f>ROUND((VLOOKUP($D491,'Alloc Table Dem'!$B$7:$T$56,16,FALSE)*$E491),0)</f>
        <v>0</v>
      </c>
      <c r="J491" s="3">
        <f>ROUND((VLOOKUP($D491,'Alloc Table Dem'!$B$7:$T$56,17,FALSE)*$E491),0)</f>
        <v>0</v>
      </c>
      <c r="K491" s="3">
        <f>ROUND((VLOOKUP($D491,'Alloc Table Dem'!$B$7:$T$56,18,FALSE)*$E491),0)</f>
        <v>0</v>
      </c>
      <c r="L491" s="3">
        <f>ROUND((VLOOKUP($D491,'Alloc Table Dem'!$B$7:$T$56,19,FALSE)*$E491),0)</f>
        <v>0</v>
      </c>
    </row>
    <row r="492" spans="1:12" ht="11.25" x14ac:dyDescent="0.2">
      <c r="A492" s="3">
        <f t="shared" si="66"/>
        <v>18</v>
      </c>
      <c r="B492" s="3" t="str">
        <f>Input!A378</f>
        <v>921</v>
      </c>
      <c r="C492" s="3" t="str">
        <f>Input!B378</f>
        <v>OFFICE SUPPLIES AND EXPENSE</v>
      </c>
      <c r="D492" s="325">
        <f>Input!C378</f>
        <v>6</v>
      </c>
      <c r="E492" s="3">
        <f>Classification!E492-Classification!F492-Classification!G492</f>
        <v>0</v>
      </c>
      <c r="F492" s="3">
        <f>ROUND((VLOOKUP($D492,'Alloc Table Dem'!$B$7:$T$56,13,FALSE)*$E492),0)</f>
        <v>0</v>
      </c>
      <c r="G492" s="3">
        <f>ROUND((VLOOKUP($D492,'Alloc Table Dem'!$B$7:$T$56,14,FALSE)*$E492),0)</f>
        <v>0</v>
      </c>
      <c r="H492" s="3">
        <f>ROUND((VLOOKUP($D492,'Alloc Table Dem'!$B$7:$T$56,15,FALSE)*$E492),0)</f>
        <v>0</v>
      </c>
      <c r="I492" s="3">
        <f>ROUND((VLOOKUP($D492,'Alloc Table Dem'!$B$7:$T$56,16,FALSE)*$E492),0)</f>
        <v>0</v>
      </c>
      <c r="J492" s="3">
        <f>ROUND((VLOOKUP($D492,'Alloc Table Dem'!$B$7:$T$56,17,FALSE)*$E492),0)</f>
        <v>0</v>
      </c>
      <c r="K492" s="3">
        <f>ROUND((VLOOKUP($D492,'Alloc Table Dem'!$B$7:$T$56,18,FALSE)*$E492),0)</f>
        <v>0</v>
      </c>
      <c r="L492" s="3">
        <f>ROUND((VLOOKUP($D492,'Alloc Table Dem'!$B$7:$T$56,19,FALSE)*$E492),0)</f>
        <v>0</v>
      </c>
    </row>
    <row r="493" spans="1:12" ht="11.25" x14ac:dyDescent="0.2">
      <c r="A493" s="3">
        <f t="shared" si="66"/>
        <v>19</v>
      </c>
      <c r="B493" s="3" t="str">
        <f>Input!A379</f>
        <v>931</v>
      </c>
      <c r="C493" s="3" t="str">
        <f>Input!B379</f>
        <v>RENTS</v>
      </c>
      <c r="D493" s="325">
        <f>Input!C379</f>
        <v>6</v>
      </c>
      <c r="E493" s="3">
        <f>Classification!E493-Classification!F493-Classification!G493</f>
        <v>0</v>
      </c>
      <c r="F493" s="3">
        <f>ROUND((VLOOKUP($D493,'Alloc Table Dem'!$B$7:$T$56,13,FALSE)*$E493),0)</f>
        <v>0</v>
      </c>
      <c r="G493" s="3">
        <f>ROUND((VLOOKUP($D493,'Alloc Table Dem'!$B$7:$T$56,14,FALSE)*$E493),0)</f>
        <v>0</v>
      </c>
      <c r="H493" s="3">
        <f>ROUND((VLOOKUP($D493,'Alloc Table Dem'!$B$7:$T$56,15,FALSE)*$E493),0)</f>
        <v>0</v>
      </c>
      <c r="I493" s="3">
        <f>ROUND((VLOOKUP($D493,'Alloc Table Dem'!$B$7:$T$56,16,FALSE)*$E493),0)</f>
        <v>0</v>
      </c>
      <c r="J493" s="3">
        <f>ROUND((VLOOKUP($D493,'Alloc Table Dem'!$B$7:$T$56,17,FALSE)*$E493),0)</f>
        <v>0</v>
      </c>
      <c r="K493" s="3">
        <f>ROUND((VLOOKUP($D493,'Alloc Table Dem'!$B$7:$T$56,18,FALSE)*$E493),0)</f>
        <v>0</v>
      </c>
      <c r="L493" s="3">
        <f>ROUND((VLOOKUP($D493,'Alloc Table Dem'!$B$7:$T$56,19,FALSE)*$E493),0)</f>
        <v>0</v>
      </c>
    </row>
    <row r="494" spans="1:12" ht="11.25" x14ac:dyDescent="0.2">
      <c r="A494" s="3">
        <f t="shared" si="66"/>
        <v>20</v>
      </c>
      <c r="B494" s="3" t="str">
        <f>Input!A380</f>
        <v>935</v>
      </c>
      <c r="C494" s="3" t="str">
        <f>Input!B380</f>
        <v>GENERAL PLANT MAINTENANCE</v>
      </c>
      <c r="D494" s="325">
        <f>Input!C380</f>
        <v>6</v>
      </c>
      <c r="E494" s="26">
        <f>Classification!E494-Classification!F494-Classification!G494</f>
        <v>0</v>
      </c>
      <c r="F494" s="26">
        <f>ROUND((VLOOKUP($D494,'Alloc Table Dem'!$B$7:$T$56,13,FALSE)*$E494),0)</f>
        <v>0</v>
      </c>
      <c r="G494" s="26">
        <f>ROUND((VLOOKUP($D494,'Alloc Table Dem'!$B$7:$T$56,14,FALSE)*$E494),0)</f>
        <v>0</v>
      </c>
      <c r="H494" s="26">
        <f>ROUND((VLOOKUP($D494,'Alloc Table Dem'!$B$7:$T$56,15,FALSE)*$E494),0)</f>
        <v>0</v>
      </c>
      <c r="I494" s="26">
        <f>ROUND((VLOOKUP($D494,'Alloc Table Dem'!$B$7:$T$56,16,FALSE)*$E494),0)</f>
        <v>0</v>
      </c>
      <c r="J494" s="26">
        <f>ROUND((VLOOKUP($D494,'Alloc Table Dem'!$B$7:$T$56,17,FALSE)*$E494),0)</f>
        <v>0</v>
      </c>
      <c r="K494" s="26">
        <f>ROUND((VLOOKUP($D494,'Alloc Table Dem'!$B$7:$T$56,18,FALSE)*$E494),0)</f>
        <v>0</v>
      </c>
      <c r="L494" s="26">
        <f>ROUND((VLOOKUP($D494,'Alloc Table Dem'!$B$7:$T$56,19,FALSE)*$E494),0)</f>
        <v>0</v>
      </c>
    </row>
    <row r="495" spans="1:12" ht="11.25" x14ac:dyDescent="0.2">
      <c r="A495" s="3">
        <f t="shared" si="66"/>
        <v>21</v>
      </c>
      <c r="B495" s="3"/>
      <c r="C495" s="3" t="s">
        <v>309</v>
      </c>
      <c r="D495" s="325"/>
      <c r="E495" s="1">
        <f t="shared" ref="E495:L495" si="67">SUM(E487:E494)</f>
        <v>0</v>
      </c>
      <c r="F495" s="3">
        <f t="shared" si="67"/>
        <v>0</v>
      </c>
      <c r="G495" s="3">
        <f t="shared" si="67"/>
        <v>0</v>
      </c>
      <c r="H495" s="3">
        <f t="shared" si="67"/>
        <v>0</v>
      </c>
      <c r="I495" s="3">
        <f t="shared" si="67"/>
        <v>0</v>
      </c>
      <c r="J495" s="3">
        <f t="shared" si="67"/>
        <v>0</v>
      </c>
      <c r="K495" s="3">
        <f t="shared" si="67"/>
        <v>0</v>
      </c>
      <c r="L495" s="3">
        <f t="shared" si="67"/>
        <v>0</v>
      </c>
    </row>
    <row r="496" spans="1:12" ht="11.25" x14ac:dyDescent="0.2">
      <c r="A496" s="3" t="s">
        <v>819</v>
      </c>
      <c r="B496" s="3"/>
      <c r="C496" s="3"/>
      <c r="D496" s="325"/>
      <c r="E496" s="1"/>
      <c r="F496" s="325" t="str">
        <f>""&amp;+Input!$B$1</f>
        <v>COLUMBIA GAS OF KENTUCKY, INC.</v>
      </c>
      <c r="H496" s="3"/>
      <c r="I496" s="3"/>
      <c r="J496" s="3"/>
      <c r="K496" s="3"/>
      <c r="L496" s="32" t="str">
        <f>Input!$B$2</f>
        <v>ATTACHMENT CEN-2</v>
      </c>
    </row>
    <row r="497" spans="1:12" ht="11.25" x14ac:dyDescent="0.2">
      <c r="A497" s="3" t="str">
        <f>Input!$B$7</f>
        <v>DEMAND-COMMODITY</v>
      </c>
      <c r="B497" s="3"/>
      <c r="C497" s="3"/>
      <c r="D497" s="325"/>
      <c r="E497" s="1"/>
      <c r="F497" s="325" t="s">
        <v>310</v>
      </c>
      <c r="H497" s="3"/>
      <c r="I497" s="3"/>
      <c r="J497" s="3"/>
      <c r="K497" s="3"/>
      <c r="L497" s="32" t="str">
        <f>"PAGE 118 OF "&amp;FIXED(Input!$B$8,0,TRUE)</f>
        <v>PAGE 118 OF 129</v>
      </c>
    </row>
    <row r="498" spans="1:12" ht="11.25" x14ac:dyDescent="0.2">
      <c r="A498" s="17" t="str">
        <f>Input!$B$6</f>
        <v>FORECASTED TEST YEAR - ORIGINAL FILING</v>
      </c>
      <c r="B498" s="17"/>
      <c r="C498" s="17"/>
      <c r="D498" s="34"/>
      <c r="E498" s="117"/>
      <c r="F498" s="19" t="str">
        <f>"FORTHETWELVEMONTHSENDED"&amp;Input!$B$4</f>
        <v>FORTHETWELVEMONTHSENDED12/31/2017</v>
      </c>
      <c r="G498" s="329"/>
      <c r="H498" s="17"/>
      <c r="I498" s="17"/>
      <c r="J498" s="17"/>
      <c r="K498" s="17"/>
      <c r="L498" s="183" t="str">
        <f>"WITNESS: "&amp;Input!$B$5</f>
        <v>WITNESS: C. NOTESTONE</v>
      </c>
    </row>
    <row r="499" spans="1:12" ht="11.25" x14ac:dyDescent="0.2">
      <c r="A499" s="325" t="s">
        <v>5</v>
      </c>
      <c r="B499" s="3" t="s">
        <v>6</v>
      </c>
      <c r="C499" s="3"/>
      <c r="D499" s="325" t="s">
        <v>7</v>
      </c>
      <c r="E499" s="118" t="s">
        <v>8</v>
      </c>
      <c r="F499" s="3"/>
      <c r="G499" s="3"/>
      <c r="H499" s="3"/>
      <c r="I499" s="3"/>
      <c r="J499" s="3"/>
      <c r="K499" s="3"/>
      <c r="L499" s="3"/>
    </row>
    <row r="500" spans="1:12" ht="11.25" x14ac:dyDescent="0.2">
      <c r="A500" s="341" t="s">
        <v>9</v>
      </c>
      <c r="B500" s="341" t="s">
        <v>9</v>
      </c>
      <c r="C500" s="34" t="str">
        <f>Demand!C128</f>
        <v xml:space="preserve"> ACCOUNT TITLE</v>
      </c>
      <c r="D500" s="341" t="s">
        <v>10</v>
      </c>
      <c r="E500" s="341" t="s">
        <v>813</v>
      </c>
      <c r="F500" s="341" t="str">
        <f>"  "&amp;+Input!$C$12</f>
        <v xml:space="preserve">  GS-RESIDENTIAL</v>
      </c>
      <c r="G500" s="341" t="str">
        <f>Input!$C$13</f>
        <v>GS-OTHER</v>
      </c>
      <c r="H500" s="341" t="str">
        <f>Input!$C$14</f>
        <v>IUS</v>
      </c>
      <c r="I500" s="341" t="str">
        <f>Input!$C$15</f>
        <v>DS-ML</v>
      </c>
      <c r="J500" s="341" t="str">
        <f>Input!$C$16</f>
        <v>DS/IS</v>
      </c>
      <c r="K500" s="341" t="str">
        <f>Input!$C$17</f>
        <v>NOT USED</v>
      </c>
      <c r="L500" s="341" t="str">
        <f>Input!$C$18</f>
        <v>NOT USED</v>
      </c>
    </row>
    <row r="501" spans="1:12" ht="11.25" x14ac:dyDescent="0.2">
      <c r="A501" s="3"/>
      <c r="B501" s="342" t="s">
        <v>13</v>
      </c>
      <c r="C501" s="342" t="s">
        <v>14</v>
      </c>
      <c r="D501" s="325" t="s">
        <v>15</v>
      </c>
      <c r="E501" s="118" t="s">
        <v>16</v>
      </c>
      <c r="F501" s="325" t="s">
        <v>17</v>
      </c>
      <c r="G501" s="325" t="s">
        <v>18</v>
      </c>
      <c r="H501" s="325" t="s">
        <v>19</v>
      </c>
      <c r="I501" s="325" t="s">
        <v>20</v>
      </c>
      <c r="J501" s="325" t="s">
        <v>21</v>
      </c>
      <c r="K501" s="325" t="s">
        <v>22</v>
      </c>
      <c r="L501" s="325" t="s">
        <v>23</v>
      </c>
    </row>
    <row r="502" spans="1:12" ht="11.25" x14ac:dyDescent="0.2">
      <c r="A502" s="3"/>
      <c r="B502" s="3"/>
      <c r="C502" s="3"/>
      <c r="D502" s="325"/>
      <c r="E502" s="118" t="s">
        <v>26</v>
      </c>
      <c r="F502" s="325" t="s">
        <v>26</v>
      </c>
      <c r="G502" s="325" t="s">
        <v>26</v>
      </c>
      <c r="H502" s="325" t="s">
        <v>26</v>
      </c>
      <c r="I502" s="325" t="s">
        <v>26</v>
      </c>
      <c r="J502" s="325" t="s">
        <v>26</v>
      </c>
      <c r="K502" s="325" t="s">
        <v>26</v>
      </c>
      <c r="L502" s="325" t="s">
        <v>26</v>
      </c>
    </row>
    <row r="503" spans="1:12" ht="11.25" x14ac:dyDescent="0.2">
      <c r="A503" s="3">
        <v>1</v>
      </c>
      <c r="B503" s="25"/>
      <c r="C503" s="3" t="str">
        <f>Input!A381</f>
        <v>SALES</v>
      </c>
      <c r="D503" s="325"/>
      <c r="E503" s="1"/>
      <c r="F503" s="3"/>
      <c r="G503" s="3"/>
      <c r="H503" s="3"/>
      <c r="I503" s="3"/>
      <c r="J503" s="3"/>
      <c r="K503" s="3"/>
      <c r="L503" s="3"/>
    </row>
    <row r="504" spans="1:12" ht="11.25" x14ac:dyDescent="0.2">
      <c r="A504" s="3"/>
      <c r="B504" s="3"/>
      <c r="C504" s="3"/>
      <c r="D504" s="325"/>
      <c r="E504" s="1"/>
      <c r="F504" s="3"/>
      <c r="G504" s="3"/>
      <c r="H504" s="3"/>
      <c r="I504" s="3"/>
      <c r="J504" s="3"/>
      <c r="K504" s="3"/>
      <c r="L504" s="3"/>
    </row>
    <row r="505" spans="1:12" ht="11.25" x14ac:dyDescent="0.2">
      <c r="A505" s="3">
        <f>A503+1</f>
        <v>2</v>
      </c>
      <c r="B505" s="3" t="str">
        <f>Input!A382</f>
        <v>911</v>
      </c>
      <c r="C505" s="3" t="str">
        <f>Input!B382</f>
        <v>SUPERVISION</v>
      </c>
      <c r="D505" s="325">
        <f>Input!C382</f>
        <v>6</v>
      </c>
      <c r="E505" s="3">
        <f>Classification!E505-Classification!F505-Classification!G505</f>
        <v>0</v>
      </c>
      <c r="F505" s="3">
        <f>ROUND((VLOOKUP($D505,'Alloc Table Dem'!$B$7:$T$56,13,FALSE)*$E505),0)</f>
        <v>0</v>
      </c>
      <c r="G505" s="3">
        <f>ROUND((VLOOKUP($D505,'Alloc Table Dem'!$B$7:$T$56,14,FALSE)*$E505),0)</f>
        <v>0</v>
      </c>
      <c r="H505" s="3">
        <f>ROUND((VLOOKUP($D505,'Alloc Table Dem'!$B$7:$T$56,15,FALSE)*$E505),0)</f>
        <v>0</v>
      </c>
      <c r="I505" s="3">
        <f>ROUND((VLOOKUP($D505,'Alloc Table Dem'!$B$7:$T$56,16,FALSE)*$E505),0)</f>
        <v>0</v>
      </c>
      <c r="J505" s="3">
        <f>ROUND((VLOOKUP($D505,'Alloc Table Dem'!$B$7:$T$56,17,FALSE)*$E505),0)</f>
        <v>0</v>
      </c>
      <c r="K505" s="3">
        <f>ROUND((VLOOKUP($D505,'Alloc Table Dem'!$B$7:$T$56,18,FALSE)*$E505),0)</f>
        <v>0</v>
      </c>
      <c r="L505" s="3">
        <f>ROUND((VLOOKUP($D505,'Alloc Table Dem'!$B$7:$T$56,19,FALSE)*$E505),0)</f>
        <v>0</v>
      </c>
    </row>
    <row r="506" spans="1:12" ht="11.25" x14ac:dyDescent="0.2">
      <c r="A506" s="3">
        <f>A505+1</f>
        <v>3</v>
      </c>
      <c r="B506" s="3" t="str">
        <f>Input!A383</f>
        <v>912</v>
      </c>
      <c r="C506" s="3" t="str">
        <f>Input!B383</f>
        <v>DEMONSTRATION &amp; SELLING</v>
      </c>
      <c r="D506" s="325">
        <f>Input!C383</f>
        <v>6</v>
      </c>
      <c r="E506" s="3">
        <f>Classification!E506-Classification!F506-Classification!G506</f>
        <v>0</v>
      </c>
      <c r="F506" s="3">
        <f>ROUND((VLOOKUP($D506,'Alloc Table Dem'!$B$7:$T$56,13,FALSE)*$E506),0)</f>
        <v>0</v>
      </c>
      <c r="G506" s="3">
        <f>ROUND((VLOOKUP($D506,'Alloc Table Dem'!$B$7:$T$56,14,FALSE)*$E506),0)</f>
        <v>0</v>
      </c>
      <c r="H506" s="3">
        <f>ROUND((VLOOKUP($D506,'Alloc Table Dem'!$B$7:$T$56,15,FALSE)*$E506),0)</f>
        <v>0</v>
      </c>
      <c r="I506" s="3">
        <f>ROUND((VLOOKUP($D506,'Alloc Table Dem'!$B$7:$T$56,16,FALSE)*$E506),0)</f>
        <v>0</v>
      </c>
      <c r="J506" s="3">
        <f>ROUND((VLOOKUP($D506,'Alloc Table Dem'!$B$7:$T$56,17,FALSE)*$E506),0)</f>
        <v>0</v>
      </c>
      <c r="K506" s="3">
        <f>ROUND((VLOOKUP($D506,'Alloc Table Dem'!$B$7:$T$56,18,FALSE)*$E506),0)</f>
        <v>0</v>
      </c>
      <c r="L506" s="3">
        <f>ROUND((VLOOKUP($D506,'Alloc Table Dem'!$B$7:$T$56,19,FALSE)*$E506),0)</f>
        <v>0</v>
      </c>
    </row>
    <row r="507" spans="1:12" ht="11.25" x14ac:dyDescent="0.2">
      <c r="A507" s="3">
        <f>A506+1</f>
        <v>4</v>
      </c>
      <c r="B507" s="3" t="str">
        <f>Input!A384</f>
        <v>913</v>
      </c>
      <c r="C507" s="3" t="str">
        <f>Input!B384</f>
        <v>ADVERTISING</v>
      </c>
      <c r="D507" s="325">
        <f>Input!C384</f>
        <v>6</v>
      </c>
      <c r="E507" s="3">
        <f>Classification!E507-Classification!F507-Classification!G507</f>
        <v>0</v>
      </c>
      <c r="F507" s="3">
        <f>ROUND((VLOOKUP($D507,'Alloc Table Dem'!$B$7:$T$56,13,FALSE)*$E507),0)</f>
        <v>0</v>
      </c>
      <c r="G507" s="3">
        <f>ROUND((VLOOKUP($D507,'Alloc Table Dem'!$B$7:$T$56,14,FALSE)*$E507),0)</f>
        <v>0</v>
      </c>
      <c r="H507" s="3">
        <f>ROUND((VLOOKUP($D507,'Alloc Table Dem'!$B$7:$T$56,15,FALSE)*$E507),0)</f>
        <v>0</v>
      </c>
      <c r="I507" s="3">
        <f>ROUND((VLOOKUP($D507,'Alloc Table Dem'!$B$7:$T$56,16,FALSE)*$E507),0)</f>
        <v>0</v>
      </c>
      <c r="J507" s="3">
        <f>ROUND((VLOOKUP($D507,'Alloc Table Dem'!$B$7:$T$56,17,FALSE)*$E507),0)</f>
        <v>0</v>
      </c>
      <c r="K507" s="3">
        <f>ROUND((VLOOKUP($D507,'Alloc Table Dem'!$B$7:$T$56,18,FALSE)*$E507),0)</f>
        <v>0</v>
      </c>
      <c r="L507" s="3">
        <f>ROUND((VLOOKUP($D507,'Alloc Table Dem'!$B$7:$T$56,19,FALSE)*$E507),0)</f>
        <v>0</v>
      </c>
    </row>
    <row r="508" spans="1:12" ht="11.25" x14ac:dyDescent="0.2">
      <c r="A508" s="3">
        <f>A507+1</f>
        <v>5</v>
      </c>
      <c r="B508" s="3" t="str">
        <f>Input!A385</f>
        <v>916</v>
      </c>
      <c r="C508" s="3" t="str">
        <f>Input!B385</f>
        <v>MISC.</v>
      </c>
      <c r="D508" s="325">
        <f>Input!C385</f>
        <v>6</v>
      </c>
      <c r="E508" s="26">
        <f>Classification!E508-Classification!F508-Classification!G508</f>
        <v>0</v>
      </c>
      <c r="F508" s="26">
        <f>ROUND((VLOOKUP($D508,'Alloc Table Dem'!$B$7:$T$56,13,FALSE)*$E508),0)</f>
        <v>0</v>
      </c>
      <c r="G508" s="26">
        <f>ROUND((VLOOKUP($D508,'Alloc Table Dem'!$B$7:$T$56,14,FALSE)*$E508),0)</f>
        <v>0</v>
      </c>
      <c r="H508" s="26">
        <f>ROUND((VLOOKUP($D508,'Alloc Table Dem'!$B$7:$T$56,15,FALSE)*$E508),0)</f>
        <v>0</v>
      </c>
      <c r="I508" s="26">
        <f>ROUND((VLOOKUP($D508,'Alloc Table Dem'!$B$7:$T$56,16,FALSE)*$E508),0)</f>
        <v>0</v>
      </c>
      <c r="J508" s="26">
        <f>ROUND((VLOOKUP($D508,'Alloc Table Dem'!$B$7:$T$56,17,FALSE)*$E508),0)</f>
        <v>0</v>
      </c>
      <c r="K508" s="26">
        <f>ROUND((VLOOKUP($D508,'Alloc Table Dem'!$B$7:$T$56,18,FALSE)*$E508),0)</f>
        <v>0</v>
      </c>
      <c r="L508" s="26">
        <f>ROUND((VLOOKUP($D508,'Alloc Table Dem'!$B$7:$T$56,19,FALSE)*$E508),0)</f>
        <v>0</v>
      </c>
    </row>
    <row r="509" spans="1:12" ht="11.25" x14ac:dyDescent="0.2">
      <c r="A509" s="3">
        <f>A508+1</f>
        <v>6</v>
      </c>
      <c r="B509" s="3"/>
      <c r="C509" s="3" t="s">
        <v>312</v>
      </c>
      <c r="D509" s="325"/>
      <c r="E509" s="116">
        <f t="shared" ref="E509:L509" si="68">SUM(E505:E508)</f>
        <v>0</v>
      </c>
      <c r="F509" s="26">
        <f t="shared" si="68"/>
        <v>0</v>
      </c>
      <c r="G509" s="26">
        <f t="shared" si="68"/>
        <v>0</v>
      </c>
      <c r="H509" s="26">
        <f t="shared" si="68"/>
        <v>0</v>
      </c>
      <c r="I509" s="26">
        <f t="shared" si="68"/>
        <v>0</v>
      </c>
      <c r="J509" s="26">
        <f t="shared" si="68"/>
        <v>0</v>
      </c>
      <c r="K509" s="26">
        <f t="shared" si="68"/>
        <v>0</v>
      </c>
      <c r="L509" s="26">
        <f t="shared" si="68"/>
        <v>0</v>
      </c>
    </row>
    <row r="510" spans="1:12" ht="11.25" x14ac:dyDescent="0.2">
      <c r="A510" s="3"/>
      <c r="B510" s="3"/>
      <c r="C510" s="3"/>
      <c r="D510" s="325"/>
      <c r="E510" s="3"/>
      <c r="F510" s="3"/>
      <c r="G510" s="3"/>
      <c r="H510" s="3"/>
      <c r="I510" s="3"/>
      <c r="J510" s="3"/>
      <c r="K510" s="3"/>
      <c r="L510" s="3"/>
    </row>
    <row r="511" spans="1:12" ht="11.25" x14ac:dyDescent="0.2">
      <c r="A511" s="3">
        <f>A509+1</f>
        <v>7</v>
      </c>
      <c r="B511" s="3"/>
      <c r="C511" s="3" t="s">
        <v>314</v>
      </c>
      <c r="D511" s="325"/>
      <c r="E511" s="3">
        <f>Demand!E452+Demand!E464+Demand!E483+Demand!E495+E509</f>
        <v>1265745</v>
      </c>
      <c r="F511" s="3">
        <f ca="1">Demand!F452+Demand!F464+Demand!F483+Demand!F495+F509</f>
        <v>493412</v>
      </c>
      <c r="G511" s="3">
        <f ca="1">Demand!G452+Demand!G464+Demand!G483+Demand!G495+G509</f>
        <v>334132</v>
      </c>
      <c r="H511" s="3">
        <f ca="1">Demand!H452+Demand!H464+Demand!H483+Demand!H495+H509</f>
        <v>720</v>
      </c>
      <c r="I511" s="3">
        <f ca="1">Demand!I452+Demand!I464+Demand!I483+Demand!I495+I509</f>
        <v>62</v>
      </c>
      <c r="J511" s="3">
        <f ca="1">Demand!J452+Demand!J464+Demand!J483+Demand!J495+J509</f>
        <v>437417</v>
      </c>
      <c r="K511" s="3">
        <f ca="1">Demand!K452+Demand!K464+Demand!K483+Demand!K495+K509</f>
        <v>0</v>
      </c>
      <c r="L511" s="3">
        <f ca="1">Demand!L452+Demand!L464+Demand!L483+Demand!L495+L509</f>
        <v>0</v>
      </c>
    </row>
    <row r="512" spans="1:12" ht="11.25" x14ac:dyDescent="0.2">
      <c r="A512" s="3"/>
      <c r="B512" s="3"/>
      <c r="C512" s="3"/>
      <c r="D512" s="325"/>
      <c r="E512" s="3"/>
      <c r="F512" s="3"/>
      <c r="G512" s="3"/>
      <c r="H512" s="3"/>
      <c r="I512" s="3"/>
      <c r="J512" s="3"/>
      <c r="K512" s="3"/>
      <c r="L512" s="3"/>
    </row>
    <row r="513" spans="1:12" ht="11.25" x14ac:dyDescent="0.2">
      <c r="A513" s="3">
        <f>A511+1</f>
        <v>8</v>
      </c>
      <c r="B513" s="3"/>
      <c r="C513" s="3" t="str">
        <f>Input!A452</f>
        <v>ADMINISTRATIVE &amp; GENERAL</v>
      </c>
      <c r="D513" s="325"/>
      <c r="E513" s="3"/>
      <c r="F513" s="3"/>
      <c r="G513" s="3"/>
      <c r="H513" s="3"/>
      <c r="I513" s="3"/>
      <c r="J513" s="3"/>
      <c r="K513" s="3"/>
      <c r="L513" s="3"/>
    </row>
    <row r="514" spans="1:12" ht="11.25" x14ac:dyDescent="0.2">
      <c r="A514" s="3"/>
      <c r="B514" s="3"/>
      <c r="C514" s="3"/>
      <c r="D514" s="325"/>
      <c r="E514" s="3"/>
      <c r="F514" s="3"/>
      <c r="G514" s="3"/>
      <c r="H514" s="3"/>
      <c r="I514" s="3"/>
      <c r="J514" s="3"/>
      <c r="K514" s="3"/>
      <c r="L514" s="3"/>
    </row>
    <row r="515" spans="1:12" ht="11.25" x14ac:dyDescent="0.2">
      <c r="A515" s="3">
        <f>A513+1</f>
        <v>9</v>
      </c>
      <c r="B515" s="3" t="str">
        <f>Input!A453</f>
        <v>920</v>
      </c>
      <c r="C515" s="3" t="str">
        <f>Input!B453</f>
        <v>SALARIES</v>
      </c>
      <c r="D515" s="325" t="str">
        <f>VLOOKUP(Input!C453,'Alloc Table Dem'!$A$7:$B$27,2,FALSE)</f>
        <v>12DEM</v>
      </c>
      <c r="E515" s="3">
        <f>Classification!E515-Classification!F515-Classification!G515</f>
        <v>260781</v>
      </c>
      <c r="F515" s="3">
        <f ca="1">ROUND((VLOOKUP($D515,'Alloc Table Dem'!$B$7:$T$56,13,FALSE)*$E515),0)</f>
        <v>101658</v>
      </c>
      <c r="G515" s="3">
        <f ca="1">ROUND((VLOOKUP($D515,'Alloc Table Dem'!$B$7:$T$56,14,FALSE)*$E515),0)</f>
        <v>68841</v>
      </c>
      <c r="H515" s="3">
        <f ca="1">ROUND((VLOOKUP($D515,'Alloc Table Dem'!$B$7:$T$56,15,FALSE)*$E515),0)</f>
        <v>149</v>
      </c>
      <c r="I515" s="3">
        <f ca="1">ROUND((VLOOKUP($D515,'Alloc Table Dem'!$B$7:$T$56,16,FALSE)*$E515),0)</f>
        <v>13</v>
      </c>
      <c r="J515" s="3">
        <f ca="1">ROUND((VLOOKUP($D515,'Alloc Table Dem'!$B$7:$T$56,17,FALSE)*$E515),0)</f>
        <v>90121</v>
      </c>
      <c r="K515" s="3">
        <f ca="1">ROUND((VLOOKUP($D515,'Alloc Table Dem'!$B$7:$T$56,18,FALSE)*$E515),0)</f>
        <v>0</v>
      </c>
      <c r="L515" s="3">
        <f ca="1">ROUND((VLOOKUP($D515,'Alloc Table Dem'!$B$7:$T$56,19,FALSE)*$E515),0)</f>
        <v>0</v>
      </c>
    </row>
    <row r="516" spans="1:12" ht="11.25" x14ac:dyDescent="0.2">
      <c r="A516" s="3">
        <f t="shared" ref="A516:A529" si="69">A515+1</f>
        <v>10</v>
      </c>
      <c r="B516" s="3" t="str">
        <f>Input!A454</f>
        <v>921</v>
      </c>
      <c r="C516" s="3" t="str">
        <f>Input!B454</f>
        <v>OFFICE SUPPLIES &amp; EXPENSES</v>
      </c>
      <c r="D516" s="325" t="str">
        <f>VLOOKUP(Input!C454,'Alloc Table Dem'!$A$7:$B$27,2,FALSE)</f>
        <v>12DEM</v>
      </c>
      <c r="E516" s="3">
        <f>Classification!E516-Classification!F516-Classification!G516</f>
        <v>0</v>
      </c>
      <c r="F516" s="3">
        <f ca="1">ROUND((VLOOKUP($D516,'Alloc Table Dem'!$B$7:$T$56,13,FALSE)*$E516),0)</f>
        <v>0</v>
      </c>
      <c r="G516" s="3">
        <f ca="1">ROUND((VLOOKUP($D516,'Alloc Table Dem'!$B$7:$T$56,14,FALSE)*$E516),0)</f>
        <v>0</v>
      </c>
      <c r="H516" s="3">
        <f ca="1">ROUND((VLOOKUP($D516,'Alloc Table Dem'!$B$7:$T$56,15,FALSE)*$E516),0)</f>
        <v>0</v>
      </c>
      <c r="I516" s="3">
        <f ca="1">ROUND((VLOOKUP($D516,'Alloc Table Dem'!$B$7:$T$56,16,FALSE)*$E516),0)</f>
        <v>0</v>
      </c>
      <c r="J516" s="3">
        <f ca="1">ROUND((VLOOKUP($D516,'Alloc Table Dem'!$B$7:$T$56,17,FALSE)*$E516),0)</f>
        <v>0</v>
      </c>
      <c r="K516" s="3">
        <f ca="1">ROUND((VLOOKUP($D516,'Alloc Table Dem'!$B$7:$T$56,18,FALSE)*$E516),0)</f>
        <v>0</v>
      </c>
      <c r="L516" s="3">
        <f ca="1">ROUND((VLOOKUP($D516,'Alloc Table Dem'!$B$7:$T$56,19,FALSE)*$E516),0)</f>
        <v>0</v>
      </c>
    </row>
    <row r="517" spans="1:12" ht="11.25" x14ac:dyDescent="0.2">
      <c r="A517" s="3">
        <f t="shared" si="69"/>
        <v>11</v>
      </c>
      <c r="B517" s="3" t="str">
        <f>Input!A455</f>
        <v>922</v>
      </c>
      <c r="C517" s="3" t="str">
        <f>Input!B455</f>
        <v>ADMIN. EXPENSES TRANSFERED</v>
      </c>
      <c r="D517" s="325" t="str">
        <f>VLOOKUP(Input!C455,'Alloc Table Dem'!$A$7:$B$27,2,FALSE)</f>
        <v>12DEM</v>
      </c>
      <c r="E517" s="3">
        <f>Classification!E517-Classification!F517-Classification!G517</f>
        <v>0</v>
      </c>
      <c r="F517" s="3">
        <f ca="1">ROUND((VLOOKUP($D517,'Alloc Table Dem'!$B$7:$T$56,13,FALSE)*$E517),0)</f>
        <v>0</v>
      </c>
      <c r="G517" s="3">
        <f ca="1">ROUND((VLOOKUP($D517,'Alloc Table Dem'!$B$7:$T$56,14,FALSE)*$E517),0)</f>
        <v>0</v>
      </c>
      <c r="H517" s="3">
        <f ca="1">ROUND((VLOOKUP($D517,'Alloc Table Dem'!$B$7:$T$56,15,FALSE)*$E517),0)</f>
        <v>0</v>
      </c>
      <c r="I517" s="3">
        <f ca="1">ROUND((VLOOKUP($D517,'Alloc Table Dem'!$B$7:$T$56,16,FALSE)*$E517),0)</f>
        <v>0</v>
      </c>
      <c r="J517" s="3">
        <f ca="1">ROUND((VLOOKUP($D517,'Alloc Table Dem'!$B$7:$T$56,17,FALSE)*$E517),0)</f>
        <v>0</v>
      </c>
      <c r="K517" s="3">
        <f ca="1">ROUND((VLOOKUP($D517,'Alloc Table Dem'!$B$7:$T$56,18,FALSE)*$E517),0)</f>
        <v>0</v>
      </c>
      <c r="L517" s="3">
        <f ca="1">ROUND((VLOOKUP($D517,'Alloc Table Dem'!$B$7:$T$56,19,FALSE)*$E517),0)</f>
        <v>0</v>
      </c>
    </row>
    <row r="518" spans="1:12" ht="11.25" x14ac:dyDescent="0.2">
      <c r="A518" s="3">
        <f t="shared" si="69"/>
        <v>12</v>
      </c>
      <c r="B518" s="3" t="str">
        <f>Input!A456</f>
        <v>923</v>
      </c>
      <c r="C518" s="3" t="str">
        <f>Input!B456</f>
        <v xml:space="preserve">OUTSIDE SERVICES </v>
      </c>
      <c r="D518" s="325" t="str">
        <f>VLOOKUP(Input!C456,'Alloc Table Dem'!$A$7:$B$27,2,FALSE)</f>
        <v>12DEM</v>
      </c>
      <c r="E518" s="3">
        <f>Classification!E518-Classification!F518-Classification!G518</f>
        <v>756.43999999982771</v>
      </c>
      <c r="F518" s="3">
        <f ca="1">ROUND((VLOOKUP($D518,'Alloc Table Dem'!$B$7:$T$56,13,FALSE)*$E518),0)</f>
        <v>295</v>
      </c>
      <c r="G518" s="3">
        <f ca="1">ROUND((VLOOKUP($D518,'Alloc Table Dem'!$B$7:$T$56,14,FALSE)*$E518),0)</f>
        <v>200</v>
      </c>
      <c r="H518" s="3">
        <f ca="1">ROUND((VLOOKUP($D518,'Alloc Table Dem'!$B$7:$T$56,15,FALSE)*$E518),0)</f>
        <v>0</v>
      </c>
      <c r="I518" s="3">
        <f ca="1">ROUND((VLOOKUP($D518,'Alloc Table Dem'!$B$7:$T$56,16,FALSE)*$E518),0)</f>
        <v>0</v>
      </c>
      <c r="J518" s="3">
        <f ca="1">ROUND((VLOOKUP($D518,'Alloc Table Dem'!$B$7:$T$56,17,FALSE)*$E518),0)</f>
        <v>261</v>
      </c>
      <c r="K518" s="3">
        <f ca="1">ROUND((VLOOKUP($D518,'Alloc Table Dem'!$B$7:$T$56,18,FALSE)*$E518),0)</f>
        <v>0</v>
      </c>
      <c r="L518" s="3">
        <f ca="1">ROUND((VLOOKUP($D518,'Alloc Table Dem'!$B$7:$T$56,19,FALSE)*$E518),0)</f>
        <v>0</v>
      </c>
    </row>
    <row r="519" spans="1:12" ht="11.25" x14ac:dyDescent="0.2">
      <c r="A519" s="3">
        <f t="shared" si="69"/>
        <v>13</v>
      </c>
      <c r="B519" s="3" t="str">
        <f>Input!A457</f>
        <v>924</v>
      </c>
      <c r="C519" s="3" t="str">
        <f>Input!B457</f>
        <v>PROPERTY INSURANCE</v>
      </c>
      <c r="D519" s="325" t="str">
        <f>VLOOKUP(Input!C457,'Alloc Table Dem'!$A$7:$B$27,2,FALSE)</f>
        <v>12DEM</v>
      </c>
      <c r="E519" s="3">
        <f>Classification!E519-Classification!F519-Classification!G519</f>
        <v>0</v>
      </c>
      <c r="F519" s="3">
        <f ca="1">ROUND((VLOOKUP($D519,'Alloc Table Dem'!$B$7:$T$56,13,FALSE)*$E519),0)</f>
        <v>0</v>
      </c>
      <c r="G519" s="3">
        <f ca="1">ROUND((VLOOKUP($D519,'Alloc Table Dem'!$B$7:$T$56,14,FALSE)*$E519),0)</f>
        <v>0</v>
      </c>
      <c r="H519" s="3">
        <f ca="1">ROUND((VLOOKUP($D519,'Alloc Table Dem'!$B$7:$T$56,15,FALSE)*$E519),0)</f>
        <v>0</v>
      </c>
      <c r="I519" s="3">
        <f ca="1">ROUND((VLOOKUP($D519,'Alloc Table Dem'!$B$7:$T$56,16,FALSE)*$E519),0)</f>
        <v>0</v>
      </c>
      <c r="J519" s="3">
        <f ca="1">ROUND((VLOOKUP($D519,'Alloc Table Dem'!$B$7:$T$56,17,FALSE)*$E519),0)</f>
        <v>0</v>
      </c>
      <c r="K519" s="3">
        <f ca="1">ROUND((VLOOKUP($D519,'Alloc Table Dem'!$B$7:$T$56,18,FALSE)*$E519),0)</f>
        <v>0</v>
      </c>
      <c r="L519" s="3">
        <f ca="1">ROUND((VLOOKUP($D519,'Alloc Table Dem'!$B$7:$T$56,19,FALSE)*$E519),0)</f>
        <v>0</v>
      </c>
    </row>
    <row r="520" spans="1:12" ht="11.25" x14ac:dyDescent="0.2">
      <c r="A520" s="3">
        <f t="shared" si="69"/>
        <v>14</v>
      </c>
      <c r="B520" s="3" t="str">
        <f>Input!A458</f>
        <v>925</v>
      </c>
      <c r="C520" s="3" t="str">
        <f>Input!B458</f>
        <v>INJURIES AND DAMAGES</v>
      </c>
      <c r="D520" s="325" t="str">
        <f>VLOOKUP(Input!C458,'Alloc Table Dem'!$A$7:$B$27,2,FALSE)</f>
        <v>12DEM</v>
      </c>
      <c r="E520" s="3">
        <f>Classification!E520-Classification!F520-Classification!G520</f>
        <v>0</v>
      </c>
      <c r="F520" s="3">
        <f ca="1">ROUND((VLOOKUP($D520,'Alloc Table Dem'!$B$7:$T$56,13,FALSE)*$E520),0)</f>
        <v>0</v>
      </c>
      <c r="G520" s="3">
        <f ca="1">ROUND((VLOOKUP($D520,'Alloc Table Dem'!$B$7:$T$56,14,FALSE)*$E520),0)</f>
        <v>0</v>
      </c>
      <c r="H520" s="3">
        <f ca="1">ROUND((VLOOKUP($D520,'Alloc Table Dem'!$B$7:$T$56,15,FALSE)*$E520),0)</f>
        <v>0</v>
      </c>
      <c r="I520" s="3">
        <f ca="1">ROUND((VLOOKUP($D520,'Alloc Table Dem'!$B$7:$T$56,16,FALSE)*$E520),0)</f>
        <v>0</v>
      </c>
      <c r="J520" s="3">
        <f ca="1">ROUND((VLOOKUP($D520,'Alloc Table Dem'!$B$7:$T$56,17,FALSE)*$E520),0)</f>
        <v>0</v>
      </c>
      <c r="K520" s="3">
        <f ca="1">ROUND((VLOOKUP($D520,'Alloc Table Dem'!$B$7:$T$56,18,FALSE)*$E520),0)</f>
        <v>0</v>
      </c>
      <c r="L520" s="3">
        <f ca="1">ROUND((VLOOKUP($D520,'Alloc Table Dem'!$B$7:$T$56,19,FALSE)*$E520),0)</f>
        <v>0</v>
      </c>
    </row>
    <row r="521" spans="1:12" ht="11.25" x14ac:dyDescent="0.2">
      <c r="A521" s="3">
        <f t="shared" si="69"/>
        <v>15</v>
      </c>
      <c r="B521" s="3" t="str">
        <f>Input!A459</f>
        <v>926</v>
      </c>
      <c r="C521" s="3" t="str">
        <f>Input!B459</f>
        <v>EMPLOYEE PENSIONS &amp; BENEFITS</v>
      </c>
      <c r="D521" s="325" t="str">
        <f>VLOOKUP(Input!C459,'Alloc Table Dem'!$A$7:$B$27,2,FALSE)</f>
        <v>12DEM</v>
      </c>
      <c r="E521" s="3">
        <f>Classification!E521-Classification!F521-Classification!G521</f>
        <v>0</v>
      </c>
      <c r="F521" s="3">
        <f ca="1">ROUND((VLOOKUP($D521,'Alloc Table Dem'!$B$7:$T$56,13,FALSE)*$E521),0)</f>
        <v>0</v>
      </c>
      <c r="G521" s="3">
        <f ca="1">ROUND((VLOOKUP($D521,'Alloc Table Dem'!$B$7:$T$56,14,FALSE)*$E521),0)</f>
        <v>0</v>
      </c>
      <c r="H521" s="3">
        <f ca="1">ROUND((VLOOKUP($D521,'Alloc Table Dem'!$B$7:$T$56,15,FALSE)*$E521),0)</f>
        <v>0</v>
      </c>
      <c r="I521" s="3">
        <f ca="1">ROUND((VLOOKUP($D521,'Alloc Table Dem'!$B$7:$T$56,16,FALSE)*$E521),0)</f>
        <v>0</v>
      </c>
      <c r="J521" s="3">
        <f ca="1">ROUND((VLOOKUP($D521,'Alloc Table Dem'!$B$7:$T$56,17,FALSE)*$E521),0)</f>
        <v>0</v>
      </c>
      <c r="K521" s="3">
        <f ca="1">ROUND((VLOOKUP($D521,'Alloc Table Dem'!$B$7:$T$56,18,FALSE)*$E521),0)</f>
        <v>0</v>
      </c>
      <c r="L521" s="3">
        <f ca="1">ROUND((VLOOKUP($D521,'Alloc Table Dem'!$B$7:$T$56,19,FALSE)*$E521),0)</f>
        <v>0</v>
      </c>
    </row>
    <row r="522" spans="1:12" ht="11.25" x14ac:dyDescent="0.2">
      <c r="A522" s="3">
        <f t="shared" si="69"/>
        <v>16</v>
      </c>
      <c r="B522" s="3" t="str">
        <f>Input!A460</f>
        <v>928</v>
      </c>
      <c r="C522" s="3" t="str">
        <f>Input!B460</f>
        <v>REG COMMISSION EXP - GENERAL</v>
      </c>
      <c r="D522" s="325" t="str">
        <f>VLOOKUP(Input!C460,'Alloc Table Dem'!$A$7:$B$27,2,FALSE)</f>
        <v>12DEM</v>
      </c>
      <c r="E522" s="3">
        <f>Classification!E522-Classification!F522-Classification!G522</f>
        <v>0</v>
      </c>
      <c r="F522" s="3">
        <f ca="1">ROUND((VLOOKUP($D522,'Alloc Table Dem'!$B$7:$T$56,13,FALSE)*$E522),0)</f>
        <v>0</v>
      </c>
      <c r="G522" s="3">
        <f ca="1">ROUND((VLOOKUP($D522,'Alloc Table Dem'!$B$7:$T$56,14,FALSE)*$E522),0)</f>
        <v>0</v>
      </c>
      <c r="H522" s="3">
        <f ca="1">ROUND((VLOOKUP($D522,'Alloc Table Dem'!$B$7:$T$56,15,FALSE)*$E522),0)</f>
        <v>0</v>
      </c>
      <c r="I522" s="3">
        <f ca="1">ROUND((VLOOKUP($D522,'Alloc Table Dem'!$B$7:$T$56,16,FALSE)*$E522),0)</f>
        <v>0</v>
      </c>
      <c r="J522" s="3">
        <f ca="1">ROUND((VLOOKUP($D522,'Alloc Table Dem'!$B$7:$T$56,17,FALSE)*$E522),0)</f>
        <v>0</v>
      </c>
      <c r="K522" s="3">
        <f ca="1">ROUND((VLOOKUP($D522,'Alloc Table Dem'!$B$7:$T$56,18,FALSE)*$E522),0)</f>
        <v>0</v>
      </c>
      <c r="L522" s="3">
        <f ca="1">ROUND((VLOOKUP($D522,'Alloc Table Dem'!$B$7:$T$56,19,FALSE)*$E522),0)</f>
        <v>0</v>
      </c>
    </row>
    <row r="523" spans="1:12" ht="11.25" x14ac:dyDescent="0.2">
      <c r="A523" s="3">
        <f t="shared" si="69"/>
        <v>17</v>
      </c>
      <c r="B523" s="3" t="str">
        <f>Input!A461</f>
        <v>930.10</v>
      </c>
      <c r="C523" s="3" t="str">
        <f>Input!B461</f>
        <v>MISC. - INSTITUT &amp; GOODWILL ADV</v>
      </c>
      <c r="D523" s="325" t="str">
        <f>VLOOKUP(Input!C461,'Alloc Table Dem'!$A$7:$B$27,2,FALSE)</f>
        <v>12DEM</v>
      </c>
      <c r="E523" s="3">
        <f>Classification!E523-Classification!F523-Classification!G523</f>
        <v>0</v>
      </c>
      <c r="F523" s="3">
        <f ca="1">ROUND((VLOOKUP($D523,'Alloc Table Dem'!$B$7:$T$56,13,FALSE)*$E523),0)</f>
        <v>0</v>
      </c>
      <c r="G523" s="3">
        <f ca="1">ROUND((VLOOKUP($D523,'Alloc Table Dem'!$B$7:$T$56,14,FALSE)*$E523),0)</f>
        <v>0</v>
      </c>
      <c r="H523" s="3">
        <f ca="1">ROUND((VLOOKUP($D523,'Alloc Table Dem'!$B$7:$T$56,15,FALSE)*$E523),0)</f>
        <v>0</v>
      </c>
      <c r="I523" s="3">
        <f ca="1">ROUND((VLOOKUP($D523,'Alloc Table Dem'!$B$7:$T$56,16,FALSE)*$E523),0)</f>
        <v>0</v>
      </c>
      <c r="J523" s="3">
        <f ca="1">ROUND((VLOOKUP($D523,'Alloc Table Dem'!$B$7:$T$56,17,FALSE)*$E523),0)</f>
        <v>0</v>
      </c>
      <c r="K523" s="3">
        <f ca="1">ROUND((VLOOKUP($D523,'Alloc Table Dem'!$B$7:$T$56,18,FALSE)*$E523),0)</f>
        <v>0</v>
      </c>
      <c r="L523" s="3">
        <f ca="1">ROUND((VLOOKUP($D523,'Alloc Table Dem'!$B$7:$T$56,19,FALSE)*$E523),0)</f>
        <v>0</v>
      </c>
    </row>
    <row r="524" spans="1:12" ht="11.25" x14ac:dyDescent="0.2">
      <c r="A524" s="3">
        <f t="shared" si="69"/>
        <v>18</v>
      </c>
      <c r="B524" s="3" t="str">
        <f>Input!A462</f>
        <v>930.20</v>
      </c>
      <c r="C524" s="3" t="str">
        <f>Input!B462</f>
        <v>MISC. - GENERAL</v>
      </c>
      <c r="D524" s="325" t="str">
        <f>VLOOKUP(Input!C462,'Alloc Table Dem'!$A$7:$B$27,2,FALSE)</f>
        <v>12DEM</v>
      </c>
      <c r="E524" s="3">
        <f>Classification!E524-Classification!F524-Classification!G524</f>
        <v>0</v>
      </c>
      <c r="F524" s="3">
        <f ca="1">ROUND((VLOOKUP($D524,'Alloc Table Dem'!$B$7:$T$56,13,FALSE)*$E524),0)</f>
        <v>0</v>
      </c>
      <c r="G524" s="3">
        <f ca="1">ROUND((VLOOKUP($D524,'Alloc Table Dem'!$B$7:$T$56,14,FALSE)*$E524),0)</f>
        <v>0</v>
      </c>
      <c r="H524" s="3">
        <f ca="1">ROUND((VLOOKUP($D524,'Alloc Table Dem'!$B$7:$T$56,15,FALSE)*$E524),0)</f>
        <v>0</v>
      </c>
      <c r="I524" s="3">
        <f ca="1">ROUND((VLOOKUP($D524,'Alloc Table Dem'!$B$7:$T$56,16,FALSE)*$E524),0)</f>
        <v>0</v>
      </c>
      <c r="J524" s="3">
        <f ca="1">ROUND((VLOOKUP($D524,'Alloc Table Dem'!$B$7:$T$56,17,FALSE)*$E524),0)</f>
        <v>0</v>
      </c>
      <c r="K524" s="3">
        <f ca="1">ROUND((VLOOKUP($D524,'Alloc Table Dem'!$B$7:$T$56,18,FALSE)*$E524),0)</f>
        <v>0</v>
      </c>
      <c r="L524" s="3">
        <f ca="1">ROUND((VLOOKUP($D524,'Alloc Table Dem'!$B$7:$T$56,19,FALSE)*$E524),0)</f>
        <v>0</v>
      </c>
    </row>
    <row r="525" spans="1:12" ht="11.25" x14ac:dyDescent="0.2">
      <c r="A525" s="3">
        <f t="shared" si="69"/>
        <v>19</v>
      </c>
      <c r="B525" s="3" t="str">
        <f>Input!A463</f>
        <v>931</v>
      </c>
      <c r="C525" s="3" t="str">
        <f>Input!B463</f>
        <v>RENTS</v>
      </c>
      <c r="D525" s="325" t="str">
        <f>VLOOKUP(Input!C463,'Alloc Table Dem'!$A$7:$B$27,2,FALSE)</f>
        <v>12DEM</v>
      </c>
      <c r="E525" s="3">
        <f>Classification!E525-Classification!F525-Classification!G525</f>
        <v>0</v>
      </c>
      <c r="F525" s="3">
        <f ca="1">ROUND((VLOOKUP($D525,'Alloc Table Dem'!$B$7:$T$56,13,FALSE)*$E525),0)</f>
        <v>0</v>
      </c>
      <c r="G525" s="3">
        <f ca="1">ROUND((VLOOKUP($D525,'Alloc Table Dem'!$B$7:$T$56,14,FALSE)*$E525),0)</f>
        <v>0</v>
      </c>
      <c r="H525" s="3">
        <f ca="1">ROUND((VLOOKUP($D525,'Alloc Table Dem'!$B$7:$T$56,15,FALSE)*$E525),0)</f>
        <v>0</v>
      </c>
      <c r="I525" s="3">
        <f ca="1">ROUND((VLOOKUP($D525,'Alloc Table Dem'!$B$7:$T$56,16,FALSE)*$E525),0)</f>
        <v>0</v>
      </c>
      <c r="J525" s="3">
        <f ca="1">ROUND((VLOOKUP($D525,'Alloc Table Dem'!$B$7:$T$56,17,FALSE)*$E525),0)</f>
        <v>0</v>
      </c>
      <c r="K525" s="3">
        <f ca="1">ROUND((VLOOKUP($D525,'Alloc Table Dem'!$B$7:$T$56,18,FALSE)*$E525),0)</f>
        <v>0</v>
      </c>
      <c r="L525" s="3">
        <f ca="1">ROUND((VLOOKUP($D525,'Alloc Table Dem'!$B$7:$T$56,19,FALSE)*$E525),0)</f>
        <v>0</v>
      </c>
    </row>
    <row r="526" spans="1:12" ht="11.25" x14ac:dyDescent="0.2">
      <c r="A526" s="3">
        <f t="shared" si="69"/>
        <v>20</v>
      </c>
      <c r="B526" s="3" t="str">
        <f>Input!A464</f>
        <v>935.13</v>
      </c>
      <c r="C526" s="3" t="str">
        <f>Input!B464</f>
        <v>MAINT. STRUCTURES &amp; IMPROV.</v>
      </c>
      <c r="D526" s="325" t="str">
        <f>VLOOKUP(Input!C464,'Alloc Table Dem'!$A$7:$B$27,2,FALSE)</f>
        <v>12DEM</v>
      </c>
      <c r="E526" s="3">
        <f>Classification!E526-Classification!F526-Classification!G526</f>
        <v>0</v>
      </c>
      <c r="F526" s="3">
        <f ca="1">ROUND((VLOOKUP($D526,'Alloc Table Dem'!$B$7:$T$56,13,FALSE)*$E526),0)</f>
        <v>0</v>
      </c>
      <c r="G526" s="3">
        <f ca="1">ROUND((VLOOKUP($D526,'Alloc Table Dem'!$B$7:$T$56,14,FALSE)*$E526),0)</f>
        <v>0</v>
      </c>
      <c r="H526" s="3">
        <f ca="1">ROUND((VLOOKUP($D526,'Alloc Table Dem'!$B$7:$T$56,15,FALSE)*$E526),0)</f>
        <v>0</v>
      </c>
      <c r="I526" s="3">
        <f ca="1">ROUND((VLOOKUP($D526,'Alloc Table Dem'!$B$7:$T$56,16,FALSE)*$E526),0)</f>
        <v>0</v>
      </c>
      <c r="J526" s="3">
        <f ca="1">ROUND((VLOOKUP($D526,'Alloc Table Dem'!$B$7:$T$56,17,FALSE)*$E526),0)</f>
        <v>0</v>
      </c>
      <c r="K526" s="3">
        <f ca="1">ROUND((VLOOKUP($D526,'Alloc Table Dem'!$B$7:$T$56,18,FALSE)*$E526),0)</f>
        <v>0</v>
      </c>
      <c r="L526" s="3">
        <f ca="1">ROUND((VLOOKUP($D526,'Alloc Table Dem'!$B$7:$T$56,19,FALSE)*$E526),0)</f>
        <v>0</v>
      </c>
    </row>
    <row r="527" spans="1:12" ht="11.25" x14ac:dyDescent="0.2">
      <c r="A527" s="3">
        <f t="shared" si="69"/>
        <v>21</v>
      </c>
      <c r="B527" s="3" t="str">
        <f>Input!A465</f>
        <v>935.23</v>
      </c>
      <c r="C527" s="3" t="str">
        <f>Input!B465</f>
        <v xml:space="preserve">MAINT. - GEN'L OFFICE </v>
      </c>
      <c r="D527" s="325"/>
      <c r="E527" s="3"/>
      <c r="F527" s="3"/>
      <c r="G527" s="3"/>
      <c r="H527" s="3"/>
      <c r="I527" s="3"/>
      <c r="J527" s="3"/>
      <c r="K527" s="3"/>
      <c r="L527" s="3"/>
    </row>
    <row r="528" spans="1:12" ht="11.25" x14ac:dyDescent="0.2">
      <c r="A528" s="3">
        <f t="shared" si="69"/>
        <v>22</v>
      </c>
      <c r="B528" s="3"/>
      <c r="C528" s="3" t="str">
        <f>Input!B466</f>
        <v>FURNITURE &amp; EQUIPMENT</v>
      </c>
      <c r="D528" s="325" t="str">
        <f>VLOOKUP(Input!C466,'Alloc Table Dem'!$A$7:$B$27,2,FALSE)</f>
        <v>12DEM</v>
      </c>
      <c r="E528" s="3">
        <f>Classification!E528-Classification!F528-Classification!G528</f>
        <v>0</v>
      </c>
      <c r="F528" s="3">
        <f ca="1">ROUND((VLOOKUP($D528,'Alloc Table Dem'!$B$7:$T$56,13,FALSE)*$E528),0)</f>
        <v>0</v>
      </c>
      <c r="G528" s="3">
        <f ca="1">ROUND((VLOOKUP($D528,'Alloc Table Dem'!$B$7:$T$56,14,FALSE)*$E528),0)</f>
        <v>0</v>
      </c>
      <c r="H528" s="3">
        <f ca="1">ROUND((VLOOKUP($D528,'Alloc Table Dem'!$B$7:$T$56,15,FALSE)*$E528),0)</f>
        <v>0</v>
      </c>
      <c r="I528" s="3">
        <f ca="1">ROUND((VLOOKUP($D528,'Alloc Table Dem'!$B$7:$T$56,16,FALSE)*$E528),0)</f>
        <v>0</v>
      </c>
      <c r="J528" s="3">
        <f ca="1">ROUND((VLOOKUP($D528,'Alloc Table Dem'!$B$7:$T$56,17,FALSE)*$E528),0)</f>
        <v>0</v>
      </c>
      <c r="K528" s="3">
        <f ca="1">ROUND((VLOOKUP($D528,'Alloc Table Dem'!$B$7:$T$56,18,FALSE)*$E528),0)</f>
        <v>0</v>
      </c>
      <c r="L528" s="3">
        <f ca="1">ROUND((VLOOKUP($D528,'Alloc Table Dem'!$B$7:$T$56,19,FALSE)*$E528),0)</f>
        <v>0</v>
      </c>
    </row>
    <row r="529" spans="1:12" ht="11.25" x14ac:dyDescent="0.2">
      <c r="A529" s="3">
        <f t="shared" si="69"/>
        <v>23</v>
      </c>
      <c r="B529" s="3">
        <f>Input!A467</f>
        <v>932</v>
      </c>
      <c r="C529" s="3" t="str">
        <f>Input!B467</f>
        <v>MAINT.-MISCELLANEOUS</v>
      </c>
      <c r="D529" s="325" t="str">
        <f>VLOOKUP(Input!C467,'Alloc Table Dem'!$A$7:$B$27,2,FALSE)</f>
        <v>12DEM</v>
      </c>
      <c r="E529" s="26">
        <f>Classification!E529-Classification!F529-Classification!G529</f>
        <v>0</v>
      </c>
      <c r="F529" s="26">
        <f ca="1">ROUND((VLOOKUP($D529,'Alloc Table Dem'!$B$7:$T$56,13,FALSE)*$E529),0)</f>
        <v>0</v>
      </c>
      <c r="G529" s="26">
        <f ca="1">ROUND((VLOOKUP($D529,'Alloc Table Dem'!$B$7:$T$56,14,FALSE)*$E529),0)</f>
        <v>0</v>
      </c>
      <c r="H529" s="26">
        <f ca="1">ROUND((VLOOKUP($D529,'Alloc Table Dem'!$B$7:$T$56,15,FALSE)*$E529),0)</f>
        <v>0</v>
      </c>
      <c r="I529" s="26">
        <f ca="1">ROUND((VLOOKUP($D529,'Alloc Table Dem'!$B$7:$T$56,16,FALSE)*$E529),0)</f>
        <v>0</v>
      </c>
      <c r="J529" s="26">
        <f ca="1">ROUND((VLOOKUP($D529,'Alloc Table Dem'!$B$7:$T$56,17,FALSE)*$E529),0)</f>
        <v>0</v>
      </c>
      <c r="K529" s="26">
        <f ca="1">ROUND((VLOOKUP($D529,'Alloc Table Dem'!$B$7:$T$56,18,FALSE)*$E529),0)</f>
        <v>0</v>
      </c>
      <c r="L529" s="26">
        <f ca="1">ROUND((VLOOKUP($D529,'Alloc Table Dem'!$B$7:$T$56,19,FALSE)*$E529),0)</f>
        <v>0</v>
      </c>
    </row>
    <row r="530" spans="1:12" ht="11.25" x14ac:dyDescent="0.2">
      <c r="A530" s="3">
        <f>A529+1</f>
        <v>24</v>
      </c>
      <c r="B530" s="3"/>
      <c r="C530" s="3" t="s">
        <v>317</v>
      </c>
      <c r="D530" s="325"/>
      <c r="E530" s="26">
        <f t="shared" ref="E530:L530" si="70">SUM(E515:E529)</f>
        <v>261537.43999999983</v>
      </c>
      <c r="F530" s="26">
        <f t="shared" ca="1" si="70"/>
        <v>101953</v>
      </c>
      <c r="G530" s="26">
        <f t="shared" ca="1" si="70"/>
        <v>69041</v>
      </c>
      <c r="H530" s="26">
        <f t="shared" ca="1" si="70"/>
        <v>149</v>
      </c>
      <c r="I530" s="26">
        <f t="shared" ca="1" si="70"/>
        <v>13</v>
      </c>
      <c r="J530" s="26">
        <f t="shared" ca="1" si="70"/>
        <v>90382</v>
      </c>
      <c r="K530" s="26">
        <f t="shared" ca="1" si="70"/>
        <v>0</v>
      </c>
      <c r="L530" s="26">
        <f t="shared" ca="1" si="70"/>
        <v>0</v>
      </c>
    </row>
    <row r="531" spans="1:12" ht="11.25" x14ac:dyDescent="0.2">
      <c r="A531" s="3"/>
      <c r="B531" s="3"/>
      <c r="C531" s="3"/>
      <c r="D531" s="325"/>
      <c r="E531" s="3"/>
      <c r="F531" s="3"/>
      <c r="G531" s="3"/>
      <c r="H531" s="3"/>
      <c r="I531" s="3"/>
      <c r="J531" s="3"/>
      <c r="K531" s="3"/>
      <c r="L531" s="3"/>
    </row>
    <row r="532" spans="1:12" ht="11.25" x14ac:dyDescent="0.2">
      <c r="A532" s="3">
        <f>A530+1</f>
        <v>25</v>
      </c>
      <c r="B532" s="3"/>
      <c r="C532" s="3" t="s">
        <v>318</v>
      </c>
      <c r="D532" s="325"/>
      <c r="E532" s="3">
        <f>Demand!E408+Demand!E416+Demand!E418+Demand!E428+E511+E530</f>
        <v>1527282.44</v>
      </c>
      <c r="F532" s="3">
        <f ca="1">Demand!F408+Demand!F416+Demand!F418+Demand!F428+F511+F530</f>
        <v>595365</v>
      </c>
      <c r="G532" s="3">
        <f ca="1">Demand!G408+Demand!G416+Demand!G418+Demand!G428+G511+G530</f>
        <v>403173</v>
      </c>
      <c r="H532" s="3">
        <f ca="1">Demand!H408+Demand!H416+Demand!H418+Demand!H428+H511+H530</f>
        <v>869</v>
      </c>
      <c r="I532" s="3">
        <f ca="1">Demand!I408+Demand!I416+Demand!I418+Demand!I428+I511+I530</f>
        <v>75</v>
      </c>
      <c r="J532" s="3">
        <f ca="1">Demand!J408+Demand!J416+Demand!J418+Demand!J428+J511+J530</f>
        <v>527799</v>
      </c>
      <c r="K532" s="3">
        <f ca="1">Demand!K408+Demand!K416+Demand!K418+Demand!K428+K511+K530</f>
        <v>0</v>
      </c>
      <c r="L532" s="3">
        <f ca="1">Demand!L408+Demand!L416+Demand!L418+Demand!L428+L511+L530</f>
        <v>0</v>
      </c>
    </row>
    <row r="533" spans="1:12" ht="11.25" x14ac:dyDescent="0.2">
      <c r="A533" s="3" t="s">
        <v>819</v>
      </c>
      <c r="B533" s="3"/>
      <c r="C533" s="3"/>
      <c r="D533" s="325"/>
      <c r="E533" s="3"/>
      <c r="F533" s="325" t="str">
        <f>""&amp;+Input!$B$1</f>
        <v>COLUMBIA GAS OF KENTUCKY, INC.</v>
      </c>
      <c r="H533" s="3"/>
      <c r="I533" s="3"/>
      <c r="J533" s="3"/>
      <c r="K533" s="3"/>
      <c r="L533" s="32" t="str">
        <f>Input!$B$2</f>
        <v>ATTACHMENT CEN-2</v>
      </c>
    </row>
    <row r="534" spans="1:12" ht="11.25" x14ac:dyDescent="0.2">
      <c r="A534" s="3" t="str">
        <f>Input!$B$7</f>
        <v>DEMAND-COMMODITY</v>
      </c>
      <c r="B534" s="3"/>
      <c r="C534" s="3"/>
      <c r="D534" s="325"/>
      <c r="E534" s="3"/>
      <c r="F534" s="325" t="s">
        <v>569</v>
      </c>
      <c r="H534" s="3"/>
      <c r="I534" s="3"/>
      <c r="J534" s="3"/>
      <c r="K534" s="3"/>
      <c r="L534" s="32" t="str">
        <f>"PAGE 119 OF "&amp;FIXED(Input!$B$8,0,TRUE)</f>
        <v>PAGE 119 OF 129</v>
      </c>
    </row>
    <row r="535" spans="1:12" ht="11.25" x14ac:dyDescent="0.2">
      <c r="A535" s="17" t="str">
        <f>Input!$B$6</f>
        <v>FORECASTED TEST YEAR - ORIGINAL FILING</v>
      </c>
      <c r="B535" s="17"/>
      <c r="C535" s="17"/>
      <c r="D535" s="34"/>
      <c r="E535" s="17"/>
      <c r="F535" s="19" t="str">
        <f>"FOR THE TWELVE MONTHS ENDED "&amp;Input!$B$4</f>
        <v>FOR THE TWELVE MONTHS ENDED 12/31/2017</v>
      </c>
      <c r="G535" s="329"/>
      <c r="H535" s="17"/>
      <c r="I535" s="17"/>
      <c r="J535" s="17"/>
      <c r="K535" s="17"/>
      <c r="L535" s="183" t="str">
        <f>"WITNESS: "&amp;Input!$B$5</f>
        <v>WITNESS: C. NOTESTONE</v>
      </c>
    </row>
    <row r="536" spans="1:12" ht="11.25" x14ac:dyDescent="0.2">
      <c r="A536" s="325" t="s">
        <v>5</v>
      </c>
      <c r="B536" s="3" t="s">
        <v>6</v>
      </c>
      <c r="C536" s="3"/>
      <c r="D536" s="325" t="s">
        <v>7</v>
      </c>
      <c r="E536" s="325" t="s">
        <v>8</v>
      </c>
      <c r="F536" s="3"/>
      <c r="G536" s="3"/>
      <c r="H536" s="3"/>
      <c r="I536" s="3"/>
      <c r="J536" s="3"/>
      <c r="K536" s="3"/>
      <c r="L536" s="3"/>
    </row>
    <row r="537" spans="1:12" ht="11.25" x14ac:dyDescent="0.2">
      <c r="A537" s="341" t="s">
        <v>9</v>
      </c>
      <c r="B537" s="341" t="s">
        <v>9</v>
      </c>
      <c r="C537" s="34" t="str">
        <f>Demand!C128</f>
        <v xml:space="preserve"> ACCOUNT TITLE</v>
      </c>
      <c r="D537" s="341" t="s">
        <v>10</v>
      </c>
      <c r="E537" s="341" t="s">
        <v>813</v>
      </c>
      <c r="F537" s="341" t="str">
        <f>"  "&amp;+Input!$C$12</f>
        <v xml:space="preserve">  GS-RESIDENTIAL</v>
      </c>
      <c r="G537" s="341" t="str">
        <f>Input!$C$13</f>
        <v>GS-OTHER</v>
      </c>
      <c r="H537" s="341" t="str">
        <f>Input!$C$14</f>
        <v>IUS</v>
      </c>
      <c r="I537" s="341" t="str">
        <f>Input!$C$15</f>
        <v>DS-ML</v>
      </c>
      <c r="J537" s="341" t="str">
        <f>Input!$C$16</f>
        <v>DS/IS</v>
      </c>
      <c r="K537" s="341" t="str">
        <f>Input!$C$17</f>
        <v>NOT USED</v>
      </c>
      <c r="L537" s="341" t="str">
        <f>Input!$C$18</f>
        <v>NOT USED</v>
      </c>
    </row>
    <row r="538" spans="1:12" ht="11.25" x14ac:dyDescent="0.2">
      <c r="A538" s="3"/>
      <c r="B538" s="342" t="s">
        <v>13</v>
      </c>
      <c r="C538" s="342" t="s">
        <v>14</v>
      </c>
      <c r="D538" s="325" t="s">
        <v>15</v>
      </c>
      <c r="E538" s="325" t="s">
        <v>16</v>
      </c>
      <c r="F538" s="325" t="s">
        <v>17</v>
      </c>
      <c r="G538" s="325" t="s">
        <v>18</v>
      </c>
      <c r="H538" s="325" t="s">
        <v>19</v>
      </c>
      <c r="I538" s="325" t="s">
        <v>20</v>
      </c>
      <c r="J538" s="325" t="s">
        <v>21</v>
      </c>
      <c r="K538" s="325" t="s">
        <v>22</v>
      </c>
      <c r="L538" s="325" t="s">
        <v>23</v>
      </c>
    </row>
    <row r="539" spans="1:12" ht="11.25" x14ac:dyDescent="0.2">
      <c r="A539" s="3"/>
      <c r="B539" s="3"/>
      <c r="C539" s="3"/>
      <c r="D539" s="325"/>
      <c r="E539" s="325" t="s">
        <v>26</v>
      </c>
      <c r="F539" s="325" t="s">
        <v>26</v>
      </c>
      <c r="G539" s="325" t="s">
        <v>26</v>
      </c>
      <c r="H539" s="325" t="s">
        <v>26</v>
      </c>
      <c r="I539" s="325" t="s">
        <v>26</v>
      </c>
      <c r="J539" s="325" t="s">
        <v>26</v>
      </c>
      <c r="K539" s="325" t="s">
        <v>26</v>
      </c>
      <c r="L539" s="325" t="s">
        <v>26</v>
      </c>
    </row>
    <row r="540" spans="1:12" ht="11.25" x14ac:dyDescent="0.2">
      <c r="A540" s="3">
        <v>1</v>
      </c>
      <c r="B540" s="3"/>
      <c r="C540" s="3" t="str">
        <f>Input!A393</f>
        <v>DISTRIBUTION EXPENSES</v>
      </c>
      <c r="D540" s="325"/>
      <c r="E540" s="3"/>
      <c r="F540" s="3"/>
      <c r="G540" s="3"/>
      <c r="H540" s="3"/>
      <c r="I540" s="3"/>
      <c r="J540" s="3"/>
      <c r="K540" s="3"/>
      <c r="L540" s="3"/>
    </row>
    <row r="541" spans="1:12" ht="11.25" x14ac:dyDescent="0.2">
      <c r="A541" s="3"/>
      <c r="B541" s="3"/>
      <c r="C541" s="3"/>
      <c r="D541" s="325"/>
      <c r="E541" s="3"/>
      <c r="F541" s="3"/>
      <c r="G541" s="3"/>
      <c r="H541" s="3"/>
      <c r="I541" s="3"/>
      <c r="J541" s="3"/>
      <c r="K541" s="3"/>
      <c r="L541" s="3"/>
    </row>
    <row r="542" spans="1:12" ht="11.25" x14ac:dyDescent="0.2">
      <c r="A542" s="3">
        <f>A540+1</f>
        <v>2</v>
      </c>
      <c r="B542" s="3" t="str">
        <f>Input!A396</f>
        <v>870</v>
      </c>
      <c r="C542" s="3" t="str">
        <f>Input!B396</f>
        <v>SUPERVISION &amp; ENGINEERING</v>
      </c>
      <c r="D542" s="325" t="str">
        <f>VLOOKUP(Input!C396,'Alloc Table Dem'!$A$7:$B$27,2,FALSE)</f>
        <v>11DEM</v>
      </c>
      <c r="E542" s="3">
        <f>Classification!E542-Classification!F542-Classification!G542</f>
        <v>242561</v>
      </c>
      <c r="F542" s="3">
        <f ca="1">ROUND((VLOOKUP($D542,'Alloc Table Dem'!$B$7:$T$56,13,FALSE)*$E542),0)</f>
        <v>94555</v>
      </c>
      <c r="G542" s="3">
        <f ca="1">ROUND((VLOOKUP($D542,'Alloc Table Dem'!$B$7:$T$56,14,FALSE)*$E542),0)</f>
        <v>64031</v>
      </c>
      <c r="H542" s="3">
        <f ca="1">ROUND((VLOOKUP($D542,'Alloc Table Dem'!$B$7:$T$56,15,FALSE)*$E542),0)</f>
        <v>138</v>
      </c>
      <c r="I542" s="3">
        <f ca="1">ROUND((VLOOKUP($D542,'Alloc Table Dem'!$B$7:$T$56,16,FALSE)*$E542),0)</f>
        <v>12</v>
      </c>
      <c r="J542" s="3">
        <f ca="1">ROUND((VLOOKUP($D542,'Alloc Table Dem'!$B$7:$T$56,17,FALSE)*$E542),0)</f>
        <v>83824</v>
      </c>
      <c r="K542" s="3">
        <f ca="1">ROUND((VLOOKUP($D542,'Alloc Table Dem'!$B$7:$T$56,18,FALSE)*$E542),0)</f>
        <v>0</v>
      </c>
      <c r="L542" s="3">
        <f ca="1">ROUND((VLOOKUP($D542,'Alloc Table Dem'!$B$7:$T$56,19,FALSE)*$E542),0)</f>
        <v>0</v>
      </c>
    </row>
    <row r="543" spans="1:12" ht="11.25" x14ac:dyDescent="0.2">
      <c r="A543" s="3">
        <f t="shared" ref="A543:A551" si="71">A542+1</f>
        <v>3</v>
      </c>
      <c r="B543" s="3" t="str">
        <f>Input!A397</f>
        <v>871</v>
      </c>
      <c r="C543" s="3" t="str">
        <f>Input!B397</f>
        <v>DISTRIBUTION LOAD DISPATCH</v>
      </c>
      <c r="D543" s="325">
        <f>Input!C397</f>
        <v>4</v>
      </c>
      <c r="E543" s="3">
        <f>Classification!E543-Classification!F543-Classification!G543</f>
        <v>0</v>
      </c>
      <c r="F543" s="3">
        <f>ROUND((VLOOKUP($D543,'Alloc Table Dem'!$B$7:$T$56,13,FALSE)*$E543),0)</f>
        <v>0</v>
      </c>
      <c r="G543" s="3">
        <f>ROUND((VLOOKUP($D543,'Alloc Table Dem'!$B$7:$T$56,14,FALSE)*$E543),0)</f>
        <v>0</v>
      </c>
      <c r="H543" s="3">
        <f>ROUND((VLOOKUP($D543,'Alloc Table Dem'!$B$7:$T$56,15,FALSE)*$E543),0)</f>
        <v>0</v>
      </c>
      <c r="I543" s="3">
        <f>ROUND((VLOOKUP($D543,'Alloc Table Dem'!$B$7:$T$56,16,FALSE)*$E543),0)</f>
        <v>0</v>
      </c>
      <c r="J543" s="3">
        <f>ROUND((VLOOKUP($D543,'Alloc Table Dem'!$B$7:$T$56,17,FALSE)*$E543),0)</f>
        <v>0</v>
      </c>
      <c r="K543" s="3">
        <f>ROUND((VLOOKUP($D543,'Alloc Table Dem'!$B$7:$T$56,18,FALSE)*$E543),0)</f>
        <v>0</v>
      </c>
      <c r="L543" s="3">
        <f>ROUND((VLOOKUP($D543,'Alloc Table Dem'!$B$7:$T$56,19,FALSE)*$E543),0)</f>
        <v>0</v>
      </c>
    </row>
    <row r="544" spans="1:12" ht="11.25" x14ac:dyDescent="0.2">
      <c r="A544" s="3">
        <f t="shared" si="71"/>
        <v>4</v>
      </c>
      <c r="B544" s="3" t="str">
        <f>Input!A398</f>
        <v>874</v>
      </c>
      <c r="C544" s="3" t="str">
        <f>Input!B398</f>
        <v>MAINS &amp; SERVICES</v>
      </c>
      <c r="D544" s="325" t="str">
        <f>VLOOKUP(Input!C398,'Alloc Table Dem'!$A$7:$B$27,2,FALSE)</f>
        <v>14DEM</v>
      </c>
      <c r="E544" s="3">
        <f>Classification!E544-Classification!F544-Classification!G544</f>
        <v>1522138</v>
      </c>
      <c r="F544" s="3">
        <f ca="1">ROUND((VLOOKUP($D544,'Alloc Table Dem'!$B$7:$T$56,13,FALSE)*$E544),0)</f>
        <v>593360</v>
      </c>
      <c r="G544" s="3">
        <f ca="1">ROUND((VLOOKUP($D544,'Alloc Table Dem'!$B$7:$T$56,14,FALSE)*$E544),0)</f>
        <v>401814</v>
      </c>
      <c r="H544" s="3">
        <f ca="1">ROUND((VLOOKUP($D544,'Alloc Table Dem'!$B$7:$T$56,15,FALSE)*$E544),0)</f>
        <v>868</v>
      </c>
      <c r="I544" s="3">
        <f ca="1">ROUND((VLOOKUP($D544,'Alloc Table Dem'!$B$7:$T$56,16,FALSE)*$E544),0)</f>
        <v>76</v>
      </c>
      <c r="J544" s="3">
        <f ca="1">ROUND((VLOOKUP($D544,'Alloc Table Dem'!$B$7:$T$56,17,FALSE)*$E544),0)</f>
        <v>526020</v>
      </c>
      <c r="K544" s="3">
        <f ca="1">ROUND((VLOOKUP($D544,'Alloc Table Dem'!$B$7:$T$56,18,FALSE)*$E544),0)</f>
        <v>0</v>
      </c>
      <c r="L544" s="3">
        <f ca="1">ROUND((VLOOKUP($D544,'Alloc Table Dem'!$B$7:$T$56,19,FALSE)*$E544),0)</f>
        <v>0</v>
      </c>
    </row>
    <row r="545" spans="1:12" ht="11.25" x14ac:dyDescent="0.2">
      <c r="A545" s="3">
        <f t="shared" si="71"/>
        <v>5</v>
      </c>
      <c r="B545" s="3" t="str">
        <f>Input!A399</f>
        <v>875</v>
      </c>
      <c r="C545" s="3" t="str">
        <f>Input!B399</f>
        <v>M &amp; R - GENERAL</v>
      </c>
      <c r="D545" s="325" t="str">
        <f>VLOOKUP(Input!C399,'Alloc Table Dem'!$A$7:$B$27,2,FALSE)</f>
        <v>18DEM</v>
      </c>
      <c r="E545" s="3">
        <f>Classification!E545-Classification!F545-Classification!G545</f>
        <v>59189.099999999977</v>
      </c>
      <c r="F545" s="3">
        <f>ROUND((VLOOKUP($D545,'Alloc Table Dem'!$B$7:$T$56,13,FALSE)*$E545),0)</f>
        <v>23073</v>
      </c>
      <c r="G545" s="3">
        <f>ROUND((VLOOKUP($D545,'Alloc Table Dem'!$B$7:$T$56,14,FALSE)*$E545),0)</f>
        <v>15625</v>
      </c>
      <c r="H545" s="3">
        <f>ROUND((VLOOKUP($D545,'Alloc Table Dem'!$B$7:$T$56,15,FALSE)*$E545),0)</f>
        <v>34</v>
      </c>
      <c r="I545" s="3">
        <f>ROUND((VLOOKUP($D545,'Alloc Table Dem'!$B$7:$T$56,16,FALSE)*$E545),0)</f>
        <v>3</v>
      </c>
      <c r="J545" s="3">
        <f>ROUND((VLOOKUP($D545,'Alloc Table Dem'!$B$7:$T$56,17,FALSE)*$E545),0)</f>
        <v>20455</v>
      </c>
      <c r="K545" s="3">
        <f>ROUND((VLOOKUP($D545,'Alloc Table Dem'!$B$7:$T$56,18,FALSE)*$E545),0)</f>
        <v>0</v>
      </c>
      <c r="L545" s="3">
        <f>ROUND((VLOOKUP($D545,'Alloc Table Dem'!$B$7:$T$56,19,FALSE)*$E545),0)</f>
        <v>0</v>
      </c>
    </row>
    <row r="546" spans="1:12" ht="11.25" x14ac:dyDescent="0.2">
      <c r="A546" s="3">
        <f t="shared" si="71"/>
        <v>6</v>
      </c>
      <c r="B546" s="3" t="str">
        <f>Input!A400</f>
        <v>876</v>
      </c>
      <c r="C546" s="3" t="str">
        <f>Input!B400</f>
        <v>M &amp; R - INDUSTRIAL</v>
      </c>
      <c r="D546" s="325">
        <f>Input!C400</f>
        <v>8</v>
      </c>
      <c r="E546" s="3">
        <f>Classification!E546-Classification!F546-Classification!G546</f>
        <v>0</v>
      </c>
      <c r="F546" s="3">
        <f>ROUND((VLOOKUP($D546,'Alloc Table Dem'!$B$7:$T$56,13,FALSE)*$E546),0)</f>
        <v>0</v>
      </c>
      <c r="G546" s="3">
        <f>ROUND((VLOOKUP($D546,'Alloc Table Dem'!$B$7:$T$56,14,FALSE)*$E546),0)</f>
        <v>0</v>
      </c>
      <c r="H546" s="3">
        <f>ROUND((VLOOKUP($D546,'Alloc Table Dem'!$B$7:$T$56,15,FALSE)*$E546),0)</f>
        <v>0</v>
      </c>
      <c r="I546" s="3">
        <f>ROUND((VLOOKUP($D546,'Alloc Table Dem'!$B$7:$T$56,16,FALSE)*$E546),0)</f>
        <v>0</v>
      </c>
      <c r="J546" s="3">
        <f>ROUND((VLOOKUP($D546,'Alloc Table Dem'!$B$7:$T$56,17,FALSE)*$E546),0)</f>
        <v>0</v>
      </c>
      <c r="K546" s="3">
        <f>ROUND((VLOOKUP($D546,'Alloc Table Dem'!$B$7:$T$56,18,FALSE)*$E546),0)</f>
        <v>0</v>
      </c>
      <c r="L546" s="3">
        <f>ROUND((VLOOKUP($D546,'Alloc Table Dem'!$B$7:$T$56,19,FALSE)*$E546),0)</f>
        <v>0</v>
      </c>
    </row>
    <row r="547" spans="1:12" ht="11.25" x14ac:dyDescent="0.2">
      <c r="A547" s="3">
        <f t="shared" si="71"/>
        <v>7</v>
      </c>
      <c r="B547" s="3" t="str">
        <f>Input!A401</f>
        <v>878</v>
      </c>
      <c r="C547" s="3" t="str">
        <f>Input!B401</f>
        <v>METERS &amp; HOUSE REGULATORS</v>
      </c>
      <c r="D547" s="325">
        <f>Input!C401</f>
        <v>16</v>
      </c>
      <c r="E547" s="3">
        <f>Classification!E547-Classification!F547-Classification!G547</f>
        <v>2.9999999795109034E-2</v>
      </c>
      <c r="F547" s="3">
        <f>ROUND((VLOOKUP($D547,'Alloc Table Dem'!$B$7:$T$56,13,FALSE)*$E547),0)</f>
        <v>0</v>
      </c>
      <c r="G547" s="3">
        <f>ROUND((VLOOKUP($D547,'Alloc Table Dem'!$B$7:$T$56,14,FALSE)*$E547),0)</f>
        <v>0</v>
      </c>
      <c r="H547" s="3">
        <f>ROUND((VLOOKUP($D547,'Alloc Table Dem'!$B$7:$T$56,15,FALSE)*$E547),0)</f>
        <v>0</v>
      </c>
      <c r="I547" s="3">
        <f>ROUND((VLOOKUP($D547,'Alloc Table Dem'!$B$7:$T$56,16,FALSE)*$E547),0)</f>
        <v>0</v>
      </c>
      <c r="J547" s="3">
        <f>ROUND((VLOOKUP($D547,'Alloc Table Dem'!$B$7:$T$56,17,FALSE)*$E547),0)</f>
        <v>0</v>
      </c>
      <c r="K547" s="3">
        <f>ROUND((VLOOKUP($D547,'Alloc Table Dem'!$B$7:$T$56,18,FALSE)*$E547),0)</f>
        <v>0</v>
      </c>
      <c r="L547" s="3">
        <f>ROUND((VLOOKUP($D547,'Alloc Table Dem'!$B$7:$T$56,19,FALSE)*$E547),0)</f>
        <v>0</v>
      </c>
    </row>
    <row r="548" spans="1:12" ht="11.25" x14ac:dyDescent="0.2">
      <c r="A548" s="3">
        <f t="shared" si="71"/>
        <v>8</v>
      </c>
      <c r="B548" s="3" t="str">
        <f>Input!A402</f>
        <v>879</v>
      </c>
      <c r="C548" s="3" t="str">
        <f>Input!B402</f>
        <v xml:space="preserve">CUSTOMER INSTALLATION </v>
      </c>
      <c r="D548" s="325">
        <f>Input!C402</f>
        <v>16</v>
      </c>
      <c r="E548" s="3">
        <f>Classification!E548-Classification!F548-Classification!G548</f>
        <v>-2.9999999795109034E-2</v>
      </c>
      <c r="F548" s="3">
        <f>ROUND((VLOOKUP($D548,'Alloc Table Dem'!$B$7:$T$56,13,FALSE)*$E548),0)</f>
        <v>0</v>
      </c>
      <c r="G548" s="3">
        <f>ROUND((VLOOKUP($D548,'Alloc Table Dem'!$B$7:$T$56,14,FALSE)*$E548),0)</f>
        <v>0</v>
      </c>
      <c r="H548" s="3">
        <f>ROUND((VLOOKUP($D548,'Alloc Table Dem'!$B$7:$T$56,15,FALSE)*$E548),0)</f>
        <v>0</v>
      </c>
      <c r="I548" s="3">
        <f>ROUND((VLOOKUP($D548,'Alloc Table Dem'!$B$7:$T$56,16,FALSE)*$E548),0)</f>
        <v>0</v>
      </c>
      <c r="J548" s="3">
        <f>ROUND((VLOOKUP($D548,'Alloc Table Dem'!$B$7:$T$56,17,FALSE)*$E548),0)</f>
        <v>0</v>
      </c>
      <c r="K548" s="3">
        <f>ROUND((VLOOKUP($D548,'Alloc Table Dem'!$B$7:$T$56,18,FALSE)*$E548),0)</f>
        <v>0</v>
      </c>
      <c r="L548" s="3">
        <f>ROUND((VLOOKUP($D548,'Alloc Table Dem'!$B$7:$T$56,19,FALSE)*$E548),0)</f>
        <v>0</v>
      </c>
    </row>
    <row r="549" spans="1:12" ht="11.25" x14ac:dyDescent="0.2">
      <c r="A549" s="3">
        <f t="shared" si="71"/>
        <v>9</v>
      </c>
      <c r="B549" s="3" t="str">
        <f>Input!A403</f>
        <v>880</v>
      </c>
      <c r="C549" s="3" t="str">
        <f>Input!B403</f>
        <v>OTHER</v>
      </c>
      <c r="D549" s="325" t="str">
        <f>VLOOKUP(Input!C403,'Alloc Table Dem'!$A$7:$B$27,2,FALSE)</f>
        <v>11DEM</v>
      </c>
      <c r="E549" s="3">
        <f>Classification!E549-Classification!F549-Classification!G549</f>
        <v>375075</v>
      </c>
      <c r="F549" s="3">
        <f ca="1">ROUND((VLOOKUP($D549,'Alloc Table Dem'!$B$7:$T$56,13,FALSE)*$E549),0)</f>
        <v>146212</v>
      </c>
      <c r="G549" s="3">
        <f ca="1">ROUND((VLOOKUP($D549,'Alloc Table Dem'!$B$7:$T$56,14,FALSE)*$E549),0)</f>
        <v>99012</v>
      </c>
      <c r="H549" s="3">
        <f ca="1">ROUND((VLOOKUP($D549,'Alloc Table Dem'!$B$7:$T$56,15,FALSE)*$E549),0)</f>
        <v>214</v>
      </c>
      <c r="I549" s="3">
        <f ca="1">ROUND((VLOOKUP($D549,'Alloc Table Dem'!$B$7:$T$56,16,FALSE)*$E549),0)</f>
        <v>19</v>
      </c>
      <c r="J549" s="3">
        <f ca="1">ROUND((VLOOKUP($D549,'Alloc Table Dem'!$B$7:$T$56,17,FALSE)*$E549),0)</f>
        <v>129618</v>
      </c>
      <c r="K549" s="3">
        <f ca="1">ROUND((VLOOKUP($D549,'Alloc Table Dem'!$B$7:$T$56,18,FALSE)*$E549),0)</f>
        <v>0</v>
      </c>
      <c r="L549" s="3">
        <f ca="1">ROUND((VLOOKUP($D549,'Alloc Table Dem'!$B$7:$T$56,19,FALSE)*$E549),0)</f>
        <v>0</v>
      </c>
    </row>
    <row r="550" spans="1:12" ht="11.25" x14ac:dyDescent="0.2">
      <c r="A550" s="3">
        <f t="shared" si="71"/>
        <v>10</v>
      </c>
      <c r="B550" s="3" t="str">
        <f>Input!A404</f>
        <v>881</v>
      </c>
      <c r="C550" s="3" t="str">
        <f>Input!B404</f>
        <v>RENTS</v>
      </c>
      <c r="D550" s="325" t="str">
        <f>VLOOKUP(Input!C404,'Alloc Table Dem'!$A$7:$B$27,2,FALSE)</f>
        <v>11DEM</v>
      </c>
      <c r="E550" s="26">
        <f>Classification!E550-Classification!F550-Classification!G550</f>
        <v>25435</v>
      </c>
      <c r="F550" s="26">
        <f ca="1">ROUND((VLOOKUP($D550,'Alloc Table Dem'!$B$7:$T$56,13,FALSE)*$E550),0)</f>
        <v>9915</v>
      </c>
      <c r="G550" s="26">
        <f ca="1">ROUND((VLOOKUP($D550,'Alloc Table Dem'!$B$7:$T$56,14,FALSE)*$E550),0)</f>
        <v>6714</v>
      </c>
      <c r="H550" s="26">
        <f ca="1">ROUND((VLOOKUP($D550,'Alloc Table Dem'!$B$7:$T$56,15,FALSE)*$E550),0)</f>
        <v>14</v>
      </c>
      <c r="I550" s="26">
        <f ca="1">ROUND((VLOOKUP($D550,'Alloc Table Dem'!$B$7:$T$56,16,FALSE)*$E550),0)</f>
        <v>1</v>
      </c>
      <c r="J550" s="26">
        <f ca="1">ROUND((VLOOKUP($D550,'Alloc Table Dem'!$B$7:$T$56,17,FALSE)*$E550),0)</f>
        <v>8790</v>
      </c>
      <c r="K550" s="26">
        <f ca="1">ROUND((VLOOKUP($D550,'Alloc Table Dem'!$B$7:$T$56,18,FALSE)*$E550),0)</f>
        <v>0</v>
      </c>
      <c r="L550" s="26">
        <f ca="1">ROUND((VLOOKUP($D550,'Alloc Table Dem'!$B$7:$T$56,19,FALSE)*$E550),0)</f>
        <v>0</v>
      </c>
    </row>
    <row r="551" spans="1:12" ht="11.25" x14ac:dyDescent="0.2">
      <c r="A551" s="3">
        <f t="shared" si="71"/>
        <v>11</v>
      </c>
      <c r="B551" s="3"/>
      <c r="C551" s="3" t="s">
        <v>271</v>
      </c>
      <c r="D551" s="325"/>
      <c r="E551" s="1">
        <f t="shared" ref="E551:L551" si="72">SUM(E542:E550)</f>
        <v>2224398.1</v>
      </c>
      <c r="F551" s="3">
        <f t="shared" ca="1" si="72"/>
        <v>867115</v>
      </c>
      <c r="G551" s="3">
        <f t="shared" ca="1" si="72"/>
        <v>587196</v>
      </c>
      <c r="H551" s="3">
        <f t="shared" ca="1" si="72"/>
        <v>1268</v>
      </c>
      <c r="I551" s="3">
        <f t="shared" ca="1" si="72"/>
        <v>111</v>
      </c>
      <c r="J551" s="3">
        <f t="shared" ca="1" si="72"/>
        <v>768707</v>
      </c>
      <c r="K551" s="3">
        <f t="shared" ca="1" si="72"/>
        <v>0</v>
      </c>
      <c r="L551" s="3">
        <f t="shared" ca="1" si="72"/>
        <v>0</v>
      </c>
    </row>
    <row r="552" spans="1:12" ht="11.25" x14ac:dyDescent="0.2">
      <c r="A552" s="3"/>
      <c r="B552" s="3"/>
      <c r="C552" s="3"/>
      <c r="D552" s="325"/>
      <c r="E552" s="1"/>
      <c r="F552" s="3"/>
      <c r="G552" s="3"/>
      <c r="H552" s="3"/>
      <c r="I552" s="3"/>
      <c r="J552" s="3"/>
      <c r="K552" s="3"/>
      <c r="L552" s="3"/>
    </row>
    <row r="553" spans="1:12" ht="11.25" x14ac:dyDescent="0.2">
      <c r="A553" s="3">
        <f>A551+1</f>
        <v>12</v>
      </c>
      <c r="B553" s="3"/>
      <c r="C553" s="3" t="str">
        <f>Input!A405</f>
        <v>MAINTENANCE</v>
      </c>
      <c r="D553" s="325"/>
      <c r="E553" s="1"/>
      <c r="F553" s="3"/>
      <c r="G553" s="3"/>
      <c r="H553" s="3"/>
      <c r="I553" s="3"/>
      <c r="J553" s="3"/>
      <c r="K553" s="3"/>
      <c r="L553" s="3"/>
    </row>
    <row r="554" spans="1:12" ht="11.25" x14ac:dyDescent="0.2">
      <c r="A554" s="3"/>
      <c r="B554" s="3"/>
      <c r="C554" s="3"/>
      <c r="D554" s="325"/>
      <c r="E554" s="1"/>
      <c r="F554" s="3"/>
      <c r="G554" s="3"/>
      <c r="H554" s="3"/>
      <c r="I554" s="3"/>
      <c r="J554" s="3"/>
      <c r="K554" s="3"/>
      <c r="L554" s="3"/>
    </row>
    <row r="555" spans="1:12" ht="11.25" x14ac:dyDescent="0.2">
      <c r="A555" s="3">
        <f>A553+1</f>
        <v>13</v>
      </c>
      <c r="B555" s="3" t="str">
        <f>Input!A406</f>
        <v>885</v>
      </c>
      <c r="C555" s="3" t="str">
        <f>Input!B406</f>
        <v>SUPERVISION &amp; ENGINEERING</v>
      </c>
      <c r="D555" s="325" t="str">
        <f>VLOOKUP(Input!C406,'Alloc Table Dem'!$A$7:$B$27,2,FALSE)</f>
        <v>11DEM</v>
      </c>
      <c r="E555" s="3">
        <f>Classification!E555-Classification!F555-Classification!G555</f>
        <v>795.99999999999818</v>
      </c>
      <c r="F555" s="3">
        <f ca="1">ROUND((VLOOKUP($D555,'Alloc Table Dem'!$B$7:$T$56,13,FALSE)*$E555),0)</f>
        <v>310</v>
      </c>
      <c r="G555" s="3">
        <f ca="1">ROUND((VLOOKUP($D555,'Alloc Table Dem'!$B$7:$T$56,14,FALSE)*$E555),0)</f>
        <v>210</v>
      </c>
      <c r="H555" s="3">
        <f ca="1">ROUND((VLOOKUP($D555,'Alloc Table Dem'!$B$7:$T$56,15,FALSE)*$E555),0)</f>
        <v>0</v>
      </c>
      <c r="I555" s="3">
        <f ca="1">ROUND((VLOOKUP($D555,'Alloc Table Dem'!$B$7:$T$56,16,FALSE)*$E555),0)</f>
        <v>0</v>
      </c>
      <c r="J555" s="3">
        <f ca="1">ROUND((VLOOKUP($D555,'Alloc Table Dem'!$B$7:$T$56,17,FALSE)*$E555),0)</f>
        <v>275</v>
      </c>
      <c r="K555" s="3">
        <f ca="1">ROUND((VLOOKUP($D555,'Alloc Table Dem'!$B$7:$T$56,18,FALSE)*$E555),0)</f>
        <v>0</v>
      </c>
      <c r="L555" s="3">
        <f ca="1">ROUND((VLOOKUP($D555,'Alloc Table Dem'!$B$7:$T$56,19,FALSE)*$E555),0)</f>
        <v>0</v>
      </c>
    </row>
    <row r="556" spans="1:12" ht="11.25" x14ac:dyDescent="0.2">
      <c r="A556" s="3">
        <f t="shared" ref="A556:A563" si="73">A555+1</f>
        <v>14</v>
      </c>
      <c r="B556" s="3" t="str">
        <f>Input!A407</f>
        <v>886</v>
      </c>
      <c r="C556" s="3" t="str">
        <f>Input!B407</f>
        <v>STRUCTURES &amp; IMPROVEMENTS</v>
      </c>
      <c r="D556" s="325" t="str">
        <f>VLOOKUP(Input!C407,'Alloc Table Dem'!$A$7:$B$27,2,FALSE)</f>
        <v>18DEM</v>
      </c>
      <c r="E556" s="3">
        <f>Classification!E556-Classification!F556-Classification!G556</f>
        <v>125919.08000000002</v>
      </c>
      <c r="F556" s="3">
        <f>ROUND((VLOOKUP($D556,'Alloc Table Dem'!$B$7:$T$56,13,FALSE)*$E556),0)</f>
        <v>49086</v>
      </c>
      <c r="G556" s="3">
        <f>ROUND((VLOOKUP($D556,'Alloc Table Dem'!$B$7:$T$56,14,FALSE)*$E556),0)</f>
        <v>33240</v>
      </c>
      <c r="H556" s="3">
        <f>ROUND((VLOOKUP($D556,'Alloc Table Dem'!$B$7:$T$56,15,FALSE)*$E556),0)</f>
        <v>72</v>
      </c>
      <c r="I556" s="3">
        <f>ROUND((VLOOKUP($D556,'Alloc Table Dem'!$B$7:$T$56,16,FALSE)*$E556),0)</f>
        <v>6</v>
      </c>
      <c r="J556" s="3">
        <f>ROUND((VLOOKUP($D556,'Alloc Table Dem'!$B$7:$T$56,17,FALSE)*$E556),0)</f>
        <v>43515</v>
      </c>
      <c r="K556" s="3">
        <f>ROUND((VLOOKUP($D556,'Alloc Table Dem'!$B$7:$T$56,18,FALSE)*$E556),0)</f>
        <v>0</v>
      </c>
      <c r="L556" s="3">
        <f>ROUND((VLOOKUP($D556,'Alloc Table Dem'!$B$7:$T$56,19,FALSE)*$E556),0)</f>
        <v>0</v>
      </c>
    </row>
    <row r="557" spans="1:12" ht="11.25" x14ac:dyDescent="0.2">
      <c r="A557" s="3">
        <f t="shared" si="73"/>
        <v>15</v>
      </c>
      <c r="B557" s="3" t="str">
        <f>Input!A408</f>
        <v>887</v>
      </c>
      <c r="C557" s="3" t="str">
        <f>Input!B408</f>
        <v>MAINS</v>
      </c>
      <c r="D557" s="325" t="str">
        <f>VLOOKUP(Input!C408,'Alloc Table Dem'!$A$7:$B$27,2,FALSE)</f>
        <v>18DEM</v>
      </c>
      <c r="E557" s="3">
        <f>Classification!E557-Classification!F557-Classification!G557</f>
        <v>1101038.0000000005</v>
      </c>
      <c r="F557" s="3">
        <f>ROUND((VLOOKUP($D557,'Alloc Table Dem'!$B$7:$T$56,13,FALSE)*$E557),0)</f>
        <v>429207</v>
      </c>
      <c r="G557" s="3">
        <f>ROUND((VLOOKUP($D557,'Alloc Table Dem'!$B$7:$T$56,14,FALSE)*$E557),0)</f>
        <v>290652</v>
      </c>
      <c r="H557" s="3">
        <f>ROUND((VLOOKUP($D557,'Alloc Table Dem'!$B$7:$T$56,15,FALSE)*$E557),0)</f>
        <v>628</v>
      </c>
      <c r="I557" s="3">
        <f>ROUND((VLOOKUP($D557,'Alloc Table Dem'!$B$7:$T$56,16,FALSE)*$E557),0)</f>
        <v>55</v>
      </c>
      <c r="J557" s="3">
        <f>ROUND((VLOOKUP($D557,'Alloc Table Dem'!$B$7:$T$56,17,FALSE)*$E557),0)</f>
        <v>380497</v>
      </c>
      <c r="K557" s="3">
        <f>ROUND((VLOOKUP($D557,'Alloc Table Dem'!$B$7:$T$56,18,FALSE)*$E557),0)</f>
        <v>0</v>
      </c>
      <c r="L557" s="3">
        <f>ROUND((VLOOKUP($D557,'Alloc Table Dem'!$B$7:$T$56,19,FALSE)*$E557),0)</f>
        <v>0</v>
      </c>
    </row>
    <row r="558" spans="1:12" ht="11.25" x14ac:dyDescent="0.2">
      <c r="A558" s="3">
        <f t="shared" si="73"/>
        <v>16</v>
      </c>
      <c r="B558" s="3" t="str">
        <f>Input!A409</f>
        <v>889</v>
      </c>
      <c r="C558" s="3" t="str">
        <f>Input!B409</f>
        <v>M &amp; R - GENERAL</v>
      </c>
      <c r="D558" s="325" t="str">
        <f>VLOOKUP(Input!C409,'Alloc Table Dem'!$A$7:$B$27,2,FALSE)</f>
        <v>18DEM</v>
      </c>
      <c r="E558" s="3">
        <f>Classification!E558-Classification!F558-Classification!G558</f>
        <v>72367.989999999932</v>
      </c>
      <c r="F558" s="3">
        <f>ROUND((VLOOKUP($D558,'Alloc Table Dem'!$B$7:$T$56,13,FALSE)*$E558),0)</f>
        <v>28210</v>
      </c>
      <c r="G558" s="3">
        <f>ROUND((VLOOKUP($D558,'Alloc Table Dem'!$B$7:$T$56,14,FALSE)*$E558),0)</f>
        <v>19104</v>
      </c>
      <c r="H558" s="3">
        <f>ROUND((VLOOKUP($D558,'Alloc Table Dem'!$B$7:$T$56,15,FALSE)*$E558),0)</f>
        <v>41</v>
      </c>
      <c r="I558" s="3">
        <f>ROUND((VLOOKUP($D558,'Alloc Table Dem'!$B$7:$T$56,16,FALSE)*$E558),0)</f>
        <v>4</v>
      </c>
      <c r="J558" s="3">
        <f>ROUND((VLOOKUP($D558,'Alloc Table Dem'!$B$7:$T$56,17,FALSE)*$E558),0)</f>
        <v>25009</v>
      </c>
      <c r="K558" s="3">
        <f>ROUND((VLOOKUP($D558,'Alloc Table Dem'!$B$7:$T$56,18,FALSE)*$E558),0)</f>
        <v>0</v>
      </c>
      <c r="L558" s="3">
        <f>ROUND((VLOOKUP($D558,'Alloc Table Dem'!$B$7:$T$56,19,FALSE)*$E558),0)</f>
        <v>0</v>
      </c>
    </row>
    <row r="559" spans="1:12" ht="11.25" x14ac:dyDescent="0.2">
      <c r="A559" s="3">
        <f t="shared" si="73"/>
        <v>17</v>
      </c>
      <c r="B559" s="3" t="str">
        <f>Input!A410</f>
        <v>890</v>
      </c>
      <c r="C559" s="3" t="str">
        <f>Input!B410</f>
        <v>M &amp; R - INDUSTRIAL</v>
      </c>
      <c r="D559" s="325">
        <f>Input!C410</f>
        <v>8</v>
      </c>
      <c r="E559" s="3">
        <f>Classification!E559-Classification!F559-Classification!G559</f>
        <v>0</v>
      </c>
      <c r="F559" s="3">
        <f>ROUND((VLOOKUP($D559,'Alloc Table Dem'!$B$7:$T$56,13,FALSE)*$E559),0)</f>
        <v>0</v>
      </c>
      <c r="G559" s="3">
        <f>ROUND((VLOOKUP($D559,'Alloc Table Dem'!$B$7:$T$56,14,FALSE)*$E559),0)</f>
        <v>0</v>
      </c>
      <c r="H559" s="3">
        <f>ROUND((VLOOKUP($D559,'Alloc Table Dem'!$B$7:$T$56,15,FALSE)*$E559),0)</f>
        <v>0</v>
      </c>
      <c r="I559" s="3">
        <f>ROUND((VLOOKUP($D559,'Alloc Table Dem'!$B$7:$T$56,16,FALSE)*$E559),0)</f>
        <v>0</v>
      </c>
      <c r="J559" s="3">
        <f>ROUND((VLOOKUP($D559,'Alloc Table Dem'!$B$7:$T$56,17,FALSE)*$E559),0)</f>
        <v>0</v>
      </c>
      <c r="K559" s="3">
        <f>ROUND((VLOOKUP($D559,'Alloc Table Dem'!$B$7:$T$56,18,FALSE)*$E559),0)</f>
        <v>0</v>
      </c>
      <c r="L559" s="3">
        <f>ROUND((VLOOKUP($D559,'Alloc Table Dem'!$B$7:$T$56,19,FALSE)*$E559),0)</f>
        <v>0</v>
      </c>
    </row>
    <row r="560" spans="1:12" ht="11.25" x14ac:dyDescent="0.2">
      <c r="A560" s="3">
        <f t="shared" si="73"/>
        <v>18</v>
      </c>
      <c r="B560" s="3" t="str">
        <f>Input!A411</f>
        <v>892</v>
      </c>
      <c r="C560" s="3" t="str">
        <f>Input!B411</f>
        <v>SERVICES</v>
      </c>
      <c r="D560" s="325">
        <f>Input!C411</f>
        <v>15</v>
      </c>
      <c r="E560" s="3">
        <f>Classification!E560-Classification!F560-Classification!G560</f>
        <v>0</v>
      </c>
      <c r="F560" s="3">
        <f ca="1">ROUND((VLOOKUP($D560,'Alloc Table Dem'!$B$7:$T$56,13,FALSE)*$E560),0)</f>
        <v>0</v>
      </c>
      <c r="G560" s="3">
        <f ca="1">ROUND((VLOOKUP($D560,'Alloc Table Dem'!$B$7:$T$56,14,FALSE)*$E560),0)</f>
        <v>0</v>
      </c>
      <c r="H560" s="3">
        <f ca="1">ROUND((VLOOKUP($D560,'Alloc Table Dem'!$B$7:$T$56,15,FALSE)*$E560),0)</f>
        <v>0</v>
      </c>
      <c r="I560" s="3">
        <f ca="1">ROUND((VLOOKUP($D560,'Alloc Table Dem'!$B$7:$T$56,16,FALSE)*$E560),0)</f>
        <v>0</v>
      </c>
      <c r="J560" s="3">
        <f ca="1">ROUND((VLOOKUP($D560,'Alloc Table Dem'!$B$7:$T$56,17,FALSE)*$E560),0)</f>
        <v>0</v>
      </c>
      <c r="K560" s="3">
        <f ca="1">ROUND((VLOOKUP($D560,'Alloc Table Dem'!$B$7:$T$56,18,FALSE)*$E560),0)</f>
        <v>0</v>
      </c>
      <c r="L560" s="3">
        <f ca="1">ROUND((VLOOKUP($D560,'Alloc Table Dem'!$B$7:$T$56,19,FALSE)*$E560),0)</f>
        <v>0</v>
      </c>
    </row>
    <row r="561" spans="1:12" ht="11.25" x14ac:dyDescent="0.2">
      <c r="A561" s="3">
        <f t="shared" si="73"/>
        <v>19</v>
      </c>
      <c r="B561" s="3" t="str">
        <f>Input!A412</f>
        <v>893</v>
      </c>
      <c r="C561" s="3" t="str">
        <f>Input!B412</f>
        <v>METERS &amp; HOUSE REGULATORS</v>
      </c>
      <c r="D561" s="325">
        <f>Input!C412</f>
        <v>16</v>
      </c>
      <c r="E561" s="3">
        <f>Classification!E561-Classification!F561-Classification!G561</f>
        <v>0</v>
      </c>
      <c r="F561" s="3">
        <f>ROUND((VLOOKUP($D561,'Alloc Table Dem'!$B$7:$T$56,13,FALSE)*$E561),0)</f>
        <v>0</v>
      </c>
      <c r="G561" s="3">
        <f>ROUND((VLOOKUP($D561,'Alloc Table Dem'!$B$7:$T$56,14,FALSE)*$E561),0)</f>
        <v>0</v>
      </c>
      <c r="H561" s="3">
        <f>ROUND((VLOOKUP($D561,'Alloc Table Dem'!$B$7:$T$56,15,FALSE)*$E561),0)</f>
        <v>0</v>
      </c>
      <c r="I561" s="3">
        <f>ROUND((VLOOKUP($D561,'Alloc Table Dem'!$B$7:$T$56,16,FALSE)*$E561),0)</f>
        <v>0</v>
      </c>
      <c r="J561" s="3">
        <f>ROUND((VLOOKUP($D561,'Alloc Table Dem'!$B$7:$T$56,17,FALSE)*$E561),0)</f>
        <v>0</v>
      </c>
      <c r="K561" s="3">
        <f>ROUND((VLOOKUP($D561,'Alloc Table Dem'!$B$7:$T$56,18,FALSE)*$E561),0)</f>
        <v>0</v>
      </c>
      <c r="L561" s="3">
        <f>ROUND((VLOOKUP($D561,'Alloc Table Dem'!$B$7:$T$56,19,FALSE)*$E561),0)</f>
        <v>0</v>
      </c>
    </row>
    <row r="562" spans="1:12" ht="11.25" x14ac:dyDescent="0.2">
      <c r="A562" s="3">
        <f t="shared" si="73"/>
        <v>20</v>
      </c>
      <c r="B562" s="3" t="str">
        <f>Input!A413</f>
        <v>894</v>
      </c>
      <c r="C562" s="3" t="str">
        <f>Input!B413</f>
        <v>OTHER EQUIPMENT</v>
      </c>
      <c r="D562" s="325" t="str">
        <f>VLOOKUP(Input!C413,'Alloc Table Dem'!$A$7:$B$27,2,FALSE)</f>
        <v>11DEM</v>
      </c>
      <c r="E562" s="26">
        <f>Classification!E562-Classification!F562-Classification!G562</f>
        <v>61788</v>
      </c>
      <c r="F562" s="26">
        <f ca="1">ROUND((VLOOKUP($D562,'Alloc Table Dem'!$B$7:$T$56,13,FALSE)*$E562),0)</f>
        <v>24086</v>
      </c>
      <c r="G562" s="26">
        <f ca="1">ROUND((VLOOKUP($D562,'Alloc Table Dem'!$B$7:$T$56,14,FALSE)*$E562),0)</f>
        <v>16311</v>
      </c>
      <c r="H562" s="26">
        <f ca="1">ROUND((VLOOKUP($D562,'Alloc Table Dem'!$B$7:$T$56,15,FALSE)*$E562),0)</f>
        <v>35</v>
      </c>
      <c r="I562" s="26">
        <f ca="1">ROUND((VLOOKUP($D562,'Alloc Table Dem'!$B$7:$T$56,16,FALSE)*$E562),0)</f>
        <v>3</v>
      </c>
      <c r="J562" s="26">
        <f ca="1">ROUND((VLOOKUP($D562,'Alloc Table Dem'!$B$7:$T$56,17,FALSE)*$E562),0)</f>
        <v>21353</v>
      </c>
      <c r="K562" s="26">
        <f ca="1">ROUND((VLOOKUP($D562,'Alloc Table Dem'!$B$7:$T$56,18,FALSE)*$E562),0)</f>
        <v>0</v>
      </c>
      <c r="L562" s="26">
        <f ca="1">ROUND((VLOOKUP($D562,'Alloc Table Dem'!$B$7:$T$56,19,FALSE)*$E562),0)</f>
        <v>0</v>
      </c>
    </row>
    <row r="563" spans="1:12" ht="11.25" x14ac:dyDescent="0.2">
      <c r="A563" s="3">
        <f t="shared" si="73"/>
        <v>21</v>
      </c>
      <c r="B563" s="3"/>
      <c r="C563" s="3" t="s">
        <v>280</v>
      </c>
      <c r="D563" s="325"/>
      <c r="E563" s="1">
        <f t="shared" ref="E563:L563" si="74">SUM(E555:E562)</f>
        <v>1361909.0700000005</v>
      </c>
      <c r="F563" s="3">
        <f t="shared" ca="1" si="74"/>
        <v>530899</v>
      </c>
      <c r="G563" s="3">
        <f t="shared" ca="1" si="74"/>
        <v>359517</v>
      </c>
      <c r="H563" s="3">
        <f t="shared" ca="1" si="74"/>
        <v>776</v>
      </c>
      <c r="I563" s="3">
        <f t="shared" ca="1" si="74"/>
        <v>68</v>
      </c>
      <c r="J563" s="3">
        <f t="shared" ca="1" si="74"/>
        <v>470649</v>
      </c>
      <c r="K563" s="3">
        <f t="shared" ca="1" si="74"/>
        <v>0</v>
      </c>
      <c r="L563" s="3">
        <f t="shared" ca="1" si="74"/>
        <v>0</v>
      </c>
    </row>
    <row r="564" spans="1:12" ht="11.25" x14ac:dyDescent="0.2">
      <c r="A564" s="3" t="s">
        <v>819</v>
      </c>
      <c r="B564" s="3"/>
      <c r="C564" s="3"/>
      <c r="D564" s="325"/>
      <c r="E564" s="3"/>
      <c r="F564" s="325" t="str">
        <f>""&amp;+Input!$B$1</f>
        <v>COLUMBIA GAS OF KENTUCKY, INC.</v>
      </c>
      <c r="H564" s="3"/>
      <c r="I564" s="3"/>
      <c r="J564" s="3"/>
      <c r="K564" s="3"/>
      <c r="L564" s="32" t="str">
        <f>Input!$B$2</f>
        <v>ATTACHMENT CEN-2</v>
      </c>
    </row>
    <row r="565" spans="1:12" ht="11.25" x14ac:dyDescent="0.2">
      <c r="A565" s="3" t="str">
        <f>Input!$B$7</f>
        <v>DEMAND-COMMODITY</v>
      </c>
      <c r="B565" s="3"/>
      <c r="C565" s="3"/>
      <c r="D565" s="325"/>
      <c r="E565" s="3"/>
      <c r="F565" s="325" t="s">
        <v>569</v>
      </c>
      <c r="H565" s="3"/>
      <c r="I565" s="3"/>
      <c r="J565" s="3"/>
      <c r="K565" s="3"/>
      <c r="L565" s="32" t="str">
        <f>"PAGE 120 OF "&amp;FIXED(Input!$B$8,0,TRUE)</f>
        <v>PAGE 120 OF 129</v>
      </c>
    </row>
    <row r="566" spans="1:12" ht="11.25" x14ac:dyDescent="0.2">
      <c r="A566" s="17" t="str">
        <f>Input!$B$6</f>
        <v>FORECASTED TEST YEAR - ORIGINAL FILING</v>
      </c>
      <c r="B566" s="17"/>
      <c r="C566" s="17"/>
      <c r="D566" s="34"/>
      <c r="E566" s="17"/>
      <c r="F566" s="19" t="str">
        <f>"FOR THE TWELVE MONTHS ENDED "&amp;Input!$B$4</f>
        <v>FOR THE TWELVE MONTHS ENDED 12/31/2017</v>
      </c>
      <c r="G566" s="329"/>
      <c r="H566" s="17"/>
      <c r="I566" s="17"/>
      <c r="J566" s="17"/>
      <c r="K566" s="17"/>
      <c r="L566" s="183" t="str">
        <f>"WITNESS: "&amp;Input!$B$5</f>
        <v>WITNESS: C. NOTESTONE</v>
      </c>
    </row>
    <row r="567" spans="1:12" ht="11.25" x14ac:dyDescent="0.2">
      <c r="A567" s="325" t="s">
        <v>5</v>
      </c>
      <c r="B567" s="3" t="s">
        <v>6</v>
      </c>
      <c r="C567" s="3"/>
      <c r="D567" s="325" t="s">
        <v>7</v>
      </c>
      <c r="E567" s="325" t="s">
        <v>8</v>
      </c>
      <c r="F567" s="3"/>
      <c r="G567" s="3"/>
      <c r="H567" s="3"/>
      <c r="I567" s="3"/>
      <c r="J567" s="3"/>
      <c r="K567" s="3"/>
      <c r="L567" s="3"/>
    </row>
    <row r="568" spans="1:12" ht="11.25" x14ac:dyDescent="0.2">
      <c r="A568" s="341" t="s">
        <v>9</v>
      </c>
      <c r="B568" s="341" t="s">
        <v>9</v>
      </c>
      <c r="C568" s="341" t="str">
        <f>"                        ACCOUNT TITLE                "</f>
        <v xml:space="preserve">                        ACCOUNT TITLE                </v>
      </c>
      <c r="D568" s="341" t="s">
        <v>10</v>
      </c>
      <c r="E568" s="341" t="s">
        <v>813</v>
      </c>
      <c r="F568" s="341" t="str">
        <f>"  "&amp;+Input!$C$12</f>
        <v xml:space="preserve">  GS-RESIDENTIAL</v>
      </c>
      <c r="G568" s="341" t="str">
        <f>Input!$C$13</f>
        <v>GS-OTHER</v>
      </c>
      <c r="H568" s="341" t="str">
        <f>Input!$C$14</f>
        <v>IUS</v>
      </c>
      <c r="I568" s="341" t="str">
        <f>Input!$C$15</f>
        <v>DS-ML</v>
      </c>
      <c r="J568" s="341" t="str">
        <f>Input!$C$16</f>
        <v>DS/IS</v>
      </c>
      <c r="K568" s="26" t="str">
        <f>Input!$C$17</f>
        <v>NOT USED</v>
      </c>
      <c r="L568" s="26" t="str">
        <f>Input!$C$18</f>
        <v>NOT USED</v>
      </c>
    </row>
    <row r="569" spans="1:12" ht="11.25" x14ac:dyDescent="0.2">
      <c r="A569" s="3"/>
      <c r="B569" s="342" t="s">
        <v>13</v>
      </c>
      <c r="C569" s="342" t="s">
        <v>14</v>
      </c>
      <c r="D569" s="325" t="s">
        <v>15</v>
      </c>
      <c r="E569" s="325" t="s">
        <v>16</v>
      </c>
      <c r="F569" s="325" t="s">
        <v>17</v>
      </c>
      <c r="G569" s="325" t="s">
        <v>18</v>
      </c>
      <c r="H569" s="325" t="s">
        <v>19</v>
      </c>
      <c r="I569" s="325" t="s">
        <v>20</v>
      </c>
      <c r="J569" s="325" t="s">
        <v>21</v>
      </c>
      <c r="K569" s="325" t="s">
        <v>22</v>
      </c>
      <c r="L569" s="325" t="s">
        <v>23</v>
      </c>
    </row>
    <row r="570" spans="1:12" ht="11.25" x14ac:dyDescent="0.2">
      <c r="A570" s="3"/>
      <c r="B570" s="3"/>
      <c r="C570" s="3"/>
      <c r="D570" s="325"/>
      <c r="E570" s="325" t="s">
        <v>26</v>
      </c>
      <c r="F570" s="325" t="s">
        <v>26</v>
      </c>
      <c r="G570" s="325" t="s">
        <v>26</v>
      </c>
      <c r="H570" s="325" t="s">
        <v>26</v>
      </c>
      <c r="I570" s="325" t="s">
        <v>26</v>
      </c>
      <c r="J570" s="325" t="s">
        <v>26</v>
      </c>
      <c r="K570" s="325" t="s">
        <v>26</v>
      </c>
      <c r="L570" s="325" t="s">
        <v>26</v>
      </c>
    </row>
    <row r="571" spans="1:12" ht="11.25" x14ac:dyDescent="0.2">
      <c r="A571" s="3">
        <v>1</v>
      </c>
      <c r="B571" s="3"/>
      <c r="C571" s="3" t="str">
        <f>Input!A414</f>
        <v>CUSTOMER ACCOUNTS</v>
      </c>
      <c r="D571" s="325"/>
      <c r="E571" s="3"/>
      <c r="F571" s="3"/>
      <c r="G571" s="3"/>
      <c r="H571" s="3"/>
      <c r="I571" s="3"/>
      <c r="J571" s="3"/>
      <c r="K571" s="3"/>
      <c r="L571" s="3"/>
    </row>
    <row r="572" spans="1:12" ht="11.25" x14ac:dyDescent="0.2">
      <c r="A572" s="3"/>
      <c r="B572" s="3"/>
      <c r="C572" s="3"/>
      <c r="D572" s="325"/>
      <c r="E572" s="3"/>
      <c r="F572" s="3"/>
      <c r="G572" s="3"/>
      <c r="H572" s="3"/>
      <c r="I572" s="3"/>
      <c r="J572" s="3"/>
      <c r="K572" s="3"/>
      <c r="L572" s="3"/>
    </row>
    <row r="573" spans="1:12" ht="11.25" x14ac:dyDescent="0.2">
      <c r="A573" s="3">
        <f>A571+1</f>
        <v>2</v>
      </c>
      <c r="B573" s="3" t="str">
        <f>Input!A415</f>
        <v>901</v>
      </c>
      <c r="C573" s="3" t="str">
        <f>Input!B415</f>
        <v>SUPERVISION</v>
      </c>
      <c r="D573" s="325">
        <f>Input!C415</f>
        <v>6</v>
      </c>
      <c r="E573" s="3">
        <f>Classification!E573-Classification!F573-Classification!G573</f>
        <v>0</v>
      </c>
      <c r="F573" s="3">
        <f>ROUND((VLOOKUP($D573,'Alloc Table Dem'!$B$7:$T$56,13,FALSE)*$E573),0)</f>
        <v>0</v>
      </c>
      <c r="G573" s="3">
        <f>ROUND((VLOOKUP($D573,'Alloc Table Dem'!$B$7:$T$56,14,FALSE)*$E573),0)</f>
        <v>0</v>
      </c>
      <c r="H573" s="3">
        <f>ROUND((VLOOKUP($D573,'Alloc Table Dem'!$B$7:$T$56,15,FALSE)*$E573),0)</f>
        <v>0</v>
      </c>
      <c r="I573" s="3">
        <f>ROUND((VLOOKUP($D573,'Alloc Table Dem'!$B$7:$T$56,16,FALSE)*$E573),0)</f>
        <v>0</v>
      </c>
      <c r="J573" s="3">
        <f>ROUND((VLOOKUP($D573,'Alloc Table Dem'!$B$7:$T$56,17,FALSE)*$E573),0)</f>
        <v>0</v>
      </c>
      <c r="K573" s="3">
        <f>ROUND((VLOOKUP($D573,'Alloc Table Dem'!$B$7:$T$56,18,FALSE)*$E573),0)</f>
        <v>0</v>
      </c>
      <c r="L573" s="3">
        <f>ROUND((VLOOKUP($D573,'Alloc Table Dem'!$B$7:$T$56,19,FALSE)*$E573),0)</f>
        <v>0</v>
      </c>
    </row>
    <row r="574" spans="1:12" ht="11.25" x14ac:dyDescent="0.2">
      <c r="A574" s="3">
        <f t="shared" ref="A574:A582" si="75">A573+1</f>
        <v>3</v>
      </c>
      <c r="B574" s="3" t="str">
        <f>Input!A416</f>
        <v>902</v>
      </c>
      <c r="C574" s="3" t="str">
        <f>Input!B416</f>
        <v>METER READING</v>
      </c>
      <c r="D574" s="325">
        <f>Input!C416</f>
        <v>6</v>
      </c>
      <c r="E574" s="3">
        <f>Classification!E574-Classification!F574-Classification!G574</f>
        <v>0</v>
      </c>
      <c r="F574" s="3">
        <f>ROUND((VLOOKUP($D574,'Alloc Table Dem'!$B$7:$T$56,13,FALSE)*$E574),0)</f>
        <v>0</v>
      </c>
      <c r="G574" s="3">
        <f>ROUND((VLOOKUP($D574,'Alloc Table Dem'!$B$7:$T$56,14,FALSE)*$E574),0)</f>
        <v>0</v>
      </c>
      <c r="H574" s="3">
        <f>ROUND((VLOOKUP($D574,'Alloc Table Dem'!$B$7:$T$56,15,FALSE)*$E574),0)</f>
        <v>0</v>
      </c>
      <c r="I574" s="3">
        <f>ROUND((VLOOKUP($D574,'Alloc Table Dem'!$B$7:$T$56,16,FALSE)*$E574),0)</f>
        <v>0</v>
      </c>
      <c r="J574" s="3">
        <f>ROUND((VLOOKUP($D574,'Alloc Table Dem'!$B$7:$T$56,17,FALSE)*$E574),0)</f>
        <v>0</v>
      </c>
      <c r="K574" s="3">
        <f>ROUND((VLOOKUP($D574,'Alloc Table Dem'!$B$7:$T$56,18,FALSE)*$E574),0)</f>
        <v>0</v>
      </c>
      <c r="L574" s="3">
        <f>ROUND((VLOOKUP($D574,'Alloc Table Dem'!$B$7:$T$56,19,FALSE)*$E574),0)</f>
        <v>0</v>
      </c>
    </row>
    <row r="575" spans="1:12" ht="11.25" x14ac:dyDescent="0.2">
      <c r="A575" s="3">
        <f t="shared" si="75"/>
        <v>4</v>
      </c>
      <c r="B575" s="3" t="str">
        <f>Input!A417</f>
        <v>903</v>
      </c>
      <c r="C575" s="3" t="str">
        <f>Input!B417</f>
        <v>CUSTOMER RECORDS &amp; COLLECTIONS</v>
      </c>
      <c r="D575" s="325">
        <f>Input!C417</f>
        <v>6</v>
      </c>
      <c r="E575" s="3">
        <f>Classification!E575-Classification!F575-Classification!G575</f>
        <v>0</v>
      </c>
      <c r="F575" s="3">
        <f>ROUND((VLOOKUP($D575,'Alloc Table Dem'!$B$7:$T$56,13,FALSE)*$E575),0)</f>
        <v>0</v>
      </c>
      <c r="G575" s="3">
        <f>ROUND((VLOOKUP($D575,'Alloc Table Dem'!$B$7:$T$56,14,FALSE)*$E575),0)</f>
        <v>0</v>
      </c>
      <c r="H575" s="3">
        <f>ROUND((VLOOKUP($D575,'Alloc Table Dem'!$B$7:$T$56,15,FALSE)*$E575),0)</f>
        <v>0</v>
      </c>
      <c r="I575" s="3">
        <f>ROUND((VLOOKUP($D575,'Alloc Table Dem'!$B$7:$T$56,16,FALSE)*$E575),0)</f>
        <v>0</v>
      </c>
      <c r="J575" s="3">
        <f>ROUND((VLOOKUP($D575,'Alloc Table Dem'!$B$7:$T$56,17,FALSE)*$E575),0)</f>
        <v>0</v>
      </c>
      <c r="K575" s="3">
        <f>ROUND((VLOOKUP($D575,'Alloc Table Dem'!$B$7:$T$56,18,FALSE)*$E575),0)</f>
        <v>0</v>
      </c>
      <c r="L575" s="3">
        <f>ROUND((VLOOKUP($D575,'Alloc Table Dem'!$B$7:$T$56,19,FALSE)*$E575),0)</f>
        <v>0</v>
      </c>
    </row>
    <row r="576" spans="1:12" ht="11.25" x14ac:dyDescent="0.2">
      <c r="A576" s="3">
        <f t="shared" si="75"/>
        <v>5</v>
      </c>
      <c r="B576" s="3" t="str">
        <f>Input!A419</f>
        <v>904</v>
      </c>
      <c r="C576" s="3" t="str">
        <f>Input!B419</f>
        <v>UNCOLLECTIBLE ACCOUNTS</v>
      </c>
      <c r="D576" s="325">
        <f>Input!C419</f>
        <v>21</v>
      </c>
      <c r="E576" s="3">
        <f>Classification!E576-Classification!F576-Classification!G576</f>
        <v>0</v>
      </c>
      <c r="F576" s="3">
        <f>ROUND((VLOOKUP($D576,'Alloc Table Dem'!$B$7:$T$56,13,FALSE)*$E576),0)</f>
        <v>0</v>
      </c>
      <c r="G576" s="3">
        <f>ROUND((VLOOKUP($D576,'Alloc Table Dem'!$B$7:$T$56,14,FALSE)*$E576),0)</f>
        <v>0</v>
      </c>
      <c r="H576" s="3">
        <f>ROUND((VLOOKUP($D576,'Alloc Table Dem'!$B$7:$T$56,15,FALSE)*$E576),0)</f>
        <v>0</v>
      </c>
      <c r="I576" s="3">
        <f>ROUND((VLOOKUP($D576,'Alloc Table Dem'!$B$7:$T$56,16,FALSE)*$E576),0)</f>
        <v>0</v>
      </c>
      <c r="J576" s="3">
        <f>ROUND((VLOOKUP($D576,'Alloc Table Dem'!$B$7:$T$56,17,FALSE)*$E576),0)</f>
        <v>0</v>
      </c>
      <c r="K576" s="3">
        <f>ROUND((VLOOKUP($D576,'Alloc Table Dem'!$B$7:$T$56,18,FALSE)*$E576),0)</f>
        <v>0</v>
      </c>
      <c r="L576" s="3">
        <f>ROUND((VLOOKUP($D576,'Alloc Table Dem'!$B$7:$T$56,19,FALSE)*$E576),0)</f>
        <v>0</v>
      </c>
    </row>
    <row r="577" spans="1:12" ht="11.25" x14ac:dyDescent="0.2">
      <c r="A577" s="3">
        <f t="shared" si="75"/>
        <v>6</v>
      </c>
      <c r="B577" s="3" t="str">
        <f>Input!A420</f>
        <v>905</v>
      </c>
      <c r="C577" s="3" t="str">
        <f>Input!B420</f>
        <v>MISC.</v>
      </c>
      <c r="D577" s="325">
        <f>Input!C420</f>
        <v>6</v>
      </c>
      <c r="E577" s="3">
        <f>Classification!E577-Classification!F577-Classification!G577</f>
        <v>0</v>
      </c>
      <c r="F577" s="3">
        <f>ROUND((VLOOKUP($D577,'Alloc Table Dem'!$B$7:$T$56,13,FALSE)*$E577),0)</f>
        <v>0</v>
      </c>
      <c r="G577" s="3">
        <f>ROUND((VLOOKUP($D577,'Alloc Table Dem'!$B$7:$T$56,14,FALSE)*$E577),0)</f>
        <v>0</v>
      </c>
      <c r="H577" s="3">
        <f>ROUND((VLOOKUP($D577,'Alloc Table Dem'!$B$7:$T$56,15,FALSE)*$E577),0)</f>
        <v>0</v>
      </c>
      <c r="I577" s="3">
        <f>ROUND((VLOOKUP($D577,'Alloc Table Dem'!$B$7:$T$56,16,FALSE)*$E577),0)</f>
        <v>0</v>
      </c>
      <c r="J577" s="3">
        <f>ROUND((VLOOKUP($D577,'Alloc Table Dem'!$B$7:$T$56,17,FALSE)*$E577),0)</f>
        <v>0</v>
      </c>
      <c r="K577" s="3">
        <f>ROUND((VLOOKUP($D577,'Alloc Table Dem'!$B$7:$T$56,18,FALSE)*$E577),0)</f>
        <v>0</v>
      </c>
      <c r="L577" s="3">
        <f>ROUND((VLOOKUP($D577,'Alloc Table Dem'!$B$7:$T$56,19,FALSE)*$E577),0)</f>
        <v>0</v>
      </c>
    </row>
    <row r="578" spans="1:12" ht="11.25" x14ac:dyDescent="0.2">
      <c r="A578" s="3">
        <f t="shared" si="75"/>
        <v>7</v>
      </c>
      <c r="B578" s="3" t="str">
        <f>Input!A421</f>
        <v>920</v>
      </c>
      <c r="C578" s="3" t="str">
        <f>Input!B421</f>
        <v>SALARIES</v>
      </c>
      <c r="D578" s="325">
        <f>Input!C421</f>
        <v>6</v>
      </c>
      <c r="E578" s="3">
        <f>Classification!E578-Classification!F578-Classification!G578</f>
        <v>0</v>
      </c>
      <c r="F578" s="3">
        <f>ROUND((VLOOKUP($D578,'Alloc Table Dem'!$B$7:$T$56,13,FALSE)*$E578),0)</f>
        <v>0</v>
      </c>
      <c r="G578" s="3">
        <f>ROUND((VLOOKUP($D578,'Alloc Table Dem'!$B$7:$T$56,14,FALSE)*$E578),0)</f>
        <v>0</v>
      </c>
      <c r="H578" s="3">
        <f>ROUND((VLOOKUP($D578,'Alloc Table Dem'!$B$7:$T$56,15,FALSE)*$E578),0)</f>
        <v>0</v>
      </c>
      <c r="I578" s="3">
        <f>ROUND((VLOOKUP($D578,'Alloc Table Dem'!$B$7:$T$56,16,FALSE)*$E578),0)</f>
        <v>0</v>
      </c>
      <c r="J578" s="3">
        <f>ROUND((VLOOKUP($D578,'Alloc Table Dem'!$B$7:$T$56,17,FALSE)*$E578),0)</f>
        <v>0</v>
      </c>
      <c r="K578" s="3">
        <f>ROUND((VLOOKUP($D578,'Alloc Table Dem'!$B$7:$T$56,18,FALSE)*$E578),0)</f>
        <v>0</v>
      </c>
      <c r="L578" s="3">
        <f>ROUND((VLOOKUP($D578,'Alloc Table Dem'!$B$7:$T$56,19,FALSE)*$E578),0)</f>
        <v>0</v>
      </c>
    </row>
    <row r="579" spans="1:12" ht="11.25" x14ac:dyDescent="0.2">
      <c r="A579" s="3">
        <f t="shared" si="75"/>
        <v>8</v>
      </c>
      <c r="B579" s="3" t="str">
        <f>Input!A422</f>
        <v>921</v>
      </c>
      <c r="C579" s="3" t="str">
        <f>Input!B422</f>
        <v>OFFICE SUPPLIES AND EXPENSE</v>
      </c>
      <c r="D579" s="325">
        <f>Input!C422</f>
        <v>6</v>
      </c>
      <c r="E579" s="3">
        <f>Classification!E579-Classification!F579-Classification!G579</f>
        <v>0</v>
      </c>
      <c r="F579" s="3">
        <f>ROUND((VLOOKUP($D579,'Alloc Table Dem'!$B$7:$T$56,13,FALSE)*$E579),0)</f>
        <v>0</v>
      </c>
      <c r="G579" s="3">
        <f>ROUND((VLOOKUP($D579,'Alloc Table Dem'!$B$7:$T$56,14,FALSE)*$E579),0)</f>
        <v>0</v>
      </c>
      <c r="H579" s="3">
        <f>ROUND((VLOOKUP($D579,'Alloc Table Dem'!$B$7:$T$56,15,FALSE)*$E579),0)</f>
        <v>0</v>
      </c>
      <c r="I579" s="3">
        <f>ROUND((VLOOKUP($D579,'Alloc Table Dem'!$B$7:$T$56,16,FALSE)*$E579),0)</f>
        <v>0</v>
      </c>
      <c r="J579" s="3">
        <f>ROUND((VLOOKUP($D579,'Alloc Table Dem'!$B$7:$T$56,17,FALSE)*$E579),0)</f>
        <v>0</v>
      </c>
      <c r="K579" s="3">
        <f>ROUND((VLOOKUP($D579,'Alloc Table Dem'!$B$7:$T$56,18,FALSE)*$E579),0)</f>
        <v>0</v>
      </c>
      <c r="L579" s="3">
        <f>ROUND((VLOOKUP($D579,'Alloc Table Dem'!$B$7:$T$56,19,FALSE)*$E579),0)</f>
        <v>0</v>
      </c>
    </row>
    <row r="580" spans="1:12" ht="11.25" x14ac:dyDescent="0.2">
      <c r="A580" s="3">
        <f t="shared" si="75"/>
        <v>9</v>
      </c>
      <c r="B580" s="3" t="str">
        <f>Input!A423</f>
        <v>931</v>
      </c>
      <c r="C580" s="3" t="str">
        <f>Input!B423</f>
        <v>RENTS</v>
      </c>
      <c r="D580" s="325">
        <f>Input!C423</f>
        <v>6</v>
      </c>
      <c r="E580" s="3">
        <f>Classification!E580-Classification!F580-Classification!G580</f>
        <v>0</v>
      </c>
      <c r="F580" s="3">
        <f>ROUND((VLOOKUP($D580,'Alloc Table Dem'!$B$7:$T$56,13,FALSE)*$E580),0)</f>
        <v>0</v>
      </c>
      <c r="G580" s="3">
        <f>ROUND((VLOOKUP($D580,'Alloc Table Dem'!$B$7:$T$56,14,FALSE)*$E580),0)</f>
        <v>0</v>
      </c>
      <c r="H580" s="3">
        <f>ROUND((VLOOKUP($D580,'Alloc Table Dem'!$B$7:$T$56,15,FALSE)*$E580),0)</f>
        <v>0</v>
      </c>
      <c r="I580" s="3">
        <f>ROUND((VLOOKUP($D580,'Alloc Table Dem'!$B$7:$T$56,16,FALSE)*$E580),0)</f>
        <v>0</v>
      </c>
      <c r="J580" s="3">
        <f>ROUND((VLOOKUP($D580,'Alloc Table Dem'!$B$7:$T$56,17,FALSE)*$E580),0)</f>
        <v>0</v>
      </c>
      <c r="K580" s="3">
        <f>ROUND((VLOOKUP($D580,'Alloc Table Dem'!$B$7:$T$56,18,FALSE)*$E580),0)</f>
        <v>0</v>
      </c>
      <c r="L580" s="3">
        <f>ROUND((VLOOKUP($D580,'Alloc Table Dem'!$B$7:$T$56,19,FALSE)*$E580),0)</f>
        <v>0</v>
      </c>
    </row>
    <row r="581" spans="1:12" ht="11.25" x14ac:dyDescent="0.2">
      <c r="A581" s="3">
        <f t="shared" si="75"/>
        <v>10</v>
      </c>
      <c r="B581" s="3" t="str">
        <f>Input!A424</f>
        <v>935</v>
      </c>
      <c r="C581" s="3" t="str">
        <f>Input!B424</f>
        <v>GENERAL PLANT MAINTENANCE</v>
      </c>
      <c r="D581" s="325">
        <f>Input!C424</f>
        <v>6</v>
      </c>
      <c r="E581" s="26">
        <f>Classification!E581-Classification!F581-Classification!G581</f>
        <v>0</v>
      </c>
      <c r="F581" s="26">
        <f>ROUND((VLOOKUP($D581,'Alloc Table Dem'!$B$7:$T$56,13,FALSE)*$E581),0)</f>
        <v>0</v>
      </c>
      <c r="G581" s="26">
        <f>ROUND((VLOOKUP($D581,'Alloc Table Dem'!$B$7:$T$56,14,FALSE)*$E581),0)</f>
        <v>0</v>
      </c>
      <c r="H581" s="26">
        <f>ROUND((VLOOKUP($D581,'Alloc Table Dem'!$B$7:$T$56,15,FALSE)*$E581),0)</f>
        <v>0</v>
      </c>
      <c r="I581" s="26">
        <f>ROUND((VLOOKUP($D581,'Alloc Table Dem'!$B$7:$T$56,16,FALSE)*$E581),0)</f>
        <v>0</v>
      </c>
      <c r="J581" s="26">
        <f>ROUND((VLOOKUP($D581,'Alloc Table Dem'!$B$7:$T$56,17,FALSE)*$E581),0)</f>
        <v>0</v>
      </c>
      <c r="K581" s="26">
        <f>ROUND((VLOOKUP($D581,'Alloc Table Dem'!$B$7:$T$56,18,FALSE)*$E581),0)</f>
        <v>0</v>
      </c>
      <c r="L581" s="26">
        <f>ROUND((VLOOKUP($D581,'Alloc Table Dem'!$B$7:$T$56,19,FALSE)*$E581),0)</f>
        <v>0</v>
      </c>
    </row>
    <row r="582" spans="1:12" ht="11.25" x14ac:dyDescent="0.2">
      <c r="A582" s="3">
        <f t="shared" si="75"/>
        <v>11</v>
      </c>
      <c r="B582" s="3"/>
      <c r="C582" s="3" t="s">
        <v>301</v>
      </c>
      <c r="D582" s="325"/>
      <c r="E582" s="1">
        <f t="shared" ref="E582:L582" si="76">SUM(E573:E581)</f>
        <v>0</v>
      </c>
      <c r="F582" s="3">
        <f t="shared" si="76"/>
        <v>0</v>
      </c>
      <c r="G582" s="3">
        <f t="shared" si="76"/>
        <v>0</v>
      </c>
      <c r="H582" s="3">
        <f t="shared" si="76"/>
        <v>0</v>
      </c>
      <c r="I582" s="3">
        <f t="shared" si="76"/>
        <v>0</v>
      </c>
      <c r="J582" s="3">
        <f t="shared" si="76"/>
        <v>0</v>
      </c>
      <c r="K582" s="3">
        <f t="shared" si="76"/>
        <v>0</v>
      </c>
      <c r="L582" s="3">
        <f t="shared" si="76"/>
        <v>0</v>
      </c>
    </row>
    <row r="583" spans="1:12" ht="11.25" x14ac:dyDescent="0.2">
      <c r="A583" s="3"/>
      <c r="B583" s="3"/>
      <c r="C583" s="3"/>
      <c r="D583" s="325"/>
      <c r="E583" s="1"/>
      <c r="F583" s="3"/>
      <c r="G583" s="3"/>
      <c r="H583" s="3"/>
      <c r="I583" s="3"/>
      <c r="J583" s="3"/>
      <c r="K583" s="3"/>
      <c r="L583" s="3"/>
    </row>
    <row r="584" spans="1:12" ht="11.25" x14ac:dyDescent="0.2">
      <c r="A584" s="3">
        <f>A582+1</f>
        <v>12</v>
      </c>
      <c r="B584" s="3"/>
      <c r="C584" s="3" t="str">
        <f>Input!A425</f>
        <v>CUSTOMER SERVICE &amp; INFORMATIONAL</v>
      </c>
      <c r="D584" s="325"/>
      <c r="E584" s="1"/>
      <c r="F584" s="3"/>
      <c r="G584" s="3"/>
      <c r="H584" s="3"/>
      <c r="I584" s="3"/>
      <c r="J584" s="3"/>
      <c r="K584" s="3"/>
      <c r="L584" s="3"/>
    </row>
    <row r="585" spans="1:12" ht="11.25" x14ac:dyDescent="0.2">
      <c r="A585" s="3"/>
      <c r="B585" s="3"/>
      <c r="C585" s="3"/>
      <c r="D585" s="325"/>
      <c r="E585" s="1"/>
      <c r="F585" s="3"/>
      <c r="G585" s="3"/>
      <c r="H585" s="3"/>
      <c r="I585" s="3"/>
      <c r="J585" s="3"/>
      <c r="K585" s="3"/>
      <c r="L585" s="3"/>
    </row>
    <row r="586" spans="1:12" ht="11.25" x14ac:dyDescent="0.2">
      <c r="A586" s="3">
        <f>A584+1</f>
        <v>13</v>
      </c>
      <c r="B586" s="3" t="str">
        <f>Input!A426</f>
        <v>907</v>
      </c>
      <c r="C586" s="3" t="str">
        <f>Input!B426</f>
        <v>SUPERVISION</v>
      </c>
      <c r="D586" s="325">
        <f>Input!C426</f>
        <v>6</v>
      </c>
      <c r="E586" s="3">
        <f>Classification!E586-Classification!F586-Classification!G586</f>
        <v>1.8189894035458565E-12</v>
      </c>
      <c r="F586" s="3">
        <f>ROUND((VLOOKUP($D586,'Alloc Table Dem'!$B$7:$T$56,13,FALSE)*$E586),0)</f>
        <v>0</v>
      </c>
      <c r="G586" s="3">
        <f>ROUND((VLOOKUP($D586,'Alloc Table Dem'!$B$7:$T$56,14,FALSE)*$E586),0)</f>
        <v>0</v>
      </c>
      <c r="H586" s="3">
        <f>ROUND((VLOOKUP($D586,'Alloc Table Dem'!$B$7:$T$56,15,FALSE)*$E586),0)</f>
        <v>0</v>
      </c>
      <c r="I586" s="3">
        <f>ROUND((VLOOKUP($D586,'Alloc Table Dem'!$B$7:$T$56,16,FALSE)*$E586),0)</f>
        <v>0</v>
      </c>
      <c r="J586" s="3">
        <f>ROUND((VLOOKUP($D586,'Alloc Table Dem'!$B$7:$T$56,17,FALSE)*$E586),0)</f>
        <v>0</v>
      </c>
      <c r="K586" s="3">
        <f>ROUND((VLOOKUP($D586,'Alloc Table Dem'!$B$7:$T$56,18,FALSE)*$E586),0)</f>
        <v>0</v>
      </c>
      <c r="L586" s="3">
        <f>ROUND((VLOOKUP($D586,'Alloc Table Dem'!$B$7:$T$56,19,FALSE)*$E586),0)</f>
        <v>0</v>
      </c>
    </row>
    <row r="587" spans="1:12" ht="11.25" x14ac:dyDescent="0.2">
      <c r="A587" s="3">
        <f t="shared" ref="A587:A593" si="77">A586+1</f>
        <v>14</v>
      </c>
      <c r="B587" s="3" t="str">
        <f>Input!A428</f>
        <v>908</v>
      </c>
      <c r="C587" s="3" t="str">
        <f>Input!B428</f>
        <v>CUSTOMER ASSISTANCE</v>
      </c>
      <c r="D587" s="325">
        <f>Input!C428</f>
        <v>6</v>
      </c>
      <c r="E587" s="3">
        <f>Classification!E587-Classification!F587-Classification!G587</f>
        <v>-4.6566128730773926E-10</v>
      </c>
      <c r="F587" s="3">
        <f>ROUND((VLOOKUP($D587,'Alloc Table Dem'!$B$7:$T$56,13,FALSE)*$E587),0)</f>
        <v>0</v>
      </c>
      <c r="G587" s="3">
        <f>ROUND((VLOOKUP($D587,'Alloc Table Dem'!$B$7:$T$56,14,FALSE)*$E587),0)</f>
        <v>0</v>
      </c>
      <c r="H587" s="3">
        <f>ROUND((VLOOKUP($D587,'Alloc Table Dem'!$B$7:$T$56,15,FALSE)*$E587),0)</f>
        <v>0</v>
      </c>
      <c r="I587" s="3">
        <f>ROUND((VLOOKUP($D587,'Alloc Table Dem'!$B$7:$T$56,16,FALSE)*$E587),0)</f>
        <v>0</v>
      </c>
      <c r="J587" s="3">
        <f>ROUND((VLOOKUP($D587,'Alloc Table Dem'!$B$7:$T$56,17,FALSE)*$E587),0)</f>
        <v>0</v>
      </c>
      <c r="K587" s="3">
        <f>ROUND((VLOOKUP($D587,'Alloc Table Dem'!$B$7:$T$56,18,FALSE)*$E587),0)</f>
        <v>0</v>
      </c>
      <c r="L587" s="3">
        <f>ROUND((VLOOKUP($D587,'Alloc Table Dem'!$B$7:$T$56,19,FALSE)*$E587),0)</f>
        <v>0</v>
      </c>
    </row>
    <row r="588" spans="1:12" ht="11.25" x14ac:dyDescent="0.2">
      <c r="A588" s="3">
        <f t="shared" si="77"/>
        <v>15</v>
      </c>
      <c r="B588" s="3" t="str">
        <f>Input!A430</f>
        <v>909</v>
      </c>
      <c r="C588" s="3" t="str">
        <f>Input!B430</f>
        <v>INFO. &amp; INSTRUCTIONAL</v>
      </c>
      <c r="D588" s="325">
        <f>Input!C430</f>
        <v>6</v>
      </c>
      <c r="E588" s="3">
        <f>Classification!E588-Classification!F588-Classification!G588</f>
        <v>0</v>
      </c>
      <c r="F588" s="3">
        <f>ROUND((VLOOKUP($D588,'Alloc Table Dem'!$B$7:$T$56,13,FALSE)*$E588),0)</f>
        <v>0</v>
      </c>
      <c r="G588" s="3">
        <f>ROUND((VLOOKUP($D588,'Alloc Table Dem'!$B$7:$T$56,14,FALSE)*$E588),0)</f>
        <v>0</v>
      </c>
      <c r="H588" s="3">
        <f>ROUND((VLOOKUP($D588,'Alloc Table Dem'!$B$7:$T$56,15,FALSE)*$E588),0)</f>
        <v>0</v>
      </c>
      <c r="I588" s="3">
        <f>ROUND((VLOOKUP($D588,'Alloc Table Dem'!$B$7:$T$56,16,FALSE)*$E588),0)</f>
        <v>0</v>
      </c>
      <c r="J588" s="3">
        <f>ROUND((VLOOKUP($D588,'Alloc Table Dem'!$B$7:$T$56,17,FALSE)*$E588),0)</f>
        <v>0</v>
      </c>
      <c r="K588" s="3">
        <f>ROUND((VLOOKUP($D588,'Alloc Table Dem'!$B$7:$T$56,18,FALSE)*$E588),0)</f>
        <v>0</v>
      </c>
      <c r="L588" s="3">
        <f>ROUND((VLOOKUP($D588,'Alloc Table Dem'!$B$7:$T$56,19,FALSE)*$E588),0)</f>
        <v>0</v>
      </c>
    </row>
    <row r="589" spans="1:12" ht="11.25" x14ac:dyDescent="0.2">
      <c r="A589" s="3">
        <f t="shared" si="77"/>
        <v>16</v>
      </c>
      <c r="B589" s="3" t="str">
        <f>Input!A431</f>
        <v>910</v>
      </c>
      <c r="C589" s="3" t="str">
        <f>Input!B431</f>
        <v>MISCELLANEOUS</v>
      </c>
      <c r="D589" s="325">
        <f>Input!C431</f>
        <v>6</v>
      </c>
      <c r="E589" s="3">
        <f>Classification!E589-Classification!F589-Classification!G589</f>
        <v>0</v>
      </c>
      <c r="F589" s="3">
        <f>ROUND((VLOOKUP($D589,'Alloc Table Dem'!$B$7:$T$56,13,FALSE)*$E589),0)</f>
        <v>0</v>
      </c>
      <c r="G589" s="3">
        <f>ROUND((VLOOKUP($D589,'Alloc Table Dem'!$B$7:$T$56,14,FALSE)*$E589),0)</f>
        <v>0</v>
      </c>
      <c r="H589" s="3">
        <f>ROUND((VLOOKUP($D589,'Alloc Table Dem'!$B$7:$T$56,15,FALSE)*$E589),0)</f>
        <v>0</v>
      </c>
      <c r="I589" s="3">
        <f>ROUND((VLOOKUP($D589,'Alloc Table Dem'!$B$7:$T$56,16,FALSE)*$E589),0)</f>
        <v>0</v>
      </c>
      <c r="J589" s="3">
        <f>ROUND((VLOOKUP($D589,'Alloc Table Dem'!$B$7:$T$56,17,FALSE)*$E589),0)</f>
        <v>0</v>
      </c>
      <c r="K589" s="3">
        <f>ROUND((VLOOKUP($D589,'Alloc Table Dem'!$B$7:$T$56,18,FALSE)*$E589),0)</f>
        <v>0</v>
      </c>
      <c r="L589" s="3">
        <f>ROUND((VLOOKUP($D589,'Alloc Table Dem'!$B$7:$T$56,19,FALSE)*$E589),0)</f>
        <v>0</v>
      </c>
    </row>
    <row r="590" spans="1:12" ht="11.25" x14ac:dyDescent="0.2">
      <c r="A590" s="3">
        <f t="shared" si="77"/>
        <v>17</v>
      </c>
      <c r="B590" s="3" t="str">
        <f>Input!A432</f>
        <v>920</v>
      </c>
      <c r="C590" s="3" t="str">
        <f>Input!B432</f>
        <v>SALARIES</v>
      </c>
      <c r="D590" s="325">
        <f>Input!C432</f>
        <v>6</v>
      </c>
      <c r="E590" s="3">
        <f>Classification!E590-Classification!F590-Classification!G590</f>
        <v>0</v>
      </c>
      <c r="F590" s="3">
        <f>ROUND((VLOOKUP($D590,'Alloc Table Dem'!$B$7:$T$56,13,FALSE)*$E590),0)</f>
        <v>0</v>
      </c>
      <c r="G590" s="3">
        <f>ROUND((VLOOKUP($D590,'Alloc Table Dem'!$B$7:$T$56,14,FALSE)*$E590),0)</f>
        <v>0</v>
      </c>
      <c r="H590" s="3">
        <f>ROUND((VLOOKUP($D590,'Alloc Table Dem'!$B$7:$T$56,15,FALSE)*$E590),0)</f>
        <v>0</v>
      </c>
      <c r="I590" s="3">
        <f>ROUND((VLOOKUP($D590,'Alloc Table Dem'!$B$7:$T$56,16,FALSE)*$E590),0)</f>
        <v>0</v>
      </c>
      <c r="J590" s="3">
        <f>ROUND((VLOOKUP($D590,'Alloc Table Dem'!$B$7:$T$56,17,FALSE)*$E590),0)</f>
        <v>0</v>
      </c>
      <c r="K590" s="3">
        <f>ROUND((VLOOKUP($D590,'Alloc Table Dem'!$B$7:$T$56,18,FALSE)*$E590),0)</f>
        <v>0</v>
      </c>
      <c r="L590" s="3">
        <f>ROUND((VLOOKUP($D590,'Alloc Table Dem'!$B$7:$T$56,19,FALSE)*$E590),0)</f>
        <v>0</v>
      </c>
    </row>
    <row r="591" spans="1:12" ht="11.25" x14ac:dyDescent="0.2">
      <c r="A591" s="3">
        <f t="shared" si="77"/>
        <v>18</v>
      </c>
      <c r="B591" s="3" t="str">
        <f>Input!A433</f>
        <v>921</v>
      </c>
      <c r="C591" s="3" t="str">
        <f>Input!B433</f>
        <v>OFFICE SUPPLIES AND EXPENSE</v>
      </c>
      <c r="D591" s="325">
        <f>Input!C433</f>
        <v>6</v>
      </c>
      <c r="E591" s="3">
        <f>Classification!E591-Classification!F591-Classification!G591</f>
        <v>0</v>
      </c>
      <c r="F591" s="3">
        <f>ROUND((VLOOKUP($D591,'Alloc Table Dem'!$B$7:$T$56,13,FALSE)*$E591),0)</f>
        <v>0</v>
      </c>
      <c r="G591" s="3">
        <f>ROUND((VLOOKUP($D591,'Alloc Table Dem'!$B$7:$T$56,14,FALSE)*$E591),0)</f>
        <v>0</v>
      </c>
      <c r="H591" s="3">
        <f>ROUND((VLOOKUP($D591,'Alloc Table Dem'!$B$7:$T$56,15,FALSE)*$E591),0)</f>
        <v>0</v>
      </c>
      <c r="I591" s="3">
        <f>ROUND((VLOOKUP($D591,'Alloc Table Dem'!$B$7:$T$56,16,FALSE)*$E591),0)</f>
        <v>0</v>
      </c>
      <c r="J591" s="3">
        <f>ROUND((VLOOKUP($D591,'Alloc Table Dem'!$B$7:$T$56,17,FALSE)*$E591),0)</f>
        <v>0</v>
      </c>
      <c r="K591" s="3">
        <f>ROUND((VLOOKUP($D591,'Alloc Table Dem'!$B$7:$T$56,18,FALSE)*$E591),0)</f>
        <v>0</v>
      </c>
      <c r="L591" s="3">
        <f>ROUND((VLOOKUP($D591,'Alloc Table Dem'!$B$7:$T$56,19,FALSE)*$E591),0)</f>
        <v>0</v>
      </c>
    </row>
    <row r="592" spans="1:12" ht="11.25" x14ac:dyDescent="0.2">
      <c r="A592" s="3">
        <f t="shared" si="77"/>
        <v>19</v>
      </c>
      <c r="B592" s="3" t="str">
        <f>Input!A434</f>
        <v>931</v>
      </c>
      <c r="C592" s="3" t="str">
        <f>Input!B434</f>
        <v>RENTS</v>
      </c>
      <c r="D592" s="325">
        <f>Input!C434</f>
        <v>6</v>
      </c>
      <c r="E592" s="3">
        <f>Classification!E592-Classification!F592-Classification!G592</f>
        <v>0</v>
      </c>
      <c r="F592" s="3">
        <f>ROUND((VLOOKUP($D592,'Alloc Table Dem'!$B$7:$T$56,13,FALSE)*$E592),0)</f>
        <v>0</v>
      </c>
      <c r="G592" s="3">
        <f>ROUND((VLOOKUP($D592,'Alloc Table Dem'!$B$7:$T$56,14,FALSE)*$E592),0)</f>
        <v>0</v>
      </c>
      <c r="H592" s="3">
        <f>ROUND((VLOOKUP($D592,'Alloc Table Dem'!$B$7:$T$56,15,FALSE)*$E592),0)</f>
        <v>0</v>
      </c>
      <c r="I592" s="3">
        <f>ROUND((VLOOKUP($D592,'Alloc Table Dem'!$B$7:$T$56,16,FALSE)*$E592),0)</f>
        <v>0</v>
      </c>
      <c r="J592" s="3">
        <f>ROUND((VLOOKUP($D592,'Alloc Table Dem'!$B$7:$T$56,17,FALSE)*$E592),0)</f>
        <v>0</v>
      </c>
      <c r="K592" s="3">
        <f>ROUND((VLOOKUP($D592,'Alloc Table Dem'!$B$7:$T$56,18,FALSE)*$E592),0)</f>
        <v>0</v>
      </c>
      <c r="L592" s="3">
        <f>ROUND((VLOOKUP($D592,'Alloc Table Dem'!$B$7:$T$56,19,FALSE)*$E592),0)</f>
        <v>0</v>
      </c>
    </row>
    <row r="593" spans="1:12" ht="11.25" x14ac:dyDescent="0.2">
      <c r="A593" s="3">
        <f t="shared" si="77"/>
        <v>20</v>
      </c>
      <c r="B593" s="3" t="str">
        <f>Input!A435</f>
        <v>935</v>
      </c>
      <c r="C593" s="3" t="str">
        <f>Input!B435</f>
        <v>GENERAL PLANT MAINTENANCE</v>
      </c>
      <c r="D593" s="325">
        <f>Input!C435</f>
        <v>6</v>
      </c>
      <c r="E593" s="26">
        <f>Classification!E593-Classification!F593-Classification!G593</f>
        <v>0</v>
      </c>
      <c r="F593" s="26">
        <f>ROUND((VLOOKUP($D593,'Alloc Table Dem'!$B$7:$T$56,13,FALSE)*$E593),0)</f>
        <v>0</v>
      </c>
      <c r="G593" s="26">
        <f>ROUND((VLOOKUP($D593,'Alloc Table Dem'!$B$7:$T$56,14,FALSE)*$E593),0)</f>
        <v>0</v>
      </c>
      <c r="H593" s="26">
        <f>ROUND((VLOOKUP($D593,'Alloc Table Dem'!$B$7:$T$56,15,FALSE)*$E593),0)</f>
        <v>0</v>
      </c>
      <c r="I593" s="26">
        <f>ROUND((VLOOKUP($D593,'Alloc Table Dem'!$B$7:$T$56,16,FALSE)*$E593),0)</f>
        <v>0</v>
      </c>
      <c r="J593" s="26">
        <f>ROUND((VLOOKUP($D593,'Alloc Table Dem'!$B$7:$T$56,17,FALSE)*$E593),0)</f>
        <v>0</v>
      </c>
      <c r="K593" s="26">
        <f>ROUND((VLOOKUP($D593,'Alloc Table Dem'!$B$7:$T$56,18,FALSE)*$E593),0)</f>
        <v>0</v>
      </c>
      <c r="L593" s="26">
        <f>ROUND((VLOOKUP($D593,'Alloc Table Dem'!$B$7:$T$56,19,FALSE)*$E593),0)</f>
        <v>0</v>
      </c>
    </row>
    <row r="594" spans="1:12" ht="11.25" x14ac:dyDescent="0.2">
      <c r="A594" s="3">
        <f>A593+1</f>
        <v>21</v>
      </c>
      <c r="B594" s="3"/>
      <c r="C594" s="3" t="s">
        <v>309</v>
      </c>
      <c r="D594" s="325"/>
      <c r="E594" s="1">
        <f t="shared" ref="E594:L594" si="78">SUM(E586:E593)</f>
        <v>-4.638422979041934E-10</v>
      </c>
      <c r="F594" s="3">
        <f t="shared" si="78"/>
        <v>0</v>
      </c>
      <c r="G594" s="3">
        <f t="shared" si="78"/>
        <v>0</v>
      </c>
      <c r="H594" s="3">
        <f t="shared" si="78"/>
        <v>0</v>
      </c>
      <c r="I594" s="3">
        <f t="shared" si="78"/>
        <v>0</v>
      </c>
      <c r="J594" s="3">
        <f t="shared" si="78"/>
        <v>0</v>
      </c>
      <c r="K594" s="3">
        <f t="shared" si="78"/>
        <v>0</v>
      </c>
      <c r="L594" s="3">
        <f t="shared" si="78"/>
        <v>0</v>
      </c>
    </row>
    <row r="595" spans="1:12" ht="11.25" x14ac:dyDescent="0.2">
      <c r="A595" s="3" t="s">
        <v>819</v>
      </c>
      <c r="B595" s="3"/>
      <c r="C595" s="14"/>
      <c r="D595" s="325"/>
      <c r="E595" s="15"/>
      <c r="F595" s="325" t="str">
        <f>""&amp;+Input!$B$1</f>
        <v>COLUMBIA GAS OF KENTUCKY, INC.</v>
      </c>
      <c r="H595" s="3"/>
      <c r="I595" s="3"/>
      <c r="J595" s="3"/>
      <c r="K595" s="3"/>
      <c r="L595" s="32" t="str">
        <f>Input!$B$2</f>
        <v>ATTACHMENT CEN-2</v>
      </c>
    </row>
    <row r="596" spans="1:12" ht="11.25" x14ac:dyDescent="0.2">
      <c r="A596" s="3" t="str">
        <f>Input!$B$7</f>
        <v>DEMAND-COMMODITY</v>
      </c>
      <c r="B596" s="3"/>
      <c r="C596" s="3"/>
      <c r="D596" s="325"/>
      <c r="E596" s="3"/>
      <c r="F596" s="325" t="s">
        <v>569</v>
      </c>
      <c r="H596" s="3"/>
      <c r="I596" s="3"/>
      <c r="J596" s="3"/>
      <c r="K596" s="3"/>
      <c r="L596" s="32" t="str">
        <f>"PAGE 121 OF "&amp;FIXED(Input!$B$8,0,TRUE)</f>
        <v>PAGE 121 OF 129</v>
      </c>
    </row>
    <row r="597" spans="1:12" ht="11.25" x14ac:dyDescent="0.2">
      <c r="A597" s="17" t="str">
        <f>Input!$B$6</f>
        <v>FORECASTED TEST YEAR - ORIGINAL FILING</v>
      </c>
      <c r="B597" s="17"/>
      <c r="C597" s="17"/>
      <c r="D597" s="34"/>
      <c r="E597" s="17"/>
      <c r="F597" s="19" t="str">
        <f>"FOR THE TWELVE MONTHS ENDED "&amp;Input!$B$4</f>
        <v>FOR THE TWELVE MONTHS ENDED 12/31/2017</v>
      </c>
      <c r="G597" s="329"/>
      <c r="H597" s="17"/>
      <c r="I597" s="17"/>
      <c r="J597" s="17"/>
      <c r="K597" s="17"/>
      <c r="L597" s="183" t="str">
        <f>"WITNESS: "&amp;Input!$B$5</f>
        <v>WITNESS: C. NOTESTONE</v>
      </c>
    </row>
    <row r="598" spans="1:12" ht="11.25" x14ac:dyDescent="0.2">
      <c r="A598" s="325" t="s">
        <v>5</v>
      </c>
      <c r="B598" s="3" t="s">
        <v>6</v>
      </c>
      <c r="C598" s="3"/>
      <c r="D598" s="325" t="s">
        <v>7</v>
      </c>
      <c r="E598" s="325" t="s">
        <v>8</v>
      </c>
      <c r="F598" s="3"/>
      <c r="G598" s="3"/>
      <c r="H598" s="3"/>
      <c r="I598" s="3"/>
      <c r="J598" s="3"/>
      <c r="K598" s="3"/>
      <c r="L598" s="3"/>
    </row>
    <row r="599" spans="1:12" ht="11.25" x14ac:dyDescent="0.2">
      <c r="A599" s="341" t="s">
        <v>9</v>
      </c>
      <c r="B599" s="341" t="s">
        <v>9</v>
      </c>
      <c r="C599" s="341" t="str">
        <f>"                        ACCOUNT TITLE                "</f>
        <v xml:space="preserve">                        ACCOUNT TITLE                </v>
      </c>
      <c r="D599" s="341" t="s">
        <v>10</v>
      </c>
      <c r="E599" s="341" t="s">
        <v>813</v>
      </c>
      <c r="F599" s="341" t="str">
        <f>"  "&amp;+Input!$C$12</f>
        <v xml:space="preserve">  GS-RESIDENTIAL</v>
      </c>
      <c r="G599" s="341" t="str">
        <f>Input!$C$13</f>
        <v>GS-OTHER</v>
      </c>
      <c r="H599" s="341" t="str">
        <f>Input!$C$14</f>
        <v>IUS</v>
      </c>
      <c r="I599" s="341" t="str">
        <f>Input!$C$15</f>
        <v>DS-ML</v>
      </c>
      <c r="J599" s="341" t="str">
        <f>Input!$C$16</f>
        <v>DS/IS</v>
      </c>
      <c r="K599" s="341" t="str">
        <f>Input!$C$17</f>
        <v>NOT USED</v>
      </c>
      <c r="L599" s="341" t="str">
        <f>Input!$C$18</f>
        <v>NOT USED</v>
      </c>
    </row>
    <row r="600" spans="1:12" ht="11.25" x14ac:dyDescent="0.2">
      <c r="A600" s="3"/>
      <c r="B600" s="342" t="s">
        <v>13</v>
      </c>
      <c r="C600" s="342" t="s">
        <v>14</v>
      </c>
      <c r="D600" s="325" t="s">
        <v>15</v>
      </c>
      <c r="E600" s="325" t="s">
        <v>16</v>
      </c>
      <c r="F600" s="325" t="s">
        <v>17</v>
      </c>
      <c r="G600" s="325" t="s">
        <v>18</v>
      </c>
      <c r="H600" s="325" t="s">
        <v>19</v>
      </c>
      <c r="I600" s="325" t="s">
        <v>20</v>
      </c>
      <c r="J600" s="325" t="s">
        <v>21</v>
      </c>
      <c r="K600" s="325" t="s">
        <v>22</v>
      </c>
      <c r="L600" s="325" t="s">
        <v>23</v>
      </c>
    </row>
    <row r="601" spans="1:12" ht="11.25" x14ac:dyDescent="0.2">
      <c r="A601" s="3"/>
      <c r="B601" s="3"/>
      <c r="C601" s="3"/>
      <c r="D601" s="325"/>
      <c r="E601" s="325" t="s">
        <v>26</v>
      </c>
      <c r="F601" s="325" t="s">
        <v>26</v>
      </c>
      <c r="G601" s="325" t="s">
        <v>26</v>
      </c>
      <c r="H601" s="325" t="s">
        <v>26</v>
      </c>
      <c r="I601" s="325" t="s">
        <v>26</v>
      </c>
      <c r="J601" s="325" t="s">
        <v>26</v>
      </c>
      <c r="K601" s="325" t="s">
        <v>26</v>
      </c>
      <c r="L601" s="325" t="s">
        <v>26</v>
      </c>
    </row>
    <row r="602" spans="1:12" ht="11.25" x14ac:dyDescent="0.2">
      <c r="A602" s="3">
        <v>1</v>
      </c>
      <c r="B602" s="3"/>
      <c r="C602" s="3" t="str">
        <f>Input!A436</f>
        <v>SALES</v>
      </c>
      <c r="D602" s="325"/>
      <c r="E602" s="3"/>
      <c r="F602" s="3"/>
      <c r="G602" s="3"/>
      <c r="H602" s="3"/>
      <c r="I602" s="3"/>
      <c r="J602" s="3"/>
      <c r="K602" s="3"/>
      <c r="L602" s="3"/>
    </row>
    <row r="603" spans="1:12" ht="11.25" x14ac:dyDescent="0.2">
      <c r="A603" s="3"/>
      <c r="B603" s="3"/>
      <c r="C603" s="3"/>
      <c r="D603" s="325"/>
      <c r="E603" s="3"/>
      <c r="F603" s="3"/>
      <c r="G603" s="3"/>
      <c r="H603" s="3"/>
      <c r="I603" s="3"/>
      <c r="J603" s="3"/>
      <c r="K603" s="3"/>
      <c r="L603" s="3"/>
    </row>
    <row r="604" spans="1:12" ht="11.25" x14ac:dyDescent="0.2">
      <c r="A604" s="3">
        <f>A602+1</f>
        <v>2</v>
      </c>
      <c r="B604" s="3" t="str">
        <f>Input!A437</f>
        <v>911</v>
      </c>
      <c r="C604" s="3" t="str">
        <f>Input!B437</f>
        <v>SUPERVISION</v>
      </c>
      <c r="D604" s="325">
        <f>Input!C437</f>
        <v>6</v>
      </c>
      <c r="E604" s="3">
        <f>Classification!E604-Classification!F604-Classification!G604</f>
        <v>0</v>
      </c>
      <c r="F604" s="3">
        <f>ROUND((VLOOKUP($D604,'Alloc Table Dem'!$B$7:$T$56,13,FALSE)*$E604),0)</f>
        <v>0</v>
      </c>
      <c r="G604" s="3">
        <f>ROUND((VLOOKUP($D604,'Alloc Table Dem'!$B$7:$T$56,14,FALSE)*$E604),0)</f>
        <v>0</v>
      </c>
      <c r="H604" s="3">
        <f>ROUND((VLOOKUP($D604,'Alloc Table Dem'!$B$7:$T$56,15,FALSE)*$E604),0)</f>
        <v>0</v>
      </c>
      <c r="I604" s="3">
        <f>ROUND((VLOOKUP($D604,'Alloc Table Dem'!$B$7:$T$56,16,FALSE)*$E604),0)</f>
        <v>0</v>
      </c>
      <c r="J604" s="3">
        <f>ROUND((VLOOKUP($D604,'Alloc Table Dem'!$B$7:$T$56,17,FALSE)*$E604),0)</f>
        <v>0</v>
      </c>
      <c r="K604" s="3">
        <f>ROUND((VLOOKUP($D604,'Alloc Table Dem'!$B$7:$T$56,18,FALSE)*$E604),0)</f>
        <v>0</v>
      </c>
      <c r="L604" s="3">
        <f>ROUND((VLOOKUP($D604,'Alloc Table Dem'!$B$7:$T$56,19,FALSE)*$E604),0)</f>
        <v>0</v>
      </c>
    </row>
    <row r="605" spans="1:12" ht="11.25" x14ac:dyDescent="0.2">
      <c r="A605" s="3">
        <f>A604+1</f>
        <v>3</v>
      </c>
      <c r="B605" s="3" t="str">
        <f>Input!A438</f>
        <v>912</v>
      </c>
      <c r="C605" s="3" t="str">
        <f>Input!B438</f>
        <v>DEMONSTRATION &amp; SELLING</v>
      </c>
      <c r="D605" s="325">
        <f>Input!C438</f>
        <v>6</v>
      </c>
      <c r="E605" s="3">
        <f>Classification!E605-Classification!F605-Classification!G605</f>
        <v>0</v>
      </c>
      <c r="F605" s="3">
        <f>ROUND((VLOOKUP($D605,'Alloc Table Dem'!$B$7:$T$56,13,FALSE)*$E605),0)</f>
        <v>0</v>
      </c>
      <c r="G605" s="3">
        <f>ROUND((VLOOKUP($D605,'Alloc Table Dem'!$B$7:$T$56,14,FALSE)*$E605),0)</f>
        <v>0</v>
      </c>
      <c r="H605" s="3">
        <f>ROUND((VLOOKUP($D605,'Alloc Table Dem'!$B$7:$T$56,15,FALSE)*$E605),0)</f>
        <v>0</v>
      </c>
      <c r="I605" s="3">
        <f>ROUND((VLOOKUP($D605,'Alloc Table Dem'!$B$7:$T$56,16,FALSE)*$E605),0)</f>
        <v>0</v>
      </c>
      <c r="J605" s="3">
        <f>ROUND((VLOOKUP($D605,'Alloc Table Dem'!$B$7:$T$56,17,FALSE)*$E605),0)</f>
        <v>0</v>
      </c>
      <c r="K605" s="3">
        <f>ROUND((VLOOKUP($D605,'Alloc Table Dem'!$B$7:$T$56,18,FALSE)*$E605),0)</f>
        <v>0</v>
      </c>
      <c r="L605" s="3">
        <f>ROUND((VLOOKUP($D605,'Alloc Table Dem'!$B$7:$T$56,19,FALSE)*$E605),0)</f>
        <v>0</v>
      </c>
    </row>
    <row r="606" spans="1:12" ht="11.25" x14ac:dyDescent="0.2">
      <c r="A606" s="3">
        <f>A605+1</f>
        <v>4</v>
      </c>
      <c r="B606" s="3" t="str">
        <f>Input!A439</f>
        <v>913</v>
      </c>
      <c r="C606" s="3" t="str">
        <f>Input!B439</f>
        <v>ADVERTISING</v>
      </c>
      <c r="D606" s="325">
        <f>Input!C439</f>
        <v>6</v>
      </c>
      <c r="E606" s="3">
        <f>Classification!E606-Classification!F606-Classification!G606</f>
        <v>0</v>
      </c>
      <c r="F606" s="3">
        <f>ROUND((VLOOKUP($D606,'Alloc Table Dem'!$B$7:$T$56,13,FALSE)*$E606),0)</f>
        <v>0</v>
      </c>
      <c r="G606" s="3">
        <f>ROUND((VLOOKUP($D606,'Alloc Table Dem'!$B$7:$T$56,14,FALSE)*$E606),0)</f>
        <v>0</v>
      </c>
      <c r="H606" s="3">
        <f>ROUND((VLOOKUP($D606,'Alloc Table Dem'!$B$7:$T$56,15,FALSE)*$E606),0)</f>
        <v>0</v>
      </c>
      <c r="I606" s="3">
        <f>ROUND((VLOOKUP($D606,'Alloc Table Dem'!$B$7:$T$56,16,FALSE)*$E606),0)</f>
        <v>0</v>
      </c>
      <c r="J606" s="3">
        <f>ROUND((VLOOKUP($D606,'Alloc Table Dem'!$B$7:$T$56,17,FALSE)*$E606),0)</f>
        <v>0</v>
      </c>
      <c r="K606" s="3">
        <f>ROUND((VLOOKUP($D606,'Alloc Table Dem'!$B$7:$T$56,18,FALSE)*$E606),0)</f>
        <v>0</v>
      </c>
      <c r="L606" s="3">
        <f>ROUND((VLOOKUP($D606,'Alloc Table Dem'!$B$7:$T$56,19,FALSE)*$E606),0)</f>
        <v>0</v>
      </c>
    </row>
    <row r="607" spans="1:12" ht="11.25" x14ac:dyDescent="0.2">
      <c r="A607" s="3">
        <f>A606+1</f>
        <v>5</v>
      </c>
      <c r="B607" s="3" t="str">
        <f>Input!A440</f>
        <v>916</v>
      </c>
      <c r="C607" s="3" t="str">
        <f>Input!B440</f>
        <v>MISC.</v>
      </c>
      <c r="D607" s="325">
        <f>Input!C440</f>
        <v>6</v>
      </c>
      <c r="E607" s="26">
        <f>Classification!E607-Classification!F607-Classification!G607</f>
        <v>0</v>
      </c>
      <c r="F607" s="26">
        <f>ROUND((VLOOKUP($D607,'Alloc Table Dem'!$B$7:$T$56,13,FALSE)*$E607),0)</f>
        <v>0</v>
      </c>
      <c r="G607" s="26">
        <f>ROUND((VLOOKUP($D607,'Alloc Table Dem'!$B$7:$T$56,14,FALSE)*$E607),0)</f>
        <v>0</v>
      </c>
      <c r="H607" s="26">
        <f>ROUND((VLOOKUP($D607,'Alloc Table Dem'!$B$7:$T$56,15,FALSE)*$E607),0)</f>
        <v>0</v>
      </c>
      <c r="I607" s="26">
        <f>ROUND((VLOOKUP($D607,'Alloc Table Dem'!$B$7:$T$56,16,FALSE)*$E607),0)</f>
        <v>0</v>
      </c>
      <c r="J607" s="26">
        <f>ROUND((VLOOKUP($D607,'Alloc Table Dem'!$B$7:$T$56,17,FALSE)*$E607),0)</f>
        <v>0</v>
      </c>
      <c r="K607" s="26">
        <f>ROUND((VLOOKUP($D607,'Alloc Table Dem'!$B$7:$T$56,18,FALSE)*$E607),0)</f>
        <v>0</v>
      </c>
      <c r="L607" s="26">
        <f>ROUND((VLOOKUP($D607,'Alloc Table Dem'!$B$7:$T$56,19,FALSE)*$E607),0)</f>
        <v>0</v>
      </c>
    </row>
    <row r="608" spans="1:12" ht="11.25" x14ac:dyDescent="0.2">
      <c r="A608" s="3">
        <f>A607+1</f>
        <v>6</v>
      </c>
      <c r="B608" s="3"/>
      <c r="C608" s="3" t="s">
        <v>312</v>
      </c>
      <c r="D608" s="325"/>
      <c r="E608" s="116">
        <f t="shared" ref="E608:L608" si="79">SUM(E604:E607)</f>
        <v>0</v>
      </c>
      <c r="F608" s="26">
        <f t="shared" si="79"/>
        <v>0</v>
      </c>
      <c r="G608" s="26">
        <f t="shared" si="79"/>
        <v>0</v>
      </c>
      <c r="H608" s="26">
        <f t="shared" si="79"/>
        <v>0</v>
      </c>
      <c r="I608" s="26">
        <f t="shared" si="79"/>
        <v>0</v>
      </c>
      <c r="J608" s="26">
        <f t="shared" si="79"/>
        <v>0</v>
      </c>
      <c r="K608" s="26">
        <f t="shared" si="79"/>
        <v>0</v>
      </c>
      <c r="L608" s="26">
        <f t="shared" si="79"/>
        <v>0</v>
      </c>
    </row>
    <row r="609" spans="1:12" ht="11.25" x14ac:dyDescent="0.2">
      <c r="A609" s="3"/>
      <c r="B609" s="3"/>
      <c r="C609" s="3"/>
      <c r="D609" s="325"/>
      <c r="E609" s="1"/>
      <c r="F609" s="3"/>
      <c r="G609" s="3"/>
      <c r="H609" s="3"/>
      <c r="I609" s="3"/>
      <c r="J609" s="3"/>
      <c r="K609" s="3"/>
      <c r="L609" s="3"/>
    </row>
    <row r="610" spans="1:12" ht="11.25" x14ac:dyDescent="0.2">
      <c r="A610" s="3">
        <f>A608+1</f>
        <v>7</v>
      </c>
      <c r="B610" s="3"/>
      <c r="C610" s="3" t="s">
        <v>314</v>
      </c>
      <c r="D610" s="325"/>
      <c r="E610" s="1">
        <f>Demand!E551+Demand!E563+Demand!E582+Demand!E594+E608</f>
        <v>3586307.1700000004</v>
      </c>
      <c r="F610" s="3">
        <f ca="1">Demand!F551+Demand!F563+Demand!F582+Demand!F594+F608</f>
        <v>1398014</v>
      </c>
      <c r="G610" s="3">
        <f ca="1">Demand!G551+Demand!G563+Demand!G582+Demand!G594+G608</f>
        <v>946713</v>
      </c>
      <c r="H610" s="3">
        <f ca="1">Demand!H551+Demand!H563+Demand!H582+Demand!H594+H608</f>
        <v>2044</v>
      </c>
      <c r="I610" s="3">
        <f ca="1">Demand!I551+Demand!I563+Demand!I582+Demand!I594+I608</f>
        <v>179</v>
      </c>
      <c r="J610" s="3">
        <f ca="1">Demand!J551+Demand!J563+Demand!J582+Demand!J594+J608</f>
        <v>1239356</v>
      </c>
      <c r="K610" s="3">
        <f ca="1">Demand!K551+Demand!K563+Demand!K582+Demand!K594+K608</f>
        <v>0</v>
      </c>
      <c r="L610" s="3">
        <f ca="1">Demand!L551+Demand!L563+Demand!L582+Demand!L594+L608</f>
        <v>0</v>
      </c>
    </row>
    <row r="611" spans="1:12" ht="11.25" x14ac:dyDescent="0.2">
      <c r="A611" s="3"/>
      <c r="B611" s="3"/>
      <c r="C611" s="3"/>
      <c r="D611" s="325"/>
      <c r="E611" s="1"/>
      <c r="F611" s="3"/>
      <c r="G611" s="3"/>
      <c r="H611" s="3"/>
      <c r="I611" s="3"/>
      <c r="J611" s="3"/>
      <c r="K611" s="3"/>
      <c r="L611" s="3"/>
    </row>
    <row r="612" spans="1:12" ht="11.25" x14ac:dyDescent="0.2">
      <c r="A612" s="3">
        <f>A610+1</f>
        <v>8</v>
      </c>
      <c r="B612" s="3"/>
      <c r="C612" s="3" t="str">
        <f>Input!A474</f>
        <v>ADMINISTRATIVE &amp; GENERAL</v>
      </c>
      <c r="D612" s="325"/>
      <c r="E612" s="1"/>
      <c r="F612" s="3"/>
      <c r="G612" s="3"/>
      <c r="H612" s="3"/>
      <c r="I612" s="3"/>
      <c r="J612" s="3"/>
      <c r="K612" s="3"/>
      <c r="L612" s="3"/>
    </row>
    <row r="613" spans="1:12" ht="11.25" x14ac:dyDescent="0.2">
      <c r="A613" s="3"/>
      <c r="B613" s="25"/>
      <c r="C613" s="25"/>
      <c r="D613" s="325"/>
      <c r="E613" s="1"/>
      <c r="F613" s="3"/>
      <c r="G613" s="3"/>
      <c r="H613" s="3"/>
      <c r="I613" s="3"/>
      <c r="J613" s="3"/>
      <c r="K613" s="3"/>
      <c r="L613" s="3"/>
    </row>
    <row r="614" spans="1:12" ht="11.25" x14ac:dyDescent="0.2">
      <c r="A614" s="3">
        <f>A612+1</f>
        <v>9</v>
      </c>
      <c r="B614" s="3" t="str">
        <f>Input!A475</f>
        <v>920</v>
      </c>
      <c r="C614" s="3" t="str">
        <f>Input!B475</f>
        <v>SALARIES</v>
      </c>
      <c r="D614" s="325" t="str">
        <f>VLOOKUP(Input!C475,'Alloc Table Dem'!$A$7:$B$27,2,FALSE)</f>
        <v>13DEM</v>
      </c>
      <c r="E614" s="3">
        <f>Classification!E614-Classification!F614-Classification!G614</f>
        <v>673512</v>
      </c>
      <c r="F614" s="3">
        <f ca="1">ROUND((VLOOKUP($D614,'Alloc Table Dem'!$B$7:$T$56,13,FALSE)*$E614),0)</f>
        <v>262643</v>
      </c>
      <c r="G614" s="3">
        <f ca="1">ROUND((VLOOKUP($D614,'Alloc Table Dem'!$B$7:$T$56,14,FALSE)*$E614),0)</f>
        <v>177834</v>
      </c>
      <c r="H614" s="3">
        <f ca="1">ROUND((VLOOKUP($D614,'Alloc Table Dem'!$B$7:$T$56,15,FALSE)*$E614),0)</f>
        <v>384</v>
      </c>
      <c r="I614" s="3">
        <f ca="1">ROUND((VLOOKUP($D614,'Alloc Table Dem'!$B$7:$T$56,16,FALSE)*$E614),0)</f>
        <v>34</v>
      </c>
      <c r="J614" s="3">
        <f ca="1">ROUND((VLOOKUP($D614,'Alloc Table Dem'!$B$7:$T$56,17,FALSE)*$E614),0)</f>
        <v>232618</v>
      </c>
      <c r="K614" s="3">
        <f ca="1">ROUND((VLOOKUP($D614,'Alloc Table Dem'!$B$7:$T$56,18,FALSE)*$E614),0)</f>
        <v>0</v>
      </c>
      <c r="L614" s="3">
        <f ca="1">ROUND((VLOOKUP($D614,'Alloc Table Dem'!$B$7:$T$56,19,FALSE)*$E614),0)</f>
        <v>0</v>
      </c>
    </row>
    <row r="615" spans="1:12" ht="11.25" x14ac:dyDescent="0.2">
      <c r="A615" s="3">
        <f t="shared" ref="A615:A630" si="80">A614+1</f>
        <v>10</v>
      </c>
      <c r="B615" s="3" t="str">
        <f>Input!A476</f>
        <v>921</v>
      </c>
      <c r="C615" s="3" t="str">
        <f>Input!B476</f>
        <v>OFFICE SUPPLIES &amp; EXPENSES</v>
      </c>
      <c r="D615" s="325" t="str">
        <f>VLOOKUP(Input!C476,'Alloc Table Dem'!$A$7:$B$27,2,FALSE)</f>
        <v>13DEM</v>
      </c>
      <c r="E615" s="3">
        <f>Classification!E615-Classification!F615-Classification!G615</f>
        <v>203214</v>
      </c>
      <c r="F615" s="3">
        <f ca="1">ROUND((VLOOKUP($D615,'Alloc Table Dem'!$B$7:$T$56,13,FALSE)*$E615),0)</f>
        <v>79245</v>
      </c>
      <c r="G615" s="3">
        <f ca="1">ROUND((VLOOKUP($D615,'Alloc Table Dem'!$B$7:$T$56,14,FALSE)*$E615),0)</f>
        <v>53657</v>
      </c>
      <c r="H615" s="3">
        <f ca="1">ROUND((VLOOKUP($D615,'Alloc Table Dem'!$B$7:$T$56,15,FALSE)*$E615),0)</f>
        <v>116</v>
      </c>
      <c r="I615" s="3">
        <f ca="1">ROUND((VLOOKUP($D615,'Alloc Table Dem'!$B$7:$T$56,16,FALSE)*$E615),0)</f>
        <v>10</v>
      </c>
      <c r="J615" s="3">
        <f ca="1">ROUND((VLOOKUP($D615,'Alloc Table Dem'!$B$7:$T$56,17,FALSE)*$E615),0)</f>
        <v>70186</v>
      </c>
      <c r="K615" s="3">
        <f ca="1">ROUND((VLOOKUP($D615,'Alloc Table Dem'!$B$7:$T$56,18,FALSE)*$E615),0)</f>
        <v>0</v>
      </c>
      <c r="L615" s="3">
        <f ca="1">ROUND((VLOOKUP($D615,'Alloc Table Dem'!$B$7:$T$56,19,FALSE)*$E615),0)</f>
        <v>0</v>
      </c>
    </row>
    <row r="616" spans="1:12" ht="11.25" x14ac:dyDescent="0.2">
      <c r="A616" s="3">
        <f t="shared" si="80"/>
        <v>11</v>
      </c>
      <c r="B616" s="3" t="str">
        <f>Input!A477</f>
        <v>922</v>
      </c>
      <c r="C616" s="3" t="str">
        <f>Input!B477</f>
        <v>ADMIN. EXPENSES TRANSFERED</v>
      </c>
      <c r="D616" s="325" t="str">
        <f>VLOOKUP(Input!C477,'Alloc Table Dem'!$A$7:$B$27,2,FALSE)</f>
        <v>13DEM</v>
      </c>
      <c r="E616" s="3">
        <f>Classification!E616-Classification!F616-Classification!G616</f>
        <v>0</v>
      </c>
      <c r="F616" s="3">
        <f ca="1">ROUND((VLOOKUP($D616,'Alloc Table Dem'!$B$7:$T$56,13,FALSE)*$E616),0)</f>
        <v>0</v>
      </c>
      <c r="G616" s="3">
        <f ca="1">ROUND((VLOOKUP($D616,'Alloc Table Dem'!$B$7:$T$56,14,FALSE)*$E616),0)</f>
        <v>0</v>
      </c>
      <c r="H616" s="3">
        <f ca="1">ROUND((VLOOKUP($D616,'Alloc Table Dem'!$B$7:$T$56,15,FALSE)*$E616),0)</f>
        <v>0</v>
      </c>
      <c r="I616" s="3">
        <f ca="1">ROUND((VLOOKUP($D616,'Alloc Table Dem'!$B$7:$T$56,16,FALSE)*$E616),0)</f>
        <v>0</v>
      </c>
      <c r="J616" s="3">
        <f ca="1">ROUND((VLOOKUP($D616,'Alloc Table Dem'!$B$7:$T$56,17,FALSE)*$E616),0)</f>
        <v>0</v>
      </c>
      <c r="K616" s="3">
        <f ca="1">ROUND((VLOOKUP($D616,'Alloc Table Dem'!$B$7:$T$56,18,FALSE)*$E616),0)</f>
        <v>0</v>
      </c>
      <c r="L616" s="3">
        <f ca="1">ROUND((VLOOKUP($D616,'Alloc Table Dem'!$B$7:$T$56,19,FALSE)*$E616),0)</f>
        <v>0</v>
      </c>
    </row>
    <row r="617" spans="1:12" ht="11.25" x14ac:dyDescent="0.2">
      <c r="A617" s="3">
        <f t="shared" si="80"/>
        <v>12</v>
      </c>
      <c r="B617" s="3" t="str">
        <f>Input!A478</f>
        <v>923</v>
      </c>
      <c r="C617" s="3" t="str">
        <f>Input!B478</f>
        <v xml:space="preserve">OUTSIDE SERVICES </v>
      </c>
      <c r="D617" s="325" t="str">
        <f>VLOOKUP(Input!C478,'Alloc Table Dem'!$A$7:$B$27,2,FALSE)</f>
        <v>13DEM</v>
      </c>
      <c r="E617" s="3">
        <f>Classification!E617-Classification!F617-Classification!G617</f>
        <v>1788678.9999600006</v>
      </c>
      <c r="F617" s="3">
        <f ca="1">ROUND((VLOOKUP($D617,'Alloc Table Dem'!$B$7:$T$56,13,FALSE)*$E617),0)</f>
        <v>697513</v>
      </c>
      <c r="G617" s="3">
        <f ca="1">ROUND((VLOOKUP($D617,'Alloc Table Dem'!$B$7:$T$56,14,FALSE)*$E617),0)</f>
        <v>472283</v>
      </c>
      <c r="H617" s="3">
        <f ca="1">ROUND((VLOOKUP($D617,'Alloc Table Dem'!$B$7:$T$56,15,FALSE)*$E617),0)</f>
        <v>1020</v>
      </c>
      <c r="I617" s="3">
        <f ca="1">ROUND((VLOOKUP($D617,'Alloc Table Dem'!$B$7:$T$56,16,FALSE)*$E617),0)</f>
        <v>89</v>
      </c>
      <c r="J617" s="3">
        <f ca="1">ROUND((VLOOKUP($D617,'Alloc Table Dem'!$B$7:$T$56,17,FALSE)*$E617),0)</f>
        <v>617774</v>
      </c>
      <c r="K617" s="3">
        <f ca="1">ROUND((VLOOKUP($D617,'Alloc Table Dem'!$B$7:$T$56,18,FALSE)*$E617),0)</f>
        <v>0</v>
      </c>
      <c r="L617" s="3">
        <f ca="1">ROUND((VLOOKUP($D617,'Alloc Table Dem'!$B$7:$T$56,19,FALSE)*$E617),0)</f>
        <v>0</v>
      </c>
    </row>
    <row r="618" spans="1:12" ht="11.25" x14ac:dyDescent="0.2">
      <c r="A618" s="3">
        <f t="shared" si="80"/>
        <v>13</v>
      </c>
      <c r="B618" s="3" t="str">
        <f>Input!A479</f>
        <v>924</v>
      </c>
      <c r="C618" s="3" t="str">
        <f>Input!B479</f>
        <v>PROPERTY INSURANCE</v>
      </c>
      <c r="D618" s="325" t="str">
        <f>VLOOKUP(Input!C479,'Alloc Table Dem'!$A$7:$B$27,2,FALSE)</f>
        <v>13DEM</v>
      </c>
      <c r="E618" s="3">
        <f>Classification!E618-Classification!F618-Classification!G618</f>
        <v>18580</v>
      </c>
      <c r="F618" s="3">
        <f ca="1">ROUND((VLOOKUP($D618,'Alloc Table Dem'!$B$7:$T$56,13,FALSE)*$E618),0)</f>
        <v>7245</v>
      </c>
      <c r="G618" s="3">
        <f ca="1">ROUND((VLOOKUP($D618,'Alloc Table Dem'!$B$7:$T$56,14,FALSE)*$E618),0)</f>
        <v>4906</v>
      </c>
      <c r="H618" s="3">
        <f ca="1">ROUND((VLOOKUP($D618,'Alloc Table Dem'!$B$7:$T$56,15,FALSE)*$E618),0)</f>
        <v>11</v>
      </c>
      <c r="I618" s="3">
        <f ca="1">ROUND((VLOOKUP($D618,'Alloc Table Dem'!$B$7:$T$56,16,FALSE)*$E618),0)</f>
        <v>1</v>
      </c>
      <c r="J618" s="3">
        <f ca="1">ROUND((VLOOKUP($D618,'Alloc Table Dem'!$B$7:$T$56,17,FALSE)*$E618),0)</f>
        <v>6417</v>
      </c>
      <c r="K618" s="3">
        <f ca="1">ROUND((VLOOKUP($D618,'Alloc Table Dem'!$B$7:$T$56,18,FALSE)*$E618),0)</f>
        <v>0</v>
      </c>
      <c r="L618" s="3">
        <f ca="1">ROUND((VLOOKUP($D618,'Alloc Table Dem'!$B$7:$T$56,19,FALSE)*$E618),0)</f>
        <v>0</v>
      </c>
    </row>
    <row r="619" spans="1:12" ht="11.25" x14ac:dyDescent="0.2">
      <c r="A619" s="3">
        <f t="shared" si="80"/>
        <v>14</v>
      </c>
      <c r="B619" s="3" t="str">
        <f>Input!A480</f>
        <v>925</v>
      </c>
      <c r="C619" s="3" t="str">
        <f>Input!B480</f>
        <v>INJURIES AND DAMAGES</v>
      </c>
      <c r="D619" s="325" t="str">
        <f>VLOOKUP(Input!C480,'Alloc Table Dem'!$A$7:$B$27,2,FALSE)</f>
        <v>12DEM</v>
      </c>
      <c r="E619" s="3">
        <f>Classification!E619-Classification!F619-Classification!G619</f>
        <v>237268.25</v>
      </c>
      <c r="F619" s="3">
        <f ca="1">ROUND((VLOOKUP($D619,'Alloc Table Dem'!$B$7:$T$56,13,FALSE)*$E619),0)</f>
        <v>92492</v>
      </c>
      <c r="G619" s="3">
        <f ca="1">ROUND((VLOOKUP($D619,'Alloc Table Dem'!$B$7:$T$56,14,FALSE)*$E619),0)</f>
        <v>62634</v>
      </c>
      <c r="H619" s="3">
        <f ca="1">ROUND((VLOOKUP($D619,'Alloc Table Dem'!$B$7:$T$56,15,FALSE)*$E619),0)</f>
        <v>135</v>
      </c>
      <c r="I619" s="3">
        <f ca="1">ROUND((VLOOKUP($D619,'Alloc Table Dem'!$B$7:$T$56,16,FALSE)*$E619),0)</f>
        <v>12</v>
      </c>
      <c r="J619" s="3">
        <f ca="1">ROUND((VLOOKUP($D619,'Alloc Table Dem'!$B$7:$T$56,17,FALSE)*$E619),0)</f>
        <v>81995</v>
      </c>
      <c r="K619" s="3">
        <f ca="1">ROUND((VLOOKUP($D619,'Alloc Table Dem'!$B$7:$T$56,18,FALSE)*$E619),0)</f>
        <v>0</v>
      </c>
      <c r="L619" s="3">
        <f ca="1">ROUND((VLOOKUP($D619,'Alloc Table Dem'!$B$7:$T$56,19,FALSE)*$E619),0)</f>
        <v>0</v>
      </c>
    </row>
    <row r="620" spans="1:12" ht="11.25" x14ac:dyDescent="0.2">
      <c r="A620" s="3">
        <f t="shared" si="80"/>
        <v>15</v>
      </c>
      <c r="B620" s="3" t="str">
        <f>Input!A481</f>
        <v>926</v>
      </c>
      <c r="C620" s="3" t="str">
        <f>Input!B481</f>
        <v>EMPLOYEE PENSIONS &amp; BENEFITS</v>
      </c>
      <c r="D620" s="325" t="str">
        <f>VLOOKUP(Input!C481,'Alloc Table Dem'!$A$7:$B$27,2,FALSE)</f>
        <v>12DEM</v>
      </c>
      <c r="E620" s="3">
        <f>Classification!E620-Classification!F620-Classification!G620</f>
        <v>761735.87999999989</v>
      </c>
      <c r="F620" s="3">
        <f ca="1">ROUND((VLOOKUP($D620,'Alloc Table Dem'!$B$7:$T$56,13,FALSE)*$E620),0)</f>
        <v>296940</v>
      </c>
      <c r="G620" s="3">
        <f ca="1">ROUND((VLOOKUP($D620,'Alloc Table Dem'!$B$7:$T$56,14,FALSE)*$E620),0)</f>
        <v>201083</v>
      </c>
      <c r="H620" s="3">
        <f ca="1">ROUND((VLOOKUP($D620,'Alloc Table Dem'!$B$7:$T$56,15,FALSE)*$E620),0)</f>
        <v>434</v>
      </c>
      <c r="I620" s="3">
        <f ca="1">ROUND((VLOOKUP($D620,'Alloc Table Dem'!$B$7:$T$56,16,FALSE)*$E620),0)</f>
        <v>38</v>
      </c>
      <c r="J620" s="3">
        <f ca="1">ROUND((VLOOKUP($D620,'Alloc Table Dem'!$B$7:$T$56,17,FALSE)*$E620),0)</f>
        <v>263241</v>
      </c>
      <c r="K620" s="3">
        <f ca="1">ROUND((VLOOKUP($D620,'Alloc Table Dem'!$B$7:$T$56,18,FALSE)*$E620),0)</f>
        <v>0</v>
      </c>
      <c r="L620" s="3">
        <f ca="1">ROUND((VLOOKUP($D620,'Alloc Table Dem'!$B$7:$T$56,19,FALSE)*$E620),0)</f>
        <v>0</v>
      </c>
    </row>
    <row r="621" spans="1:12" ht="11.25" x14ac:dyDescent="0.2">
      <c r="A621" s="3">
        <f t="shared" si="80"/>
        <v>16</v>
      </c>
      <c r="B621" s="3" t="str">
        <f>Input!A482</f>
        <v>926</v>
      </c>
      <c r="C621" s="3" t="str">
        <f>Input!B482</f>
        <v>DIRECT EMPLOYEE PENSIONS &amp; BENEFITS</v>
      </c>
      <c r="D621" s="325"/>
      <c r="E621" s="3">
        <f>Classification!E621-Classification!F621-Classification!G621</f>
        <v>0</v>
      </c>
      <c r="F621" s="3">
        <v>0</v>
      </c>
      <c r="G621" s="3">
        <v>0</v>
      </c>
      <c r="H621" s="3">
        <v>0</v>
      </c>
      <c r="I621" s="3">
        <f>E621</f>
        <v>0</v>
      </c>
      <c r="J621" s="3">
        <v>0</v>
      </c>
      <c r="K621" s="3">
        <v>0</v>
      </c>
      <c r="L621" s="3">
        <v>0</v>
      </c>
    </row>
    <row r="622" spans="1:12" ht="11.25" x14ac:dyDescent="0.2">
      <c r="A622" s="3">
        <f t="shared" si="80"/>
        <v>17</v>
      </c>
      <c r="B622" s="3" t="str">
        <f>Input!A483</f>
        <v>928</v>
      </c>
      <c r="C622" s="3" t="str">
        <f>Input!B483</f>
        <v>REG COMMISSION EXP - GENERAL</v>
      </c>
      <c r="D622" s="325" t="str">
        <f>VLOOKUP(Input!C483,'Alloc Table Dem'!$A$7:$B$27,2,FALSE)</f>
        <v>13DEM</v>
      </c>
      <c r="E622" s="3">
        <f ca="1">Classification!E622-Classification!F622-Classification!G622</f>
        <v>44947.25</v>
      </c>
      <c r="F622" s="3">
        <f ca="1">ROUND((VLOOKUP($D622,'Alloc Table Dem'!$B$7:$T$56,13,FALSE)*$E622),0)</f>
        <v>17528</v>
      </c>
      <c r="G622" s="3">
        <f ca="1">ROUND((VLOOKUP($D622,'Alloc Table Dem'!$B$7:$T$56,14,FALSE)*$E622),0)</f>
        <v>11868</v>
      </c>
      <c r="H622" s="3">
        <f ca="1">ROUND((VLOOKUP($D622,'Alloc Table Dem'!$B$7:$T$56,15,FALSE)*$E622),0)</f>
        <v>26</v>
      </c>
      <c r="I622" s="3">
        <f ca="1">ROUND((VLOOKUP($D622,'Alloc Table Dem'!$B$7:$T$56,16,FALSE)*$E622),0)</f>
        <v>2</v>
      </c>
      <c r="J622" s="3">
        <f ca="1">ROUND((VLOOKUP($D622,'Alloc Table Dem'!$B$7:$T$56,17,FALSE)*$E622),0)</f>
        <v>15524</v>
      </c>
      <c r="K622" s="3">
        <f ca="1">ROUND((VLOOKUP($D622,'Alloc Table Dem'!$B$7:$T$56,18,FALSE)*$E622),0)</f>
        <v>0</v>
      </c>
      <c r="L622" s="3">
        <f ca="1">ROUND((VLOOKUP($D622,'Alloc Table Dem'!$B$7:$T$56,19,FALSE)*$E622),0)</f>
        <v>0</v>
      </c>
    </row>
    <row r="623" spans="1:12" ht="11.25" x14ac:dyDescent="0.2">
      <c r="A623" s="3">
        <f t="shared" si="80"/>
        <v>18</v>
      </c>
      <c r="B623" s="3" t="str">
        <f>Input!A484</f>
        <v>928</v>
      </c>
      <c r="C623" s="3" t="str">
        <f>Input!B484</f>
        <v>REGULATORY COMMISSION EXP - PSC @ 0.001901</v>
      </c>
      <c r="D623" s="325" t="str">
        <f>VLOOKUP(Input!C484,'Alloc Table Dem'!$A$7:$B$27,2,FALSE)</f>
        <v>13DEM</v>
      </c>
      <c r="E623" s="3">
        <f>Classification!E623-Classification!F623-Classification!G623</f>
        <v>40045</v>
      </c>
      <c r="F623" s="3">
        <f ca="1">ROUND((VLOOKUP($D623,'Alloc Table Dem'!$B$7:$T$56,13,FALSE)*$E623),0)</f>
        <v>15616</v>
      </c>
      <c r="G623" s="3">
        <f ca="1">ROUND((VLOOKUP($D623,'Alloc Table Dem'!$B$7:$T$56,14,FALSE)*$E623),0)</f>
        <v>10573</v>
      </c>
      <c r="H623" s="3">
        <f ca="1">ROUND((VLOOKUP($D623,'Alloc Table Dem'!$B$7:$T$56,15,FALSE)*$E623),0)</f>
        <v>23</v>
      </c>
      <c r="I623" s="3">
        <f ca="1">ROUND((VLOOKUP($D623,'Alloc Table Dem'!$B$7:$T$56,16,FALSE)*$E623),0)</f>
        <v>2</v>
      </c>
      <c r="J623" s="3">
        <f ca="1">ROUND((VLOOKUP($D623,'Alloc Table Dem'!$B$7:$T$56,17,FALSE)*$E623),0)</f>
        <v>13831</v>
      </c>
      <c r="K623" s="3">
        <f ca="1">ROUND((VLOOKUP($D623,'Alloc Table Dem'!$B$7:$T$56,18,FALSE)*$E623),0)</f>
        <v>0</v>
      </c>
      <c r="L623" s="3">
        <f ca="1">ROUND((VLOOKUP($D623,'Alloc Table Dem'!$B$7:$T$56,19,FALSE)*$E623),0)</f>
        <v>0</v>
      </c>
    </row>
    <row r="624" spans="1:12" ht="11.25" x14ac:dyDescent="0.2">
      <c r="A624" s="3">
        <f t="shared" si="80"/>
        <v>19</v>
      </c>
      <c r="B624" s="3" t="str">
        <f>Input!A485</f>
        <v>930.10</v>
      </c>
      <c r="C624" s="3" t="str">
        <f>Input!B485</f>
        <v>MISC. - INSTITUT &amp; GOODWILL ADV</v>
      </c>
      <c r="D624" s="325" t="str">
        <f>VLOOKUP(Input!C485,'Alloc Table Dem'!$A$7:$B$27,2,FALSE)</f>
        <v>13DEM</v>
      </c>
      <c r="E624" s="3">
        <f>Classification!E624-Classification!F624-Classification!G624</f>
        <v>0</v>
      </c>
      <c r="F624" s="3">
        <f ca="1">ROUND((VLOOKUP($D624,'Alloc Table Dem'!$B$7:$T$56,13,FALSE)*$E624),0)</f>
        <v>0</v>
      </c>
      <c r="G624" s="3">
        <f ca="1">ROUND((VLOOKUP($D624,'Alloc Table Dem'!$B$7:$T$56,14,FALSE)*$E624),0)</f>
        <v>0</v>
      </c>
      <c r="H624" s="3">
        <f ca="1">ROUND((VLOOKUP($D624,'Alloc Table Dem'!$B$7:$T$56,15,FALSE)*$E624),0)</f>
        <v>0</v>
      </c>
      <c r="I624" s="3">
        <f ca="1">ROUND((VLOOKUP($D624,'Alloc Table Dem'!$B$7:$T$56,16,FALSE)*$E624),0)</f>
        <v>0</v>
      </c>
      <c r="J624" s="3">
        <f ca="1">ROUND((VLOOKUP($D624,'Alloc Table Dem'!$B$7:$T$56,17,FALSE)*$E624),0)</f>
        <v>0</v>
      </c>
      <c r="K624" s="3">
        <f ca="1">ROUND((VLOOKUP($D624,'Alloc Table Dem'!$B$7:$T$56,18,FALSE)*$E624),0)</f>
        <v>0</v>
      </c>
      <c r="L624" s="3">
        <f ca="1">ROUND((VLOOKUP($D624,'Alloc Table Dem'!$B$7:$T$56,19,FALSE)*$E624),0)</f>
        <v>0</v>
      </c>
    </row>
    <row r="625" spans="1:12" ht="11.25" x14ac:dyDescent="0.2">
      <c r="A625" s="3">
        <f t="shared" si="80"/>
        <v>20</v>
      </c>
      <c r="B625" s="3" t="str">
        <f>Input!A486</f>
        <v>930.20</v>
      </c>
      <c r="C625" s="3" t="str">
        <f>Input!B486</f>
        <v>MISC. - GENERAL</v>
      </c>
      <c r="D625" s="325" t="str">
        <f>VLOOKUP(Input!C486,'Alloc Table Dem'!$A$7:$B$27,2,FALSE)</f>
        <v>13DEM</v>
      </c>
      <c r="E625" s="3">
        <f>Classification!E625-Classification!F625-Classification!G625</f>
        <v>-14119.400000000009</v>
      </c>
      <c r="F625" s="3">
        <f ca="1">ROUND((VLOOKUP($D625,'Alloc Table Dem'!$B$7:$T$56,13,FALSE)*$E625),0)</f>
        <v>-5506</v>
      </c>
      <c r="G625" s="3">
        <f ca="1">ROUND((VLOOKUP($D625,'Alloc Table Dem'!$B$7:$T$56,14,FALSE)*$E625),0)</f>
        <v>-3728</v>
      </c>
      <c r="H625" s="3">
        <f ca="1">ROUND((VLOOKUP($D625,'Alloc Table Dem'!$B$7:$T$56,15,FALSE)*$E625),0)</f>
        <v>-8</v>
      </c>
      <c r="I625" s="3">
        <f ca="1">ROUND((VLOOKUP($D625,'Alloc Table Dem'!$B$7:$T$56,16,FALSE)*$E625),0)</f>
        <v>-1</v>
      </c>
      <c r="J625" s="3">
        <f ca="1">ROUND((VLOOKUP($D625,'Alloc Table Dem'!$B$7:$T$56,17,FALSE)*$E625),0)</f>
        <v>-4877</v>
      </c>
      <c r="K625" s="3">
        <f ca="1">ROUND((VLOOKUP($D625,'Alloc Table Dem'!$B$7:$T$56,18,FALSE)*$E625),0)</f>
        <v>0</v>
      </c>
      <c r="L625" s="3">
        <f ca="1">ROUND((VLOOKUP($D625,'Alloc Table Dem'!$B$7:$T$56,19,FALSE)*$E625),0)</f>
        <v>0</v>
      </c>
    </row>
    <row r="626" spans="1:12" ht="11.25" x14ac:dyDescent="0.2">
      <c r="A626" s="3">
        <f t="shared" si="80"/>
        <v>21</v>
      </c>
      <c r="B626" s="3" t="str">
        <f>Input!A487</f>
        <v>931</v>
      </c>
      <c r="C626" s="3" t="str">
        <f>Input!B487</f>
        <v>RENTS</v>
      </c>
      <c r="D626" s="325" t="str">
        <f>VLOOKUP(Input!C487,'Alloc Table Dem'!$A$7:$B$27,2,FALSE)</f>
        <v>13DEM</v>
      </c>
      <c r="E626" s="3">
        <f>Classification!E626-Classification!F626-Classification!G626</f>
        <v>145956</v>
      </c>
      <c r="F626" s="3">
        <f ca="1">ROUND((VLOOKUP($D626,'Alloc Table Dem'!$B$7:$T$56,13,FALSE)*$E626),0)</f>
        <v>56917</v>
      </c>
      <c r="G626" s="3">
        <f ca="1">ROUND((VLOOKUP($D626,'Alloc Table Dem'!$B$7:$T$56,14,FALSE)*$E626),0)</f>
        <v>38538</v>
      </c>
      <c r="H626" s="3">
        <f ca="1">ROUND((VLOOKUP($D626,'Alloc Table Dem'!$B$7:$T$56,15,FALSE)*$E626),0)</f>
        <v>83</v>
      </c>
      <c r="I626" s="3">
        <f ca="1">ROUND((VLOOKUP($D626,'Alloc Table Dem'!$B$7:$T$56,16,FALSE)*$E626),0)</f>
        <v>7</v>
      </c>
      <c r="J626" s="3">
        <f ca="1">ROUND((VLOOKUP($D626,'Alloc Table Dem'!$B$7:$T$56,17,FALSE)*$E626),0)</f>
        <v>50410</v>
      </c>
      <c r="K626" s="3">
        <f ca="1">ROUND((VLOOKUP($D626,'Alloc Table Dem'!$B$7:$T$56,18,FALSE)*$E626),0)</f>
        <v>0</v>
      </c>
      <c r="L626" s="3">
        <f ca="1">ROUND((VLOOKUP($D626,'Alloc Table Dem'!$B$7:$T$56,19,FALSE)*$E626),0)</f>
        <v>0</v>
      </c>
    </row>
    <row r="627" spans="1:12" ht="11.25" x14ac:dyDescent="0.2">
      <c r="A627" s="3">
        <f t="shared" si="80"/>
        <v>22</v>
      </c>
      <c r="B627" s="3" t="str">
        <f>Input!A488</f>
        <v>935.13</v>
      </c>
      <c r="C627" s="3" t="str">
        <f>Input!B488</f>
        <v>MAINT. STRUCTURES &amp; IMPROV.</v>
      </c>
      <c r="D627" s="325" t="str">
        <f>VLOOKUP(Input!C488,'Alloc Table Dem'!$A$7:$B$27,2,FALSE)</f>
        <v>13DEM</v>
      </c>
      <c r="E627" s="3">
        <f>Classification!E627-Classification!F627-Classification!G627</f>
        <v>30</v>
      </c>
      <c r="F627" s="3">
        <f ca="1">ROUND((VLOOKUP($D627,'Alloc Table Dem'!$B$7:$T$56,13,FALSE)*$E627),0)</f>
        <v>12</v>
      </c>
      <c r="G627" s="3">
        <f ca="1">ROUND((VLOOKUP($D627,'Alloc Table Dem'!$B$7:$T$56,14,FALSE)*$E627),0)</f>
        <v>8</v>
      </c>
      <c r="H627" s="3">
        <f ca="1">ROUND((VLOOKUP($D627,'Alloc Table Dem'!$B$7:$T$56,15,FALSE)*$E627),0)</f>
        <v>0</v>
      </c>
      <c r="I627" s="3">
        <f ca="1">ROUND((VLOOKUP($D627,'Alloc Table Dem'!$B$7:$T$56,16,FALSE)*$E627),0)</f>
        <v>0</v>
      </c>
      <c r="J627" s="3">
        <f ca="1">ROUND((VLOOKUP($D627,'Alloc Table Dem'!$B$7:$T$56,17,FALSE)*$E627),0)</f>
        <v>10</v>
      </c>
      <c r="K627" s="3">
        <f ca="1">ROUND((VLOOKUP($D627,'Alloc Table Dem'!$B$7:$T$56,18,FALSE)*$E627),0)</f>
        <v>0</v>
      </c>
      <c r="L627" s="3">
        <f ca="1">ROUND((VLOOKUP($D627,'Alloc Table Dem'!$B$7:$T$56,19,FALSE)*$E627),0)</f>
        <v>0</v>
      </c>
    </row>
    <row r="628" spans="1:12" ht="11.25" x14ac:dyDescent="0.2">
      <c r="A628" s="3">
        <f t="shared" si="80"/>
        <v>23</v>
      </c>
      <c r="B628" s="3" t="str">
        <f>Input!A489</f>
        <v>935.23</v>
      </c>
      <c r="C628" s="3" t="str">
        <f>Input!B489</f>
        <v xml:space="preserve">MAINT. - GEN'L OFFICE </v>
      </c>
      <c r="D628" s="325"/>
      <c r="E628" s="1"/>
      <c r="F628" s="3"/>
      <c r="G628" s="3"/>
      <c r="H628" s="3"/>
      <c r="I628" s="3"/>
      <c r="J628" s="3"/>
      <c r="K628" s="3"/>
      <c r="L628" s="3"/>
    </row>
    <row r="629" spans="1:12" ht="11.25" x14ac:dyDescent="0.2">
      <c r="A629" s="3">
        <f t="shared" si="80"/>
        <v>24</v>
      </c>
      <c r="B629" s="3"/>
      <c r="C629" s="3" t="str">
        <f>Input!B490</f>
        <v>FURNITURE &amp; EQUIPMENT</v>
      </c>
      <c r="D629" s="325" t="str">
        <f>VLOOKUP(Input!C490,'Alloc Table Dem'!$A$7:$B$27,2,FALSE)</f>
        <v>13DEM</v>
      </c>
      <c r="E629" s="3">
        <f>Classification!E629-Classification!F629-Classification!G629</f>
        <v>0</v>
      </c>
      <c r="F629" s="3">
        <f ca="1">ROUND((VLOOKUP($D629,'Alloc Table Dem'!$B$7:$T$56,13,FALSE)*$E629),0)</f>
        <v>0</v>
      </c>
      <c r="G629" s="3">
        <f ca="1">ROUND((VLOOKUP($D629,'Alloc Table Dem'!$B$7:$T$56,14,FALSE)*$E629),0)</f>
        <v>0</v>
      </c>
      <c r="H629" s="3">
        <f ca="1">ROUND((VLOOKUP($D629,'Alloc Table Dem'!$B$7:$T$56,15,FALSE)*$E629),0)</f>
        <v>0</v>
      </c>
      <c r="I629" s="3">
        <f ca="1">ROUND((VLOOKUP($D629,'Alloc Table Dem'!$B$7:$T$56,16,FALSE)*$E629),0)</f>
        <v>0</v>
      </c>
      <c r="J629" s="3">
        <f ca="1">ROUND((VLOOKUP($D629,'Alloc Table Dem'!$B$7:$T$56,17,FALSE)*$E629),0)</f>
        <v>0</v>
      </c>
      <c r="K629" s="3">
        <f ca="1">ROUND((VLOOKUP($D629,'Alloc Table Dem'!$B$7:$T$56,18,FALSE)*$E629),0)</f>
        <v>0</v>
      </c>
      <c r="L629" s="3">
        <f ca="1">ROUND((VLOOKUP($D629,'Alloc Table Dem'!$B$7:$T$56,19,FALSE)*$E629),0)</f>
        <v>0</v>
      </c>
    </row>
    <row r="630" spans="1:12" ht="11.25" x14ac:dyDescent="0.2">
      <c r="A630" s="3">
        <f t="shared" si="80"/>
        <v>25</v>
      </c>
      <c r="B630" s="3">
        <f>Input!A491</f>
        <v>932</v>
      </c>
      <c r="C630" s="3" t="str">
        <f>Input!B491</f>
        <v>MAINT.-MISCELLANEOUS</v>
      </c>
      <c r="D630" s="325" t="str">
        <f>VLOOKUP(Input!C491,'Alloc Table Dem'!$A$7:$B$27,2,FALSE)</f>
        <v>13DEM</v>
      </c>
      <c r="E630" s="26">
        <f>Classification!E630-Classification!F630-Classification!G630</f>
        <v>58894</v>
      </c>
      <c r="F630" s="26">
        <f ca="1">ROUND((VLOOKUP($D630,'Alloc Table Dem'!$B$7:$T$56,13,FALSE)*$E630),0)</f>
        <v>22966</v>
      </c>
      <c r="G630" s="26">
        <f ca="1">ROUND((VLOOKUP($D630,'Alloc Table Dem'!$B$7:$T$56,14,FALSE)*$E630),0)</f>
        <v>15550</v>
      </c>
      <c r="H630" s="26">
        <f ca="1">ROUND((VLOOKUP($D630,'Alloc Table Dem'!$B$7:$T$56,15,FALSE)*$E630),0)</f>
        <v>34</v>
      </c>
      <c r="I630" s="26">
        <f ca="1">ROUND((VLOOKUP($D630,'Alloc Table Dem'!$B$7:$T$56,16,FALSE)*$E630),0)</f>
        <v>3</v>
      </c>
      <c r="J630" s="26">
        <f ca="1">ROUND((VLOOKUP($D630,'Alloc Table Dem'!$B$7:$T$56,17,FALSE)*$E630),0)</f>
        <v>20341</v>
      </c>
      <c r="K630" s="26">
        <f ca="1">ROUND((VLOOKUP($D630,'Alloc Table Dem'!$B$7:$T$56,18,FALSE)*$E630),0)</f>
        <v>0</v>
      </c>
      <c r="L630" s="26">
        <f ca="1">ROUND((VLOOKUP($D630,'Alloc Table Dem'!$B$7:$T$56,19,FALSE)*$E630),0)</f>
        <v>0</v>
      </c>
    </row>
    <row r="631" spans="1:12" ht="11.25" x14ac:dyDescent="0.2">
      <c r="A631" s="3">
        <f>A630+1</f>
        <v>26</v>
      </c>
      <c r="B631" s="3"/>
      <c r="C631" s="3" t="s">
        <v>340</v>
      </c>
      <c r="D631" s="325"/>
      <c r="E631" s="26">
        <f t="shared" ref="E631:L631" ca="1" si="81">SUM(E614:E630)</f>
        <v>3958741.9799600006</v>
      </c>
      <c r="F631" s="26">
        <f t="shared" ca="1" si="81"/>
        <v>1543611</v>
      </c>
      <c r="G631" s="26">
        <f t="shared" ca="1" si="81"/>
        <v>1045206</v>
      </c>
      <c r="H631" s="26">
        <f t="shared" ca="1" si="81"/>
        <v>2258</v>
      </c>
      <c r="I631" s="26">
        <f t="shared" ca="1" si="81"/>
        <v>197</v>
      </c>
      <c r="J631" s="26">
        <f t="shared" ca="1" si="81"/>
        <v>1367470</v>
      </c>
      <c r="K631" s="26">
        <f t="shared" ca="1" si="81"/>
        <v>0</v>
      </c>
      <c r="L631" s="26">
        <f t="shared" ca="1" si="81"/>
        <v>0</v>
      </c>
    </row>
    <row r="632" spans="1:12" ht="11.25" x14ac:dyDescent="0.2">
      <c r="A632" s="3"/>
      <c r="B632" s="3"/>
      <c r="C632" s="3"/>
      <c r="D632" s="325"/>
      <c r="E632" s="3"/>
      <c r="F632" s="3"/>
      <c r="G632" s="3"/>
      <c r="H632" s="3"/>
      <c r="I632" s="3"/>
      <c r="J632" s="3"/>
      <c r="K632" s="3"/>
      <c r="L632" s="3"/>
    </row>
    <row r="633" spans="1:12" ht="11.25" x14ac:dyDescent="0.2">
      <c r="A633" s="3">
        <f>A631+1</f>
        <v>27</v>
      </c>
      <c r="B633" s="3"/>
      <c r="C633" s="3" t="s">
        <v>341</v>
      </c>
      <c r="D633" s="325"/>
      <c r="E633" s="3">
        <f ca="1">Demand!E409+Demand!E410+Demand!E411+Demand!E417+Demand!E419+Demand!E429+Demand!E430+E610+E631</f>
        <v>7547188.149960001</v>
      </c>
      <c r="F633" s="3">
        <f ca="1">Demand!F409+Demand!F410+Demand!F411+Demand!F417+Demand!F419+Demand!F429+Demand!F430+F610+F631</f>
        <v>2942929</v>
      </c>
      <c r="G633" s="3">
        <f ca="1">Demand!G409+Demand!G410+Demand!G411+Demand!G417+Demand!G419+Demand!G429+Demand!G430+G610+G631</f>
        <v>1992716</v>
      </c>
      <c r="H633" s="3">
        <f ca="1">Demand!H409+Demand!H410+Demand!H411+Demand!H417+Demand!H419+Demand!H429+Demand!H430+H610+H631</f>
        <v>4304</v>
      </c>
      <c r="I633" s="3">
        <f ca="1">Demand!I409+Demand!I410+Demand!I411+Demand!I417+Demand!I419+Demand!I429+Demand!I430+I610+I631</f>
        <v>376</v>
      </c>
      <c r="J633" s="3">
        <f ca="1">Demand!J409+Demand!J410+Demand!J411+Demand!J417+Demand!J419+Demand!J429+Demand!J430+J610+J631</f>
        <v>2606863</v>
      </c>
      <c r="K633" s="3">
        <f ca="1">Demand!K409+Demand!K410+Demand!K411+Demand!K417+Demand!K419+Demand!K429+Demand!K430+K610+K631</f>
        <v>0</v>
      </c>
      <c r="L633" s="3">
        <f ca="1">Demand!L409+Demand!L410+Demand!L411+Demand!L417+Demand!L419+Demand!L429+Demand!L430+L610+L631</f>
        <v>0</v>
      </c>
    </row>
    <row r="634" spans="1:12" ht="11.25" x14ac:dyDescent="0.2">
      <c r="A634" s="3" t="s">
        <v>819</v>
      </c>
      <c r="B634" s="3"/>
      <c r="C634" s="14"/>
      <c r="D634" s="325"/>
      <c r="E634" s="15"/>
      <c r="F634" s="325" t="str">
        <f>""&amp;+Input!$B$1</f>
        <v>COLUMBIA GAS OF KENTUCKY, INC.</v>
      </c>
      <c r="H634" s="3"/>
      <c r="I634" s="3"/>
      <c r="J634" s="3"/>
      <c r="K634" s="3"/>
      <c r="L634" s="32" t="str">
        <f>Input!$B$2</f>
        <v>ATTACHMENT CEN-2</v>
      </c>
    </row>
    <row r="635" spans="1:12" ht="11.25" x14ac:dyDescent="0.2">
      <c r="A635" s="3" t="str">
        <f>Input!$B$7</f>
        <v>DEMAND-COMMODITY</v>
      </c>
      <c r="B635" s="3"/>
      <c r="C635" s="3"/>
      <c r="D635" s="325"/>
      <c r="E635" s="3"/>
      <c r="F635" s="325" t="s">
        <v>42</v>
      </c>
      <c r="H635" s="3"/>
      <c r="I635" s="3"/>
      <c r="J635" s="3"/>
      <c r="K635" s="3"/>
      <c r="L635" s="32" t="str">
        <f>"PAGE 122 OF "&amp;FIXED(Input!$B$8,0,TRUE)</f>
        <v>PAGE 122 OF 129</v>
      </c>
    </row>
    <row r="636" spans="1:12" ht="11.25" x14ac:dyDescent="0.2">
      <c r="A636" s="17" t="str">
        <f>Input!$B$6</f>
        <v>FORECASTED TEST YEAR - ORIGINAL FILING</v>
      </c>
      <c r="B636" s="17"/>
      <c r="C636" s="17"/>
      <c r="D636" s="34"/>
      <c r="E636" s="17"/>
      <c r="F636" s="19" t="str">
        <f>"FOR THE TWELVE MONTHS ENDED "&amp;Input!$B$4</f>
        <v>FOR THE TWELVE MONTHS ENDED 12/31/2017</v>
      </c>
      <c r="G636" s="329"/>
      <c r="H636" s="17"/>
      <c r="I636" s="17"/>
      <c r="J636" s="17"/>
      <c r="K636" s="17"/>
      <c r="L636" s="183" t="str">
        <f>"WITNESS: "&amp;Input!$B$5</f>
        <v>WITNESS: C. NOTESTONE</v>
      </c>
    </row>
    <row r="637" spans="1:12" ht="11.25" x14ac:dyDescent="0.2">
      <c r="A637" s="325" t="s">
        <v>5</v>
      </c>
      <c r="B637" s="3" t="s">
        <v>6</v>
      </c>
      <c r="C637" s="3"/>
      <c r="D637" s="325" t="s">
        <v>7</v>
      </c>
      <c r="E637" s="325" t="s">
        <v>8</v>
      </c>
      <c r="F637" s="3"/>
      <c r="G637" s="3"/>
      <c r="H637" s="3"/>
      <c r="I637" s="3"/>
      <c r="J637" s="3"/>
      <c r="K637" s="3"/>
      <c r="L637" s="3"/>
    </row>
    <row r="638" spans="1:12" ht="11.25" x14ac:dyDescent="0.2">
      <c r="A638" s="341" t="s">
        <v>9</v>
      </c>
      <c r="B638" s="341" t="s">
        <v>9</v>
      </c>
      <c r="C638" s="341" t="str">
        <f>"                        ACCOUNT TITLE                "</f>
        <v xml:space="preserve">                        ACCOUNT TITLE                </v>
      </c>
      <c r="D638" s="341" t="s">
        <v>10</v>
      </c>
      <c r="E638" s="341" t="s">
        <v>813</v>
      </c>
      <c r="F638" s="341" t="str">
        <f>"  "&amp;+Input!$C$12</f>
        <v xml:space="preserve">  GS-RESIDENTIAL</v>
      </c>
      <c r="G638" s="341" t="str">
        <f>Input!$C$13</f>
        <v>GS-OTHER</v>
      </c>
      <c r="H638" s="341" t="str">
        <f>Input!$C$14</f>
        <v>IUS</v>
      </c>
      <c r="I638" s="341" t="str">
        <f>Input!$C$15</f>
        <v>DS-ML</v>
      </c>
      <c r="J638" s="341" t="str">
        <f>Input!$C$16</f>
        <v>DS/IS</v>
      </c>
      <c r="K638" s="341" t="str">
        <f>Input!$C$17</f>
        <v>NOT USED</v>
      </c>
      <c r="L638" s="341" t="str">
        <f>Input!$C$18</f>
        <v>NOT USED</v>
      </c>
    </row>
    <row r="639" spans="1:12" ht="11.25" x14ac:dyDescent="0.2">
      <c r="A639" s="3"/>
      <c r="B639" s="342" t="s">
        <v>13</v>
      </c>
      <c r="C639" s="342" t="s">
        <v>14</v>
      </c>
      <c r="D639" s="325" t="s">
        <v>15</v>
      </c>
      <c r="E639" s="325" t="s">
        <v>16</v>
      </c>
      <c r="F639" s="325" t="s">
        <v>17</v>
      </c>
      <c r="G639" s="325" t="s">
        <v>18</v>
      </c>
      <c r="H639" s="325" t="s">
        <v>19</v>
      </c>
      <c r="I639" s="325" t="s">
        <v>20</v>
      </c>
      <c r="J639" s="325" t="s">
        <v>21</v>
      </c>
      <c r="K639" s="325" t="s">
        <v>22</v>
      </c>
      <c r="L639" s="325" t="s">
        <v>23</v>
      </c>
    </row>
    <row r="640" spans="1:12" ht="11.25" x14ac:dyDescent="0.2">
      <c r="A640" s="3"/>
      <c r="B640" s="3"/>
      <c r="C640" s="3"/>
      <c r="D640" s="325"/>
      <c r="E640" s="325" t="s">
        <v>26</v>
      </c>
      <c r="F640" s="325" t="s">
        <v>26</v>
      </c>
      <c r="G640" s="325" t="s">
        <v>26</v>
      </c>
      <c r="H640" s="325" t="s">
        <v>26</v>
      </c>
      <c r="I640" s="325" t="s">
        <v>26</v>
      </c>
      <c r="J640" s="325" t="s">
        <v>26</v>
      </c>
      <c r="K640" s="325" t="s">
        <v>26</v>
      </c>
      <c r="L640" s="325" t="s">
        <v>26</v>
      </c>
    </row>
    <row r="641" spans="1:12" ht="11.25" x14ac:dyDescent="0.2">
      <c r="A641" s="3">
        <v>1</v>
      </c>
      <c r="B641" s="3" t="s">
        <v>342</v>
      </c>
      <c r="C641" s="3"/>
      <c r="D641" s="325"/>
      <c r="E641" s="3"/>
      <c r="F641" s="3"/>
      <c r="G641" s="3"/>
      <c r="H641" s="3"/>
      <c r="I641" s="3"/>
      <c r="J641" s="3"/>
      <c r="K641" s="3"/>
      <c r="L641" s="3"/>
    </row>
    <row r="642" spans="1:12" ht="11.25" x14ac:dyDescent="0.2">
      <c r="A642" s="3"/>
      <c r="B642" s="3"/>
      <c r="C642" s="3"/>
      <c r="D642" s="325"/>
      <c r="E642" s="3"/>
      <c r="F642" s="3"/>
      <c r="G642" s="3"/>
      <c r="H642" s="3"/>
      <c r="I642" s="3"/>
      <c r="J642" s="3"/>
      <c r="K642" s="3"/>
      <c r="L642" s="3"/>
    </row>
    <row r="643" spans="1:12" ht="11.25" x14ac:dyDescent="0.2">
      <c r="A643" s="3">
        <f>A641+1</f>
        <v>2</v>
      </c>
      <c r="B643" s="3" t="s">
        <v>343</v>
      </c>
      <c r="C643" s="3"/>
      <c r="D643" s="325" t="s">
        <v>344</v>
      </c>
      <c r="E643" s="23">
        <f>Demand!E408+Demand!E416+Demand!E418+Demand!E428</f>
        <v>0</v>
      </c>
      <c r="F643" s="23">
        <f>Demand!F408+Demand!F416+Demand!F418+Demand!F428</f>
        <v>0</v>
      </c>
      <c r="G643" s="23">
        <f>Demand!G408+Demand!G416+Demand!G418+Demand!G428</f>
        <v>0</v>
      </c>
      <c r="H643" s="23">
        <f>Demand!H408+Demand!H416+Demand!H418+Demand!H428</f>
        <v>0</v>
      </c>
      <c r="I643" s="23">
        <f>Demand!I408+Demand!I416+Demand!I418+Demand!I428</f>
        <v>0</v>
      </c>
      <c r="J643" s="23">
        <f>Demand!J408+Demand!J416+Demand!J418+Demand!J428</f>
        <v>0</v>
      </c>
      <c r="K643" s="23">
        <f>Demand!K408+Demand!K416+Demand!K418+Demand!K428</f>
        <v>0</v>
      </c>
      <c r="L643" s="23">
        <f>Demand!L408+Demand!L416+Demand!L418+Demand!L428</f>
        <v>0</v>
      </c>
    </row>
    <row r="644" spans="1:12" ht="11.25" x14ac:dyDescent="0.2">
      <c r="A644" s="3">
        <f t="shared" ref="A644:A650" si="82">A643+1</f>
        <v>3</v>
      </c>
      <c r="B644" s="3" t="s">
        <v>345</v>
      </c>
      <c r="C644" s="3"/>
      <c r="D644" s="325" t="s">
        <v>346</v>
      </c>
      <c r="E644" s="23">
        <f>Demand!E452</f>
        <v>707599</v>
      </c>
      <c r="F644" s="23">
        <f ca="1">Demand!F452</f>
        <v>275835</v>
      </c>
      <c r="G644" s="23">
        <f ca="1">Demand!G452</f>
        <v>186793</v>
      </c>
      <c r="H644" s="23">
        <f ca="1">Demand!H452</f>
        <v>402</v>
      </c>
      <c r="I644" s="23">
        <f ca="1">Demand!I452</f>
        <v>35</v>
      </c>
      <c r="J644" s="23">
        <f ca="1">Demand!J452</f>
        <v>244533</v>
      </c>
      <c r="K644" s="23">
        <f ca="1">Demand!K452</f>
        <v>0</v>
      </c>
      <c r="L644" s="23">
        <f ca="1">Demand!L452</f>
        <v>0</v>
      </c>
    </row>
    <row r="645" spans="1:12" ht="11.25" x14ac:dyDescent="0.2">
      <c r="A645" s="3">
        <f t="shared" si="82"/>
        <v>4</v>
      </c>
      <c r="B645" s="3" t="s">
        <v>347</v>
      </c>
      <c r="C645" s="3"/>
      <c r="D645" s="325" t="s">
        <v>346</v>
      </c>
      <c r="E645" s="3">
        <f>Demand!E464</f>
        <v>558146</v>
      </c>
      <c r="F645" s="3">
        <f ca="1">Demand!F464</f>
        <v>217577</v>
      </c>
      <c r="G645" s="3">
        <f ca="1">Demand!G464</f>
        <v>147339</v>
      </c>
      <c r="H645" s="3">
        <f ca="1">Demand!H464</f>
        <v>318</v>
      </c>
      <c r="I645" s="3">
        <f ca="1">Demand!I464</f>
        <v>27</v>
      </c>
      <c r="J645" s="3">
        <f ca="1">Demand!J464</f>
        <v>192884</v>
      </c>
      <c r="K645" s="3">
        <f ca="1">Demand!K464</f>
        <v>0</v>
      </c>
      <c r="L645" s="3">
        <f ca="1">Demand!L464</f>
        <v>0</v>
      </c>
    </row>
    <row r="646" spans="1:12" ht="11.25" x14ac:dyDescent="0.2">
      <c r="A646" s="3">
        <f t="shared" si="82"/>
        <v>5</v>
      </c>
      <c r="B646" s="3" t="s">
        <v>348</v>
      </c>
      <c r="C646" s="3"/>
      <c r="D646" s="325" t="s">
        <v>349</v>
      </c>
      <c r="E646" s="3">
        <f>Demand!E483</f>
        <v>0</v>
      </c>
      <c r="F646" s="3">
        <f>Demand!F483</f>
        <v>0</v>
      </c>
      <c r="G646" s="3">
        <f>Demand!G483</f>
        <v>0</v>
      </c>
      <c r="H646" s="3">
        <f>Demand!H483</f>
        <v>0</v>
      </c>
      <c r="I646" s="3">
        <f>Demand!I483</f>
        <v>0</v>
      </c>
      <c r="J646" s="3">
        <f>Demand!J483</f>
        <v>0</v>
      </c>
      <c r="K646" s="3">
        <f>Demand!K483</f>
        <v>0</v>
      </c>
      <c r="L646" s="3">
        <f>Demand!L483</f>
        <v>0</v>
      </c>
    </row>
    <row r="647" spans="1:12" ht="11.25" x14ac:dyDescent="0.2">
      <c r="A647" s="3">
        <f t="shared" si="82"/>
        <v>6</v>
      </c>
      <c r="B647" s="3" t="s">
        <v>350</v>
      </c>
      <c r="C647" s="3"/>
      <c r="D647" s="325" t="s">
        <v>349</v>
      </c>
      <c r="E647" s="3">
        <f>Demand!E495</f>
        <v>0</v>
      </c>
      <c r="F647" s="3">
        <f>Demand!F495</f>
        <v>0</v>
      </c>
      <c r="G647" s="3">
        <f>Demand!G495</f>
        <v>0</v>
      </c>
      <c r="H647" s="3">
        <f>Demand!H495</f>
        <v>0</v>
      </c>
      <c r="I647" s="3">
        <f>Demand!I495</f>
        <v>0</v>
      </c>
      <c r="J647" s="3">
        <f>Demand!J495</f>
        <v>0</v>
      </c>
      <c r="K647" s="3">
        <f>Demand!K495</f>
        <v>0</v>
      </c>
      <c r="L647" s="3">
        <f>Demand!L495</f>
        <v>0</v>
      </c>
    </row>
    <row r="648" spans="1:12" ht="11.25" x14ac:dyDescent="0.2">
      <c r="A648" s="3">
        <f t="shared" si="82"/>
        <v>7</v>
      </c>
      <c r="B648" s="3" t="s">
        <v>351</v>
      </c>
      <c r="C648" s="3"/>
      <c r="D648" s="325" t="s">
        <v>352</v>
      </c>
      <c r="E648" s="3">
        <f>Demand!E509</f>
        <v>0</v>
      </c>
      <c r="F648" s="3">
        <f>Demand!F509</f>
        <v>0</v>
      </c>
      <c r="G648" s="3">
        <f>Demand!G509</f>
        <v>0</v>
      </c>
      <c r="H648" s="3">
        <f>Demand!H509</f>
        <v>0</v>
      </c>
      <c r="I648" s="3">
        <f>Demand!I509</f>
        <v>0</v>
      </c>
      <c r="J648" s="3">
        <f>Demand!J509</f>
        <v>0</v>
      </c>
      <c r="K648" s="3">
        <f>Demand!K509</f>
        <v>0</v>
      </c>
      <c r="L648" s="3">
        <f>Demand!L509</f>
        <v>0</v>
      </c>
    </row>
    <row r="649" spans="1:12" ht="11.25" x14ac:dyDescent="0.2">
      <c r="A649" s="3">
        <f t="shared" si="82"/>
        <v>8</v>
      </c>
      <c r="B649" s="3" t="s">
        <v>353</v>
      </c>
      <c r="C649" s="3"/>
      <c r="D649" s="325" t="s">
        <v>352</v>
      </c>
      <c r="E649" s="26">
        <f>Demand!E530</f>
        <v>261537.43999999983</v>
      </c>
      <c r="F649" s="26">
        <f ca="1">Demand!F530</f>
        <v>101953</v>
      </c>
      <c r="G649" s="26">
        <f ca="1">Demand!G530</f>
        <v>69041</v>
      </c>
      <c r="H649" s="26">
        <f ca="1">Demand!H530</f>
        <v>149</v>
      </c>
      <c r="I649" s="26">
        <f ca="1">Demand!I530</f>
        <v>13</v>
      </c>
      <c r="J649" s="26">
        <f ca="1">Demand!J530</f>
        <v>90382</v>
      </c>
      <c r="K649" s="26">
        <f ca="1">Demand!K530</f>
        <v>0</v>
      </c>
      <c r="L649" s="26">
        <f ca="1">Demand!L530</f>
        <v>0</v>
      </c>
    </row>
    <row r="650" spans="1:12" ht="11.25" x14ac:dyDescent="0.2">
      <c r="A650" s="3">
        <f t="shared" si="82"/>
        <v>9</v>
      </c>
      <c r="B650" s="3" t="s">
        <v>354</v>
      </c>
      <c r="C650" s="3"/>
      <c r="D650" s="325"/>
      <c r="E650" s="1">
        <f t="shared" ref="E650:L650" si="83">SUM(E643:E649)</f>
        <v>1527282.44</v>
      </c>
      <c r="F650" s="3">
        <f t="shared" ca="1" si="83"/>
        <v>595365</v>
      </c>
      <c r="G650" s="3">
        <f t="shared" ca="1" si="83"/>
        <v>403173</v>
      </c>
      <c r="H650" s="3">
        <f t="shared" ca="1" si="83"/>
        <v>869</v>
      </c>
      <c r="I650" s="3">
        <f t="shared" ca="1" si="83"/>
        <v>75</v>
      </c>
      <c r="J650" s="3">
        <f t="shared" ca="1" si="83"/>
        <v>527799</v>
      </c>
      <c r="K650" s="3">
        <f t="shared" ca="1" si="83"/>
        <v>0</v>
      </c>
      <c r="L650" s="3">
        <f t="shared" ca="1" si="83"/>
        <v>0</v>
      </c>
    </row>
    <row r="651" spans="1:12" ht="11.25" x14ac:dyDescent="0.2">
      <c r="A651" s="3"/>
      <c r="B651" s="3"/>
      <c r="C651" s="3"/>
      <c r="D651" s="325"/>
      <c r="E651" s="3"/>
      <c r="F651" s="3"/>
      <c r="G651" s="3"/>
      <c r="H651" s="3"/>
      <c r="I651" s="3"/>
      <c r="J651" s="3"/>
      <c r="K651" s="3"/>
      <c r="L651" s="3"/>
    </row>
    <row r="652" spans="1:12" ht="11.25" x14ac:dyDescent="0.2">
      <c r="A652" s="3">
        <f>A650+1</f>
        <v>10</v>
      </c>
      <c r="B652" s="3" t="s">
        <v>355</v>
      </c>
      <c r="C652" s="3"/>
      <c r="D652" s="325"/>
      <c r="E652" s="3"/>
      <c r="F652" s="3"/>
      <c r="G652" s="3"/>
      <c r="H652" s="3"/>
      <c r="I652" s="3"/>
      <c r="J652" s="3"/>
      <c r="K652" s="3"/>
      <c r="L652" s="3"/>
    </row>
    <row r="653" spans="1:12" ht="11.25" x14ac:dyDescent="0.2">
      <c r="A653" s="3"/>
      <c r="B653" s="3"/>
      <c r="C653" s="3"/>
      <c r="D653" s="325"/>
      <c r="E653" s="3"/>
      <c r="F653" s="3"/>
      <c r="G653" s="3"/>
      <c r="H653" s="3"/>
      <c r="I653" s="3"/>
      <c r="J653" s="3"/>
      <c r="K653" s="3"/>
      <c r="L653" s="3"/>
    </row>
    <row r="654" spans="1:12" ht="11.25" x14ac:dyDescent="0.2">
      <c r="A654" s="3">
        <f>A652+1</f>
        <v>11</v>
      </c>
      <c r="B654" s="3" t="s">
        <v>343</v>
      </c>
      <c r="C654" s="3"/>
      <c r="D654" s="325" t="s">
        <v>344</v>
      </c>
      <c r="E654" s="3">
        <f>Demand!E409+Demand!E410+Demand!E411+Demand!E417+Demand!E419+Demand!E429+Demand!E430</f>
        <v>2139</v>
      </c>
      <c r="F654" s="3">
        <f>Demand!F409+Demand!F410+Demand!F411+Demand!F417+Demand!F419+Demand!F429+Demand!F430</f>
        <v>1304</v>
      </c>
      <c r="G654" s="3">
        <f>Demand!G409+Demand!G410+Demand!G411+Demand!G417+Demand!G419+Demand!G429+Demand!G430</f>
        <v>797</v>
      </c>
      <c r="H654" s="3">
        <f>Demand!H409+Demand!H410+Demand!H411+Demand!H417+Demand!H419+Demand!H429+Demand!H430</f>
        <v>2</v>
      </c>
      <c r="I654" s="3">
        <f>Demand!I409+Demand!I410+Demand!I411+Demand!I417+Demand!I419+Demand!I429+Demand!I430</f>
        <v>0</v>
      </c>
      <c r="J654" s="3">
        <f>Demand!J409+Demand!J410+Demand!J411+Demand!J417+Demand!J419+Demand!J429+Demand!J430</f>
        <v>37</v>
      </c>
      <c r="K654" s="3">
        <f>Demand!K409+Demand!K410+Demand!K411+Demand!K417+Demand!K419+Demand!K429+Demand!K430</f>
        <v>0</v>
      </c>
      <c r="L654" s="3">
        <f>Demand!L409+Demand!L410+Demand!L411+Demand!L417+Demand!L419+Demand!L429+Demand!L430</f>
        <v>0</v>
      </c>
    </row>
    <row r="655" spans="1:12" ht="11.25" x14ac:dyDescent="0.2">
      <c r="A655" s="3">
        <f t="shared" ref="A655:A661" si="84">A654+1</f>
        <v>12</v>
      </c>
      <c r="B655" s="3" t="s">
        <v>345</v>
      </c>
      <c r="C655" s="3"/>
      <c r="D655" s="325" t="s">
        <v>356</v>
      </c>
      <c r="E655" s="3">
        <f>Demand!E551</f>
        <v>2224398.1</v>
      </c>
      <c r="F655" s="3">
        <f ca="1">Demand!F551</f>
        <v>867115</v>
      </c>
      <c r="G655" s="3">
        <f ca="1">Demand!G551</f>
        <v>587196</v>
      </c>
      <c r="H655" s="3">
        <f ca="1">Demand!H551</f>
        <v>1268</v>
      </c>
      <c r="I655" s="3">
        <f ca="1">Demand!I551</f>
        <v>111</v>
      </c>
      <c r="J655" s="3">
        <f ca="1">Demand!J551</f>
        <v>768707</v>
      </c>
      <c r="K655" s="3">
        <f ca="1">Demand!K551</f>
        <v>0</v>
      </c>
      <c r="L655" s="3">
        <f ca="1">Demand!L551</f>
        <v>0</v>
      </c>
    </row>
    <row r="656" spans="1:12" ht="11.25" x14ac:dyDescent="0.2">
      <c r="A656" s="3">
        <f t="shared" si="84"/>
        <v>13</v>
      </c>
      <c r="B656" s="3" t="s">
        <v>347</v>
      </c>
      <c r="C656" s="3"/>
      <c r="D656" s="325" t="s">
        <v>356</v>
      </c>
      <c r="E656" s="3">
        <f>Demand!E563</f>
        <v>1361909.0700000005</v>
      </c>
      <c r="F656" s="3">
        <f ca="1">Demand!F563</f>
        <v>530899</v>
      </c>
      <c r="G656" s="3">
        <f ca="1">Demand!G563</f>
        <v>359517</v>
      </c>
      <c r="H656" s="3">
        <f ca="1">Demand!H563</f>
        <v>776</v>
      </c>
      <c r="I656" s="3">
        <f ca="1">Demand!I563</f>
        <v>68</v>
      </c>
      <c r="J656" s="3">
        <f ca="1">Demand!J563</f>
        <v>470649</v>
      </c>
      <c r="K656" s="3">
        <f ca="1">Demand!K563</f>
        <v>0</v>
      </c>
      <c r="L656" s="3">
        <f ca="1">Demand!L563</f>
        <v>0</v>
      </c>
    </row>
    <row r="657" spans="1:12" ht="11.25" x14ac:dyDescent="0.2">
      <c r="A657" s="3">
        <f t="shared" si="84"/>
        <v>14</v>
      </c>
      <c r="B657" s="3" t="s">
        <v>348</v>
      </c>
      <c r="C657" s="3"/>
      <c r="D657" s="325" t="s">
        <v>357</v>
      </c>
      <c r="E657" s="3">
        <f>Demand!E582</f>
        <v>0</v>
      </c>
      <c r="F657" s="3">
        <f>Demand!F582</f>
        <v>0</v>
      </c>
      <c r="G657" s="3">
        <f>Demand!G582</f>
        <v>0</v>
      </c>
      <c r="H657" s="3">
        <f>Demand!H582</f>
        <v>0</v>
      </c>
      <c r="I657" s="3">
        <f>Demand!I582</f>
        <v>0</v>
      </c>
      <c r="J657" s="3">
        <f>Demand!J582</f>
        <v>0</v>
      </c>
      <c r="K657" s="3">
        <f>Demand!K582</f>
        <v>0</v>
      </c>
      <c r="L657" s="3">
        <f>Demand!L582</f>
        <v>0</v>
      </c>
    </row>
    <row r="658" spans="1:12" ht="11.25" x14ac:dyDescent="0.2">
      <c r="A658" s="3">
        <f t="shared" si="84"/>
        <v>15</v>
      </c>
      <c r="B658" s="3" t="s">
        <v>350</v>
      </c>
      <c r="C658" s="3"/>
      <c r="D658" s="325" t="s">
        <v>357</v>
      </c>
      <c r="E658" s="3">
        <f>Demand!E594</f>
        <v>-4.638422979041934E-10</v>
      </c>
      <c r="F658" s="3">
        <f>Demand!F594</f>
        <v>0</v>
      </c>
      <c r="G658" s="3">
        <f>Demand!G594</f>
        <v>0</v>
      </c>
      <c r="H658" s="3">
        <f>Demand!H594</f>
        <v>0</v>
      </c>
      <c r="I658" s="3">
        <f>Demand!I594</f>
        <v>0</v>
      </c>
      <c r="J658" s="3">
        <f>Demand!J594</f>
        <v>0</v>
      </c>
      <c r="K658" s="3">
        <f>Demand!K594</f>
        <v>0</v>
      </c>
      <c r="L658" s="3">
        <f>Demand!L594</f>
        <v>0</v>
      </c>
    </row>
    <row r="659" spans="1:12" ht="11.25" x14ac:dyDescent="0.2">
      <c r="A659" s="3">
        <f t="shared" si="84"/>
        <v>16</v>
      </c>
      <c r="B659" s="3" t="s">
        <v>351</v>
      </c>
      <c r="C659" s="3"/>
      <c r="D659" s="325" t="s">
        <v>358</v>
      </c>
      <c r="E659" s="3">
        <f>Demand!E608</f>
        <v>0</v>
      </c>
      <c r="F659" s="3">
        <f>Demand!F608</f>
        <v>0</v>
      </c>
      <c r="G659" s="3">
        <f>Demand!G608</f>
        <v>0</v>
      </c>
      <c r="H659" s="3">
        <f>Demand!H608</f>
        <v>0</v>
      </c>
      <c r="I659" s="3">
        <f>Demand!I608</f>
        <v>0</v>
      </c>
      <c r="J659" s="3">
        <f>Demand!J608</f>
        <v>0</v>
      </c>
      <c r="K659" s="3">
        <f>Demand!K608</f>
        <v>0</v>
      </c>
      <c r="L659" s="3">
        <f>Demand!L608</f>
        <v>0</v>
      </c>
    </row>
    <row r="660" spans="1:12" ht="11.25" x14ac:dyDescent="0.2">
      <c r="A660" s="3">
        <f t="shared" si="84"/>
        <v>17</v>
      </c>
      <c r="B660" s="3" t="s">
        <v>353</v>
      </c>
      <c r="C660" s="3"/>
      <c r="D660" s="325" t="s">
        <v>358</v>
      </c>
      <c r="E660" s="26">
        <f ca="1">Demand!E631</f>
        <v>3958741.9799600006</v>
      </c>
      <c r="F660" s="26">
        <f ca="1">Demand!F631</f>
        <v>1543611</v>
      </c>
      <c r="G660" s="26">
        <f ca="1">Demand!G631</f>
        <v>1045206</v>
      </c>
      <c r="H660" s="26">
        <f ca="1">Demand!H631</f>
        <v>2258</v>
      </c>
      <c r="I660" s="26">
        <f ca="1">Demand!I631</f>
        <v>197</v>
      </c>
      <c r="J660" s="26">
        <f ca="1">Demand!J631</f>
        <v>1367470</v>
      </c>
      <c r="K660" s="26">
        <f ca="1">Demand!K631</f>
        <v>0</v>
      </c>
      <c r="L660" s="26">
        <f ca="1">Demand!L631</f>
        <v>0</v>
      </c>
    </row>
    <row r="661" spans="1:12" ht="11.25" x14ac:dyDescent="0.2">
      <c r="A661" s="3">
        <f t="shared" si="84"/>
        <v>18</v>
      </c>
      <c r="B661" s="3" t="s">
        <v>359</v>
      </c>
      <c r="C661" s="3"/>
      <c r="D661" s="325"/>
      <c r="E661" s="26">
        <f t="shared" ref="E661:L661" ca="1" si="85">SUM(E654:E660)</f>
        <v>7547188.149960001</v>
      </c>
      <c r="F661" s="26">
        <f t="shared" ca="1" si="85"/>
        <v>2942929</v>
      </c>
      <c r="G661" s="26">
        <f t="shared" ca="1" si="85"/>
        <v>1992716</v>
      </c>
      <c r="H661" s="26">
        <f t="shared" ca="1" si="85"/>
        <v>4304</v>
      </c>
      <c r="I661" s="26">
        <f t="shared" ca="1" si="85"/>
        <v>376</v>
      </c>
      <c r="J661" s="26">
        <f t="shared" ca="1" si="85"/>
        <v>2606863</v>
      </c>
      <c r="K661" s="26">
        <f t="shared" ca="1" si="85"/>
        <v>0</v>
      </c>
      <c r="L661" s="26">
        <f t="shared" ca="1" si="85"/>
        <v>0</v>
      </c>
    </row>
    <row r="662" spans="1:12" ht="11.25" x14ac:dyDescent="0.2">
      <c r="A662" s="3"/>
      <c r="B662" s="3"/>
      <c r="C662" s="3"/>
      <c r="D662" s="325"/>
      <c r="E662" s="3"/>
      <c r="F662" s="3"/>
      <c r="G662" s="3"/>
      <c r="H662" s="3"/>
      <c r="I662" s="3"/>
      <c r="J662" s="3"/>
      <c r="K662" s="3"/>
      <c r="L662" s="3"/>
    </row>
    <row r="663" spans="1:12" ht="11.25" x14ac:dyDescent="0.2">
      <c r="A663" s="3">
        <f>A661+1</f>
        <v>19</v>
      </c>
      <c r="B663" s="3" t="s">
        <v>360</v>
      </c>
      <c r="C663" s="3"/>
      <c r="D663" s="325"/>
      <c r="E663" s="3">
        <f t="shared" ref="E663:L663" ca="1" si="86">E650+E661</f>
        <v>9074470.5899600014</v>
      </c>
      <c r="F663" s="3">
        <f t="shared" ca="1" si="86"/>
        <v>3538294</v>
      </c>
      <c r="G663" s="3">
        <f t="shared" ca="1" si="86"/>
        <v>2395889</v>
      </c>
      <c r="H663" s="3">
        <f t="shared" ca="1" si="86"/>
        <v>5173</v>
      </c>
      <c r="I663" s="3">
        <f t="shared" ca="1" si="86"/>
        <v>451</v>
      </c>
      <c r="J663" s="3">
        <f t="shared" ca="1" si="86"/>
        <v>3134662</v>
      </c>
      <c r="K663" s="3">
        <f t="shared" ca="1" si="86"/>
        <v>0</v>
      </c>
      <c r="L663" s="3">
        <f t="shared" ca="1" si="86"/>
        <v>0</v>
      </c>
    </row>
    <row r="664" spans="1:12" ht="11.25" x14ac:dyDescent="0.2">
      <c r="A664" s="3" t="s">
        <v>819</v>
      </c>
      <c r="B664" s="3"/>
      <c r="C664" s="3"/>
      <c r="D664" s="325"/>
      <c r="E664" s="15"/>
      <c r="F664" s="325" t="str">
        <f>""&amp;+Input!$B$1</f>
        <v>COLUMBIA GAS OF KENTUCKY, INC.</v>
      </c>
      <c r="H664" s="3"/>
      <c r="I664" s="3"/>
      <c r="J664" s="3"/>
      <c r="K664" s="3"/>
      <c r="L664" s="32" t="str">
        <f>Input!$B$2</f>
        <v>ATTACHMENT CEN-2</v>
      </c>
    </row>
    <row r="665" spans="1:12" ht="11.25" x14ac:dyDescent="0.2">
      <c r="A665" s="3" t="str">
        <f>Input!$B$7</f>
        <v>DEMAND-COMMODITY</v>
      </c>
      <c r="B665" s="3"/>
      <c r="C665" s="3"/>
      <c r="D665" s="325"/>
      <c r="E665" s="3"/>
      <c r="F665" s="325" t="s">
        <v>43</v>
      </c>
      <c r="H665" s="3"/>
      <c r="I665" s="3"/>
      <c r="J665" s="3"/>
      <c r="K665" s="3"/>
      <c r="L665" s="32" t="str">
        <f>"PAGE 123 OF "&amp;FIXED(Input!$B$8,0,TRUE)</f>
        <v>PAGE 123 OF 129</v>
      </c>
    </row>
    <row r="666" spans="1:12" ht="11.25" x14ac:dyDescent="0.2">
      <c r="A666" s="17" t="str">
        <f>Input!$B$6</f>
        <v>FORECASTED TEST YEAR - ORIGINAL FILING</v>
      </c>
      <c r="B666" s="17"/>
      <c r="C666" s="17"/>
      <c r="D666" s="34"/>
      <c r="E666" s="17"/>
      <c r="F666" s="19" t="str">
        <f>"FOR THE TWELVE MONTHS ENDED "&amp;Input!$B$4</f>
        <v>FOR THE TWELVE MONTHS ENDED 12/31/2017</v>
      </c>
      <c r="G666" s="329"/>
      <c r="H666" s="17"/>
      <c r="I666" s="17"/>
      <c r="J666" s="17"/>
      <c r="K666" s="17"/>
      <c r="L666" s="183" t="str">
        <f>"WITNESS: "&amp;Input!$B$5</f>
        <v>WITNESS: C. NOTESTONE</v>
      </c>
    </row>
    <row r="667" spans="1:12" ht="11.25" x14ac:dyDescent="0.2">
      <c r="A667" s="325" t="s">
        <v>5</v>
      </c>
      <c r="B667" s="3" t="s">
        <v>6</v>
      </c>
      <c r="C667" s="3"/>
      <c r="D667" s="325" t="s">
        <v>7</v>
      </c>
      <c r="E667" s="325" t="s">
        <v>8</v>
      </c>
      <c r="F667" s="3"/>
      <c r="G667" s="3"/>
      <c r="H667" s="3"/>
      <c r="I667" s="3"/>
      <c r="J667" s="3"/>
      <c r="K667" s="3"/>
      <c r="L667" s="3"/>
    </row>
    <row r="668" spans="1:12" ht="11.25" x14ac:dyDescent="0.2">
      <c r="A668" s="341" t="s">
        <v>9</v>
      </c>
      <c r="B668" s="341" t="s">
        <v>9</v>
      </c>
      <c r="C668" s="341" t="str">
        <f>"                        ACCOUNT TITLE                "</f>
        <v xml:space="preserve">                        ACCOUNT TITLE                </v>
      </c>
      <c r="D668" s="341" t="s">
        <v>10</v>
      </c>
      <c r="E668" s="341" t="s">
        <v>813</v>
      </c>
      <c r="F668" s="341" t="str">
        <f>"  "&amp;+Input!$C$12</f>
        <v xml:space="preserve">  GS-RESIDENTIAL</v>
      </c>
      <c r="G668" s="341" t="str">
        <f>Input!$C$13</f>
        <v>GS-OTHER</v>
      </c>
      <c r="H668" s="341" t="str">
        <f>Input!$C$14</f>
        <v>IUS</v>
      </c>
      <c r="I668" s="341" t="str">
        <f>Input!$C$15</f>
        <v>DS-ML</v>
      </c>
      <c r="J668" s="341" t="str">
        <f>Input!$C$16</f>
        <v>DS/IS</v>
      </c>
      <c r="K668" s="341" t="str">
        <f>Input!$C$17</f>
        <v>NOT USED</v>
      </c>
      <c r="L668" s="341" t="str">
        <f>Input!$C$18</f>
        <v>NOT USED</v>
      </c>
    </row>
    <row r="669" spans="1:12" ht="11.25" x14ac:dyDescent="0.2">
      <c r="A669" s="3"/>
      <c r="B669" s="342" t="s">
        <v>13</v>
      </c>
      <c r="C669" s="342" t="s">
        <v>14</v>
      </c>
      <c r="D669" s="325" t="s">
        <v>15</v>
      </c>
      <c r="E669" s="325" t="s">
        <v>16</v>
      </c>
      <c r="F669" s="325" t="s">
        <v>17</v>
      </c>
      <c r="G669" s="325" t="s">
        <v>18</v>
      </c>
      <c r="H669" s="325" t="s">
        <v>19</v>
      </c>
      <c r="I669" s="325" t="s">
        <v>20</v>
      </c>
      <c r="J669" s="325" t="s">
        <v>21</v>
      </c>
      <c r="K669" s="325" t="s">
        <v>22</v>
      </c>
      <c r="L669" s="325" t="s">
        <v>23</v>
      </c>
    </row>
    <row r="670" spans="1:12" ht="11.25" x14ac:dyDescent="0.2">
      <c r="A670" s="3"/>
      <c r="B670" s="3"/>
      <c r="C670" s="3"/>
      <c r="D670" s="325"/>
      <c r="E670" s="325" t="s">
        <v>26</v>
      </c>
      <c r="F670" s="325" t="s">
        <v>26</v>
      </c>
      <c r="G670" s="325" t="s">
        <v>26</v>
      </c>
      <c r="H670" s="325" t="s">
        <v>26</v>
      </c>
      <c r="I670" s="325" t="s">
        <v>26</v>
      </c>
      <c r="J670" s="325" t="s">
        <v>26</v>
      </c>
      <c r="K670" s="325" t="s">
        <v>26</v>
      </c>
      <c r="L670" s="325" t="s">
        <v>26</v>
      </c>
    </row>
    <row r="671" spans="1:12" ht="11.25" x14ac:dyDescent="0.2">
      <c r="A671" s="3"/>
      <c r="B671" s="3"/>
      <c r="C671" s="3"/>
      <c r="D671" s="325"/>
      <c r="E671" s="3"/>
      <c r="F671" s="3"/>
      <c r="G671" s="3"/>
      <c r="H671" s="3"/>
      <c r="I671" s="3"/>
      <c r="J671" s="3"/>
      <c r="K671" s="3"/>
      <c r="L671" s="3"/>
    </row>
    <row r="672" spans="1:12" ht="11.25" x14ac:dyDescent="0.2">
      <c r="A672" s="3"/>
      <c r="B672" s="3"/>
      <c r="C672" s="3"/>
      <c r="D672" s="325"/>
      <c r="E672" s="3"/>
      <c r="F672" s="3"/>
      <c r="G672" s="3"/>
      <c r="H672" s="3"/>
      <c r="I672" s="3"/>
      <c r="J672" s="3"/>
      <c r="K672" s="3"/>
      <c r="L672" s="3"/>
    </row>
    <row r="673" spans="1:12" ht="11.25" x14ac:dyDescent="0.2">
      <c r="A673" s="3">
        <v>1</v>
      </c>
      <c r="B673" s="3">
        <f>Input!A499</f>
        <v>408</v>
      </c>
      <c r="C673" s="23" t="str">
        <f>Input!B499</f>
        <v>TAXES BASED ON PROPERTY</v>
      </c>
      <c r="D673" s="325" t="str">
        <f>VLOOKUP(Input!C499,'Alloc Table Dem'!$A$7:$B$27,2,FALSE)</f>
        <v>7DEM</v>
      </c>
      <c r="E673" s="3">
        <f>Classification!E673-Classification!F673-Classification!G673</f>
        <v>1202829</v>
      </c>
      <c r="F673" s="3">
        <f ca="1">ROUND((VLOOKUP($D673,'Alloc Table Dem'!$B$7:$T$56,13,FALSE)*$E673),0)</f>
        <v>468791</v>
      </c>
      <c r="G673" s="3">
        <f ca="1">ROUND((VLOOKUP($D673,'Alloc Table Dem'!$B$7:$T$56,14,FALSE)*$E673),0)</f>
        <v>317463</v>
      </c>
      <c r="H673" s="3">
        <f ca="1">ROUND((VLOOKUP($D673,'Alloc Table Dem'!$B$7:$T$56,15,FALSE)*$E673),0)</f>
        <v>686</v>
      </c>
      <c r="I673" s="3">
        <f ca="1">ROUND((VLOOKUP($D673,'Alloc Table Dem'!$B$7:$T$56,16,FALSE)*$E673),0)</f>
        <v>289</v>
      </c>
      <c r="J673" s="3">
        <f ca="1">ROUND((VLOOKUP($D673,'Alloc Table Dem'!$B$7:$T$56,17,FALSE)*$E673),0)</f>
        <v>415601</v>
      </c>
      <c r="K673" s="3">
        <f ca="1">ROUND((VLOOKUP($D673,'Alloc Table Dem'!$B$7:$T$56,18,FALSE)*$E673),0)</f>
        <v>0</v>
      </c>
      <c r="L673" s="3">
        <f ca="1">ROUND((VLOOKUP($D673,'Alloc Table Dem'!$B$7:$T$56,19,FALSE)*$E673),0)</f>
        <v>0</v>
      </c>
    </row>
    <row r="674" spans="1:12" ht="11.25" x14ac:dyDescent="0.2">
      <c r="A674" s="3" t="s">
        <v>2</v>
      </c>
      <c r="B674" s="3"/>
      <c r="C674" s="3"/>
      <c r="D674" s="325"/>
      <c r="E674" s="3"/>
      <c r="F674" s="3"/>
      <c r="G674" s="3"/>
      <c r="H674" s="3"/>
      <c r="I674" s="3"/>
      <c r="J674" s="3"/>
      <c r="K674" s="3"/>
      <c r="L674" s="3"/>
    </row>
    <row r="675" spans="1:12" ht="11.25" x14ac:dyDescent="0.2">
      <c r="A675" s="3">
        <f>A673+1</f>
        <v>2</v>
      </c>
      <c r="B675" s="3">
        <f>Input!A500</f>
        <v>408</v>
      </c>
      <c r="C675" s="23" t="str">
        <f>Input!B500</f>
        <v>TAXES BASED ON PAYROLL</v>
      </c>
      <c r="D675" s="325" t="str">
        <f>VLOOKUP(Input!C500,'Alloc Table Dem'!$A$7:$B$27,2,FALSE)</f>
        <v>12DEM</v>
      </c>
      <c r="E675" s="3">
        <f>Classification!E675-Classification!F675-Classification!G675</f>
        <v>106745</v>
      </c>
      <c r="F675" s="3">
        <f ca="1">ROUND((VLOOKUP($D675,'Alloc Table Dem'!$B$7:$T$56,13,FALSE)*$E675),0)</f>
        <v>41611</v>
      </c>
      <c r="G675" s="3">
        <f ca="1">ROUND((VLOOKUP($D675,'Alloc Table Dem'!$B$7:$T$56,14,FALSE)*$E675),0)</f>
        <v>28179</v>
      </c>
      <c r="H675" s="3">
        <f ca="1">ROUND((VLOOKUP($D675,'Alloc Table Dem'!$B$7:$T$56,15,FALSE)*$E675),0)</f>
        <v>61</v>
      </c>
      <c r="I675" s="3">
        <f ca="1">ROUND((VLOOKUP($D675,'Alloc Table Dem'!$B$7:$T$56,16,FALSE)*$E675),0)</f>
        <v>5</v>
      </c>
      <c r="J675" s="3">
        <f ca="1">ROUND((VLOOKUP($D675,'Alloc Table Dem'!$B$7:$T$56,17,FALSE)*$E675),0)</f>
        <v>36889</v>
      </c>
      <c r="K675" s="3">
        <f ca="1">ROUND((VLOOKUP($D675,'Alloc Table Dem'!$B$7:$T$56,18,FALSE)*$E675),0)</f>
        <v>0</v>
      </c>
      <c r="L675" s="3">
        <f ca="1">ROUND((VLOOKUP($D675,'Alloc Table Dem'!$B$7:$T$56,19,FALSE)*$E675),0)</f>
        <v>0</v>
      </c>
    </row>
    <row r="676" spans="1:12" ht="11.25" x14ac:dyDescent="0.2">
      <c r="A676" s="3"/>
      <c r="B676" s="3"/>
      <c r="C676" s="3"/>
      <c r="D676" s="325"/>
      <c r="E676" s="3"/>
      <c r="F676" s="3"/>
      <c r="G676" s="3"/>
      <c r="H676" s="3"/>
      <c r="I676" s="3"/>
      <c r="J676" s="3"/>
      <c r="K676" s="3"/>
      <c r="L676" s="3"/>
    </row>
    <row r="677" spans="1:12" ht="11.25" x14ac:dyDescent="0.2">
      <c r="A677" s="3">
        <f>A675+1</f>
        <v>3</v>
      </c>
      <c r="B677" s="3">
        <f>Input!A501</f>
        <v>408</v>
      </c>
      <c r="C677" s="23" t="str">
        <f>Input!B501</f>
        <v>OTHER TAXES</v>
      </c>
      <c r="D677" s="325" t="str">
        <f>VLOOKUP(Input!C501,'Alloc Table Dem'!$A$7:$B$27,2,FALSE)</f>
        <v>12DEM</v>
      </c>
      <c r="E677" s="3">
        <f>Classification!E677-Classification!F677-Classification!G677</f>
        <v>0</v>
      </c>
      <c r="F677" s="3">
        <f ca="1">ROUND((VLOOKUP($D677,'Alloc Table Dem'!$B$7:$T$56,13,FALSE)*$E677),0)</f>
        <v>0</v>
      </c>
      <c r="G677" s="3">
        <f ca="1">ROUND((VLOOKUP($D677,'Alloc Table Dem'!$B$7:$T$56,14,FALSE)*$E677),0)</f>
        <v>0</v>
      </c>
      <c r="H677" s="3">
        <f ca="1">ROUND((VLOOKUP($D677,'Alloc Table Dem'!$B$7:$T$56,15,FALSE)*$E677),0)</f>
        <v>0</v>
      </c>
      <c r="I677" s="3">
        <f ca="1">ROUND((VLOOKUP($D677,'Alloc Table Dem'!$B$7:$T$56,16,FALSE)*$E677),0)</f>
        <v>0</v>
      </c>
      <c r="J677" s="3">
        <f ca="1">ROUND((VLOOKUP($D677,'Alloc Table Dem'!$B$7:$T$56,17,FALSE)*$E677),0)</f>
        <v>0</v>
      </c>
      <c r="K677" s="3">
        <f ca="1">ROUND((VLOOKUP($D677,'Alloc Table Dem'!$B$7:$T$56,18,FALSE)*$E677),0)</f>
        <v>0</v>
      </c>
      <c r="L677" s="3">
        <f ca="1">ROUND((VLOOKUP($D677,'Alloc Table Dem'!$B$7:$T$56,19,FALSE)*$E677),0)</f>
        <v>0</v>
      </c>
    </row>
    <row r="678" spans="1:12" ht="11.25" x14ac:dyDescent="0.2">
      <c r="A678" s="3"/>
      <c r="B678" s="3"/>
      <c r="C678" s="3"/>
      <c r="D678" s="325"/>
      <c r="E678" s="3"/>
      <c r="F678" s="3"/>
      <c r="G678" s="3"/>
      <c r="H678" s="3"/>
      <c r="I678" s="3"/>
      <c r="J678" s="3"/>
      <c r="K678" s="3"/>
      <c r="L678" s="3"/>
    </row>
    <row r="679" spans="1:12" ht="11.25" x14ac:dyDescent="0.2">
      <c r="A679" s="3">
        <f>A677+1</f>
        <v>4</v>
      </c>
      <c r="B679" s="3"/>
      <c r="C679" s="3" t="s">
        <v>370</v>
      </c>
      <c r="D679" s="325"/>
      <c r="E679" s="3">
        <f t="shared" ref="E679:L679" si="87">SUM(E673:E677)</f>
        <v>1309574</v>
      </c>
      <c r="F679" s="3">
        <f t="shared" ca="1" si="87"/>
        <v>510402</v>
      </c>
      <c r="G679" s="3">
        <f t="shared" ca="1" si="87"/>
        <v>345642</v>
      </c>
      <c r="H679" s="3">
        <f t="shared" ca="1" si="87"/>
        <v>747</v>
      </c>
      <c r="I679" s="3">
        <f t="shared" ca="1" si="87"/>
        <v>294</v>
      </c>
      <c r="J679" s="3">
        <f t="shared" ca="1" si="87"/>
        <v>452490</v>
      </c>
      <c r="K679" s="3">
        <f t="shared" ca="1" si="87"/>
        <v>0</v>
      </c>
      <c r="L679" s="3">
        <f t="shared" ca="1" si="87"/>
        <v>0</v>
      </c>
    </row>
    <row r="680" spans="1:12" ht="11.25" x14ac:dyDescent="0.2">
      <c r="A680" s="3" t="s">
        <v>819</v>
      </c>
      <c r="B680" s="3"/>
      <c r="C680" s="3"/>
      <c r="D680" s="325"/>
      <c r="E680" s="3"/>
      <c r="F680" s="325" t="str">
        <f>""&amp;+Input!$B$1</f>
        <v>COLUMBIA GAS OF KENTUCKY, INC.</v>
      </c>
      <c r="H680" s="3"/>
      <c r="I680" s="3"/>
      <c r="J680" s="3"/>
      <c r="K680" s="3"/>
      <c r="L680" s="32" t="str">
        <f>Input!$B$2</f>
        <v>ATTACHMENT CEN-2</v>
      </c>
    </row>
    <row r="681" spans="1:12" ht="11.25" x14ac:dyDescent="0.2">
      <c r="A681" s="3" t="str">
        <f>Input!$B$7</f>
        <v>DEMAND-COMMODITY</v>
      </c>
      <c r="B681" s="3"/>
      <c r="C681" s="3"/>
      <c r="D681" s="325"/>
      <c r="E681" s="3"/>
      <c r="F681" s="325" t="s">
        <v>425</v>
      </c>
      <c r="H681" s="3"/>
      <c r="I681" s="3"/>
      <c r="J681" s="3"/>
      <c r="K681" s="3"/>
      <c r="L681" s="32" t="str">
        <f>"PAGE 124 OF "&amp;FIXED(Input!$B$8,0,TRUE)</f>
        <v>PAGE 124 OF 129</v>
      </c>
    </row>
    <row r="682" spans="1:12" ht="11.25" x14ac:dyDescent="0.2">
      <c r="A682" s="17" t="str">
        <f>Input!$B$6</f>
        <v>FORECASTED TEST YEAR - ORIGINAL FILING</v>
      </c>
      <c r="B682" s="17"/>
      <c r="C682" s="17"/>
      <c r="D682" s="34"/>
      <c r="E682" s="17"/>
      <c r="F682" s="19" t="str">
        <f>"FOR THE TWELVE MONTHS ENDED "&amp;Input!$B$4</f>
        <v>FOR THE TWELVE MONTHS ENDED 12/31/2017</v>
      </c>
      <c r="G682" s="329"/>
      <c r="H682" s="17"/>
      <c r="I682" s="17"/>
      <c r="J682" s="17"/>
      <c r="K682" s="17"/>
      <c r="L682" s="183" t="str">
        <f>"WITNESS: "&amp;Input!$B$5</f>
        <v>WITNESS: C. NOTESTONE</v>
      </c>
    </row>
    <row r="683" spans="1:12" ht="11.25" x14ac:dyDescent="0.2">
      <c r="A683" s="325" t="s">
        <v>5</v>
      </c>
      <c r="B683" s="3" t="s">
        <v>6</v>
      </c>
      <c r="C683" s="3"/>
      <c r="D683" s="325" t="s">
        <v>7</v>
      </c>
      <c r="E683" s="325" t="s">
        <v>8</v>
      </c>
      <c r="F683" s="3"/>
      <c r="G683" s="3"/>
      <c r="H683" s="3"/>
      <c r="I683" s="3"/>
      <c r="J683" s="3"/>
      <c r="K683" s="3"/>
      <c r="L683" s="3"/>
    </row>
    <row r="684" spans="1:12" ht="11.25" x14ac:dyDescent="0.2">
      <c r="A684" s="341" t="s">
        <v>9</v>
      </c>
      <c r="B684" s="341" t="s">
        <v>9</v>
      </c>
      <c r="C684" s="341" t="str">
        <f>"                           ACCOUNT TITLE                  "</f>
        <v xml:space="preserve">                           ACCOUNT TITLE                  </v>
      </c>
      <c r="D684" s="341" t="s">
        <v>10</v>
      </c>
      <c r="E684" s="341" t="s">
        <v>813</v>
      </c>
      <c r="F684" s="22" t="str">
        <f>"  "&amp;+Input!$C$12</f>
        <v xml:space="preserve">  GS-RESIDENTIAL</v>
      </c>
      <c r="G684" s="22" t="str">
        <f>Input!$C$13</f>
        <v>GS-OTHER</v>
      </c>
      <c r="H684" s="22" t="str">
        <f>Input!$C$14</f>
        <v>IUS</v>
      </c>
      <c r="I684" s="22" t="str">
        <f>Input!$C$15</f>
        <v>DS-ML</v>
      </c>
      <c r="J684" s="22" t="str">
        <f>Input!$C$16</f>
        <v>DS/IS</v>
      </c>
      <c r="K684" s="22" t="str">
        <f>Input!$C$17</f>
        <v>NOT USED</v>
      </c>
      <c r="L684" s="22" t="str">
        <f>Input!$C$18</f>
        <v>NOT USED</v>
      </c>
    </row>
    <row r="685" spans="1:12" ht="11.25" x14ac:dyDescent="0.2">
      <c r="A685" s="3"/>
      <c r="B685" s="342" t="s">
        <v>13</v>
      </c>
      <c r="C685" s="342" t="s">
        <v>14</v>
      </c>
      <c r="D685" s="325" t="s">
        <v>15</v>
      </c>
      <c r="E685" s="325" t="s">
        <v>16</v>
      </c>
      <c r="F685" s="325" t="s">
        <v>17</v>
      </c>
      <c r="G685" s="325" t="s">
        <v>18</v>
      </c>
      <c r="H685" s="325" t="s">
        <v>19</v>
      </c>
      <c r="I685" s="325" t="s">
        <v>20</v>
      </c>
      <c r="J685" s="325" t="s">
        <v>21</v>
      </c>
      <c r="K685" s="325" t="s">
        <v>22</v>
      </c>
      <c r="L685" s="325" t="s">
        <v>23</v>
      </c>
    </row>
    <row r="686" spans="1:12" ht="11.25" x14ac:dyDescent="0.2">
      <c r="A686" s="3"/>
      <c r="B686" s="1"/>
      <c r="C686" s="1"/>
      <c r="D686" s="325"/>
      <c r="E686" s="325" t="s">
        <v>26</v>
      </c>
      <c r="F686" s="325" t="s">
        <v>26</v>
      </c>
      <c r="G686" s="325" t="s">
        <v>26</v>
      </c>
      <c r="H686" s="325" t="s">
        <v>26</v>
      </c>
      <c r="I686" s="325" t="s">
        <v>26</v>
      </c>
      <c r="J686" s="325" t="s">
        <v>26</v>
      </c>
      <c r="K686" s="325" t="s">
        <v>26</v>
      </c>
      <c r="L686" s="325" t="s">
        <v>26</v>
      </c>
    </row>
    <row r="687" spans="1:12" ht="11.25" x14ac:dyDescent="0.2">
      <c r="A687" s="3">
        <v>1</v>
      </c>
      <c r="B687" s="1" t="s">
        <v>381</v>
      </c>
      <c r="C687" s="1"/>
      <c r="D687" s="325"/>
      <c r="E687" s="3">
        <f ca="1">Demand!E732</f>
        <v>6065926.3366891816</v>
      </c>
      <c r="F687" s="3">
        <f ca="1">Demand!F732</f>
        <v>7360054.8500000052</v>
      </c>
      <c r="G687" s="3">
        <f ca="1">Demand!G732</f>
        <v>1695621.0099999961</v>
      </c>
      <c r="H687" s="3">
        <f ca="1">Demand!H732</f>
        <v>-1300.2299999999923</v>
      </c>
      <c r="I687" s="3">
        <f ca="1">Demand!I732</f>
        <v>134839.07999999996</v>
      </c>
      <c r="J687" s="3">
        <f ca="1">Demand!J732</f>
        <v>-3123285.9699999997</v>
      </c>
      <c r="K687" s="3">
        <f ca="1">Demand!K732</f>
        <v>0</v>
      </c>
      <c r="L687" s="3">
        <f ca="1">Demand!L732</f>
        <v>0</v>
      </c>
    </row>
    <row r="688" spans="1:12" ht="11.25" x14ac:dyDescent="0.2">
      <c r="A688" s="3"/>
      <c r="B688" s="1"/>
      <c r="C688" s="1"/>
      <c r="D688" s="325"/>
      <c r="E688" s="3"/>
      <c r="F688" s="3"/>
      <c r="G688" s="3"/>
      <c r="H688" s="3"/>
      <c r="I688" s="3"/>
      <c r="J688" s="3"/>
      <c r="K688" s="3"/>
      <c r="L688" s="3"/>
    </row>
    <row r="689" spans="1:12" ht="11.25" x14ac:dyDescent="0.2">
      <c r="A689" s="3">
        <f>A687+1</f>
        <v>2</v>
      </c>
      <c r="B689" s="1" t="s">
        <v>382</v>
      </c>
      <c r="C689" s="1"/>
      <c r="D689" s="325"/>
      <c r="E689" s="3"/>
      <c r="F689" s="3"/>
      <c r="G689" s="3"/>
      <c r="H689" s="3"/>
      <c r="I689" s="3"/>
      <c r="J689" s="3"/>
      <c r="K689" s="3"/>
      <c r="L689" s="3"/>
    </row>
    <row r="690" spans="1:12" ht="11.25" x14ac:dyDescent="0.2">
      <c r="A690" s="3"/>
      <c r="B690" s="1"/>
      <c r="C690" s="1"/>
      <c r="D690" s="325"/>
      <c r="E690" s="3"/>
      <c r="F690" s="3"/>
      <c r="G690" s="3"/>
      <c r="H690" s="3"/>
      <c r="I690" s="3"/>
      <c r="J690" s="3"/>
      <c r="K690" s="3"/>
      <c r="L690" s="3"/>
    </row>
    <row r="691" spans="1:12" ht="11.25" x14ac:dyDescent="0.2">
      <c r="A691" s="3">
        <f>A689+1</f>
        <v>3</v>
      </c>
      <c r="B691" s="1" t="s">
        <v>383</v>
      </c>
      <c r="C691" s="1"/>
      <c r="D691" s="325"/>
      <c r="E691" s="3">
        <f ca="1">Demand!E736</f>
        <v>2940506</v>
      </c>
      <c r="F691" s="3">
        <f ca="1">Demand!F736</f>
        <v>1388281</v>
      </c>
      <c r="G691" s="3">
        <f ca="1">Demand!G736</f>
        <v>895676</v>
      </c>
      <c r="H691" s="3">
        <f ca="1">Demand!H736</f>
        <v>2029</v>
      </c>
      <c r="I691" s="3">
        <f ca="1">Demand!I736</f>
        <v>495</v>
      </c>
      <c r="J691" s="3">
        <f ca="1">Demand!J736</f>
        <v>654025</v>
      </c>
      <c r="K691" s="3">
        <f ca="1">Demand!K736</f>
        <v>0</v>
      </c>
      <c r="L691" s="3">
        <f ca="1">Demand!L736</f>
        <v>0</v>
      </c>
    </row>
    <row r="692" spans="1:12" ht="11.25" x14ac:dyDescent="0.2">
      <c r="A692" s="3"/>
      <c r="B692" s="3"/>
      <c r="C692" s="3"/>
      <c r="D692" s="325"/>
      <c r="E692" s="3"/>
      <c r="F692" s="3"/>
      <c r="G692" s="3"/>
      <c r="H692" s="3"/>
      <c r="I692" s="3"/>
      <c r="J692" s="3"/>
      <c r="K692" s="3"/>
      <c r="L692" s="3"/>
    </row>
    <row r="693" spans="1:12" ht="11.25" x14ac:dyDescent="0.2">
      <c r="A693" s="3">
        <f>A691+1</f>
        <v>4</v>
      </c>
      <c r="B693" s="3" t="str">
        <f>Input!A535</f>
        <v>TAX ACCELERATED DEPRECIATION</v>
      </c>
      <c r="C693" s="3"/>
      <c r="D693" s="325" t="str">
        <f>VLOOKUP(Input!C535,'Alloc Table Dem'!$A$7:$B$27,2,FALSE)</f>
        <v>19DEM</v>
      </c>
      <c r="E693" s="3">
        <f>Classification!E693-Classification!F693-Classification!G693</f>
        <v>4243928</v>
      </c>
      <c r="F693" s="3">
        <f ca="1">ROUND((VLOOKUP($D693,'Alloc Table Dem'!$B$7:$T$56,13,FALSE)*$E693),0)</f>
        <v>1654028</v>
      </c>
      <c r="G693" s="3">
        <f ca="1">ROUND((VLOOKUP($D693,'Alloc Table Dem'!$B$7:$T$56,14,FALSE)*$E693),0)</f>
        <v>1120100</v>
      </c>
      <c r="H693" s="3">
        <f ca="1">ROUND((VLOOKUP($D693,'Alloc Table Dem'!$B$7:$T$56,15,FALSE)*$E693),0)</f>
        <v>2419</v>
      </c>
      <c r="I693" s="3">
        <f ca="1">ROUND((VLOOKUP($D693,'Alloc Table Dem'!$B$7:$T$56,16,FALSE)*$E693),0)</f>
        <v>1019</v>
      </c>
      <c r="J693" s="3">
        <f ca="1">ROUND((VLOOKUP($D693,'Alloc Table Dem'!$B$7:$T$56,17,FALSE)*$E693),0)</f>
        <v>1466362</v>
      </c>
      <c r="K693" s="3">
        <f ca="1">ROUND((VLOOKUP($D693,'Alloc Table Dem'!$B$7:$T$56,18,FALSE)*$E693),0)</f>
        <v>0</v>
      </c>
      <c r="L693" s="3">
        <f ca="1">ROUND((VLOOKUP($D693,'Alloc Table Dem'!$B$7:$T$56,19,FALSE)*$E693),0)</f>
        <v>0</v>
      </c>
    </row>
    <row r="694" spans="1:12" ht="11.25" x14ac:dyDescent="0.2">
      <c r="A694" s="3">
        <f>A693+1</f>
        <v>5</v>
      </c>
      <c r="B694" s="3" t="str">
        <f>Demand!B739</f>
        <v xml:space="preserve">  BOOK DEPRECIATION</v>
      </c>
      <c r="C694" s="3"/>
      <c r="D694" s="325"/>
      <c r="E694" s="26">
        <f>Demand!E739</f>
        <v>3021653</v>
      </c>
      <c r="F694" s="26">
        <f ca="1">Demand!F739</f>
        <v>1177762</v>
      </c>
      <c r="G694" s="26">
        <f ca="1">Demand!G739</f>
        <v>797552</v>
      </c>
      <c r="H694" s="26">
        <f ca="1">Demand!H739</f>
        <v>1720</v>
      </c>
      <c r="I694" s="26">
        <f ca="1">Demand!I739</f>
        <v>508.86000000000013</v>
      </c>
      <c r="J694" s="26">
        <f ca="1">Demand!J739</f>
        <v>1044108</v>
      </c>
      <c r="K694" s="26">
        <f ca="1">Demand!K739</f>
        <v>0</v>
      </c>
      <c r="L694" s="26">
        <f ca="1">Demand!L739</f>
        <v>0</v>
      </c>
    </row>
    <row r="695" spans="1:12" ht="11.25" x14ac:dyDescent="0.2">
      <c r="A695" s="3">
        <f>A694+1</f>
        <v>6</v>
      </c>
      <c r="B695" s="3" t="str">
        <f>Demand!B740</f>
        <v xml:space="preserve">  EXCESS OF BOOK OVER TAX DEPRECIATION</v>
      </c>
      <c r="C695" s="3"/>
      <c r="D695" s="325"/>
      <c r="E695" s="3">
        <f t="shared" ref="E695:L695" si="88">E693-E694</f>
        <v>1222275</v>
      </c>
      <c r="F695" s="3">
        <f t="shared" ca="1" si="88"/>
        <v>476266</v>
      </c>
      <c r="G695" s="3">
        <f t="shared" ca="1" si="88"/>
        <v>322548</v>
      </c>
      <c r="H695" s="3">
        <f t="shared" ca="1" si="88"/>
        <v>699</v>
      </c>
      <c r="I695" s="3">
        <f t="shared" ca="1" si="88"/>
        <v>510.13999999999987</v>
      </c>
      <c r="J695" s="3">
        <f t="shared" ca="1" si="88"/>
        <v>422254</v>
      </c>
      <c r="K695" s="3">
        <f t="shared" ca="1" si="88"/>
        <v>0</v>
      </c>
      <c r="L695" s="3">
        <f t="shared" ca="1" si="88"/>
        <v>0</v>
      </c>
    </row>
    <row r="696" spans="1:12" ht="11.25" x14ac:dyDescent="0.2">
      <c r="A696" s="3"/>
      <c r="B696" s="3"/>
      <c r="C696" s="3"/>
      <c r="D696" s="325"/>
      <c r="E696" s="3"/>
      <c r="F696" s="3"/>
      <c r="G696" s="3"/>
      <c r="H696" s="3"/>
      <c r="I696" s="3"/>
      <c r="J696" s="3"/>
      <c r="K696" s="3"/>
      <c r="L696" s="3"/>
    </row>
    <row r="697" spans="1:12" ht="11.25" x14ac:dyDescent="0.2">
      <c r="A697" s="3">
        <f>A695+1</f>
        <v>7</v>
      </c>
      <c r="B697" s="3" t="str">
        <f>Demand!B742</f>
        <v xml:space="preserve">  NON DEDUCTIBLE EMPLOYEE EXPENSE</v>
      </c>
      <c r="C697" s="3"/>
      <c r="D697" s="325" t="str">
        <f>VLOOKUP(Input!C520,'Alloc Table Dem'!$A$7:$B$27,2,FALSE)</f>
        <v>12DEM</v>
      </c>
      <c r="E697" s="3">
        <f>Classification!E697-Classification!F697-Classification!G697</f>
        <v>-810</v>
      </c>
      <c r="F697" s="26">
        <f ca="1">ROUND((VLOOKUP($D697,'Alloc Table Dem'!$B$7:$T$56,13,FALSE)*$E697),0)</f>
        <v>-316</v>
      </c>
      <c r="G697" s="26">
        <f ca="1">ROUND((VLOOKUP($D697,'Alloc Table Dem'!$B$7:$T$56,14,FALSE)*$E697),0)</f>
        <v>-214</v>
      </c>
      <c r="H697" s="26">
        <f ca="1">ROUND((VLOOKUP($D697,'Alloc Table Dem'!$B$7:$T$56,15,FALSE)*$E697),0)</f>
        <v>0</v>
      </c>
      <c r="I697" s="26">
        <f ca="1">ROUND((VLOOKUP($D697,'Alloc Table Dem'!$B$7:$T$56,16,FALSE)*$E697),0)</f>
        <v>0</v>
      </c>
      <c r="J697" s="26">
        <f ca="1">ROUND((VLOOKUP($D697,'Alloc Table Dem'!$B$7:$T$56,17,FALSE)*$E697),0)</f>
        <v>-280</v>
      </c>
      <c r="K697" s="26">
        <f ca="1">ROUND((VLOOKUP($D697,'Alloc Table Dem'!$B$7:$T$56,18,FALSE)*$E697),0)</f>
        <v>0</v>
      </c>
      <c r="L697" s="26">
        <f ca="1">ROUND((VLOOKUP($D697,'Alloc Table Dem'!$B$7:$T$56,19,FALSE)*$E697),0)</f>
        <v>0</v>
      </c>
    </row>
    <row r="698" spans="1:12" ht="11.25" x14ac:dyDescent="0.2">
      <c r="A698" s="3"/>
      <c r="B698" s="3"/>
      <c r="C698" s="3"/>
      <c r="D698" s="325"/>
      <c r="E698" s="3"/>
      <c r="F698" s="3"/>
      <c r="G698" s="3"/>
      <c r="H698" s="3"/>
      <c r="I698" s="3"/>
      <c r="J698" s="3"/>
      <c r="K698" s="3"/>
      <c r="L698" s="3"/>
    </row>
    <row r="699" spans="1:12" ht="11.25" x14ac:dyDescent="0.2">
      <c r="A699" s="3">
        <f>A697+1</f>
        <v>8</v>
      </c>
      <c r="B699" s="3" t="s">
        <v>384</v>
      </c>
      <c r="C699" s="3"/>
      <c r="D699" s="325"/>
      <c r="E699" s="26">
        <f ca="1">E691+E695+E697</f>
        <v>4161971</v>
      </c>
      <c r="F699" s="26">
        <f t="shared" ref="F699:L699" ca="1" si="89">F691+F695+F697</f>
        <v>1864231</v>
      </c>
      <c r="G699" s="26">
        <f t="shared" ca="1" si="89"/>
        <v>1218010</v>
      </c>
      <c r="H699" s="26">
        <f t="shared" ca="1" si="89"/>
        <v>2728</v>
      </c>
      <c r="I699" s="26">
        <f t="shared" ca="1" si="89"/>
        <v>1005.1399999999999</v>
      </c>
      <c r="J699" s="26">
        <f t="shared" ca="1" si="89"/>
        <v>1075999</v>
      </c>
      <c r="K699" s="26">
        <f t="shared" ca="1" si="89"/>
        <v>0</v>
      </c>
      <c r="L699" s="26">
        <f t="shared" ca="1" si="89"/>
        <v>0</v>
      </c>
    </row>
    <row r="700" spans="1:12" ht="11.25" x14ac:dyDescent="0.2">
      <c r="A700" s="3">
        <f>A699+1</f>
        <v>9</v>
      </c>
      <c r="B700" s="3" t="s">
        <v>385</v>
      </c>
      <c r="C700" s="3"/>
      <c r="D700" s="325"/>
      <c r="E700" s="3">
        <f t="shared" ref="E700:L700" ca="1" si="90">E687-E699</f>
        <v>1903955.3366891816</v>
      </c>
      <c r="F700" s="3">
        <f t="shared" ca="1" si="90"/>
        <v>5495823.8500000052</v>
      </c>
      <c r="G700" s="3">
        <f t="shared" ca="1" si="90"/>
        <v>477611.00999999605</v>
      </c>
      <c r="H700" s="3">
        <f t="shared" ca="1" si="90"/>
        <v>-4028.2299999999923</v>
      </c>
      <c r="I700" s="3">
        <f t="shared" ca="1" si="90"/>
        <v>133833.93999999994</v>
      </c>
      <c r="J700" s="3">
        <f t="shared" ca="1" si="90"/>
        <v>-4199284.97</v>
      </c>
      <c r="K700" s="3">
        <f t="shared" ca="1" si="90"/>
        <v>0</v>
      </c>
      <c r="L700" s="3">
        <f t="shared" ca="1" si="90"/>
        <v>0</v>
      </c>
    </row>
    <row r="701" spans="1:12" ht="11.25" x14ac:dyDescent="0.2">
      <c r="A701" s="3"/>
      <c r="B701" s="3"/>
      <c r="C701" s="3"/>
      <c r="D701" s="325"/>
      <c r="E701" s="3"/>
      <c r="F701" s="3"/>
      <c r="G701" s="3"/>
      <c r="H701" s="3"/>
      <c r="I701" s="3"/>
      <c r="J701" s="3"/>
      <c r="K701" s="3"/>
      <c r="L701" s="3"/>
    </row>
    <row r="702" spans="1:12" ht="11.25" x14ac:dyDescent="0.2">
      <c r="A702" s="3">
        <f>A700+1</f>
        <v>10</v>
      </c>
      <c r="B702" s="3" t="str">
        <f>"STATE INCOME TAX @ "&amp;FIXED(ROUND(Input!$D$28*100,2),2,TRUE)&amp;"%"</f>
        <v>STATE INCOME TAX @ 6.00%</v>
      </c>
      <c r="C702" s="3"/>
      <c r="D702" s="325"/>
      <c r="E702" s="46">
        <f ca="1">Classification!H702</f>
        <v>114236.31269455007</v>
      </c>
      <c r="F702" s="3">
        <f ca="1">IF($E$700=0,0,($E$702/$E$700)*F700)</f>
        <v>329746.52280157869</v>
      </c>
      <c r="G702" s="3">
        <f t="shared" ref="G702:L702" ca="1" si="91">IF($E$700=0,0,($E$702/$E$700)*G700)</f>
        <v>28656.407864900651</v>
      </c>
      <c r="H702" s="3">
        <f t="shared" ca="1" si="91"/>
        <v>-241.69166840108957</v>
      </c>
      <c r="I702" s="3">
        <f t="shared" ca="1" si="91"/>
        <v>8029.9655797437999</v>
      </c>
      <c r="J702" s="3">
        <f t="shared" ca="1" si="91"/>
        <v>-251954.8760847621</v>
      </c>
      <c r="K702" s="3">
        <f t="shared" ca="1" si="91"/>
        <v>0</v>
      </c>
      <c r="L702" s="3">
        <f t="shared" ca="1" si="91"/>
        <v>0</v>
      </c>
    </row>
    <row r="703" spans="1:12" ht="11.25" x14ac:dyDescent="0.2">
      <c r="A703" s="3">
        <f>A702+1</f>
        <v>11</v>
      </c>
      <c r="B703" s="3" t="str">
        <f>"PLUS: "&amp;+Input!A536</f>
        <v>PLUS: FOREIGN TAX PAYMENTS</v>
      </c>
      <c r="C703" s="3"/>
      <c r="D703" s="325" t="str">
        <f>VLOOKUP(Input!C536,'Alloc Table Dem'!$A$7:$B$27,2,FALSE)</f>
        <v>19DEM</v>
      </c>
      <c r="E703" s="3">
        <f>Classification!E703-Classification!F703-Classification!G703</f>
        <v>0</v>
      </c>
      <c r="F703" s="26">
        <f ca="1">ROUND((VLOOKUP($D703,'Alloc Table Dem'!$B$7:$T$56,13,FALSE)*$E703),0)</f>
        <v>0</v>
      </c>
      <c r="G703" s="26">
        <f ca="1">ROUND((VLOOKUP($D703,'Alloc Table Dem'!$B$7:$T$56,14,FALSE)*$E703),0)</f>
        <v>0</v>
      </c>
      <c r="H703" s="26">
        <f ca="1">ROUND((VLOOKUP($D703,'Alloc Table Dem'!$B$7:$T$56,15,FALSE)*$E703),0)</f>
        <v>0</v>
      </c>
      <c r="I703" s="26">
        <f ca="1">ROUND((VLOOKUP($D703,'Alloc Table Dem'!$B$7:$T$56,16,FALSE)*$E703),0)</f>
        <v>0</v>
      </c>
      <c r="J703" s="26">
        <f ca="1">ROUND((VLOOKUP($D703,'Alloc Table Dem'!$B$7:$T$56,17,FALSE)*$E703),0)</f>
        <v>0</v>
      </c>
      <c r="K703" s="26">
        <f ca="1">ROUND((VLOOKUP($D703,'Alloc Table Dem'!$B$7:$T$56,18,FALSE)*$E703),0)</f>
        <v>0</v>
      </c>
      <c r="L703" s="26">
        <f ca="1">ROUND((VLOOKUP($D703,'Alloc Table Dem'!$B$7:$T$56,19,FALSE)*$E703),0)</f>
        <v>0</v>
      </c>
    </row>
    <row r="704" spans="1:12" ht="11.25" x14ac:dyDescent="0.2">
      <c r="A704" s="3"/>
      <c r="B704" s="3"/>
      <c r="C704" s="3"/>
      <c r="D704" s="325"/>
      <c r="E704" s="3"/>
      <c r="F704" s="3"/>
      <c r="G704" s="3"/>
      <c r="H704" s="3"/>
      <c r="I704" s="3"/>
      <c r="J704" s="3"/>
      <c r="K704" s="3"/>
      <c r="L704" s="3"/>
    </row>
    <row r="705" spans="1:12" ht="11.25" x14ac:dyDescent="0.2">
      <c r="A705" s="3">
        <f>A703+1</f>
        <v>12</v>
      </c>
      <c r="B705" s="3" t="s">
        <v>46</v>
      </c>
      <c r="C705" s="3"/>
      <c r="D705" s="325"/>
      <c r="E705" s="3">
        <f t="shared" ref="E705:L705" ca="1" si="92">E702+E703</f>
        <v>114236.31269455007</v>
      </c>
      <c r="F705" s="3">
        <f t="shared" ca="1" si="92"/>
        <v>329746.52280157869</v>
      </c>
      <c r="G705" s="3">
        <f t="shared" ca="1" si="92"/>
        <v>28656.407864900651</v>
      </c>
      <c r="H705" s="3">
        <f t="shared" ca="1" si="92"/>
        <v>-241.69166840108957</v>
      </c>
      <c r="I705" s="3">
        <f t="shared" ca="1" si="92"/>
        <v>8029.9655797437999</v>
      </c>
      <c r="J705" s="3">
        <f t="shared" ca="1" si="92"/>
        <v>-251954.8760847621</v>
      </c>
      <c r="K705" s="3">
        <f t="shared" ca="1" si="92"/>
        <v>0</v>
      </c>
      <c r="L705" s="3">
        <f t="shared" ca="1" si="92"/>
        <v>0</v>
      </c>
    </row>
    <row r="706" spans="1:12" ht="11.25" x14ac:dyDescent="0.2">
      <c r="A706" s="3" t="s">
        <v>819</v>
      </c>
      <c r="B706" s="3"/>
      <c r="C706" s="3"/>
      <c r="D706" s="325"/>
      <c r="E706" s="3"/>
      <c r="F706" s="325" t="str">
        <f>""&amp;+Input!$B$1</f>
        <v>COLUMBIA GAS OF KENTUCKY, INC.</v>
      </c>
      <c r="H706" s="3"/>
      <c r="I706" s="3"/>
      <c r="J706" s="3"/>
      <c r="K706" s="3"/>
      <c r="L706" s="32" t="str">
        <f>Input!$B$2</f>
        <v>ATTACHMENT CEN-2</v>
      </c>
    </row>
    <row r="707" spans="1:12" ht="11.25" x14ac:dyDescent="0.2">
      <c r="A707" s="3" t="str">
        <f>Input!$B$7</f>
        <v>DEMAND-COMMODITY</v>
      </c>
      <c r="B707" s="3"/>
      <c r="C707" s="3"/>
      <c r="D707" s="325"/>
      <c r="E707" s="3"/>
      <c r="F707" s="325" t="s">
        <v>425</v>
      </c>
      <c r="H707" s="3"/>
      <c r="I707" s="3"/>
      <c r="J707" s="3"/>
      <c r="K707" s="3"/>
      <c r="L707" s="32" t="str">
        <f>"PAGE 125 OF "&amp;FIXED(Input!$B$8,0,TRUE)</f>
        <v>PAGE 125 OF 129</v>
      </c>
    </row>
    <row r="708" spans="1:12" ht="11.25" x14ac:dyDescent="0.2">
      <c r="A708" s="17" t="str">
        <f>Input!$B$6</f>
        <v>FORECASTED TEST YEAR - ORIGINAL FILING</v>
      </c>
      <c r="B708" s="17"/>
      <c r="C708" s="17"/>
      <c r="D708" s="34"/>
      <c r="E708" s="17"/>
      <c r="F708" s="19" t="str">
        <f>"FOR THE TWELVE MONTHS ENDED "&amp;Input!$B$4</f>
        <v>FOR THE TWELVE MONTHS ENDED 12/31/2017</v>
      </c>
      <c r="G708" s="329"/>
      <c r="H708" s="17"/>
      <c r="I708" s="17"/>
      <c r="J708" s="17"/>
      <c r="K708" s="17"/>
      <c r="L708" s="183" t="str">
        <f>"WITNESS: "&amp;Input!$B$5</f>
        <v>WITNESS: C. NOTESTONE</v>
      </c>
    </row>
    <row r="709" spans="1:12" ht="11.25" x14ac:dyDescent="0.2">
      <c r="A709" s="325" t="s">
        <v>5</v>
      </c>
      <c r="B709" s="3" t="s">
        <v>6</v>
      </c>
      <c r="C709" s="3"/>
      <c r="D709" s="325" t="s">
        <v>7</v>
      </c>
      <c r="E709" s="325" t="s">
        <v>8</v>
      </c>
      <c r="F709" s="3"/>
      <c r="G709" s="3"/>
      <c r="H709" s="3"/>
      <c r="I709" s="3"/>
      <c r="J709" s="3"/>
      <c r="K709" s="3"/>
      <c r="L709" s="3"/>
    </row>
    <row r="710" spans="1:12" ht="11.25" x14ac:dyDescent="0.2">
      <c r="A710" s="341" t="s">
        <v>9</v>
      </c>
      <c r="B710" s="341" t="s">
        <v>9</v>
      </c>
      <c r="C710" s="341" t="str">
        <f>"                        ACCOUNT TITLE                "</f>
        <v xml:space="preserve">                        ACCOUNT TITLE                </v>
      </c>
      <c r="D710" s="341" t="s">
        <v>10</v>
      </c>
      <c r="E710" s="341" t="s">
        <v>813</v>
      </c>
      <c r="F710" s="341" t="str">
        <f>"  "&amp;+Input!$C$12</f>
        <v xml:space="preserve">  GS-RESIDENTIAL</v>
      </c>
      <c r="G710" s="341" t="str">
        <f>Input!$C$13</f>
        <v>GS-OTHER</v>
      </c>
      <c r="H710" s="341" t="str">
        <f>Input!$C$14</f>
        <v>IUS</v>
      </c>
      <c r="I710" s="341" t="str">
        <f>Input!$C$15</f>
        <v>DS-ML</v>
      </c>
      <c r="J710" s="341" t="str">
        <f>Input!$C$16</f>
        <v>DS/IS</v>
      </c>
      <c r="K710" s="341" t="str">
        <f>Input!$C$17</f>
        <v>NOT USED</v>
      </c>
      <c r="L710" s="341" t="str">
        <f>Input!$C$18</f>
        <v>NOT USED</v>
      </c>
    </row>
    <row r="711" spans="1:12" ht="11.25" x14ac:dyDescent="0.2">
      <c r="A711" s="3"/>
      <c r="B711" s="342" t="s">
        <v>13</v>
      </c>
      <c r="C711" s="342" t="s">
        <v>14</v>
      </c>
      <c r="D711" s="325" t="s">
        <v>15</v>
      </c>
      <c r="E711" s="325" t="s">
        <v>16</v>
      </c>
      <c r="F711" s="325" t="s">
        <v>17</v>
      </c>
      <c r="G711" s="325" t="s">
        <v>18</v>
      </c>
      <c r="H711" s="325" t="s">
        <v>19</v>
      </c>
      <c r="I711" s="325" t="s">
        <v>20</v>
      </c>
      <c r="J711" s="325" t="s">
        <v>21</v>
      </c>
      <c r="K711" s="325" t="s">
        <v>22</v>
      </c>
      <c r="L711" s="325" t="s">
        <v>23</v>
      </c>
    </row>
    <row r="712" spans="1:12" ht="11.25" x14ac:dyDescent="0.2">
      <c r="A712" s="3"/>
      <c r="B712" s="3"/>
      <c r="C712" s="3"/>
      <c r="D712" s="325"/>
      <c r="E712" s="325" t="s">
        <v>26</v>
      </c>
      <c r="F712" s="325" t="s">
        <v>26</v>
      </c>
      <c r="G712" s="325" t="s">
        <v>26</v>
      </c>
      <c r="H712" s="325" t="s">
        <v>26</v>
      </c>
      <c r="I712" s="325" t="s">
        <v>26</v>
      </c>
      <c r="J712" s="325" t="s">
        <v>26</v>
      </c>
      <c r="K712" s="325" t="s">
        <v>26</v>
      </c>
      <c r="L712" s="325" t="s">
        <v>26</v>
      </c>
    </row>
    <row r="713" spans="1:12" ht="11.25" x14ac:dyDescent="0.2">
      <c r="A713" s="3">
        <v>1</v>
      </c>
      <c r="B713" s="3"/>
      <c r="C713" s="3" t="s">
        <v>386</v>
      </c>
      <c r="D713" s="325"/>
      <c r="E713" s="3"/>
      <c r="F713" s="3"/>
      <c r="G713" s="3"/>
      <c r="H713" s="3"/>
      <c r="I713" s="3"/>
      <c r="J713" s="3"/>
      <c r="K713" s="3"/>
      <c r="L713" s="3"/>
    </row>
    <row r="714" spans="1:12" ht="11.25" x14ac:dyDescent="0.2">
      <c r="A714" s="3"/>
      <c r="B714" s="3"/>
      <c r="C714" s="3"/>
      <c r="D714" s="325"/>
      <c r="E714" s="3"/>
      <c r="F714" s="3"/>
      <c r="G714" s="3"/>
      <c r="H714" s="3"/>
      <c r="I714" s="3"/>
      <c r="J714" s="3"/>
      <c r="K714" s="3"/>
      <c r="L714" s="3"/>
    </row>
    <row r="715" spans="1:12" ht="11.25" x14ac:dyDescent="0.2">
      <c r="A715" s="3">
        <f>A713+1</f>
        <v>2</v>
      </c>
      <c r="B715" s="3" t="s">
        <v>387</v>
      </c>
      <c r="C715" s="3"/>
      <c r="D715" s="325"/>
      <c r="E715" s="3"/>
      <c r="F715" s="3"/>
      <c r="G715" s="3"/>
      <c r="H715" s="3"/>
      <c r="I715" s="3"/>
      <c r="J715" s="3"/>
      <c r="K715" s="3"/>
      <c r="L715" s="3"/>
    </row>
    <row r="716" spans="1:12" ht="11.25" x14ac:dyDescent="0.2">
      <c r="A716" s="3"/>
      <c r="B716" s="3"/>
      <c r="C716" s="3"/>
      <c r="D716" s="325"/>
      <c r="E716" s="3"/>
      <c r="F716" s="3"/>
      <c r="G716" s="3"/>
      <c r="H716" s="3"/>
      <c r="I716" s="3"/>
      <c r="J716" s="3"/>
      <c r="K716" s="3"/>
      <c r="L716" s="3"/>
    </row>
    <row r="717" spans="1:12" ht="11.25" x14ac:dyDescent="0.2">
      <c r="A717" s="3">
        <f>A715+1</f>
        <v>3</v>
      </c>
      <c r="B717" s="3" t="str">
        <f>Input!A538</f>
        <v>AMORTIZATION OF EXCESS ADIT-STATE</v>
      </c>
      <c r="C717" s="3"/>
      <c r="D717" s="325" t="str">
        <f>VLOOKUP(Input!C538,'Alloc Table Dem'!$A$7:$B$27,2,FALSE)</f>
        <v>19DEM</v>
      </c>
      <c r="E717" s="3">
        <f>Classification!E717-Classification!F717-Classification!G717</f>
        <v>-4946</v>
      </c>
      <c r="F717" s="26">
        <f ca="1">ROUND((VLOOKUP($D717,'Alloc Table Dem'!$B$7:$T$56,13,FALSE)*$E717),0)</f>
        <v>-1928</v>
      </c>
      <c r="G717" s="26">
        <f ca="1">ROUND((VLOOKUP($D717,'Alloc Table Dem'!$B$7:$T$56,14,FALSE)*$E717),0)</f>
        <v>-1305</v>
      </c>
      <c r="H717" s="26">
        <f ca="1">ROUND((VLOOKUP($D717,'Alloc Table Dem'!$B$7:$T$56,15,FALSE)*$E717),0)</f>
        <v>-3</v>
      </c>
      <c r="I717" s="26">
        <f ca="1">ROUND((VLOOKUP($D717,'Alloc Table Dem'!$B$7:$T$56,16,FALSE)*$E717),0)</f>
        <v>-1</v>
      </c>
      <c r="J717" s="26">
        <f ca="1">ROUND((VLOOKUP($D717,'Alloc Table Dem'!$B$7:$T$56,17,FALSE)*$E717),0)</f>
        <v>-1709</v>
      </c>
      <c r="K717" s="26">
        <f ca="1">ROUND((VLOOKUP($D717,'Alloc Table Dem'!$B$7:$T$56,18,FALSE)*$E717),0)</f>
        <v>0</v>
      </c>
      <c r="L717" s="26">
        <f ca="1">ROUND((VLOOKUP($D717,'Alloc Table Dem'!$B$7:$T$56,19,FALSE)*$E717),0)</f>
        <v>0</v>
      </c>
    </row>
    <row r="718" spans="1:12" ht="11.25" x14ac:dyDescent="0.2">
      <c r="A718" s="3"/>
      <c r="B718" s="3"/>
      <c r="C718" s="3"/>
      <c r="D718" s="325"/>
      <c r="E718" s="26"/>
      <c r="F718" s="26"/>
      <c r="G718" s="26"/>
      <c r="H718" s="26"/>
      <c r="I718" s="26"/>
      <c r="J718" s="26"/>
      <c r="K718" s="26"/>
      <c r="L718" s="26"/>
    </row>
    <row r="719" spans="1:12" ht="11.25" x14ac:dyDescent="0.2">
      <c r="A719" s="3">
        <f>A717+1</f>
        <v>4</v>
      </c>
      <c r="B719" s="3" t="s">
        <v>388</v>
      </c>
      <c r="C719" s="3"/>
      <c r="D719" s="325"/>
      <c r="E719" s="3">
        <f t="shared" ref="E719:L719" si="93">E717</f>
        <v>-4946</v>
      </c>
      <c r="F719" s="3">
        <f t="shared" ca="1" si="93"/>
        <v>-1928</v>
      </c>
      <c r="G719" s="3">
        <f t="shared" ca="1" si="93"/>
        <v>-1305</v>
      </c>
      <c r="H719" s="3">
        <f t="shared" ca="1" si="93"/>
        <v>-3</v>
      </c>
      <c r="I719" s="3">
        <f t="shared" ca="1" si="93"/>
        <v>-1</v>
      </c>
      <c r="J719" s="3">
        <f t="shared" ca="1" si="93"/>
        <v>-1709</v>
      </c>
      <c r="K719" s="3">
        <f t="shared" ca="1" si="93"/>
        <v>0</v>
      </c>
      <c r="L719" s="3">
        <f t="shared" ca="1" si="93"/>
        <v>0</v>
      </c>
    </row>
    <row r="720" spans="1:12" ht="11.25" x14ac:dyDescent="0.2">
      <c r="A720" s="3"/>
      <c r="B720" s="3"/>
      <c r="C720" s="3"/>
      <c r="D720" s="325"/>
      <c r="E720" s="3"/>
      <c r="F720" s="3"/>
      <c r="G720" s="3"/>
      <c r="H720" s="3"/>
      <c r="I720" s="3"/>
      <c r="J720" s="3"/>
      <c r="K720" s="3"/>
      <c r="L720" s="3"/>
    </row>
    <row r="721" spans="1:12" ht="11.25" x14ac:dyDescent="0.2">
      <c r="A721" s="3">
        <f>A719+1</f>
        <v>5</v>
      </c>
      <c r="B721" s="3" t="s">
        <v>389</v>
      </c>
      <c r="C721" s="3"/>
      <c r="D721" s="325"/>
      <c r="E721" s="3">
        <f ca="1">Demand!E705+E719</f>
        <v>109290.31269455007</v>
      </c>
      <c r="F721" s="3">
        <f ca="1">Demand!F705+F719</f>
        <v>327818.52280157869</v>
      </c>
      <c r="G721" s="3">
        <f ca="1">Demand!G705+G719</f>
        <v>27351.407864900651</v>
      </c>
      <c r="H721" s="3">
        <f ca="1">Demand!H705+H719</f>
        <v>-244.69166840108957</v>
      </c>
      <c r="I721" s="3">
        <f ca="1">Demand!I705+I719</f>
        <v>8028.9655797437999</v>
      </c>
      <c r="J721" s="3">
        <f ca="1">Demand!J705+J719</f>
        <v>-253663.8760847621</v>
      </c>
      <c r="K721" s="3">
        <f ca="1">Demand!K705+K719</f>
        <v>0</v>
      </c>
      <c r="L721" s="3">
        <f ca="1">Demand!L705+L719</f>
        <v>0</v>
      </c>
    </row>
    <row r="722" spans="1:12" ht="11.25" x14ac:dyDescent="0.2">
      <c r="A722" s="3" t="s">
        <v>819</v>
      </c>
      <c r="B722" s="3"/>
      <c r="C722" s="3"/>
      <c r="D722" s="325"/>
      <c r="E722" s="3"/>
      <c r="F722" s="325" t="str">
        <f>""&amp;+Input!$B$1</f>
        <v>COLUMBIA GAS OF KENTUCKY, INC.</v>
      </c>
      <c r="H722" s="3"/>
      <c r="I722" s="3"/>
      <c r="J722" s="3"/>
      <c r="K722" s="3"/>
      <c r="L722" s="32" t="str">
        <f>Input!$B$2</f>
        <v>ATTACHMENT CEN-2</v>
      </c>
    </row>
    <row r="723" spans="1:12" ht="11.25" x14ac:dyDescent="0.2">
      <c r="A723" s="3" t="str">
        <f>Input!$B$7</f>
        <v>DEMAND-COMMODITY</v>
      </c>
      <c r="B723" s="3"/>
      <c r="C723" s="3"/>
      <c r="D723" s="325"/>
      <c r="E723" s="3"/>
      <c r="F723" s="325" t="s">
        <v>572</v>
      </c>
      <c r="H723" s="3"/>
      <c r="I723" s="3"/>
      <c r="J723" s="3"/>
      <c r="K723" s="3"/>
      <c r="L723" s="32" t="str">
        <f>"PAGE 126 OF "&amp;FIXED(Input!$B$8,0,TRUE)</f>
        <v>PAGE 126 OF 129</v>
      </c>
    </row>
    <row r="724" spans="1:12" ht="11.25" x14ac:dyDescent="0.2">
      <c r="A724" s="17" t="str">
        <f>Input!$B$6</f>
        <v>FORECASTED TEST YEAR - ORIGINAL FILING</v>
      </c>
      <c r="B724" s="17"/>
      <c r="C724" s="17"/>
      <c r="D724" s="34"/>
      <c r="E724" s="17"/>
      <c r="F724" s="19" t="str">
        <f>"FOR THE TWELVE MONTHS ENDED "&amp;Input!$B$4</f>
        <v>FOR THE TWELVE MONTHS ENDED 12/31/2017</v>
      </c>
      <c r="G724" s="329"/>
      <c r="H724" s="17"/>
      <c r="I724" s="17"/>
      <c r="J724" s="17"/>
      <c r="K724" s="17"/>
      <c r="L724" s="183" t="str">
        <f>"WITNESS: "&amp;Input!$B$5</f>
        <v>WITNESS: C. NOTESTONE</v>
      </c>
    </row>
    <row r="725" spans="1:12" ht="11.25" x14ac:dyDescent="0.2">
      <c r="A725" s="325" t="s">
        <v>5</v>
      </c>
      <c r="B725" s="3" t="s">
        <v>6</v>
      </c>
      <c r="C725" s="3"/>
      <c r="D725" s="325" t="s">
        <v>7</v>
      </c>
      <c r="E725" s="325" t="s">
        <v>8</v>
      </c>
      <c r="F725" s="3"/>
      <c r="G725" s="3"/>
      <c r="H725" s="3"/>
      <c r="I725" s="3"/>
      <c r="J725" s="3"/>
      <c r="K725" s="3"/>
      <c r="L725" s="3"/>
    </row>
    <row r="726" spans="1:12" ht="11.25" x14ac:dyDescent="0.2">
      <c r="A726" s="341" t="s">
        <v>9</v>
      </c>
      <c r="B726" s="341" t="s">
        <v>9</v>
      </c>
      <c r="C726" s="341" t="str">
        <f>"                        ACCOUNT TITLE                "</f>
        <v xml:space="preserve">                        ACCOUNT TITLE                </v>
      </c>
      <c r="D726" s="341" t="s">
        <v>10</v>
      </c>
      <c r="E726" s="341" t="s">
        <v>813</v>
      </c>
      <c r="F726" s="341" t="str">
        <f>"  "&amp;+Input!$C$12</f>
        <v xml:space="preserve">  GS-RESIDENTIAL</v>
      </c>
      <c r="G726" s="341" t="str">
        <f>Input!$C$13</f>
        <v>GS-OTHER</v>
      </c>
      <c r="H726" s="341" t="str">
        <f>Input!$C$14</f>
        <v>IUS</v>
      </c>
      <c r="I726" s="341" t="str">
        <f>Input!$C$15</f>
        <v>DS-ML</v>
      </c>
      <c r="J726" s="341" t="str">
        <f>Input!$C$16</f>
        <v>DS/IS</v>
      </c>
      <c r="K726" s="341" t="str">
        <f>Input!$C$17</f>
        <v>NOT USED</v>
      </c>
      <c r="L726" s="341" t="str">
        <f>Input!$C$18</f>
        <v>NOT USED</v>
      </c>
    </row>
    <row r="727" spans="1:12" ht="11.25" x14ac:dyDescent="0.2">
      <c r="A727" s="3"/>
      <c r="B727" s="342" t="s">
        <v>13</v>
      </c>
      <c r="C727" s="342" t="s">
        <v>14</v>
      </c>
      <c r="D727" s="325" t="s">
        <v>15</v>
      </c>
      <c r="E727" s="325" t="s">
        <v>16</v>
      </c>
      <c r="F727" s="325" t="s">
        <v>17</v>
      </c>
      <c r="G727" s="325" t="s">
        <v>18</v>
      </c>
      <c r="H727" s="325" t="s">
        <v>19</v>
      </c>
      <c r="I727" s="325" t="s">
        <v>20</v>
      </c>
      <c r="J727" s="325" t="s">
        <v>21</v>
      </c>
      <c r="K727" s="325" t="s">
        <v>22</v>
      </c>
      <c r="L727" s="325" t="s">
        <v>23</v>
      </c>
    </row>
    <row r="728" spans="1:12" ht="11.25" x14ac:dyDescent="0.2">
      <c r="A728" s="3"/>
      <c r="B728" s="3"/>
      <c r="C728" s="3"/>
      <c r="D728" s="325"/>
      <c r="E728" s="325" t="s">
        <v>26</v>
      </c>
      <c r="F728" s="325" t="s">
        <v>26</v>
      </c>
      <c r="G728" s="325" t="s">
        <v>26</v>
      </c>
      <c r="H728" s="325" t="s">
        <v>26</v>
      </c>
      <c r="I728" s="325" t="s">
        <v>26</v>
      </c>
      <c r="J728" s="325" t="s">
        <v>26</v>
      </c>
      <c r="K728" s="325" t="s">
        <v>26</v>
      </c>
      <c r="L728" s="325" t="s">
        <v>26</v>
      </c>
    </row>
    <row r="729" spans="1:12" ht="11.25" x14ac:dyDescent="0.2">
      <c r="A729" s="3"/>
      <c r="B729" s="3"/>
      <c r="C729" s="3"/>
      <c r="D729" s="325"/>
      <c r="E729" s="3"/>
      <c r="F729" s="3"/>
      <c r="G729" s="3"/>
      <c r="H729" s="3"/>
      <c r="I729" s="3"/>
      <c r="J729" s="3"/>
      <c r="K729" s="3"/>
      <c r="L729" s="3"/>
    </row>
    <row r="730" spans="1:12" ht="11.25" x14ac:dyDescent="0.2">
      <c r="A730" s="3">
        <v>1</v>
      </c>
      <c r="B730" s="3" t="s">
        <v>390</v>
      </c>
      <c r="C730" s="3"/>
      <c r="D730" s="325"/>
      <c r="E730" s="3">
        <f ca="1">Demand!E396</f>
        <v>19842085.600000001</v>
      </c>
      <c r="F730" s="3">
        <f ca="1">Demand!F396</f>
        <v>12730896.850000005</v>
      </c>
      <c r="G730" s="3">
        <f ca="1">Demand!G396</f>
        <v>5332480.0099999961</v>
      </c>
      <c r="H730" s="3">
        <f ca="1">Demand!H396</f>
        <v>6550.7700000000077</v>
      </c>
      <c r="I730" s="3">
        <f ca="1">Demand!I396</f>
        <v>136181.93999999994</v>
      </c>
      <c r="J730" s="3">
        <f ca="1">Demand!J396</f>
        <v>1635976.0300000003</v>
      </c>
      <c r="K730" s="3">
        <f>Demand!K396</f>
        <v>0</v>
      </c>
      <c r="L730" s="3">
        <f>Demand!L396</f>
        <v>0</v>
      </c>
    </row>
    <row r="731" spans="1:12" ht="11.25" x14ac:dyDescent="0.2">
      <c r="A731" s="3">
        <f>A730+1</f>
        <v>2</v>
      </c>
      <c r="B731" s="3" t="s">
        <v>391</v>
      </c>
      <c r="C731" s="3"/>
      <c r="D731" s="325"/>
      <c r="E731" s="26">
        <f ca="1">Demand!E$663+Demand!E$679+Demand!E$375+Demand!E427</f>
        <v>13776159.26331082</v>
      </c>
      <c r="F731" s="26">
        <f ca="1">Demand!F$663+Demand!F$679+Demand!F$375+Demand!F427</f>
        <v>5370842</v>
      </c>
      <c r="G731" s="26">
        <f ca="1">Demand!G$663+Demand!G$679+Demand!G$375+Demand!G427</f>
        <v>3636859</v>
      </c>
      <c r="H731" s="26">
        <f ca="1">Demand!H$663+Demand!H$679+Demand!H$375+Demand!H427</f>
        <v>7851</v>
      </c>
      <c r="I731" s="26">
        <f ca="1">Demand!I$663+Demand!I$679+Demand!I$375+Demand!I427</f>
        <v>1342.8600000000001</v>
      </c>
      <c r="J731" s="26">
        <f ca="1">Demand!J$663+Demand!J$679+Demand!J$375+Demand!J427</f>
        <v>4759262</v>
      </c>
      <c r="K731" s="26">
        <f ca="1">Demand!K$663+Demand!K$679+Demand!K$375+Demand!K427</f>
        <v>0</v>
      </c>
      <c r="L731" s="26">
        <f ca="1">Demand!L$663+Demand!L$679+Demand!L$375+Demand!L427</f>
        <v>0</v>
      </c>
    </row>
    <row r="732" spans="1:12" ht="11.25" x14ac:dyDescent="0.2">
      <c r="A732" s="3">
        <f>A731+1</f>
        <v>3</v>
      </c>
      <c r="B732" s="3" t="s">
        <v>392</v>
      </c>
      <c r="C732" s="3"/>
      <c r="D732" s="325"/>
      <c r="E732" s="3">
        <f t="shared" ref="E732:L732" ca="1" si="94">E730-E731</f>
        <v>6065926.3366891816</v>
      </c>
      <c r="F732" s="3">
        <f t="shared" ca="1" si="94"/>
        <v>7360054.8500000052</v>
      </c>
      <c r="G732" s="3">
        <f t="shared" ca="1" si="94"/>
        <v>1695621.0099999961</v>
      </c>
      <c r="H732" s="3">
        <f t="shared" ca="1" si="94"/>
        <v>-1300.2299999999923</v>
      </c>
      <c r="I732" s="3">
        <f t="shared" ca="1" si="94"/>
        <v>134839.07999999996</v>
      </c>
      <c r="J732" s="3">
        <f t="shared" ca="1" si="94"/>
        <v>-3123285.9699999997</v>
      </c>
      <c r="K732" s="3">
        <f t="shared" ca="1" si="94"/>
        <v>0</v>
      </c>
      <c r="L732" s="3">
        <f t="shared" ca="1" si="94"/>
        <v>0</v>
      </c>
    </row>
    <row r="733" spans="1:12" ht="11.25" x14ac:dyDescent="0.2">
      <c r="A733" s="3"/>
      <c r="B733" s="3"/>
      <c r="C733" s="3"/>
      <c r="D733" s="325"/>
      <c r="E733" s="3"/>
      <c r="F733" s="3"/>
      <c r="G733" s="3"/>
      <c r="H733" s="3"/>
      <c r="I733" s="3"/>
      <c r="J733" s="3"/>
      <c r="K733" s="3"/>
      <c r="L733" s="3"/>
    </row>
    <row r="734" spans="1:12" ht="11.25" x14ac:dyDescent="0.2">
      <c r="A734" s="3">
        <f>A732+1</f>
        <v>4</v>
      </c>
      <c r="B734" s="3" t="s">
        <v>382</v>
      </c>
      <c r="C734" s="3"/>
      <c r="D734" s="325"/>
      <c r="E734" s="3"/>
      <c r="F734" s="3"/>
      <c r="G734" s="3"/>
      <c r="H734" s="3"/>
      <c r="I734" s="3"/>
      <c r="J734" s="3"/>
      <c r="K734" s="3"/>
      <c r="L734" s="3"/>
    </row>
    <row r="735" spans="1:12" ht="11.25" x14ac:dyDescent="0.2">
      <c r="A735" s="3"/>
      <c r="B735" s="3"/>
      <c r="C735" s="3"/>
      <c r="D735" s="325"/>
      <c r="E735" s="3"/>
      <c r="F735" s="3"/>
      <c r="G735" s="3"/>
      <c r="H735" s="3"/>
      <c r="I735" s="3"/>
      <c r="J735" s="3"/>
      <c r="K735" s="3"/>
      <c r="L735" s="3"/>
    </row>
    <row r="736" spans="1:12" ht="11.25" x14ac:dyDescent="0.2">
      <c r="A736" s="3">
        <f>A734+1</f>
        <v>5</v>
      </c>
      <c r="B736" s="3" t="s">
        <v>383</v>
      </c>
      <c r="C736" s="3"/>
      <c r="D736" s="325"/>
      <c r="E736" s="3">
        <f ca="1">ROUND(Demand!E800*Input!$D$30,0)</f>
        <v>2940506</v>
      </c>
      <c r="F736" s="3">
        <f ca="1">ROUND(Demand!F800*Input!$D$30,0)</f>
        <v>1388281</v>
      </c>
      <c r="G736" s="3">
        <f ca="1">ROUND(Demand!G800*Input!$D$30,0)</f>
        <v>895676</v>
      </c>
      <c r="H736" s="3">
        <f ca="1">ROUND(Demand!H800*Input!$D$30,0)</f>
        <v>2029</v>
      </c>
      <c r="I736" s="3">
        <f ca="1">ROUND(Demand!I800*Input!$D$30,0)</f>
        <v>495</v>
      </c>
      <c r="J736" s="3">
        <f ca="1">ROUND(Demand!J800*Input!$D$30,0)</f>
        <v>654025</v>
      </c>
      <c r="K736" s="3">
        <f ca="1">ROUND(Demand!K800*Input!$D$30,0)</f>
        <v>0</v>
      </c>
      <c r="L736" s="3">
        <f ca="1">ROUND(Demand!L800*Input!$D$30,0)</f>
        <v>0</v>
      </c>
    </row>
    <row r="737" spans="1:12" ht="11.25" x14ac:dyDescent="0.2">
      <c r="A737" s="3"/>
      <c r="B737" s="3"/>
      <c r="C737" s="3"/>
      <c r="D737" s="325"/>
      <c r="E737" s="3"/>
      <c r="F737" s="3"/>
      <c r="G737" s="3"/>
      <c r="H737" s="3"/>
      <c r="I737" s="3"/>
      <c r="J737" s="3"/>
      <c r="K737" s="3"/>
      <c r="L737" s="3"/>
    </row>
    <row r="738" spans="1:12" ht="11.25" x14ac:dyDescent="0.2">
      <c r="A738" s="3">
        <f>A736+1</f>
        <v>6</v>
      </c>
      <c r="B738" s="3" t="str">
        <f>"  "&amp;+Input!A519</f>
        <v xml:space="preserve">  EXCESS OF BOOK OVER TAX S/L</v>
      </c>
      <c r="C738" s="3"/>
      <c r="D738" s="325" t="str">
        <f>VLOOKUP(Input!C519,'Alloc Table Dem'!$A$7:$B$27,2,FALSE)</f>
        <v>19DEM</v>
      </c>
      <c r="E738" s="3">
        <f>Classification!E738-Classification!F738-Classification!G738</f>
        <v>4243928</v>
      </c>
      <c r="F738" s="3">
        <f ca="1">ROUND((VLOOKUP($D738,'Alloc Table Dem'!$B$7:$T$56,13,FALSE)*$E738),0)</f>
        <v>1654028</v>
      </c>
      <c r="G738" s="3">
        <f ca="1">ROUND((VLOOKUP($D738,'Alloc Table Dem'!$B$7:$T$56,14,FALSE)*$E738),0)</f>
        <v>1120100</v>
      </c>
      <c r="H738" s="3">
        <f ca="1">ROUND((VLOOKUP($D738,'Alloc Table Dem'!$B$7:$T$56,15,FALSE)*$E738),0)</f>
        <v>2419</v>
      </c>
      <c r="I738" s="3">
        <f ca="1">ROUND((VLOOKUP($D738,'Alloc Table Dem'!$B$7:$T$56,16,FALSE)*$E738),0)</f>
        <v>1019</v>
      </c>
      <c r="J738" s="3">
        <f ca="1">ROUND((VLOOKUP($D738,'Alloc Table Dem'!$B$7:$T$56,17,FALSE)*$E738),0)</f>
        <v>1466362</v>
      </c>
      <c r="K738" s="3">
        <f ca="1">ROUND((VLOOKUP($D738,'Alloc Table Dem'!$B$7:$T$56,18,FALSE)*$E738),0)</f>
        <v>0</v>
      </c>
      <c r="L738" s="3">
        <f ca="1">ROUND((VLOOKUP($D738,'Alloc Table Dem'!$B$7:$T$56,19,FALSE)*$E738),0)</f>
        <v>0</v>
      </c>
    </row>
    <row r="739" spans="1:12" ht="11.25" x14ac:dyDescent="0.2">
      <c r="A739" s="3">
        <f>A738+1</f>
        <v>7</v>
      </c>
      <c r="B739" s="3" t="s">
        <v>393</v>
      </c>
      <c r="C739" s="3"/>
      <c r="D739" s="325"/>
      <c r="E739" s="26">
        <f>Demand!E375-Demand!E306</f>
        <v>3021653</v>
      </c>
      <c r="F739" s="26">
        <f ca="1">Demand!F375-Demand!F306</f>
        <v>1177762</v>
      </c>
      <c r="G739" s="26">
        <f ca="1">Demand!G375-Demand!G306</f>
        <v>797552</v>
      </c>
      <c r="H739" s="26">
        <f ca="1">Demand!H375-Demand!H306</f>
        <v>1720</v>
      </c>
      <c r="I739" s="26">
        <f ca="1">Demand!I375-Demand!I306</f>
        <v>508.86000000000013</v>
      </c>
      <c r="J739" s="26">
        <f ca="1">Demand!J375-Demand!J306</f>
        <v>1044108</v>
      </c>
      <c r="K739" s="26">
        <f ca="1">Demand!K375-Demand!K306</f>
        <v>0</v>
      </c>
      <c r="L739" s="26">
        <f ca="1">Demand!L375-Demand!L306</f>
        <v>0</v>
      </c>
    </row>
    <row r="740" spans="1:12" ht="11.25" x14ac:dyDescent="0.2">
      <c r="A740" s="3">
        <f>A739+1</f>
        <v>8</v>
      </c>
      <c r="B740" s="3" t="s">
        <v>551</v>
      </c>
      <c r="C740" s="3"/>
      <c r="D740" s="325"/>
      <c r="E740" s="3">
        <f t="shared" ref="E740:L740" si="95">E738-E739</f>
        <v>1222275</v>
      </c>
      <c r="F740" s="3">
        <f t="shared" ca="1" si="95"/>
        <v>476266</v>
      </c>
      <c r="G740" s="3">
        <f t="shared" ca="1" si="95"/>
        <v>322548</v>
      </c>
      <c r="H740" s="3">
        <f t="shared" ca="1" si="95"/>
        <v>699</v>
      </c>
      <c r="I740" s="3">
        <f t="shared" ca="1" si="95"/>
        <v>510.13999999999987</v>
      </c>
      <c r="J740" s="3">
        <f t="shared" ca="1" si="95"/>
        <v>422254</v>
      </c>
      <c r="K740" s="3">
        <f t="shared" ca="1" si="95"/>
        <v>0</v>
      </c>
      <c r="L740" s="3">
        <f t="shared" ca="1" si="95"/>
        <v>0</v>
      </c>
    </row>
    <row r="741" spans="1:12" ht="11.25" x14ac:dyDescent="0.2">
      <c r="A741" s="3"/>
      <c r="B741" s="3"/>
      <c r="C741" s="3"/>
      <c r="D741" s="325"/>
      <c r="E741" s="3"/>
      <c r="F741" s="3"/>
      <c r="G741" s="3"/>
      <c r="H741" s="3"/>
      <c r="I741" s="3"/>
      <c r="J741" s="3"/>
      <c r="K741" s="3"/>
      <c r="L741" s="3"/>
    </row>
    <row r="742" spans="1:12" ht="11.25" x14ac:dyDescent="0.2">
      <c r="A742" s="3">
        <f>A740+1</f>
        <v>9</v>
      </c>
      <c r="B742" s="3" t="str">
        <f>"  "&amp;+Input!A520</f>
        <v xml:space="preserve">  NON DEDUCTIBLE EMPLOYEE EXPENSE</v>
      </c>
      <c r="C742" s="3"/>
      <c r="D742" s="325" t="str">
        <f>VLOOKUP(Input!C520,'Alloc Table Dem'!$A$7:$B$27,2,FALSE)</f>
        <v>12DEM</v>
      </c>
      <c r="E742" s="3">
        <f>Classification!E742-Classification!F742-Classification!G742</f>
        <v>-810</v>
      </c>
      <c r="F742" s="3">
        <f ca="1">ROUND((VLOOKUP($D742,'Alloc Table Dem'!$B$7:$T$56,13,FALSE)*$E742),0)</f>
        <v>-316</v>
      </c>
      <c r="G742" s="3">
        <f ca="1">ROUND((VLOOKUP($D742,'Alloc Table Dem'!$B$7:$T$56,14,FALSE)*$E742),0)</f>
        <v>-214</v>
      </c>
      <c r="H742" s="3">
        <f ca="1">ROUND((VLOOKUP($D742,'Alloc Table Dem'!$B$7:$T$56,15,FALSE)*$E742),0)</f>
        <v>0</v>
      </c>
      <c r="I742" s="3">
        <f ca="1">ROUND((VLOOKUP($D742,'Alloc Table Dem'!$B$7:$T$56,16,FALSE)*$E742),0)</f>
        <v>0</v>
      </c>
      <c r="J742" s="3">
        <f ca="1">ROUND((VLOOKUP($D742,'Alloc Table Dem'!$B$7:$T$56,17,FALSE)*$E742),0)</f>
        <v>-280</v>
      </c>
      <c r="K742" s="3">
        <f ca="1">ROUND((VLOOKUP($D742,'Alloc Table Dem'!$B$7:$T$56,18,FALSE)*$E742),0)</f>
        <v>0</v>
      </c>
      <c r="L742" s="3">
        <f ca="1">ROUND((VLOOKUP($D742,'Alloc Table Dem'!$B$7:$T$56,19,FALSE)*$E742),0)</f>
        <v>0</v>
      </c>
    </row>
    <row r="743" spans="1:12" ht="11.25" x14ac:dyDescent="0.2">
      <c r="A743" s="3">
        <f>A742+1</f>
        <v>10</v>
      </c>
      <c r="B743" s="3" t="s">
        <v>394</v>
      </c>
      <c r="C743" s="3"/>
      <c r="D743" s="325"/>
      <c r="E743" s="26">
        <f ca="1">Demand!E705</f>
        <v>114236.31269455007</v>
      </c>
      <c r="F743" s="26">
        <f ca="1">Demand!F705</f>
        <v>329746.52280157869</v>
      </c>
      <c r="G743" s="26">
        <f ca="1">Demand!G705</f>
        <v>28656.407864900651</v>
      </c>
      <c r="H743" s="26">
        <f ca="1">Demand!H705</f>
        <v>-241.69166840108957</v>
      </c>
      <c r="I743" s="26">
        <f ca="1">Demand!I705</f>
        <v>8029.9655797437999</v>
      </c>
      <c r="J743" s="26">
        <f ca="1">Demand!J705</f>
        <v>-251954.8760847621</v>
      </c>
      <c r="K743" s="26">
        <f ca="1">Demand!K705</f>
        <v>0</v>
      </c>
      <c r="L743" s="26">
        <f ca="1">Demand!L705</f>
        <v>0</v>
      </c>
    </row>
    <row r="744" spans="1:12" ht="11.25" x14ac:dyDescent="0.2">
      <c r="A744" s="3"/>
      <c r="B744" s="3"/>
      <c r="C744" s="3"/>
      <c r="D744" s="325"/>
      <c r="E744" s="3"/>
      <c r="F744" s="3"/>
      <c r="G744" s="3"/>
      <c r="H744" s="3"/>
      <c r="I744" s="3"/>
      <c r="J744" s="3"/>
      <c r="K744" s="3"/>
      <c r="L744" s="3"/>
    </row>
    <row r="745" spans="1:12" ht="11.25" x14ac:dyDescent="0.2">
      <c r="A745" s="3">
        <f>A743+1</f>
        <v>11</v>
      </c>
      <c r="B745" s="3" t="s">
        <v>384</v>
      </c>
      <c r="C745" s="3"/>
      <c r="D745" s="325"/>
      <c r="E745" s="23">
        <f t="shared" ref="E745:L745" ca="1" si="96">E736+E740+SUM(E742:E743)</f>
        <v>4276207.3126945505</v>
      </c>
      <c r="F745" s="23">
        <f t="shared" ca="1" si="96"/>
        <v>2193977.5228015785</v>
      </c>
      <c r="G745" s="23">
        <f t="shared" ca="1" si="96"/>
        <v>1246666.4078649005</v>
      </c>
      <c r="H745" s="23">
        <f t="shared" ca="1" si="96"/>
        <v>2486.3083315989106</v>
      </c>
      <c r="I745" s="23">
        <f t="shared" ca="1" si="96"/>
        <v>9035.1055797438003</v>
      </c>
      <c r="J745" s="23">
        <f t="shared" ca="1" si="96"/>
        <v>824044.12391523784</v>
      </c>
      <c r="K745" s="23">
        <f t="shared" ca="1" si="96"/>
        <v>0</v>
      </c>
      <c r="L745" s="23">
        <f t="shared" ca="1" si="96"/>
        <v>0</v>
      </c>
    </row>
    <row r="746" spans="1:12" ht="11.25" x14ac:dyDescent="0.2">
      <c r="A746" s="3"/>
      <c r="B746" s="3"/>
      <c r="C746" s="3"/>
      <c r="D746" s="325"/>
      <c r="E746" s="3"/>
      <c r="F746" s="3"/>
      <c r="G746" s="3"/>
      <c r="H746" s="3"/>
      <c r="I746" s="3"/>
      <c r="J746" s="3"/>
      <c r="K746" s="3"/>
      <c r="L746" s="3"/>
    </row>
    <row r="747" spans="1:12" ht="11.25" x14ac:dyDescent="0.2">
      <c r="A747" s="3">
        <f>A745+1</f>
        <v>12</v>
      </c>
      <c r="B747" s="3" t="s">
        <v>385</v>
      </c>
      <c r="C747" s="3"/>
      <c r="D747" s="325"/>
      <c r="E747" s="3">
        <f t="shared" ref="E747:L747" ca="1" si="97">E732-E745</f>
        <v>1789719.0239946311</v>
      </c>
      <c r="F747" s="3">
        <f t="shared" ca="1" si="97"/>
        <v>5166077.3271984272</v>
      </c>
      <c r="G747" s="3">
        <f t="shared" ca="1" si="97"/>
        <v>448954.60213509551</v>
      </c>
      <c r="H747" s="3">
        <f t="shared" ca="1" si="97"/>
        <v>-3786.5383315989029</v>
      </c>
      <c r="I747" s="3">
        <f t="shared" ca="1" si="97"/>
        <v>125803.97442025616</v>
      </c>
      <c r="J747" s="3">
        <f t="shared" ca="1" si="97"/>
        <v>-3947330.0939152376</v>
      </c>
      <c r="K747" s="3">
        <f t="shared" ca="1" si="97"/>
        <v>0</v>
      </c>
      <c r="L747" s="3">
        <f t="shared" ca="1" si="97"/>
        <v>0</v>
      </c>
    </row>
    <row r="748" spans="1:12" ht="11.25" x14ac:dyDescent="0.2">
      <c r="A748" s="3"/>
      <c r="B748" s="3"/>
      <c r="C748" s="3"/>
      <c r="D748" s="325"/>
      <c r="E748" s="3"/>
      <c r="F748" s="3"/>
      <c r="G748" s="3"/>
      <c r="H748" s="3"/>
      <c r="I748" s="3"/>
      <c r="J748" s="3"/>
      <c r="K748" s="3"/>
      <c r="L748" s="3"/>
    </row>
    <row r="749" spans="1:12" ht="11.25" x14ac:dyDescent="0.2">
      <c r="A749" s="3">
        <f>A747+1</f>
        <v>13</v>
      </c>
      <c r="B749" s="3" t="str">
        <f>"CURRENT FEDERAL INCOME TAX @ "&amp;FIXED(ROUND(Input!$D$27*100,0),0,TRUE)&amp;"%"</f>
        <v>CURRENT FEDERAL INCOME TAX @ 35%</v>
      </c>
      <c r="C749" s="3"/>
      <c r="D749" s="325"/>
      <c r="E749" s="3">
        <f ca="1">Classification!E749-Classification!F749-Classification!G749</f>
        <v>608504.10547432117</v>
      </c>
      <c r="F749" s="3">
        <f ca="1">IF($E$747=0,0,ROUND(+F747*($E$749/$E$747),0))</f>
        <v>1756465</v>
      </c>
      <c r="G749" s="3">
        <f t="shared" ref="G749:L749" ca="1" si="98">IF($E$747=0,0,ROUND(+G747*($E$749/$E$747),0))</f>
        <v>152644</v>
      </c>
      <c r="H749" s="3">
        <f t="shared" ca="1" si="98"/>
        <v>-1287</v>
      </c>
      <c r="I749" s="3">
        <f t="shared" ca="1" si="98"/>
        <v>42773</v>
      </c>
      <c r="J749" s="3">
        <f t="shared" ca="1" si="98"/>
        <v>-1342091</v>
      </c>
      <c r="K749" s="3">
        <f t="shared" ca="1" si="98"/>
        <v>0</v>
      </c>
      <c r="L749" s="3">
        <f t="shared" ca="1" si="98"/>
        <v>0</v>
      </c>
    </row>
    <row r="750" spans="1:12" ht="11.25" x14ac:dyDescent="0.2">
      <c r="A750" s="3">
        <f>A749+1</f>
        <v>14</v>
      </c>
      <c r="B750" s="3" t="str">
        <f>"PLUS: "&amp;+Input!A528</f>
        <v>PLUS: DIRECT ADJUSTMENT TO F.I.T.</v>
      </c>
      <c r="C750" s="3"/>
      <c r="D750" s="325" t="str">
        <f>VLOOKUP(Input!C528,'Alloc Table Dem'!$A$7:$B$27,2,FALSE)</f>
        <v>19DEM</v>
      </c>
      <c r="E750" s="26">
        <f>Classification!E750-Classification!F750-Classification!G750</f>
        <v>0</v>
      </c>
      <c r="F750" s="26">
        <f ca="1">ROUND((VLOOKUP($D750,'Alloc Table Dem'!$B$7:$T$56,13,FALSE)*$E750),0)</f>
        <v>0</v>
      </c>
      <c r="G750" s="26">
        <f ca="1">ROUND((VLOOKUP($D750,'Alloc Table Dem'!$B$7:$T$56,14,FALSE)*$E750),0)</f>
        <v>0</v>
      </c>
      <c r="H750" s="26">
        <f ca="1">ROUND((VLOOKUP($D750,'Alloc Table Dem'!$B$7:$T$56,15,FALSE)*$E750),0)</f>
        <v>0</v>
      </c>
      <c r="I750" s="26">
        <f ca="1">ROUND((VLOOKUP($D750,'Alloc Table Dem'!$B$7:$T$56,16,FALSE)*$E750),0)</f>
        <v>0</v>
      </c>
      <c r="J750" s="26">
        <f ca="1">ROUND((VLOOKUP($D750,'Alloc Table Dem'!$B$7:$T$56,17,FALSE)*$E750),0)</f>
        <v>0</v>
      </c>
      <c r="K750" s="26">
        <f ca="1">ROUND((VLOOKUP($D750,'Alloc Table Dem'!$B$7:$T$56,18,FALSE)*$E750),0)</f>
        <v>0</v>
      </c>
      <c r="L750" s="26">
        <f ca="1">ROUND((VLOOKUP($D750,'Alloc Table Dem'!$B$7:$T$56,19,FALSE)*$E750),0)</f>
        <v>0</v>
      </c>
    </row>
    <row r="751" spans="1:12" ht="11.25" x14ac:dyDescent="0.2">
      <c r="A751" s="3">
        <f>A750+1</f>
        <v>15</v>
      </c>
      <c r="B751" s="3" t="str">
        <f>"CURRENT FEDERAL INCOME TAX @ "&amp;FIXED(ROUND(Input!$D$27*100,0),0,TRUE)&amp;"%"</f>
        <v>CURRENT FEDERAL INCOME TAX @ 35%</v>
      </c>
      <c r="C751" s="3"/>
      <c r="D751" s="325"/>
      <c r="E751" s="3">
        <f t="shared" ref="E751:L751" ca="1" si="99">E749+E750</f>
        <v>608504.10547432117</v>
      </c>
      <c r="F751" s="3">
        <f t="shared" ca="1" si="99"/>
        <v>1756465</v>
      </c>
      <c r="G751" s="3">
        <f t="shared" ca="1" si="99"/>
        <v>152644</v>
      </c>
      <c r="H751" s="3">
        <f t="shared" ca="1" si="99"/>
        <v>-1287</v>
      </c>
      <c r="I751" s="3">
        <f t="shared" ca="1" si="99"/>
        <v>42773</v>
      </c>
      <c r="J751" s="3">
        <f t="shared" ca="1" si="99"/>
        <v>-1342091</v>
      </c>
      <c r="K751" s="3">
        <f t="shared" ca="1" si="99"/>
        <v>0</v>
      </c>
      <c r="L751" s="3">
        <f t="shared" ca="1" si="99"/>
        <v>0</v>
      </c>
    </row>
    <row r="752" spans="1:12" ht="11.25" x14ac:dyDescent="0.2">
      <c r="A752" s="3" t="s">
        <v>819</v>
      </c>
      <c r="B752" s="3"/>
      <c r="C752" s="3"/>
      <c r="D752" s="325"/>
      <c r="E752" s="3"/>
      <c r="F752" s="325" t="str">
        <f>""&amp;+Input!$B$1</f>
        <v>COLUMBIA GAS OF KENTUCKY, INC.</v>
      </c>
      <c r="H752" s="3"/>
      <c r="I752" s="3"/>
      <c r="J752" s="3"/>
      <c r="K752" s="3"/>
      <c r="L752" s="32" t="str">
        <f>Input!$B$2</f>
        <v>ATTACHMENT CEN-2</v>
      </c>
    </row>
    <row r="753" spans="1:12" ht="11.25" x14ac:dyDescent="0.2">
      <c r="A753" s="3" t="str">
        <f>Input!$B$7</f>
        <v>DEMAND-COMMODITY</v>
      </c>
      <c r="B753" s="3"/>
      <c r="C753" s="3"/>
      <c r="D753" s="325"/>
      <c r="E753" s="3"/>
      <c r="F753" s="325" t="s">
        <v>572</v>
      </c>
      <c r="H753" s="3"/>
      <c r="I753" s="3"/>
      <c r="J753" s="3"/>
      <c r="K753" s="3"/>
      <c r="L753" s="32" t="str">
        <f>"PAGE 127 OF "&amp;FIXED(Input!$B$8,0,TRUE)</f>
        <v>PAGE 127 OF 129</v>
      </c>
    </row>
    <row r="754" spans="1:12" ht="11.25" x14ac:dyDescent="0.2">
      <c r="A754" s="17" t="str">
        <f>Input!$B$6</f>
        <v>FORECASTED TEST YEAR - ORIGINAL FILING</v>
      </c>
      <c r="B754" s="17"/>
      <c r="C754" s="17"/>
      <c r="D754" s="34"/>
      <c r="E754" s="17"/>
      <c r="F754" s="19" t="str">
        <f>"FOR THE TWELVE MONTHS ENDED "&amp;Input!$B$4</f>
        <v>FOR THE TWELVE MONTHS ENDED 12/31/2017</v>
      </c>
      <c r="G754" s="329"/>
      <c r="H754" s="17"/>
      <c r="I754" s="17"/>
      <c r="J754" s="17"/>
      <c r="K754" s="17"/>
      <c r="L754" s="183" t="str">
        <f>"WITNESS: "&amp;Input!$B$5</f>
        <v>WITNESS: C. NOTESTONE</v>
      </c>
    </row>
    <row r="755" spans="1:12" ht="11.25" x14ac:dyDescent="0.2">
      <c r="A755" s="325" t="s">
        <v>5</v>
      </c>
      <c r="B755" s="3" t="s">
        <v>6</v>
      </c>
      <c r="C755" s="3"/>
      <c r="D755" s="325" t="s">
        <v>7</v>
      </c>
      <c r="E755" s="325" t="s">
        <v>8</v>
      </c>
      <c r="F755" s="3"/>
      <c r="G755" s="3"/>
      <c r="H755" s="3"/>
      <c r="I755" s="3"/>
      <c r="J755" s="3"/>
      <c r="K755" s="3"/>
      <c r="L755" s="3"/>
    </row>
    <row r="756" spans="1:12" ht="11.25" x14ac:dyDescent="0.2">
      <c r="A756" s="341" t="s">
        <v>9</v>
      </c>
      <c r="B756" s="341" t="s">
        <v>9</v>
      </c>
      <c r="C756" s="341" t="str">
        <f>"                        ACCOUNT TITLE                "</f>
        <v xml:space="preserve">                        ACCOUNT TITLE                </v>
      </c>
      <c r="D756" s="341" t="s">
        <v>10</v>
      </c>
      <c r="E756" s="341" t="s">
        <v>813</v>
      </c>
      <c r="F756" s="341" t="str">
        <f>"  "&amp;+Input!$C$12</f>
        <v xml:space="preserve">  GS-RESIDENTIAL</v>
      </c>
      <c r="G756" s="341" t="str">
        <f>Input!$C$13</f>
        <v>GS-OTHER</v>
      </c>
      <c r="H756" s="341" t="str">
        <f>Input!$C$14</f>
        <v>IUS</v>
      </c>
      <c r="I756" s="341" t="str">
        <f>Input!$C$15</f>
        <v>DS-ML</v>
      </c>
      <c r="J756" s="341" t="str">
        <f>Input!$C$16</f>
        <v>DS/IS</v>
      </c>
      <c r="K756" s="341" t="str">
        <f>Input!$C$17</f>
        <v>NOT USED</v>
      </c>
      <c r="L756" s="341" t="str">
        <f>Input!$C$18</f>
        <v>NOT USED</v>
      </c>
    </row>
    <row r="757" spans="1:12" ht="11.25" x14ac:dyDescent="0.2">
      <c r="A757" s="3"/>
      <c r="B757" s="342" t="s">
        <v>13</v>
      </c>
      <c r="C757" s="342" t="s">
        <v>14</v>
      </c>
      <c r="D757" s="325" t="s">
        <v>15</v>
      </c>
      <c r="E757" s="325" t="s">
        <v>16</v>
      </c>
      <c r="F757" s="325" t="s">
        <v>17</v>
      </c>
      <c r="G757" s="325" t="s">
        <v>18</v>
      </c>
      <c r="H757" s="325" t="s">
        <v>19</v>
      </c>
      <c r="I757" s="325" t="s">
        <v>20</v>
      </c>
      <c r="J757" s="325" t="s">
        <v>21</v>
      </c>
      <c r="K757" s="325" t="s">
        <v>22</v>
      </c>
      <c r="L757" s="325" t="s">
        <v>23</v>
      </c>
    </row>
    <row r="758" spans="1:12" ht="11.25" x14ac:dyDescent="0.2">
      <c r="A758" s="3"/>
      <c r="B758" s="3"/>
      <c r="C758" s="3"/>
      <c r="D758" s="325"/>
      <c r="E758" s="325" t="s">
        <v>26</v>
      </c>
      <c r="F758" s="325" t="s">
        <v>26</v>
      </c>
      <c r="G758" s="325" t="s">
        <v>26</v>
      </c>
      <c r="H758" s="325" t="s">
        <v>26</v>
      </c>
      <c r="I758" s="325" t="s">
        <v>26</v>
      </c>
      <c r="J758" s="325" t="s">
        <v>26</v>
      </c>
      <c r="K758" s="325" t="s">
        <v>26</v>
      </c>
      <c r="L758" s="325" t="s">
        <v>26</v>
      </c>
    </row>
    <row r="759" spans="1:12" ht="11.25" x14ac:dyDescent="0.2">
      <c r="A759" s="3"/>
      <c r="B759" s="3"/>
      <c r="C759" s="3"/>
      <c r="D759" s="325"/>
      <c r="E759" s="3"/>
      <c r="F759" s="3"/>
      <c r="G759" s="3"/>
      <c r="H759" s="3"/>
      <c r="I759" s="3"/>
      <c r="J759" s="3"/>
      <c r="K759" s="3"/>
      <c r="L759" s="3"/>
    </row>
    <row r="760" spans="1:12" ht="11.25" x14ac:dyDescent="0.2">
      <c r="A760" s="3">
        <v>1</v>
      </c>
      <c r="B760" s="3"/>
      <c r="C760" s="3" t="s">
        <v>395</v>
      </c>
      <c r="D760" s="325"/>
      <c r="E760" s="3"/>
      <c r="F760" s="3"/>
      <c r="G760" s="3"/>
      <c r="H760" s="3"/>
      <c r="I760" s="3"/>
      <c r="J760" s="3"/>
      <c r="K760" s="3"/>
      <c r="L760" s="3"/>
    </row>
    <row r="761" spans="1:12" ht="11.25" x14ac:dyDescent="0.2">
      <c r="A761" s="3"/>
      <c r="B761" s="3"/>
      <c r="C761" s="3"/>
      <c r="D761" s="325"/>
      <c r="E761" s="3"/>
      <c r="F761" s="3"/>
      <c r="G761" s="3"/>
      <c r="H761" s="3"/>
      <c r="I761" s="3"/>
      <c r="J761" s="3"/>
      <c r="K761" s="3"/>
      <c r="L761" s="3"/>
    </row>
    <row r="762" spans="1:12" ht="11.25" x14ac:dyDescent="0.2">
      <c r="A762" s="3">
        <f>A760+1</f>
        <v>2</v>
      </c>
      <c r="B762" s="3" t="str">
        <f>"LESS: "&amp;Input!A526</f>
        <v>LESS: AMORT. OF PRIOR YEARS ITC</v>
      </c>
      <c r="C762" s="3"/>
      <c r="D762" s="325" t="str">
        <f>VLOOKUP(Input!C526,'Alloc Table Dem'!$A$7:$B$27,2,FALSE)</f>
        <v>19DEM</v>
      </c>
      <c r="E762" s="3">
        <f>Classification!E762-Classification!F762-Classification!G762</f>
        <v>10397</v>
      </c>
      <c r="F762" s="3">
        <f ca="1">ROUND((VLOOKUP($D762,'Alloc Table Dem'!$B$7:$T$56,13,FALSE)*$E762),0)</f>
        <v>4052</v>
      </c>
      <c r="G762" s="3">
        <f ca="1">ROUND((VLOOKUP($D762,'Alloc Table Dem'!$B$7:$T$56,14,FALSE)*$E762),0)</f>
        <v>2744</v>
      </c>
      <c r="H762" s="3">
        <f ca="1">ROUND((VLOOKUP($D762,'Alloc Table Dem'!$B$7:$T$56,15,FALSE)*$E762),0)</f>
        <v>6</v>
      </c>
      <c r="I762" s="3">
        <f ca="1">ROUND((VLOOKUP($D762,'Alloc Table Dem'!$B$7:$T$56,16,FALSE)*$E762),0)</f>
        <v>2</v>
      </c>
      <c r="J762" s="3">
        <f ca="1">ROUND((VLOOKUP($D762,'Alloc Table Dem'!$B$7:$T$56,17,FALSE)*$E762),0)</f>
        <v>3592</v>
      </c>
      <c r="K762" s="3">
        <f ca="1">ROUND((VLOOKUP($D762,'Alloc Table Dem'!$B$7:$T$56,18,FALSE)*$E762),0)</f>
        <v>0</v>
      </c>
      <c r="L762" s="3">
        <f ca="1">ROUND((VLOOKUP($D762,'Alloc Table Dem'!$B$7:$T$56,19,FALSE)*$E762),0)</f>
        <v>0</v>
      </c>
    </row>
    <row r="763" spans="1:12" ht="11.25" x14ac:dyDescent="0.2">
      <c r="A763" s="3"/>
      <c r="B763" s="3"/>
      <c r="C763" s="3"/>
      <c r="D763" s="325"/>
      <c r="E763" s="3"/>
      <c r="F763" s="3"/>
      <c r="G763" s="3"/>
      <c r="H763" s="3"/>
      <c r="I763" s="3"/>
      <c r="J763" s="3"/>
      <c r="K763" s="3"/>
      <c r="L763" s="3"/>
    </row>
    <row r="764" spans="1:12" ht="11.25" x14ac:dyDescent="0.2">
      <c r="A764" s="3">
        <f>A762+1</f>
        <v>3</v>
      </c>
      <c r="B764" s="3" t="s">
        <v>396</v>
      </c>
      <c r="C764" s="3"/>
      <c r="D764" s="325"/>
      <c r="E764" s="3"/>
      <c r="F764" s="3"/>
      <c r="G764" s="3"/>
      <c r="H764" s="3"/>
      <c r="I764" s="3"/>
      <c r="J764" s="3"/>
      <c r="K764" s="3"/>
      <c r="L764" s="3"/>
    </row>
    <row r="765" spans="1:12" ht="11.25" x14ac:dyDescent="0.2">
      <c r="A765" s="3"/>
      <c r="B765" s="3"/>
      <c r="C765" s="3"/>
      <c r="D765" s="325"/>
      <c r="E765" s="3"/>
      <c r="F765" s="3"/>
      <c r="G765" s="3"/>
      <c r="H765" s="3"/>
      <c r="I765" s="3"/>
      <c r="J765" s="3"/>
      <c r="K765" s="3"/>
      <c r="L765" s="3"/>
    </row>
    <row r="766" spans="1:12" ht="11.25" x14ac:dyDescent="0.2">
      <c r="A766" s="3">
        <f>A764+1</f>
        <v>4</v>
      </c>
      <c r="B766" s="3" t="str">
        <f>Input!A524</f>
        <v>AMORTIZATION OF EXCESS ADIT-FEDERAL</v>
      </c>
      <c r="C766" s="3"/>
      <c r="D766" s="325" t="str">
        <f>VLOOKUP(Input!C524,'Alloc Table Dem'!$A$7:$B$27,2,FALSE)</f>
        <v>19DEM</v>
      </c>
      <c r="E766" s="26">
        <f>Classification!E766-Classification!F766-Classification!G766</f>
        <v>-15854</v>
      </c>
      <c r="F766" s="26">
        <f ca="1">ROUND((VLOOKUP($D766,'Alloc Table Dem'!$B$7:$T$56,13,FALSE)*$E766),0)</f>
        <v>-6179</v>
      </c>
      <c r="G766" s="26">
        <f ca="1">ROUND((VLOOKUP($D766,'Alloc Table Dem'!$B$7:$T$56,14,FALSE)*$E766),0)</f>
        <v>-4184</v>
      </c>
      <c r="H766" s="26">
        <f ca="1">ROUND((VLOOKUP($D766,'Alloc Table Dem'!$B$7:$T$56,15,FALSE)*$E766),0)</f>
        <v>-9</v>
      </c>
      <c r="I766" s="26">
        <f ca="1">ROUND((VLOOKUP($D766,'Alloc Table Dem'!$B$7:$T$56,16,FALSE)*$E766),0)</f>
        <v>-4</v>
      </c>
      <c r="J766" s="26">
        <f ca="1">ROUND((VLOOKUP($D766,'Alloc Table Dem'!$B$7:$T$56,17,FALSE)*$E766),0)</f>
        <v>-5478</v>
      </c>
      <c r="K766" s="26">
        <f ca="1">ROUND((VLOOKUP($D766,'Alloc Table Dem'!$B$7:$T$56,18,FALSE)*$E766),0)</f>
        <v>0</v>
      </c>
      <c r="L766" s="26">
        <f ca="1">ROUND((VLOOKUP($D766,'Alloc Table Dem'!$B$7:$T$56,19,FALSE)*$E766),0)</f>
        <v>0</v>
      </c>
    </row>
    <row r="767" spans="1:12" ht="11.25" x14ac:dyDescent="0.2">
      <c r="A767" s="3">
        <f>A766+1</f>
        <v>5</v>
      </c>
      <c r="B767" s="3" t="s">
        <v>397</v>
      </c>
      <c r="C767" s="3"/>
      <c r="D767" s="325"/>
      <c r="E767" s="23">
        <f t="shared" ref="E767:L767" si="100">SUM(E766:E766)</f>
        <v>-15854</v>
      </c>
      <c r="F767" s="23">
        <f t="shared" ca="1" si="100"/>
        <v>-6179</v>
      </c>
      <c r="G767" s="23">
        <f t="shared" ca="1" si="100"/>
        <v>-4184</v>
      </c>
      <c r="H767" s="23">
        <f t="shared" ca="1" si="100"/>
        <v>-9</v>
      </c>
      <c r="I767" s="23">
        <f t="shared" ca="1" si="100"/>
        <v>-4</v>
      </c>
      <c r="J767" s="23">
        <f t="shared" ca="1" si="100"/>
        <v>-5478</v>
      </c>
      <c r="K767" s="23">
        <f t="shared" ca="1" si="100"/>
        <v>0</v>
      </c>
      <c r="L767" s="23">
        <f t="shared" ca="1" si="100"/>
        <v>0</v>
      </c>
    </row>
    <row r="768" spans="1:12" ht="11.25" x14ac:dyDescent="0.2">
      <c r="A768" s="3"/>
      <c r="B768" s="3"/>
      <c r="C768" s="3"/>
      <c r="D768" s="325"/>
      <c r="E768" s="3"/>
      <c r="F768" s="3"/>
      <c r="G768" s="3"/>
      <c r="H768" s="3"/>
      <c r="I768" s="3"/>
      <c r="J768" s="3"/>
      <c r="K768" s="3"/>
      <c r="L768" s="3"/>
    </row>
    <row r="769" spans="1:12" ht="11.25" x14ac:dyDescent="0.2">
      <c r="A769" s="3">
        <f>A767+1</f>
        <v>6</v>
      </c>
      <c r="B769" s="3" t="s">
        <v>388</v>
      </c>
      <c r="C769" s="3"/>
      <c r="D769" s="325"/>
      <c r="E769" s="26">
        <f t="shared" ref="E769:L769" si="101">-E762+E767</f>
        <v>-26251</v>
      </c>
      <c r="F769" s="26">
        <f t="shared" ca="1" si="101"/>
        <v>-10231</v>
      </c>
      <c r="G769" s="26">
        <f t="shared" ca="1" si="101"/>
        <v>-6928</v>
      </c>
      <c r="H769" s="26">
        <f t="shared" ca="1" si="101"/>
        <v>-15</v>
      </c>
      <c r="I769" s="26">
        <f t="shared" ca="1" si="101"/>
        <v>-6</v>
      </c>
      <c r="J769" s="26">
        <f t="shared" ca="1" si="101"/>
        <v>-9070</v>
      </c>
      <c r="K769" s="26">
        <f t="shared" ca="1" si="101"/>
        <v>0</v>
      </c>
      <c r="L769" s="26">
        <f t="shared" ca="1" si="101"/>
        <v>0</v>
      </c>
    </row>
    <row r="770" spans="1:12" ht="11.25" x14ac:dyDescent="0.2">
      <c r="A770" s="3"/>
      <c r="B770" s="3"/>
      <c r="C770" s="3"/>
      <c r="D770" s="325"/>
      <c r="E770" s="3"/>
      <c r="F770" s="3"/>
      <c r="G770" s="3"/>
      <c r="H770" s="3"/>
      <c r="I770" s="3"/>
      <c r="J770" s="3"/>
      <c r="K770" s="3"/>
      <c r="L770" s="3"/>
    </row>
    <row r="771" spans="1:12" ht="11.25" x14ac:dyDescent="0.2">
      <c r="A771" s="3">
        <f>A769+1</f>
        <v>7</v>
      </c>
      <c r="B771" s="3" t="s">
        <v>398</v>
      </c>
      <c r="C771" s="3"/>
      <c r="D771" s="325"/>
      <c r="E771" s="3">
        <f ca="1">Demand!E751+E769</f>
        <v>582253.10547432117</v>
      </c>
      <c r="F771" s="3">
        <f ca="1">Demand!F751+F769</f>
        <v>1746234</v>
      </c>
      <c r="G771" s="3">
        <f ca="1">Demand!G751+G769</f>
        <v>145716</v>
      </c>
      <c r="H771" s="3">
        <f ca="1">Demand!H751+H769</f>
        <v>-1302</v>
      </c>
      <c r="I771" s="3">
        <f ca="1">Demand!I751+I769</f>
        <v>42767</v>
      </c>
      <c r="J771" s="3">
        <f ca="1">Demand!J751+J769</f>
        <v>-1351161</v>
      </c>
      <c r="K771" s="3">
        <f ca="1">Demand!K751+K769</f>
        <v>0</v>
      </c>
      <c r="L771" s="3">
        <f ca="1">Demand!L751+L769</f>
        <v>0</v>
      </c>
    </row>
    <row r="772" spans="1:12" ht="11.25" x14ac:dyDescent="0.2">
      <c r="A772" s="3" t="s">
        <v>819</v>
      </c>
      <c r="B772" s="3"/>
      <c r="C772" s="14"/>
      <c r="D772" s="325"/>
      <c r="E772" s="15"/>
      <c r="F772" s="325" t="str">
        <f>""&amp;+Input!$B$1</f>
        <v>COLUMBIA GAS OF KENTUCKY, INC.</v>
      </c>
      <c r="H772" s="3"/>
      <c r="I772" s="3"/>
      <c r="J772" s="3"/>
      <c r="K772" s="3"/>
      <c r="L772" s="32" t="str">
        <f>Input!$B$2</f>
        <v>ATTACHMENT CEN-2</v>
      </c>
    </row>
    <row r="773" spans="1:12" ht="11.25" x14ac:dyDescent="0.2">
      <c r="A773" s="3" t="str">
        <f>Input!$B$7</f>
        <v>DEMAND-COMMODITY</v>
      </c>
      <c r="B773" s="3"/>
      <c r="C773" s="3"/>
      <c r="D773" s="325"/>
      <c r="E773" s="3"/>
      <c r="F773" s="325" t="s">
        <v>573</v>
      </c>
      <c r="H773" s="3"/>
      <c r="I773" s="3"/>
      <c r="J773" s="3"/>
      <c r="K773" s="3"/>
      <c r="L773" s="32" t="str">
        <f>"PAGE 128 OF "&amp;FIXED(Input!$B$8,0,TRUE)</f>
        <v>PAGE 128 OF 129</v>
      </c>
    </row>
    <row r="774" spans="1:12" ht="11.25" x14ac:dyDescent="0.2">
      <c r="A774" s="17" t="str">
        <f>Input!$B$6</f>
        <v>FORECASTED TEST YEAR - ORIGINAL FILING</v>
      </c>
      <c r="B774" s="17"/>
      <c r="C774" s="17"/>
      <c r="D774" s="34"/>
      <c r="E774" s="17"/>
      <c r="F774" s="19" t="str">
        <f>"FOR THE TWELVE MONTHS ENDED "&amp;Input!$B$4</f>
        <v>FOR THE TWELVE MONTHS ENDED 12/31/2017</v>
      </c>
      <c r="G774" s="329"/>
      <c r="H774" s="17"/>
      <c r="I774" s="17"/>
      <c r="J774" s="17"/>
      <c r="K774" s="17"/>
      <c r="L774" s="183" t="str">
        <f>"WITNESS: "&amp;Input!$B$5</f>
        <v>WITNESS: C. NOTESTONE</v>
      </c>
    </row>
    <row r="775" spans="1:12" ht="11.25" x14ac:dyDescent="0.2">
      <c r="A775" s="325" t="s">
        <v>5</v>
      </c>
      <c r="B775" s="3" t="s">
        <v>6</v>
      </c>
      <c r="C775" s="3"/>
      <c r="D775" s="325" t="s">
        <v>7</v>
      </c>
      <c r="E775" s="325" t="s">
        <v>8</v>
      </c>
      <c r="F775" s="3"/>
      <c r="G775" s="3"/>
      <c r="H775" s="3"/>
      <c r="I775" s="3"/>
      <c r="J775" s="3"/>
      <c r="K775" s="3"/>
      <c r="L775" s="3"/>
    </row>
    <row r="776" spans="1:12" ht="11.25" x14ac:dyDescent="0.2">
      <c r="A776" s="341" t="s">
        <v>9</v>
      </c>
      <c r="B776" s="341" t="s">
        <v>9</v>
      </c>
      <c r="C776" s="341" t="str">
        <f>"                        ACCOUNT TITLE                "</f>
        <v xml:space="preserve">                        ACCOUNT TITLE                </v>
      </c>
      <c r="D776" s="341" t="s">
        <v>10</v>
      </c>
      <c r="E776" s="341" t="s">
        <v>813</v>
      </c>
      <c r="F776" s="341" t="str">
        <f>"  "&amp;+Input!$C$12</f>
        <v xml:space="preserve">  GS-RESIDENTIAL</v>
      </c>
      <c r="G776" s="341" t="str">
        <f>Input!$C$13</f>
        <v>GS-OTHER</v>
      </c>
      <c r="H776" s="341" t="str">
        <f>Input!$C$14</f>
        <v>IUS</v>
      </c>
      <c r="I776" s="341" t="str">
        <f>Input!$C$15</f>
        <v>DS-ML</v>
      </c>
      <c r="J776" s="341" t="str">
        <f>Input!$C$16</f>
        <v>DS/IS</v>
      </c>
      <c r="K776" s="341" t="str">
        <f>Input!$C$17</f>
        <v>NOT USED</v>
      </c>
      <c r="L776" s="341" t="str">
        <f>Input!$C$18</f>
        <v>NOT USED</v>
      </c>
    </row>
    <row r="777" spans="1:12" ht="11.25" x14ac:dyDescent="0.2">
      <c r="A777" s="3"/>
      <c r="B777" s="342" t="s">
        <v>13</v>
      </c>
      <c r="C777" s="342" t="s">
        <v>14</v>
      </c>
      <c r="D777" s="325" t="s">
        <v>15</v>
      </c>
      <c r="E777" s="325" t="s">
        <v>16</v>
      </c>
      <c r="F777" s="325" t="s">
        <v>17</v>
      </c>
      <c r="G777" s="325" t="s">
        <v>18</v>
      </c>
      <c r="H777" s="325" t="s">
        <v>19</v>
      </c>
      <c r="I777" s="325" t="s">
        <v>20</v>
      </c>
      <c r="J777" s="325" t="s">
        <v>21</v>
      </c>
      <c r="K777" s="325" t="s">
        <v>22</v>
      </c>
      <c r="L777" s="325" t="s">
        <v>23</v>
      </c>
    </row>
    <row r="778" spans="1:12" ht="11.25" x14ac:dyDescent="0.2">
      <c r="A778" s="3"/>
      <c r="B778" s="3"/>
      <c r="C778" s="3"/>
      <c r="D778" s="325"/>
      <c r="E778" s="325" t="s">
        <v>26</v>
      </c>
      <c r="F778" s="325" t="s">
        <v>26</v>
      </c>
      <c r="G778" s="325" t="s">
        <v>26</v>
      </c>
      <c r="H778" s="325" t="s">
        <v>26</v>
      </c>
      <c r="I778" s="325" t="s">
        <v>26</v>
      </c>
      <c r="J778" s="325" t="s">
        <v>26</v>
      </c>
      <c r="K778" s="325" t="s">
        <v>26</v>
      </c>
      <c r="L778" s="325" t="s">
        <v>26</v>
      </c>
    </row>
    <row r="779" spans="1:12" ht="11.25" x14ac:dyDescent="0.2">
      <c r="A779" s="3">
        <v>1</v>
      </c>
      <c r="B779" s="3" t="s">
        <v>807</v>
      </c>
      <c r="C779" s="3"/>
      <c r="D779" s="325"/>
      <c r="E779" s="23">
        <f>Demand!E205</f>
        <v>127322840.00000001</v>
      </c>
      <c r="F779" s="23">
        <f ca="1">Demand!F205</f>
        <v>49623411</v>
      </c>
      <c r="G779" s="23">
        <f ca="1">Demand!G205</f>
        <v>33603809</v>
      </c>
      <c r="H779" s="23">
        <f ca="1">Demand!H205</f>
        <v>72557</v>
      </c>
      <c r="I779" s="23">
        <f ca="1">Demand!I205</f>
        <v>30967.550000000003</v>
      </c>
      <c r="J779" s="23">
        <f ca="1">Demand!J205</f>
        <v>43992095</v>
      </c>
      <c r="K779" s="23">
        <f ca="1">Demand!K205</f>
        <v>0</v>
      </c>
      <c r="L779" s="23">
        <f ca="1">Demand!L205</f>
        <v>0</v>
      </c>
    </row>
    <row r="780" spans="1:12" ht="11.25" x14ac:dyDescent="0.2">
      <c r="A780" s="3"/>
      <c r="B780" s="3" t="s">
        <v>399</v>
      </c>
      <c r="C780" s="3"/>
      <c r="D780" s="325"/>
      <c r="E780" s="3"/>
      <c r="F780" s="3"/>
      <c r="G780" s="3"/>
      <c r="H780" s="3"/>
      <c r="I780" s="3"/>
      <c r="J780" s="3"/>
      <c r="K780" s="3"/>
      <c r="L780" s="3"/>
    </row>
    <row r="781" spans="1:12" ht="11.25" x14ac:dyDescent="0.2">
      <c r="A781" s="3">
        <f>A779+1</f>
        <v>2</v>
      </c>
      <c r="B781" s="3" t="s">
        <v>400</v>
      </c>
      <c r="C781" s="3" t="s">
        <v>401</v>
      </c>
      <c r="D781" s="325"/>
      <c r="E781" s="26">
        <f>Demand!E291</f>
        <v>35488996</v>
      </c>
      <c r="F781" s="26">
        <f ca="1">Demand!F291</f>
        <v>13832422</v>
      </c>
      <c r="G781" s="26">
        <f ca="1">Demand!G291</f>
        <v>9367000</v>
      </c>
      <c r="H781" s="26">
        <f ca="1">Demand!H291</f>
        <v>20224</v>
      </c>
      <c r="I781" s="26">
        <f ca="1">Demand!I291</f>
        <v>6633.1000000000058</v>
      </c>
      <c r="J781" s="26">
        <f ca="1">Demand!J291</f>
        <v>12262713</v>
      </c>
      <c r="K781" s="26">
        <f ca="1">Demand!K291</f>
        <v>0</v>
      </c>
      <c r="L781" s="26">
        <f ca="1">Demand!L291</f>
        <v>0</v>
      </c>
    </row>
    <row r="782" spans="1:12" ht="11.25" x14ac:dyDescent="0.2">
      <c r="A782" s="3">
        <f>A781+1</f>
        <v>3</v>
      </c>
      <c r="B782" s="3"/>
      <c r="C782" s="3" t="s">
        <v>402</v>
      </c>
      <c r="D782" s="325"/>
      <c r="E782" s="23">
        <f t="shared" ref="E782:L782" si="102">E779-E781</f>
        <v>91833844.000000015</v>
      </c>
      <c r="F782" s="23">
        <f t="shared" ca="1" si="102"/>
        <v>35790989</v>
      </c>
      <c r="G782" s="23">
        <f t="shared" ca="1" si="102"/>
        <v>24236809</v>
      </c>
      <c r="H782" s="23">
        <f t="shared" ca="1" si="102"/>
        <v>52333</v>
      </c>
      <c r="I782" s="23">
        <f t="shared" ca="1" si="102"/>
        <v>24334.449999999997</v>
      </c>
      <c r="J782" s="23">
        <f t="shared" ca="1" si="102"/>
        <v>31729382</v>
      </c>
      <c r="K782" s="23">
        <f t="shared" ca="1" si="102"/>
        <v>0</v>
      </c>
      <c r="L782" s="23">
        <f t="shared" ca="1" si="102"/>
        <v>0</v>
      </c>
    </row>
    <row r="783" spans="1:12" ht="11.25" x14ac:dyDescent="0.2">
      <c r="A783" s="3"/>
      <c r="B783" s="3"/>
      <c r="C783" s="3"/>
      <c r="D783" s="325"/>
      <c r="E783" s="3"/>
      <c r="F783" s="3"/>
      <c r="G783" s="3"/>
      <c r="H783" s="3"/>
      <c r="I783" s="3"/>
      <c r="J783" s="3"/>
      <c r="K783" s="3"/>
      <c r="L783" s="3"/>
    </row>
    <row r="784" spans="1:12" ht="11.25" x14ac:dyDescent="0.2">
      <c r="A784" s="3">
        <f>A782+1</f>
        <v>4</v>
      </c>
      <c r="B784" s="24">
        <f>Input!A69</f>
        <v>190</v>
      </c>
      <c r="C784" s="3" t="str">
        <f>Input!B69</f>
        <v>ACCUMULATED DEF INCOME TAX</v>
      </c>
      <c r="D784" s="325" t="str">
        <f>VLOOKUP(Input!C69,'Alloc Table Dem'!$A$7:$B$27,2,FALSE)</f>
        <v>19DEM</v>
      </c>
      <c r="E784" s="3">
        <f>Classification!E784-Classification!F784-Classification!G784</f>
        <v>1566050.865384616</v>
      </c>
      <c r="F784" s="3">
        <f ca="1">ROUND((VLOOKUP($D784,'Alloc Table Dem'!$B$7:$T$56,13,FALSE)*$E784),0)</f>
        <v>610353</v>
      </c>
      <c r="G784" s="3">
        <f ca="1">ROUND((VLOOKUP($D784,'Alloc Table Dem'!$B$7:$T$56,14,FALSE)*$E784),0)</f>
        <v>413328</v>
      </c>
      <c r="H784" s="3">
        <f ca="1">ROUND((VLOOKUP($D784,'Alloc Table Dem'!$B$7:$T$56,15,FALSE)*$E784),0)</f>
        <v>893</v>
      </c>
      <c r="I784" s="3">
        <f ca="1">ROUND((VLOOKUP($D784,'Alloc Table Dem'!$B$7:$T$56,16,FALSE)*$E784),0)</f>
        <v>376</v>
      </c>
      <c r="J784" s="3">
        <f ca="1">ROUND((VLOOKUP($D784,'Alloc Table Dem'!$B$7:$T$56,17,FALSE)*$E784),0)</f>
        <v>541102</v>
      </c>
      <c r="K784" s="3">
        <f ca="1">ROUND((VLOOKUP($D784,'Alloc Table Dem'!$B$7:$T$56,18,FALSE)*$E784),0)</f>
        <v>0</v>
      </c>
      <c r="L784" s="3">
        <f ca="1">ROUND((VLOOKUP($D784,'Alloc Table Dem'!$B$7:$T$56,19,FALSE)*$E784),0)</f>
        <v>0</v>
      </c>
    </row>
    <row r="785" spans="1:12" ht="11.25" x14ac:dyDescent="0.2">
      <c r="A785" s="3"/>
      <c r="B785" s="3" t="s">
        <v>399</v>
      </c>
      <c r="C785" s="3"/>
      <c r="D785" s="325"/>
      <c r="E785" s="3"/>
      <c r="F785" s="3"/>
      <c r="G785" s="3"/>
      <c r="H785" s="3"/>
      <c r="I785" s="3"/>
      <c r="J785" s="3"/>
      <c r="K785" s="3"/>
      <c r="L785" s="3"/>
    </row>
    <row r="786" spans="1:12" ht="11.25" x14ac:dyDescent="0.2">
      <c r="A786" s="3">
        <f>A784+1</f>
        <v>5</v>
      </c>
      <c r="B786" s="24">
        <f>Input!A70</f>
        <v>252</v>
      </c>
      <c r="C786" s="3" t="str">
        <f>Input!B70</f>
        <v>CUSTOMER ADVANCES</v>
      </c>
      <c r="D786" s="325">
        <f>Input!C70</f>
        <v>5</v>
      </c>
      <c r="E786" s="3">
        <f>Classification!E786-Classification!F786-Classification!G786</f>
        <v>0</v>
      </c>
      <c r="F786" s="3">
        <f>ROUND((VLOOKUP($D786,'Alloc Table Dem'!$B$7:$T$56,13,FALSE)*$E786),0)</f>
        <v>0</v>
      </c>
      <c r="G786" s="3">
        <f>ROUND((VLOOKUP($D786,'Alloc Table Dem'!$B$7:$T$56,14,FALSE)*$E786),0)</f>
        <v>0</v>
      </c>
      <c r="H786" s="3">
        <f>ROUND((VLOOKUP($D786,'Alloc Table Dem'!$B$7:$T$56,15,FALSE)*$E786),0)</f>
        <v>0</v>
      </c>
      <c r="I786" s="3">
        <f>ROUND((VLOOKUP($D786,'Alloc Table Dem'!$B$7:$T$56,16,FALSE)*$E786),0)</f>
        <v>0</v>
      </c>
      <c r="J786" s="3">
        <f>ROUND((VLOOKUP($D786,'Alloc Table Dem'!$B$7:$T$56,17,FALSE)*$E786),0)</f>
        <v>0</v>
      </c>
      <c r="K786" s="3">
        <f>ROUND((VLOOKUP($D786,'Alloc Table Dem'!$B$7:$T$56,18,FALSE)*$E786),0)</f>
        <v>0</v>
      </c>
      <c r="L786" s="3">
        <f>ROUND((VLOOKUP($D786,'Alloc Table Dem'!$B$7:$T$56,19,FALSE)*$E786),0)</f>
        <v>0</v>
      </c>
    </row>
    <row r="787" spans="1:12" ht="11.25" x14ac:dyDescent="0.2">
      <c r="A787" s="3">
        <f>A786+1</f>
        <v>6</v>
      </c>
      <c r="B787" s="24">
        <f>Input!A71</f>
        <v>255</v>
      </c>
      <c r="C787" s="3" t="str">
        <f>Input!B71</f>
        <v>(1962 - 69) INVESTMENT TAX CREDIT</v>
      </c>
      <c r="D787" s="325" t="str">
        <f>VLOOKUP(Input!C71,'Alloc Table Dem'!$A$7:$B$27,2,FALSE)</f>
        <v>19DEM</v>
      </c>
      <c r="E787" s="3">
        <f>Classification!E787-Classification!F787-Classification!G787</f>
        <v>0</v>
      </c>
      <c r="F787" s="3">
        <f ca="1">ROUND((VLOOKUP($D787,'Alloc Table Dem'!$B$7:$T$56,13,FALSE)*$E787),0)</f>
        <v>0</v>
      </c>
      <c r="G787" s="3">
        <f ca="1">ROUND((VLOOKUP($D787,'Alloc Table Dem'!$B$7:$T$56,14,FALSE)*$E787),0)</f>
        <v>0</v>
      </c>
      <c r="H787" s="3">
        <f ca="1">ROUND((VLOOKUP($D787,'Alloc Table Dem'!$B$7:$T$56,15,FALSE)*$E787),0)</f>
        <v>0</v>
      </c>
      <c r="I787" s="3">
        <f ca="1">ROUND((VLOOKUP($D787,'Alloc Table Dem'!$B$7:$T$56,16,FALSE)*$E787),0)</f>
        <v>0</v>
      </c>
      <c r="J787" s="3">
        <f ca="1">ROUND((VLOOKUP($D787,'Alloc Table Dem'!$B$7:$T$56,17,FALSE)*$E787),0)</f>
        <v>0</v>
      </c>
      <c r="K787" s="3">
        <f ca="1">ROUND((VLOOKUP($D787,'Alloc Table Dem'!$B$7:$T$56,18,FALSE)*$E787),0)</f>
        <v>0</v>
      </c>
      <c r="L787" s="3">
        <f ca="1">ROUND((VLOOKUP($D787,'Alloc Table Dem'!$B$7:$T$56,19,FALSE)*$E787),0)</f>
        <v>0</v>
      </c>
    </row>
    <row r="788" spans="1:12" ht="11.25" x14ac:dyDescent="0.2">
      <c r="A788" s="3">
        <f>A787+1</f>
        <v>7</v>
      </c>
      <c r="B788" s="24">
        <f>Input!A72</f>
        <v>282</v>
      </c>
      <c r="C788" s="3" t="str">
        <f>Input!B72</f>
        <v>ACCUMULATED DEF INCOME TAX</v>
      </c>
      <c r="D788" s="325" t="str">
        <f>VLOOKUP(Input!C72,'Alloc Table Dem'!$A$7:$B$27,2,FALSE)</f>
        <v>19DEM</v>
      </c>
      <c r="E788" s="3">
        <f>Classification!E788-Classification!F788-Classification!G788</f>
        <v>25054513</v>
      </c>
      <c r="F788" s="3">
        <f ca="1">ROUND((VLOOKUP($D788,'Alloc Table Dem'!$B$7:$T$56,13,FALSE)*$E788),0)</f>
        <v>9764746</v>
      </c>
      <c r="G788" s="3">
        <f ca="1">ROUND((VLOOKUP($D788,'Alloc Table Dem'!$B$7:$T$56,14,FALSE)*$E788),0)</f>
        <v>6612638</v>
      </c>
      <c r="H788" s="3">
        <f ca="1">ROUND((VLOOKUP($D788,'Alloc Table Dem'!$B$7:$T$56,15,FALSE)*$E788),0)</f>
        <v>14281</v>
      </c>
      <c r="I788" s="3">
        <f ca="1">ROUND((VLOOKUP($D788,'Alloc Table Dem'!$B$7:$T$56,16,FALSE)*$E788),0)</f>
        <v>6013</v>
      </c>
      <c r="J788" s="3">
        <f ca="1">ROUND((VLOOKUP($D788,'Alloc Table Dem'!$B$7:$T$56,17,FALSE)*$E788),0)</f>
        <v>8656835</v>
      </c>
      <c r="K788" s="3">
        <f ca="1">ROUND((VLOOKUP($D788,'Alloc Table Dem'!$B$7:$T$56,18,FALSE)*$E788),0)</f>
        <v>0</v>
      </c>
      <c r="L788" s="3">
        <f ca="1">ROUND((VLOOKUP($D788,'Alloc Table Dem'!$B$7:$T$56,19,FALSE)*$E788),0)</f>
        <v>0</v>
      </c>
    </row>
    <row r="789" spans="1:12" ht="11.25" x14ac:dyDescent="0.2">
      <c r="A789" s="3">
        <f>A788+1</f>
        <v>8</v>
      </c>
      <c r="B789" s="24">
        <f>Input!A73</f>
        <v>283</v>
      </c>
      <c r="C789" s="3" t="str">
        <f>Input!B73</f>
        <v>ACCUMULATED DEF INCOME TAX</v>
      </c>
      <c r="D789" s="325" t="str">
        <f>VLOOKUP(Input!C73,'Alloc Table Dem'!$A$7:$B$27,2,FALSE)</f>
        <v>19DEM</v>
      </c>
      <c r="E789" s="26">
        <f>Classification!E789-Classification!F789-Classification!G789</f>
        <v>0</v>
      </c>
      <c r="F789" s="26">
        <f ca="1">ROUND((VLOOKUP($D789,'Alloc Table Dem'!$B$7:$T$56,13,FALSE)*$E789),0)</f>
        <v>0</v>
      </c>
      <c r="G789" s="26">
        <f ca="1">ROUND((VLOOKUP($D789,'Alloc Table Dem'!$B$7:$T$56,14,FALSE)*$E789),0)</f>
        <v>0</v>
      </c>
      <c r="H789" s="26">
        <f ca="1">ROUND((VLOOKUP($D789,'Alloc Table Dem'!$B$7:$T$56,15,FALSE)*$E789),0)</f>
        <v>0</v>
      </c>
      <c r="I789" s="26">
        <f ca="1">ROUND((VLOOKUP($D789,'Alloc Table Dem'!$B$7:$T$56,16,FALSE)*$E789),0)</f>
        <v>0</v>
      </c>
      <c r="J789" s="26">
        <f ca="1">ROUND((VLOOKUP($D789,'Alloc Table Dem'!$B$7:$T$56,17,FALSE)*$E789),0)</f>
        <v>0</v>
      </c>
      <c r="K789" s="26">
        <f ca="1">ROUND((VLOOKUP($D789,'Alloc Table Dem'!$B$7:$T$56,18,FALSE)*$E789),0)</f>
        <v>0</v>
      </c>
      <c r="L789" s="26">
        <f ca="1">ROUND((VLOOKUP($D789,'Alloc Table Dem'!$B$7:$T$56,19,FALSE)*$E789),0)</f>
        <v>0</v>
      </c>
    </row>
    <row r="790" spans="1:12" ht="11.25" x14ac:dyDescent="0.2">
      <c r="A790" s="3">
        <f>A789+1</f>
        <v>9</v>
      </c>
      <c r="B790" s="3"/>
      <c r="C790" s="3" t="s">
        <v>403</v>
      </c>
      <c r="D790" s="325"/>
      <c r="E790" s="23">
        <f t="shared" ref="E790:L790" si="103">E782-SUM(E786:E789)+E784</f>
        <v>68345381.865384638</v>
      </c>
      <c r="F790" s="23">
        <f t="shared" ca="1" si="103"/>
        <v>26636596</v>
      </c>
      <c r="G790" s="23">
        <f t="shared" ca="1" si="103"/>
        <v>18037499</v>
      </c>
      <c r="H790" s="23">
        <f t="shared" ca="1" si="103"/>
        <v>38945</v>
      </c>
      <c r="I790" s="23">
        <f t="shared" ca="1" si="103"/>
        <v>18697.449999999997</v>
      </c>
      <c r="J790" s="23">
        <f t="shared" ca="1" si="103"/>
        <v>23613649</v>
      </c>
      <c r="K790" s="23">
        <f t="shared" ca="1" si="103"/>
        <v>0</v>
      </c>
      <c r="L790" s="23">
        <f t="shared" ca="1" si="103"/>
        <v>0</v>
      </c>
    </row>
    <row r="791" spans="1:12" ht="11.25" x14ac:dyDescent="0.2">
      <c r="A791" s="3"/>
      <c r="B791" s="3"/>
      <c r="C791" s="3"/>
      <c r="D791" s="325"/>
      <c r="E791" s="3"/>
      <c r="F791" s="3"/>
      <c r="G791" s="3"/>
      <c r="H791" s="3"/>
      <c r="I791" s="3"/>
      <c r="J791" s="3"/>
      <c r="K791" s="3"/>
      <c r="L791" s="3"/>
    </row>
    <row r="792" spans="1:12" ht="11.25" x14ac:dyDescent="0.2">
      <c r="A792" s="3">
        <f>A790+1</f>
        <v>10</v>
      </c>
      <c r="B792" s="3" t="s">
        <v>404</v>
      </c>
      <c r="C792" s="3"/>
      <c r="D792" s="325"/>
      <c r="E792" s="3"/>
      <c r="F792" s="3"/>
      <c r="G792" s="3"/>
      <c r="H792" s="3"/>
      <c r="I792" s="3"/>
      <c r="J792" s="3"/>
      <c r="K792" s="3"/>
      <c r="L792" s="3"/>
    </row>
    <row r="793" spans="1:12" ht="11.25" x14ac:dyDescent="0.2">
      <c r="A793" s="3"/>
      <c r="B793" s="3"/>
      <c r="C793" s="3"/>
      <c r="D793" s="325"/>
      <c r="E793" s="3"/>
      <c r="F793" s="3"/>
      <c r="G793" s="3"/>
      <c r="H793" s="3"/>
      <c r="I793" s="3"/>
      <c r="J793" s="3"/>
      <c r="K793" s="3"/>
      <c r="L793" s="3"/>
    </row>
    <row r="794" spans="1:12" ht="11.25" x14ac:dyDescent="0.2">
      <c r="A794" s="3">
        <f>A792+1</f>
        <v>11</v>
      </c>
      <c r="B794" s="3" t="s">
        <v>405</v>
      </c>
      <c r="C794" s="3"/>
      <c r="D794" s="325"/>
      <c r="E794" s="3"/>
      <c r="F794" s="3"/>
      <c r="G794" s="3"/>
      <c r="H794" s="3"/>
      <c r="I794" s="3"/>
      <c r="J794" s="3"/>
      <c r="K794" s="3"/>
      <c r="L794" s="3"/>
    </row>
    <row r="795" spans="1:12" ht="11.25" x14ac:dyDescent="0.2">
      <c r="A795" s="3">
        <f t="shared" ref="A795:A800" si="104">A794+1</f>
        <v>12</v>
      </c>
      <c r="B795" s="3" t="s">
        <v>406</v>
      </c>
      <c r="C795" s="3"/>
      <c r="D795" s="325"/>
      <c r="E795" s="3">
        <f t="shared" ref="E795:L795" ca="1" si="105">ROUND(E806/8,0)</f>
        <v>1134309</v>
      </c>
      <c r="F795" s="3">
        <f t="shared" ca="1" si="105"/>
        <v>442287</v>
      </c>
      <c r="G795" s="3">
        <f t="shared" ca="1" si="105"/>
        <v>299486</v>
      </c>
      <c r="H795" s="3">
        <f t="shared" ca="1" si="105"/>
        <v>647</v>
      </c>
      <c r="I795" s="3">
        <f t="shared" ca="1" si="105"/>
        <v>56</v>
      </c>
      <c r="J795" s="3">
        <f t="shared" ca="1" si="105"/>
        <v>391833</v>
      </c>
      <c r="K795" s="3">
        <f t="shared" ca="1" si="105"/>
        <v>0</v>
      </c>
      <c r="L795" s="3">
        <f t="shared" ca="1" si="105"/>
        <v>0</v>
      </c>
    </row>
    <row r="796" spans="1:12" ht="11.25" x14ac:dyDescent="0.2">
      <c r="A796" s="3">
        <f t="shared" si="104"/>
        <v>13</v>
      </c>
      <c r="B796" s="24">
        <f>Input!A68</f>
        <v>151</v>
      </c>
      <c r="C796" s="3" t="str">
        <f>Input!B68</f>
        <v>FUEL STOCK</v>
      </c>
      <c r="D796" s="325">
        <f>Input!C68</f>
        <v>2</v>
      </c>
      <c r="E796" s="3">
        <f>Classification!E796-Classification!F796-Classification!G796</f>
        <v>0</v>
      </c>
      <c r="F796" s="3">
        <f>ROUND((VLOOKUP($D796,'Alloc Table Dem'!$B$7:$T$56,13,FALSE)*$E796),0)</f>
        <v>0</v>
      </c>
      <c r="G796" s="3">
        <f>ROUND((VLOOKUP($D796,'Alloc Table Dem'!$B$7:$T$56,14,FALSE)*$E796),0)</f>
        <v>0</v>
      </c>
      <c r="H796" s="3">
        <f>ROUND((VLOOKUP($D796,'Alloc Table Dem'!$B$7:$T$56,15,FALSE)*$E796),0)</f>
        <v>0</v>
      </c>
      <c r="I796" s="3">
        <f>ROUND((VLOOKUP($D796,'Alloc Table Dem'!$B$7:$T$56,16,FALSE)*$E796),0)</f>
        <v>0</v>
      </c>
      <c r="J796" s="3">
        <f>ROUND((VLOOKUP($D796,'Alloc Table Dem'!$B$7:$T$56,17,FALSE)*$E796),0)</f>
        <v>0</v>
      </c>
      <c r="K796" s="3">
        <f>ROUND((VLOOKUP($D796,'Alloc Table Dem'!$B$7:$T$56,18,FALSE)*$E796),0)</f>
        <v>0</v>
      </c>
      <c r="L796" s="3">
        <f>ROUND((VLOOKUP($D796,'Alloc Table Dem'!$B$7:$T$56,19,FALSE)*$E796),0)</f>
        <v>0</v>
      </c>
    </row>
    <row r="797" spans="1:12" ht="11.25" x14ac:dyDescent="0.2">
      <c r="A797" s="3">
        <f t="shared" si="104"/>
        <v>14</v>
      </c>
      <c r="B797" s="24">
        <f>Input!A74</f>
        <v>154</v>
      </c>
      <c r="C797" s="3" t="str">
        <f>Input!B74</f>
        <v>MATERIALS &amp; SUPPLIES</v>
      </c>
      <c r="D797" s="325" t="str">
        <f>VLOOKUP(Input!C74,'Alloc Table Dem'!$A$7:$B$27,2,FALSE)</f>
        <v>7DEM</v>
      </c>
      <c r="E797" s="3">
        <f>Classification!E797-Classification!F797-Classification!G797</f>
        <v>23846</v>
      </c>
      <c r="F797" s="3">
        <f ca="1">ROUND((VLOOKUP($D797,'Alloc Table Dem'!$B$7:$T$56,13,FALSE)*$E797),0)</f>
        <v>9294</v>
      </c>
      <c r="G797" s="3">
        <f ca="1">ROUND((VLOOKUP($D797,'Alloc Table Dem'!$B$7:$T$56,14,FALSE)*$E797),0)</f>
        <v>6294</v>
      </c>
      <c r="H797" s="3">
        <f ca="1">ROUND((VLOOKUP($D797,'Alloc Table Dem'!$B$7:$T$56,15,FALSE)*$E797),0)</f>
        <v>14</v>
      </c>
      <c r="I797" s="3">
        <f ca="1">ROUND((VLOOKUP($D797,'Alloc Table Dem'!$B$7:$T$56,16,FALSE)*$E797),0)</f>
        <v>6</v>
      </c>
      <c r="J797" s="3">
        <f ca="1">ROUND((VLOOKUP($D797,'Alloc Table Dem'!$B$7:$T$56,17,FALSE)*$E797),0)</f>
        <v>8239</v>
      </c>
      <c r="K797" s="3">
        <f ca="1">ROUND((VLOOKUP($D797,'Alloc Table Dem'!$B$7:$T$56,18,FALSE)*$E797),0)</f>
        <v>0</v>
      </c>
      <c r="L797" s="3">
        <f ca="1">ROUND((VLOOKUP($D797,'Alloc Table Dem'!$B$7:$T$56,19,FALSE)*$E797),0)</f>
        <v>0</v>
      </c>
    </row>
    <row r="798" spans="1:12" ht="11.25" x14ac:dyDescent="0.2">
      <c r="A798" s="3">
        <f t="shared" si="104"/>
        <v>15</v>
      </c>
      <c r="B798" s="24">
        <f>Input!A75</f>
        <v>165</v>
      </c>
      <c r="C798" s="3" t="str">
        <f>Input!B75</f>
        <v>PREPAYMENTS</v>
      </c>
      <c r="D798" s="325" t="str">
        <f>VLOOKUP(Input!C75,'Alloc Table Dem'!$A$7:$B$27,2,FALSE)</f>
        <v>13DEM</v>
      </c>
      <c r="E798" s="3">
        <f>Classification!E798-Classification!F798-Classification!G798</f>
        <v>106714</v>
      </c>
      <c r="F798" s="3">
        <f ca="1">ROUND((VLOOKUP($D798,'Alloc Table Dem'!$B$7:$T$56,13,FALSE)*$E798),0)</f>
        <v>41614</v>
      </c>
      <c r="G798" s="3">
        <f ca="1">ROUND((VLOOKUP($D798,'Alloc Table Dem'!$B$7:$T$56,14,FALSE)*$E798),0)</f>
        <v>28177</v>
      </c>
      <c r="H798" s="3">
        <f ca="1">ROUND((VLOOKUP($D798,'Alloc Table Dem'!$B$7:$T$56,15,FALSE)*$E798),0)</f>
        <v>61</v>
      </c>
      <c r="I798" s="3">
        <f ca="1">ROUND((VLOOKUP($D798,'Alloc Table Dem'!$B$7:$T$56,16,FALSE)*$E798),0)</f>
        <v>5</v>
      </c>
      <c r="J798" s="3">
        <f ca="1">ROUND((VLOOKUP($D798,'Alloc Table Dem'!$B$7:$T$56,17,FALSE)*$E798),0)</f>
        <v>36857</v>
      </c>
      <c r="K798" s="3">
        <f ca="1">ROUND((VLOOKUP($D798,'Alloc Table Dem'!$B$7:$T$56,18,FALSE)*$E798),0)</f>
        <v>0</v>
      </c>
      <c r="L798" s="3">
        <f ca="1">ROUND((VLOOKUP($D798,'Alloc Table Dem'!$B$7:$T$56,19,FALSE)*$E798),0)</f>
        <v>0</v>
      </c>
    </row>
    <row r="799" spans="1:12" ht="11.25" x14ac:dyDescent="0.2">
      <c r="A799" s="3">
        <f t="shared" si="104"/>
        <v>16</v>
      </c>
      <c r="B799" s="24">
        <f>Input!A76</f>
        <v>164</v>
      </c>
      <c r="C799" s="3" t="str">
        <f>Input!B76</f>
        <v>GAS STORED UNDERGROUND - FSS</v>
      </c>
      <c r="D799" s="325">
        <f>Input!C76</f>
        <v>2</v>
      </c>
      <c r="E799" s="26">
        <f>Classification!E799-Classification!F799-Classification!G799</f>
        <v>41772551</v>
      </c>
      <c r="F799" s="26">
        <f>ROUND((VLOOKUP($D799,'Alloc Table Dem'!$B$7:$T$56,13,FALSE)*$E799),0)</f>
        <v>25456610</v>
      </c>
      <c r="G799" s="26">
        <f>ROUND((VLOOKUP($D799,'Alloc Table Dem'!$B$7:$T$56,14,FALSE)*$E799),0)</f>
        <v>15555680</v>
      </c>
      <c r="H799" s="26">
        <f>ROUND((VLOOKUP($D799,'Alloc Table Dem'!$B$7:$T$56,15,FALSE)*$E799),0)</f>
        <v>37178</v>
      </c>
      <c r="I799" s="26">
        <f>ROUND((VLOOKUP($D799,'Alloc Table Dem'!$B$7:$T$56,16,FALSE)*$E799),0)</f>
        <v>0</v>
      </c>
      <c r="J799" s="26">
        <f>ROUND((VLOOKUP($D799,'Alloc Table Dem'!$B$7:$T$56,17,FALSE)*$E799),0)</f>
        <v>723083</v>
      </c>
      <c r="K799" s="26">
        <f>ROUND((VLOOKUP($D799,'Alloc Table Dem'!$B$7:$T$56,18,FALSE)*$E799),0)</f>
        <v>0</v>
      </c>
      <c r="L799" s="26">
        <f>ROUND((VLOOKUP($D799,'Alloc Table Dem'!$B$7:$T$56,19,FALSE)*$E799),0)</f>
        <v>0</v>
      </c>
    </row>
    <row r="800" spans="1:12" ht="11.25" x14ac:dyDescent="0.2">
      <c r="A800" s="3">
        <f t="shared" si="104"/>
        <v>17</v>
      </c>
      <c r="B800" s="3"/>
      <c r="C800" s="3" t="s">
        <v>407</v>
      </c>
      <c r="D800" s="325"/>
      <c r="E800" s="23">
        <f t="shared" ref="E800:L800" ca="1" si="106">E790+SUM(E795:E799)</f>
        <v>111382801.86538464</v>
      </c>
      <c r="F800" s="23">
        <f t="shared" ca="1" si="106"/>
        <v>52586401</v>
      </c>
      <c r="G800" s="23">
        <f t="shared" ca="1" si="106"/>
        <v>33927136</v>
      </c>
      <c r="H800" s="23">
        <f t="shared" ca="1" si="106"/>
        <v>76845</v>
      </c>
      <c r="I800" s="23">
        <f t="shared" ca="1" si="106"/>
        <v>18764.449999999997</v>
      </c>
      <c r="J800" s="23">
        <f t="shared" ca="1" si="106"/>
        <v>24773661</v>
      </c>
      <c r="K800" s="23">
        <f t="shared" ca="1" si="106"/>
        <v>0</v>
      </c>
      <c r="L800" s="23">
        <f t="shared" ca="1" si="106"/>
        <v>0</v>
      </c>
    </row>
    <row r="801" spans="1:12" ht="11.25" x14ac:dyDescent="0.2">
      <c r="A801" s="3"/>
      <c r="B801" s="3"/>
      <c r="C801" s="3"/>
      <c r="D801" s="325"/>
      <c r="E801" s="3"/>
      <c r="F801" s="3"/>
      <c r="G801" s="3"/>
      <c r="H801" s="3"/>
      <c r="I801" s="3"/>
      <c r="J801" s="3"/>
      <c r="K801" s="3"/>
      <c r="L801" s="3"/>
    </row>
    <row r="802" spans="1:12" ht="11.25" x14ac:dyDescent="0.2">
      <c r="A802" s="3"/>
      <c r="B802" s="3"/>
      <c r="C802" s="3"/>
      <c r="D802" s="325"/>
      <c r="E802" s="3"/>
      <c r="F802" s="3"/>
      <c r="G802" s="3"/>
      <c r="H802" s="3"/>
      <c r="I802" s="3"/>
      <c r="J802" s="3"/>
      <c r="K802" s="3"/>
      <c r="L802" s="3"/>
    </row>
    <row r="803" spans="1:12" ht="11.25" x14ac:dyDescent="0.2">
      <c r="A803" s="3" t="s">
        <v>1142</v>
      </c>
      <c r="B803" s="3"/>
      <c r="C803" s="3"/>
      <c r="D803" s="325"/>
      <c r="E803" s="3"/>
      <c r="F803" s="3"/>
      <c r="G803" s="3"/>
      <c r="H803" s="3"/>
      <c r="I803" s="3"/>
      <c r="J803" s="3"/>
      <c r="K803" s="3"/>
      <c r="L803" s="3"/>
    </row>
    <row r="804" spans="1:12" ht="11.25" x14ac:dyDescent="0.2">
      <c r="A804" s="3"/>
      <c r="B804" s="47" t="s">
        <v>574</v>
      </c>
      <c r="C804" s="3"/>
      <c r="D804" s="325"/>
      <c r="E804" s="3">
        <f ca="1">Demand!E663+Demand!E427</f>
        <v>9074470.6999599971</v>
      </c>
      <c r="F804" s="3">
        <f ca="1">Demand!F663+Demand!F427</f>
        <v>3538294</v>
      </c>
      <c r="G804" s="3">
        <f ca="1">Demand!G663+Demand!G427</f>
        <v>2395889</v>
      </c>
      <c r="H804" s="3">
        <f ca="1">Demand!H663+Demand!H427</f>
        <v>5173</v>
      </c>
      <c r="I804" s="3">
        <f ca="1">Demand!I663+Demand!I427</f>
        <v>451</v>
      </c>
      <c r="J804" s="3">
        <f ca="1">Demand!J663+Demand!J427</f>
        <v>3134662</v>
      </c>
      <c r="K804" s="3">
        <f ca="1">Demand!K663+Demand!K427</f>
        <v>0</v>
      </c>
      <c r="L804" s="3">
        <f ca="1">Demand!L663+Demand!L427</f>
        <v>0</v>
      </c>
    </row>
    <row r="805" spans="1:12" ht="11.25" x14ac:dyDescent="0.2">
      <c r="A805" s="3"/>
      <c r="B805" s="3"/>
      <c r="C805" s="47" t="s">
        <v>575</v>
      </c>
      <c r="D805" s="325"/>
      <c r="E805" s="26">
        <f>Demand!E427+Demand!E430</f>
        <v>0.10999999567866325</v>
      </c>
      <c r="F805" s="26">
        <f>Demand!F427+Demand!F430</f>
        <v>0</v>
      </c>
      <c r="G805" s="26">
        <f>Demand!G427+Demand!G430</f>
        <v>0</v>
      </c>
      <c r="H805" s="26">
        <f>Demand!H427+Demand!H430</f>
        <v>0</v>
      </c>
      <c r="I805" s="26">
        <f>Demand!I427+Demand!I430</f>
        <v>0</v>
      </c>
      <c r="J805" s="26">
        <f>Demand!J427+Demand!J430</f>
        <v>0</v>
      </c>
      <c r="K805" s="26">
        <f>Demand!K427+Demand!K430</f>
        <v>0</v>
      </c>
      <c r="L805" s="26">
        <f>Demand!L427</f>
        <v>0</v>
      </c>
    </row>
    <row r="806" spans="1:12" ht="11.25" x14ac:dyDescent="0.2">
      <c r="A806" s="3"/>
      <c r="B806" s="3"/>
      <c r="C806" s="47" t="s">
        <v>576</v>
      </c>
      <c r="D806" s="325"/>
      <c r="E806" s="3">
        <f t="shared" ref="E806:L806" ca="1" si="107">E804-E805</f>
        <v>9074470.5899600014</v>
      </c>
      <c r="F806" s="3">
        <f t="shared" ca="1" si="107"/>
        <v>3538294</v>
      </c>
      <c r="G806" s="3">
        <f t="shared" ca="1" si="107"/>
        <v>2395889</v>
      </c>
      <c r="H806" s="3">
        <f t="shared" ca="1" si="107"/>
        <v>5173</v>
      </c>
      <c r="I806" s="3">
        <f t="shared" ca="1" si="107"/>
        <v>451</v>
      </c>
      <c r="J806" s="3">
        <f t="shared" ca="1" si="107"/>
        <v>3134662</v>
      </c>
      <c r="K806" s="3">
        <f t="shared" ca="1" si="107"/>
        <v>0</v>
      </c>
      <c r="L806" s="3">
        <f t="shared" ca="1" si="107"/>
        <v>0</v>
      </c>
    </row>
    <row r="807" spans="1:12" ht="11.25" x14ac:dyDescent="0.2">
      <c r="B807" s="3"/>
      <c r="C807" s="14"/>
      <c r="D807" s="3"/>
      <c r="E807" s="15"/>
      <c r="F807" s="325" t="str">
        <f>""&amp;+Input!$B$1</f>
        <v>COLUMBIA GAS OF KENTUCKY, INC.</v>
      </c>
      <c r="H807" s="3"/>
      <c r="I807" s="3"/>
      <c r="J807" s="3"/>
      <c r="K807" s="32"/>
      <c r="L807" s="32" t="str">
        <f>Input!$B$2</f>
        <v>ATTACHMENT CEN-2</v>
      </c>
    </row>
    <row r="808" spans="1:12" ht="11.25" x14ac:dyDescent="0.2">
      <c r="A808" s="3" t="s">
        <v>819</v>
      </c>
      <c r="B808" s="3"/>
      <c r="C808" s="3"/>
      <c r="D808" s="3"/>
      <c r="E808" s="3"/>
      <c r="F808" s="325" t="s">
        <v>577</v>
      </c>
      <c r="H808" s="3"/>
      <c r="I808" s="3"/>
      <c r="J808" s="3"/>
      <c r="K808" s="32"/>
      <c r="L808" s="32" t="str">
        <f>"PAGE 129 OF "&amp;FIXED(Input!$B$8,0,TRUE)</f>
        <v>PAGE 129 OF 129</v>
      </c>
    </row>
    <row r="809" spans="1:12" ht="11.25" x14ac:dyDescent="0.2">
      <c r="A809" s="17" t="str">
        <f>Input!$B$6</f>
        <v>FORECASTED TEST YEAR - ORIGINAL FILING</v>
      </c>
      <c r="B809" s="17"/>
      <c r="C809" s="17"/>
      <c r="D809" s="18"/>
      <c r="E809" s="17"/>
      <c r="F809" s="19" t="str">
        <f>"FOR THE TWELVE MONTHS ENDED "&amp;Input!$B$4</f>
        <v>FOR THE TWELVE MONTHS ENDED 12/31/2017</v>
      </c>
      <c r="G809" s="329"/>
      <c r="H809" s="17"/>
      <c r="I809" s="17"/>
      <c r="J809" s="17"/>
      <c r="K809" s="183"/>
      <c r="L809" s="183" t="str">
        <f>"WITNESS: "&amp;Input!$B$5</f>
        <v>WITNESS: C. NOTESTONE</v>
      </c>
    </row>
    <row r="810" spans="1:12" ht="11.25" x14ac:dyDescent="0.2">
      <c r="A810" s="325" t="s">
        <v>5</v>
      </c>
      <c r="B810" s="3"/>
      <c r="C810" s="3"/>
      <c r="D810" s="325" t="s">
        <v>7</v>
      </c>
      <c r="E810" s="325" t="s">
        <v>8</v>
      </c>
      <c r="F810" s="3"/>
      <c r="G810" s="3"/>
      <c r="H810" s="3"/>
      <c r="I810" s="3"/>
      <c r="J810" s="3"/>
      <c r="K810" s="3"/>
      <c r="L810" s="3"/>
    </row>
    <row r="811" spans="1:12" ht="11.25" x14ac:dyDescent="0.2">
      <c r="A811" s="341" t="s">
        <v>9</v>
      </c>
      <c r="B811" s="447" t="str">
        <f>"DESCRIPTION"</f>
        <v>DESCRIPTION</v>
      </c>
      <c r="C811" s="447"/>
      <c r="D811" s="341" t="s">
        <v>10</v>
      </c>
      <c r="E811" s="341" t="s">
        <v>813</v>
      </c>
      <c r="F811" s="341" t="str">
        <f>"  "&amp;+Input!$C$12</f>
        <v xml:space="preserve">  GS-RESIDENTIAL</v>
      </c>
      <c r="G811" s="341" t="str">
        <f>Input!$C$13</f>
        <v>GS-OTHER</v>
      </c>
      <c r="H811" s="341" t="str">
        <f>Input!$C$14</f>
        <v>IUS</v>
      </c>
      <c r="I811" s="341" t="str">
        <f>Input!$C$15</f>
        <v>DS-ML</v>
      </c>
      <c r="J811" s="341" t="str">
        <f>Input!$C$16</f>
        <v>DS/IS</v>
      </c>
      <c r="K811" s="341" t="str">
        <f>Input!$C$17</f>
        <v>NOT USED</v>
      </c>
      <c r="L811" s="341" t="str">
        <f>Input!$C$18</f>
        <v>NOT USED</v>
      </c>
    </row>
    <row r="812" spans="1:12" ht="11.25" x14ac:dyDescent="0.2">
      <c r="A812" s="3"/>
      <c r="B812" s="448" t="s">
        <v>13</v>
      </c>
      <c r="C812" s="448"/>
      <c r="D812" s="342" t="s">
        <v>14</v>
      </c>
      <c r="E812" s="325" t="s">
        <v>15</v>
      </c>
      <c r="F812" s="325" t="s">
        <v>16</v>
      </c>
      <c r="G812" s="325" t="s">
        <v>17</v>
      </c>
      <c r="H812" s="325" t="s">
        <v>18</v>
      </c>
      <c r="I812" s="325" t="s">
        <v>19</v>
      </c>
      <c r="J812" s="325" t="s">
        <v>20</v>
      </c>
      <c r="K812" s="325" t="s">
        <v>21</v>
      </c>
      <c r="L812" s="325" t="s">
        <v>23</v>
      </c>
    </row>
    <row r="813" spans="1:12" ht="11.25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25"/>
      <c r="K813" s="325"/>
    </row>
    <row r="814" spans="1:12" ht="11.25" x14ac:dyDescent="0.2">
      <c r="A814" s="325">
        <v>1</v>
      </c>
      <c r="B814" s="23" t="str">
        <f>'Alloc Table Dem'!C7</f>
        <v>DESIGN DAY EXCL. DS-ML</v>
      </c>
      <c r="C814" s="3"/>
      <c r="D814" s="32">
        <f>'Alloc Table Dem'!B7</f>
        <v>1</v>
      </c>
      <c r="E814" s="43">
        <v>1</v>
      </c>
      <c r="F814" s="43">
        <f>'Alloc Table Dem'!N7</f>
        <v>0.44549</v>
      </c>
      <c r="G814" s="43">
        <f>'Alloc Table Dem'!O7</f>
        <v>0.28649999999999998</v>
      </c>
      <c r="H814" s="43">
        <f>'Alloc Table Dem'!P7</f>
        <v>6.4999999999999997E-4</v>
      </c>
      <c r="I814" s="43">
        <f>'Alloc Table Dem'!Q7</f>
        <v>0</v>
      </c>
      <c r="J814" s="43">
        <f>'Alloc Table Dem'!R7</f>
        <v>0.26735999999999999</v>
      </c>
      <c r="K814" s="43">
        <f>'Alloc Table Dem'!S7</f>
        <v>0</v>
      </c>
      <c r="L814" s="43">
        <f>'Alloc Table Dem'!T7</f>
        <v>0</v>
      </c>
    </row>
    <row r="815" spans="1:12" ht="11.25" x14ac:dyDescent="0.2">
      <c r="A815" s="325">
        <f t="shared" ref="A815:A823" si="108">A814+1</f>
        <v>2</v>
      </c>
      <c r="B815" s="23" t="str">
        <f>'Alloc Table Dem'!C8</f>
        <v>DESIGN DAY EXCL. INTERR DEMAND (MCF)</v>
      </c>
      <c r="C815" s="3"/>
      <c r="D815" s="32">
        <f>'Alloc Table Dem'!B8</f>
        <v>2</v>
      </c>
      <c r="E815" s="43">
        <v>1</v>
      </c>
      <c r="F815" s="43">
        <f>'Alloc Table Dem'!N8</f>
        <v>0.60941000000000001</v>
      </c>
      <c r="G815" s="43">
        <f>'Alloc Table Dem'!O8</f>
        <v>0.37239</v>
      </c>
      <c r="H815" s="43">
        <f>'Alloc Table Dem'!P8</f>
        <v>8.8999999999999995E-4</v>
      </c>
      <c r="I815" s="43">
        <f>'Alloc Table Dem'!Q8</f>
        <v>0</v>
      </c>
      <c r="J815" s="43">
        <f>'Alloc Table Dem'!R8</f>
        <v>1.7309999999999999E-2</v>
      </c>
      <c r="K815" s="43">
        <f>'Alloc Table Dem'!S8</f>
        <v>0</v>
      </c>
      <c r="L815" s="43">
        <f>'Alloc Table Dem'!T8</f>
        <v>0</v>
      </c>
    </row>
    <row r="816" spans="1:12" ht="11.25" x14ac:dyDescent="0.2">
      <c r="A816" s="325">
        <f t="shared" si="108"/>
        <v>3</v>
      </c>
      <c r="B816" s="23" t="str">
        <f>'Alloc Table Dem'!C9</f>
        <v>MINIMUM SYSTEM MAINS</v>
      </c>
      <c r="C816" s="3"/>
      <c r="D816" s="32">
        <f>'Alloc Table Dem'!B9</f>
        <v>3</v>
      </c>
      <c r="E816" s="43">
        <v>1</v>
      </c>
      <c r="F816" s="43">
        <f>'Alloc Table Dem'!N9</f>
        <v>0.73792999999999997</v>
      </c>
      <c r="G816" s="43">
        <f>'Alloc Table Dem'!O9</f>
        <v>0.16741</v>
      </c>
      <c r="H816" s="43">
        <f>'Alloc Table Dem'!P9</f>
        <v>2.4000000000000001E-4</v>
      </c>
      <c r="I816" s="43">
        <f>'Alloc Table Dem'!Q9</f>
        <v>0</v>
      </c>
      <c r="J816" s="43">
        <f>'Alloc Table Dem'!R9</f>
        <v>9.4420000000000004E-2</v>
      </c>
      <c r="K816" s="43">
        <f>'Alloc Table Dem'!S9</f>
        <v>0</v>
      </c>
      <c r="L816" s="43">
        <f>'Alloc Table Dem'!T9</f>
        <v>0</v>
      </c>
    </row>
    <row r="817" spans="1:12" ht="11.25" x14ac:dyDescent="0.2">
      <c r="A817" s="325">
        <f t="shared" si="108"/>
        <v>4</v>
      </c>
      <c r="B817" s="23" t="str">
        <f>'Alloc Table Dem'!C10</f>
        <v>THROUGHPUT EXCL MLS</v>
      </c>
      <c r="C817" s="3"/>
      <c r="D817" s="32">
        <f>'Alloc Table Dem'!B10</f>
        <v>4</v>
      </c>
      <c r="E817" s="43">
        <v>1</v>
      </c>
      <c r="F817" s="43">
        <f>'Alloc Table Dem'!N10</f>
        <v>0.33421000000000001</v>
      </c>
      <c r="G817" s="43">
        <f>'Alloc Table Dem'!O10</f>
        <v>0.24146999999999999</v>
      </c>
      <c r="H817" s="43">
        <f>'Alloc Table Dem'!P10</f>
        <v>4.8000000000000001E-4</v>
      </c>
      <c r="I817" s="43">
        <f>'Alloc Table Dem'!Q10</f>
        <v>0</v>
      </c>
      <c r="J817" s="43">
        <f>'Alloc Table Dem'!R10</f>
        <v>0.42383999999999999</v>
      </c>
      <c r="K817" s="43">
        <f>'Alloc Table Dem'!S10</f>
        <v>0</v>
      </c>
      <c r="L817" s="43">
        <f>'Alloc Table Dem'!T10</f>
        <v>0</v>
      </c>
    </row>
    <row r="818" spans="1:12" ht="11.25" x14ac:dyDescent="0.2">
      <c r="A818" s="325">
        <f t="shared" si="108"/>
        <v>5</v>
      </c>
      <c r="B818" s="23" t="str">
        <f>'Alloc Table Dem'!C11</f>
        <v>COMPOSIT OF ALLOC #1 &amp; #4</v>
      </c>
      <c r="C818" s="3"/>
      <c r="D818" s="32">
        <f>'Alloc Table Dem'!B11</f>
        <v>5</v>
      </c>
      <c r="E818" s="43">
        <v>1</v>
      </c>
      <c r="F818" s="43">
        <f>'Alloc Table Dem'!N11</f>
        <v>0.38984000000000002</v>
      </c>
      <c r="G818" s="43">
        <f>'Alloc Table Dem'!O11</f>
        <v>0.26399</v>
      </c>
      <c r="H818" s="43">
        <f>'Alloc Table Dem'!P11</f>
        <v>5.6999999999999998E-4</v>
      </c>
      <c r="I818" s="43">
        <f>'Alloc Table Dem'!Q11</f>
        <v>0</v>
      </c>
      <c r="J818" s="43">
        <f>'Alloc Table Dem'!R11</f>
        <v>0.34560000000000002</v>
      </c>
      <c r="K818" s="43">
        <f>'Alloc Table Dem'!S11</f>
        <v>0</v>
      </c>
      <c r="L818" s="43">
        <f>'Alloc Table Dem'!T11</f>
        <v>0</v>
      </c>
    </row>
    <row r="819" spans="1:12" ht="11.25" x14ac:dyDescent="0.2">
      <c r="A819" s="325">
        <f t="shared" si="108"/>
        <v>6</v>
      </c>
      <c r="B819" s="23" t="str">
        <f>'Alloc Table Dem'!C12</f>
        <v>AVERAGE NO. OF CUSTOMERS</v>
      </c>
      <c r="C819" s="3"/>
      <c r="D819" s="32">
        <f>'Alloc Table Dem'!B12</f>
        <v>6</v>
      </c>
      <c r="E819" s="43">
        <v>1</v>
      </c>
      <c r="F819" s="43">
        <f>'Alloc Table Dem'!N12</f>
        <v>0.89658000000000004</v>
      </c>
      <c r="G819" s="43">
        <f>'Alloc Table Dem'!O12</f>
        <v>0.10279000000000001</v>
      </c>
      <c r="H819" s="43">
        <f>'Alloc Table Dem'!P12</f>
        <v>1.0000000000000001E-5</v>
      </c>
      <c r="I819" s="43">
        <f>'Alloc Table Dem'!Q12</f>
        <v>4.0000000000000003E-5</v>
      </c>
      <c r="J819" s="43">
        <f>'Alloc Table Dem'!R12</f>
        <v>5.8E-4</v>
      </c>
      <c r="K819" s="43">
        <f>'Alloc Table Dem'!S12</f>
        <v>0</v>
      </c>
      <c r="L819" s="43">
        <f>'Alloc Table Dem'!T12</f>
        <v>0</v>
      </c>
    </row>
    <row r="820" spans="1:12" ht="11.25" x14ac:dyDescent="0.2">
      <c r="A820" s="325">
        <f t="shared" si="108"/>
        <v>7</v>
      </c>
      <c r="B820" s="23" t="str">
        <f>'Alloc Table Dem'!C13</f>
        <v>DIST. PLANT EXCL. ACCTS 375.70,375.71,387</v>
      </c>
      <c r="C820" s="3"/>
      <c r="D820" s="32" t="str">
        <f>'Alloc Table Dem'!B13</f>
        <v>7DEM</v>
      </c>
      <c r="E820" s="43">
        <v>1</v>
      </c>
      <c r="F820" s="43">
        <f ca="1">'Alloc Table Dem'!N13</f>
        <v>0.38973999999999998</v>
      </c>
      <c r="G820" s="43">
        <f ca="1">'Alloc Table Dem'!O13</f>
        <v>0.26393</v>
      </c>
      <c r="H820" s="43">
        <f ca="1">'Alloc Table Dem'!P13</f>
        <v>5.6999999999999998E-4</v>
      </c>
      <c r="I820" s="43">
        <f ca="1">'Alloc Table Dem'!Q13</f>
        <v>2.4000000000000001E-4</v>
      </c>
      <c r="J820" s="43">
        <f ca="1">'Alloc Table Dem'!R13</f>
        <v>0.34551999999999999</v>
      </c>
      <c r="K820" s="43">
        <f ca="1">'Alloc Table Dem'!S13</f>
        <v>0</v>
      </c>
      <c r="L820" s="43">
        <f ca="1">'Alloc Table Dem'!T13</f>
        <v>0</v>
      </c>
    </row>
    <row r="821" spans="1:12" ht="11.25" x14ac:dyDescent="0.2">
      <c r="A821" s="325">
        <f t="shared" si="108"/>
        <v>8</v>
      </c>
      <c r="B821" s="23" t="str">
        <f>'Alloc Table Dem'!C14</f>
        <v>TOTAL PLANT ACCOUNT 385</v>
      </c>
      <c r="C821" s="3"/>
      <c r="D821" s="32">
        <f>'Alloc Table Dem'!B14</f>
        <v>8</v>
      </c>
      <c r="E821" s="43">
        <v>1</v>
      </c>
      <c r="F821" s="43">
        <f>'Alloc Table Dem'!N14</f>
        <v>0</v>
      </c>
      <c r="G821" s="43">
        <f>'Alloc Table Dem'!O14</f>
        <v>1</v>
      </c>
      <c r="H821" s="43">
        <f>'Alloc Table Dem'!P14</f>
        <v>0</v>
      </c>
      <c r="I821" s="43">
        <f>'Alloc Table Dem'!Q14</f>
        <v>0</v>
      </c>
      <c r="J821" s="43">
        <f>'Alloc Table Dem'!R14</f>
        <v>0</v>
      </c>
      <c r="K821" s="43">
        <f>'Alloc Table Dem'!S14</f>
        <v>0</v>
      </c>
      <c r="L821" s="43">
        <f>'Alloc Table Dem'!T14</f>
        <v>0</v>
      </c>
    </row>
    <row r="822" spans="1:12" ht="11.25" x14ac:dyDescent="0.2">
      <c r="A822" s="325">
        <f t="shared" si="108"/>
        <v>9</v>
      </c>
      <c r="B822" s="23" t="str">
        <f>'Alloc Table Dem'!C15</f>
        <v>GAS PURCHASE EXPENSE EX OFF SYST</v>
      </c>
      <c r="C822" s="3"/>
      <c r="D822" s="32">
        <f>'Alloc Table Dem'!B15</f>
        <v>9</v>
      </c>
      <c r="E822" s="43">
        <v>1</v>
      </c>
      <c r="F822" s="43">
        <f>'Alloc Table Dem'!N15</f>
        <v>1</v>
      </c>
      <c r="G822" s="43">
        <f>'Alloc Table Dem'!O15</f>
        <v>0</v>
      </c>
      <c r="H822" s="43">
        <f>'Alloc Table Dem'!P15</f>
        <v>0</v>
      </c>
      <c r="I822" s="43">
        <f>'Alloc Table Dem'!Q15</f>
        <v>0</v>
      </c>
      <c r="J822" s="43">
        <f>'Alloc Table Dem'!R15</f>
        <v>0</v>
      </c>
      <c r="K822" s="43">
        <f>'Alloc Table Dem'!S15</f>
        <v>0</v>
      </c>
      <c r="L822" s="43">
        <f>'Alloc Table Dem'!T15</f>
        <v>0</v>
      </c>
    </row>
    <row r="823" spans="1:12" ht="11.25" x14ac:dyDescent="0.2">
      <c r="A823" s="325">
        <f t="shared" si="108"/>
        <v>10</v>
      </c>
      <c r="B823" s="23" t="str">
        <f>'Alloc Table Dem'!C16</f>
        <v>OTHER DIST. EXP - LABOR</v>
      </c>
      <c r="C823" s="3"/>
      <c r="D823" s="32" t="str">
        <f>'Alloc Table Dem'!B16</f>
        <v>10DEM</v>
      </c>
      <c r="E823" s="43">
        <v>1</v>
      </c>
      <c r="F823" s="43">
        <f ca="1">'Alloc Table Dem'!N16</f>
        <v>0.38982</v>
      </c>
      <c r="G823" s="43">
        <f ca="1">'Alloc Table Dem'!O16</f>
        <v>0.26397999999999999</v>
      </c>
      <c r="H823" s="43">
        <f ca="1">'Alloc Table Dem'!P16</f>
        <v>5.6999999999999998E-4</v>
      </c>
      <c r="I823" s="43">
        <f ca="1">'Alloc Table Dem'!Q16</f>
        <v>5.0000000000000002E-5</v>
      </c>
      <c r="J823" s="43">
        <f ca="1">'Alloc Table Dem'!R16</f>
        <v>0.34558</v>
      </c>
      <c r="K823" s="43">
        <f ca="1">'Alloc Table Dem'!S16</f>
        <v>0</v>
      </c>
      <c r="L823" s="43">
        <f ca="1">'Alloc Table Dem'!T16</f>
        <v>0</v>
      </c>
    </row>
    <row r="824" spans="1:12" ht="11.25" x14ac:dyDescent="0.2">
      <c r="A824" s="325">
        <f t="shared" ref="A824:A834" si="109">A823+1</f>
        <v>11</v>
      </c>
      <c r="B824" s="23" t="str">
        <f>'Alloc Table Dem'!C17</f>
        <v>OTHER DIST. EXP EXCL - M &amp; E</v>
      </c>
      <c r="C824" s="3"/>
      <c r="D824" s="32" t="str">
        <f>'Alloc Table Dem'!B17</f>
        <v>11DEM</v>
      </c>
      <c r="E824" s="43">
        <v>1</v>
      </c>
      <c r="F824" s="43">
        <f ca="1">'Alloc Table Dem'!N17</f>
        <v>0.38982</v>
      </c>
      <c r="G824" s="43">
        <f ca="1">'Alloc Table Dem'!O17</f>
        <v>0.26397999999999999</v>
      </c>
      <c r="H824" s="43">
        <f ca="1">'Alloc Table Dem'!P17</f>
        <v>5.6999999999999998E-4</v>
      </c>
      <c r="I824" s="43">
        <f ca="1">'Alloc Table Dem'!Q17</f>
        <v>5.0000000000000002E-5</v>
      </c>
      <c r="J824" s="43">
        <f ca="1">'Alloc Table Dem'!R17</f>
        <v>0.34558</v>
      </c>
      <c r="K824" s="43">
        <f ca="1">'Alloc Table Dem'!S17</f>
        <v>0</v>
      </c>
      <c r="L824" s="43">
        <f ca="1">'Alloc Table Dem'!T17</f>
        <v>0</v>
      </c>
    </row>
    <row r="825" spans="1:12" ht="11.25" x14ac:dyDescent="0.2">
      <c r="A825" s="325">
        <f t="shared" si="109"/>
        <v>12</v>
      </c>
      <c r="B825" s="23" t="str">
        <f>'Alloc Table Dem'!C18</f>
        <v>O &amp; M EXCL A &amp; G - LABOR</v>
      </c>
      <c r="C825" s="3"/>
      <c r="D825" s="32" t="str">
        <f>'Alloc Table Dem'!B18</f>
        <v>12DEM</v>
      </c>
      <c r="E825" s="43">
        <v>1</v>
      </c>
      <c r="F825" s="43">
        <f ca="1">'Alloc Table Dem'!N18</f>
        <v>0.38982</v>
      </c>
      <c r="G825" s="43">
        <f ca="1">'Alloc Table Dem'!O18</f>
        <v>0.26397999999999999</v>
      </c>
      <c r="H825" s="43">
        <f ca="1">'Alloc Table Dem'!P18</f>
        <v>5.6999999999999998E-4</v>
      </c>
      <c r="I825" s="43">
        <f ca="1">'Alloc Table Dem'!Q18</f>
        <v>5.0000000000000002E-5</v>
      </c>
      <c r="J825" s="43">
        <f ca="1">'Alloc Table Dem'!R18</f>
        <v>0.34558</v>
      </c>
      <c r="K825" s="43">
        <f ca="1">'Alloc Table Dem'!S18</f>
        <v>0</v>
      </c>
      <c r="L825" s="43">
        <f ca="1">'Alloc Table Dem'!T18</f>
        <v>0</v>
      </c>
    </row>
    <row r="826" spans="1:12" ht="11.25" x14ac:dyDescent="0.2">
      <c r="A826" s="325">
        <f t="shared" si="109"/>
        <v>13</v>
      </c>
      <c r="B826" s="23" t="str">
        <f>'Alloc Table Dem'!C19</f>
        <v>O &amp; M EXCL GAS PUR, UNCOL, AND A &amp; G - M&amp;E</v>
      </c>
      <c r="C826" s="3"/>
      <c r="D826" s="32" t="str">
        <f>'Alloc Table Dem'!B19</f>
        <v>13DEM</v>
      </c>
      <c r="E826" s="43">
        <v>1</v>
      </c>
      <c r="F826" s="43">
        <f ca="1">'Alloc Table Dem'!N19</f>
        <v>0.38995999999999997</v>
      </c>
      <c r="G826" s="43">
        <f ca="1">'Alloc Table Dem'!O19</f>
        <v>0.26404</v>
      </c>
      <c r="H826" s="43">
        <f ca="1">'Alloc Table Dem'!P19</f>
        <v>5.6999999999999998E-4</v>
      </c>
      <c r="I826" s="43">
        <f ca="1">'Alloc Table Dem'!Q19</f>
        <v>5.0000000000000002E-5</v>
      </c>
      <c r="J826" s="43">
        <f ca="1">'Alloc Table Dem'!R19</f>
        <v>0.34538000000000002</v>
      </c>
      <c r="K826" s="43">
        <f ca="1">'Alloc Table Dem'!S19</f>
        <v>0</v>
      </c>
      <c r="L826" s="43">
        <f ca="1">'Alloc Table Dem'!T19</f>
        <v>0</v>
      </c>
    </row>
    <row r="827" spans="1:12" ht="11.25" x14ac:dyDescent="0.2">
      <c r="A827" s="325">
        <f t="shared" si="109"/>
        <v>14</v>
      </c>
      <c r="B827" s="23" t="str">
        <f>'Alloc Table Dem'!C20</f>
        <v>ACCT 376/380 - MAINS/SERVICES</v>
      </c>
      <c r="C827" s="3"/>
      <c r="D827" s="32" t="str">
        <f>'Alloc Table Dem'!B20</f>
        <v>14DEM</v>
      </c>
      <c r="E827" s="43">
        <v>1</v>
      </c>
      <c r="F827" s="43">
        <f ca="1">'Alloc Table Dem'!N20</f>
        <v>0.38982</v>
      </c>
      <c r="G827" s="43">
        <f ca="1">'Alloc Table Dem'!O20</f>
        <v>0.26397999999999999</v>
      </c>
      <c r="H827" s="43">
        <f ca="1">'Alloc Table Dem'!P20</f>
        <v>5.6999999999999998E-4</v>
      </c>
      <c r="I827" s="43">
        <f ca="1">'Alloc Table Dem'!Q20</f>
        <v>5.0000000000000002E-5</v>
      </c>
      <c r="J827" s="43">
        <f ca="1">'Alloc Table Dem'!R20</f>
        <v>0.34558</v>
      </c>
      <c r="K827" s="43">
        <f ca="1">'Alloc Table Dem'!S20</f>
        <v>0</v>
      </c>
      <c r="L827" s="43">
        <f ca="1">'Alloc Table Dem'!T20</f>
        <v>0</v>
      </c>
    </row>
    <row r="828" spans="1:12" ht="11.25" x14ac:dyDescent="0.2">
      <c r="A828" s="325">
        <f t="shared" si="109"/>
        <v>15</v>
      </c>
      <c r="B828" s="23" t="str">
        <f>'Alloc Table Dem'!C21</f>
        <v xml:space="preserve">DIRECT PLANT ACCT 380 </v>
      </c>
      <c r="C828" s="3"/>
      <c r="D828" s="32">
        <f>'Alloc Table Dem'!B21</f>
        <v>15</v>
      </c>
      <c r="E828" s="43">
        <v>1</v>
      </c>
      <c r="F828" s="43">
        <f ca="1">'Alloc Table Dem'!N21</f>
        <v>0.88227999999999995</v>
      </c>
      <c r="G828" s="43">
        <f ca="1">'Alloc Table Dem'!O21</f>
        <v>0.11418</v>
      </c>
      <c r="H828" s="43">
        <f ca="1">'Alloc Table Dem'!P21</f>
        <v>1.0000000000000001E-5</v>
      </c>
      <c r="I828" s="43">
        <f ca="1">'Alloc Table Dem'!Q21</f>
        <v>0</v>
      </c>
      <c r="J828" s="43">
        <f ca="1">'Alloc Table Dem'!R21</f>
        <v>3.5300000000000002E-3</v>
      </c>
      <c r="K828" s="43">
        <f ca="1">'Alloc Table Dem'!S21</f>
        <v>0</v>
      </c>
      <c r="L828" s="43">
        <f ca="1">'Alloc Table Dem'!T21</f>
        <v>0</v>
      </c>
    </row>
    <row r="829" spans="1:12" ht="11.25" x14ac:dyDescent="0.2">
      <c r="A829" s="325">
        <f t="shared" si="109"/>
        <v>16</v>
      </c>
      <c r="B829" s="23" t="str">
        <f>'Alloc Table Dem'!C22</f>
        <v xml:space="preserve">DIRECT PLANT ACCTS 381 </v>
      </c>
      <c r="C829" s="3"/>
      <c r="D829" s="32">
        <f>'Alloc Table Dem'!B22</f>
        <v>16</v>
      </c>
      <c r="E829" s="43">
        <v>1</v>
      </c>
      <c r="F829" s="43">
        <f>'Alloc Table Dem'!N22</f>
        <v>0.71941999999999995</v>
      </c>
      <c r="G829" s="43">
        <f>'Alloc Table Dem'!O22</f>
        <v>0.27611999999999998</v>
      </c>
      <c r="H829" s="43">
        <f>'Alloc Table Dem'!P22</f>
        <v>1.2999999999999999E-4</v>
      </c>
      <c r="I829" s="43">
        <f>'Alloc Table Dem'!Q22</f>
        <v>0</v>
      </c>
      <c r="J829" s="43">
        <f>'Alloc Table Dem'!R22</f>
        <v>4.3299999999999996E-3</v>
      </c>
      <c r="K829" s="43">
        <f>'Alloc Table Dem'!S22</f>
        <v>0</v>
      </c>
      <c r="L829" s="43">
        <f>'Alloc Table Dem'!T22</f>
        <v>0</v>
      </c>
    </row>
    <row r="830" spans="1:12" ht="11.25" x14ac:dyDescent="0.2">
      <c r="A830" s="325">
        <f t="shared" si="109"/>
        <v>17</v>
      </c>
      <c r="B830" s="23" t="str">
        <f>'Alloc Table Dem'!C23</f>
        <v xml:space="preserve">DIRECT PLANT ACCT 385 </v>
      </c>
      <c r="C830" s="3"/>
      <c r="D830" s="32">
        <f>'Alloc Table Dem'!B23</f>
        <v>17</v>
      </c>
      <c r="E830" s="43">
        <v>1</v>
      </c>
      <c r="F830" s="43">
        <f>'Alloc Table Dem'!N23</f>
        <v>0</v>
      </c>
      <c r="G830" s="43">
        <f>'Alloc Table Dem'!O23</f>
        <v>0.25977</v>
      </c>
      <c r="H830" s="43">
        <f>'Alloc Table Dem'!P23</f>
        <v>2.9E-4</v>
      </c>
      <c r="I830" s="43">
        <f>'Alloc Table Dem'!Q23</f>
        <v>0</v>
      </c>
      <c r="J830" s="43">
        <f>'Alloc Table Dem'!R23</f>
        <v>0.73995</v>
      </c>
      <c r="K830" s="43">
        <f>'Alloc Table Dem'!S23</f>
        <v>0</v>
      </c>
      <c r="L830" s="43">
        <f>'Alloc Table Dem'!T23</f>
        <v>0</v>
      </c>
    </row>
    <row r="831" spans="1:12" ht="11.25" x14ac:dyDescent="0.2">
      <c r="A831" s="325">
        <f t="shared" si="109"/>
        <v>18</v>
      </c>
      <c r="B831" s="23" t="str">
        <f>'Alloc Table Dem'!C24</f>
        <v>ACCOUNT 376 MAINS - COMPOSITE/PLANT</v>
      </c>
      <c r="C831" s="3"/>
      <c r="D831" s="32" t="str">
        <f>'Alloc Table Dem'!B24</f>
        <v>18DEM</v>
      </c>
      <c r="E831" s="43">
        <v>1</v>
      </c>
      <c r="F831" s="43">
        <f>'Alloc Table Dem'!N24</f>
        <v>0.38982</v>
      </c>
      <c r="G831" s="43">
        <f>'Alloc Table Dem'!O24</f>
        <v>0.26397999999999999</v>
      </c>
      <c r="H831" s="43">
        <f>'Alloc Table Dem'!P24</f>
        <v>5.6999999999999998E-4</v>
      </c>
      <c r="I831" s="43">
        <f>'Alloc Table Dem'!Q24</f>
        <v>5.0000000000000002E-5</v>
      </c>
      <c r="J831" s="43">
        <f>'Alloc Table Dem'!R24</f>
        <v>0.34558</v>
      </c>
      <c r="K831" s="43">
        <f>'Alloc Table Dem'!S24</f>
        <v>0</v>
      </c>
      <c r="L831" s="43">
        <f>'Alloc Table Dem'!T24</f>
        <v>0</v>
      </c>
    </row>
    <row r="832" spans="1:12" ht="11.25" x14ac:dyDescent="0.2">
      <c r="A832" s="325">
        <f t="shared" si="109"/>
        <v>19</v>
      </c>
      <c r="B832" s="23" t="str">
        <f>'Alloc Table Dem'!C25</f>
        <v>TOTAL PLANT</v>
      </c>
      <c r="C832" s="3"/>
      <c r="D832" s="32" t="str">
        <f>'Alloc Table Dem'!B25</f>
        <v>19DEM</v>
      </c>
      <c r="E832" s="43">
        <v>1</v>
      </c>
      <c r="F832" s="43">
        <f ca="1">'Alloc Table Dem'!N25</f>
        <v>0.38973999999999998</v>
      </c>
      <c r="G832" s="43">
        <f ca="1">'Alloc Table Dem'!O25</f>
        <v>0.26393</v>
      </c>
      <c r="H832" s="43">
        <f ca="1">'Alloc Table Dem'!P25</f>
        <v>5.6999999999999998E-4</v>
      </c>
      <c r="I832" s="43">
        <f ca="1">'Alloc Table Dem'!Q25</f>
        <v>2.4000000000000001E-4</v>
      </c>
      <c r="J832" s="43">
        <f ca="1">'Alloc Table Dem'!R25</f>
        <v>0.34551999999999999</v>
      </c>
      <c r="K832" s="43">
        <f ca="1">'Alloc Table Dem'!S25</f>
        <v>0</v>
      </c>
      <c r="L832" s="43">
        <f ca="1">'Alloc Table Dem'!T25</f>
        <v>0</v>
      </c>
    </row>
    <row r="833" spans="1:12" ht="11.25" x14ac:dyDescent="0.2">
      <c r="A833" s="325">
        <f t="shared" si="109"/>
        <v>20</v>
      </c>
      <c r="B833" s="23" t="str">
        <f>'Alloc Table Dem'!C26</f>
        <v>AVG DEM/COM #5 &amp; CUS/DEM #3</v>
      </c>
      <c r="C833" s="3"/>
      <c r="D833" s="32">
        <f>'Alloc Table Dem'!B26</f>
        <v>20</v>
      </c>
      <c r="E833" s="43">
        <v>1</v>
      </c>
      <c r="F833" s="43">
        <f>'Alloc Table Dem'!N26</f>
        <v>0.56387999999999994</v>
      </c>
      <c r="G833" s="43">
        <f>'Alloc Table Dem'!O26</f>
        <v>0.2157</v>
      </c>
      <c r="H833" s="43">
        <f>'Alloc Table Dem'!P26</f>
        <v>4.0999999999999999E-4</v>
      </c>
      <c r="I833" s="43">
        <f>'Alloc Table Dem'!Q26</f>
        <v>0</v>
      </c>
      <c r="J833" s="43">
        <f>'Alloc Table Dem'!R26</f>
        <v>0.22001000000000001</v>
      </c>
      <c r="K833" s="43">
        <f>'Alloc Table Dem'!S26</f>
        <v>0</v>
      </c>
      <c r="L833" s="43">
        <f>'Alloc Table Dem'!T26</f>
        <v>0</v>
      </c>
    </row>
    <row r="834" spans="1:12" ht="11.25" x14ac:dyDescent="0.2">
      <c r="A834" s="325">
        <f t="shared" si="109"/>
        <v>21</v>
      </c>
      <c r="B834" s="23" t="str">
        <f>'Alloc Table Dem'!C27</f>
        <v>UNCOLLECTIBLES</v>
      </c>
      <c r="C834" s="3"/>
      <c r="D834" s="32">
        <f>'Alloc Table Dem'!B27</f>
        <v>21</v>
      </c>
      <c r="E834" s="43">
        <v>1</v>
      </c>
      <c r="F834" s="43">
        <f>'Alloc Table Dem'!N27</f>
        <v>0.86777000000000004</v>
      </c>
      <c r="G834" s="43">
        <f>'Alloc Table Dem'!O27</f>
        <v>0.13141</v>
      </c>
      <c r="H834" s="43">
        <f>'Alloc Table Dem'!P27</f>
        <v>2.0000000000000002E-5</v>
      </c>
      <c r="I834" s="43">
        <f>'Alloc Table Dem'!Q27</f>
        <v>6.0000000000000002E-5</v>
      </c>
      <c r="J834" s="43">
        <f>'Alloc Table Dem'!R27</f>
        <v>7.3999999999999999E-4</v>
      </c>
      <c r="K834" s="43">
        <f>'Alloc Table Dem'!S27</f>
        <v>0</v>
      </c>
      <c r="L834" s="43">
        <f>'Alloc Table Dem'!T27</f>
        <v>0</v>
      </c>
    </row>
    <row r="835" spans="1:12" ht="11.25" x14ac:dyDescent="0.2">
      <c r="A835" s="325"/>
      <c r="B835" s="23"/>
      <c r="C835" s="3"/>
      <c r="D835" s="32"/>
      <c r="E835" s="43"/>
      <c r="F835" s="43"/>
      <c r="G835" s="43"/>
      <c r="H835" s="43"/>
      <c r="I835" s="43"/>
      <c r="J835" s="43"/>
      <c r="K835" s="43"/>
      <c r="L835" s="43"/>
    </row>
  </sheetData>
  <mergeCells count="2">
    <mergeCell ref="B811:C811"/>
    <mergeCell ref="B812:C812"/>
  </mergeCells>
  <pageMargins left="0" right="0" top="0.75" bottom="0.75" header="0.3" footer="0.3"/>
  <pageSetup scale="94" orientation="landscape" r:id="rId1"/>
  <rowBreaks count="25" manualBreakCount="25">
    <brk id="34" max="11" man="1"/>
    <brk id="66" max="11" man="1"/>
    <brk id="89" max="16383" man="1"/>
    <brk id="123" max="16383" man="1"/>
    <brk id="167" max="16383" man="1"/>
    <brk id="205" max="16383" man="1"/>
    <brk id="250" max="16383" man="1"/>
    <brk id="291" max="16383" man="1"/>
    <brk id="336" max="16383" man="1"/>
    <brk id="375" max="16383" man="1"/>
    <brk id="396" max="16383" man="1"/>
    <brk id="433" max="16383" man="1"/>
    <brk id="464" max="16383" man="1"/>
    <brk id="495" max="16383" man="1"/>
    <brk id="532" max="16383" man="1"/>
    <brk id="563" max="16383" man="1"/>
    <brk id="594" max="16383" man="1"/>
    <brk id="633" max="16383" man="1"/>
    <brk id="663" max="16383" man="1"/>
    <brk id="679" max="16383" man="1"/>
    <brk id="705" max="16383" man="1"/>
    <brk id="721" max="16383" man="1"/>
    <brk id="751" max="16383" man="1"/>
    <brk id="771" max="16383" man="1"/>
    <brk id="806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AJ1470"/>
  <sheetViews>
    <sheetView showGridLines="0" zoomScaleNormal="100" workbookViewId="0">
      <selection activeCell="C3" sqref="C3"/>
    </sheetView>
  </sheetViews>
  <sheetFormatPr defaultColWidth="3.83203125" defaultRowHeight="11.25" x14ac:dyDescent="0.2"/>
  <cols>
    <col min="1" max="1" width="34.5" style="3" customWidth="1"/>
    <col min="2" max="2" width="39.83203125" style="3" customWidth="1"/>
    <col min="3" max="3" width="18.83203125" style="3" customWidth="1"/>
    <col min="4" max="5" width="14.83203125" style="3" customWidth="1"/>
    <col min="6" max="6" width="21.1640625" style="3" customWidth="1"/>
    <col min="7" max="7" width="18" style="3" customWidth="1"/>
    <col min="8" max="8" width="18.5" style="3" bestFit="1" customWidth="1"/>
    <col min="9" max="14" width="14.83203125" style="3" customWidth="1"/>
    <col min="15" max="16" width="9.83203125" style="3" customWidth="1"/>
    <col min="17" max="17" width="10.83203125" style="3" customWidth="1"/>
    <col min="18" max="18" width="7.83203125" style="3" customWidth="1"/>
    <col min="19" max="21" width="9.6640625" style="3" bestFit="1" customWidth="1"/>
    <col min="22" max="22" width="4.83203125" style="3" customWidth="1"/>
    <col min="23" max="23" width="7.1640625" style="3" customWidth="1"/>
    <col min="24" max="24" width="35.5" style="3" customWidth="1"/>
    <col min="25" max="25" width="8.6640625" style="3" customWidth="1"/>
    <col min="26" max="26" width="11.83203125" style="3" customWidth="1"/>
    <col min="27" max="27" width="11.5" style="3" customWidth="1"/>
    <col min="28" max="28" width="11.1640625" style="3" customWidth="1"/>
    <col min="29" max="29" width="11.6640625" style="3" bestFit="1" customWidth="1"/>
    <col min="30" max="30" width="11" style="3" customWidth="1"/>
    <col min="31" max="31" width="12.1640625" style="3" customWidth="1"/>
    <col min="32" max="32" width="12.5" style="3" customWidth="1"/>
    <col min="33" max="33" width="10.6640625" style="3" customWidth="1"/>
    <col min="34" max="34" width="11" style="3" customWidth="1"/>
    <col min="35" max="35" width="13" style="3" customWidth="1"/>
    <col min="36" max="36" width="3.83203125" style="3"/>
    <col min="37" max="37" width="16.83203125" style="3" customWidth="1"/>
    <col min="38" max="38" width="21.83203125" style="3" customWidth="1"/>
    <col min="39" max="16384" width="3.83203125" style="3"/>
  </cols>
  <sheetData>
    <row r="1" spans="1:21" x14ac:dyDescent="0.2">
      <c r="A1" s="3" t="s">
        <v>11</v>
      </c>
      <c r="B1" s="5" t="s">
        <v>44</v>
      </c>
      <c r="F1" s="197" t="s">
        <v>979</v>
      </c>
      <c r="G1" s="197" t="s">
        <v>842</v>
      </c>
      <c r="H1" s="197" t="s">
        <v>841</v>
      </c>
      <c r="I1" s="197" t="s">
        <v>843</v>
      </c>
    </row>
    <row r="2" spans="1:21" x14ac:dyDescent="0.2">
      <c r="A2" s="3" t="s">
        <v>47</v>
      </c>
      <c r="B2" s="5" t="str">
        <f>VLOOKUP(C2,F2:G4,2,FALSE)</f>
        <v>ATTACHMENT CEN-2</v>
      </c>
      <c r="C2" s="214">
        <v>5</v>
      </c>
      <c r="F2" s="347">
        <v>3</v>
      </c>
      <c r="G2" s="197" t="s">
        <v>1144</v>
      </c>
      <c r="H2" s="197" t="s">
        <v>1144</v>
      </c>
      <c r="I2" s="197" t="s">
        <v>587</v>
      </c>
      <c r="J2" s="349">
        <v>1</v>
      </c>
    </row>
    <row r="3" spans="1:21" x14ac:dyDescent="0.2">
      <c r="A3" s="3" t="s">
        <v>1143</v>
      </c>
      <c r="B3" s="5" t="str">
        <f>VLOOKUP(C2,F2:H4,3,FALSE)</f>
        <v>ATTACHMENT CEN-2</v>
      </c>
      <c r="F3" s="347">
        <v>5</v>
      </c>
      <c r="G3" s="197" t="s">
        <v>1145</v>
      </c>
      <c r="H3" s="197" t="s">
        <v>1145</v>
      </c>
      <c r="I3" s="197" t="s">
        <v>840</v>
      </c>
      <c r="J3" s="349">
        <v>0</v>
      </c>
    </row>
    <row r="4" spans="1:21" x14ac:dyDescent="0.2">
      <c r="A4" s="3" t="s">
        <v>53</v>
      </c>
      <c r="B4" s="350" t="s">
        <v>839</v>
      </c>
      <c r="F4" s="347">
        <v>20</v>
      </c>
      <c r="G4" s="197" t="s">
        <v>1146</v>
      </c>
      <c r="H4" s="197" t="s">
        <v>1146</v>
      </c>
      <c r="I4" s="197" t="s">
        <v>1160</v>
      </c>
      <c r="J4" s="349">
        <v>0.5</v>
      </c>
    </row>
    <row r="5" spans="1:21" x14ac:dyDescent="0.2">
      <c r="A5" s="3" t="s">
        <v>56</v>
      </c>
      <c r="B5" s="2" t="s">
        <v>838</v>
      </c>
      <c r="T5" s="26"/>
      <c r="U5" s="26"/>
    </row>
    <row r="6" spans="1:21" x14ac:dyDescent="0.2">
      <c r="A6" s="3" t="s">
        <v>59</v>
      </c>
      <c r="B6" s="2" t="s">
        <v>837</v>
      </c>
    </row>
    <row r="7" spans="1:21" x14ac:dyDescent="0.2">
      <c r="A7" s="3" t="s">
        <v>61</v>
      </c>
      <c r="B7" s="5" t="str">
        <f>VLOOKUP(C2,F2:I4,4,FALSE)</f>
        <v>DEMAND-COMMODITY</v>
      </c>
    </row>
    <row r="8" spans="1:21" x14ac:dyDescent="0.2">
      <c r="A8" s="3" t="s">
        <v>63</v>
      </c>
      <c r="B8" s="29">
        <v>129</v>
      </c>
    </row>
    <row r="9" spans="1:21" x14ac:dyDescent="0.2">
      <c r="A9" s="3" t="s">
        <v>64</v>
      </c>
      <c r="C9" s="5" t="s">
        <v>65</v>
      </c>
      <c r="D9" s="14" t="str">
        <f ca="1">IF(C9="Y",NOW()," ")</f>
        <v xml:space="preserve"> </v>
      </c>
      <c r="E9" s="15" t="str">
        <f ca="1">IF(C9="Y",NOW()," ")</f>
        <v xml:space="preserve"> </v>
      </c>
    </row>
    <row r="10" spans="1:21" x14ac:dyDescent="0.2">
      <c r="A10" s="3" t="s">
        <v>66</v>
      </c>
      <c r="B10" s="351" t="s">
        <v>1151</v>
      </c>
    </row>
    <row r="11" spans="1:21" x14ac:dyDescent="0.2">
      <c r="A11" s="3" t="s">
        <v>407</v>
      </c>
      <c r="B11" s="352" t="s">
        <v>836</v>
      </c>
    </row>
    <row r="12" spans="1:21" x14ac:dyDescent="0.2">
      <c r="B12" s="3" t="s">
        <v>67</v>
      </c>
      <c r="C12" s="353" t="s">
        <v>699</v>
      </c>
    </row>
    <row r="13" spans="1:21" x14ac:dyDescent="0.2">
      <c r="B13" s="3" t="s">
        <v>68</v>
      </c>
      <c r="C13" s="353" t="s">
        <v>485</v>
      </c>
    </row>
    <row r="14" spans="1:21" x14ac:dyDescent="0.2">
      <c r="B14" s="3" t="s">
        <v>69</v>
      </c>
      <c r="C14" s="353" t="s">
        <v>486</v>
      </c>
    </row>
    <row r="15" spans="1:21" x14ac:dyDescent="0.2">
      <c r="B15" s="3" t="s">
        <v>70</v>
      </c>
      <c r="C15" s="353" t="s">
        <v>499</v>
      </c>
    </row>
    <row r="16" spans="1:21" x14ac:dyDescent="0.2">
      <c r="B16" s="3" t="s">
        <v>71</v>
      </c>
      <c r="C16" s="353" t="s">
        <v>632</v>
      </c>
    </row>
    <row r="17" spans="1:21" x14ac:dyDescent="0.2">
      <c r="B17" s="3" t="s">
        <v>72</v>
      </c>
      <c r="C17" s="353" t="s">
        <v>456</v>
      </c>
    </row>
    <row r="18" spans="1:21" x14ac:dyDescent="0.2">
      <c r="B18" s="3" t="s">
        <v>73</v>
      </c>
      <c r="C18" s="353" t="s">
        <v>456</v>
      </c>
    </row>
    <row r="19" spans="1:21" x14ac:dyDescent="0.2">
      <c r="A19" s="16" t="s">
        <v>0</v>
      </c>
      <c r="B19" s="16" t="s">
        <v>0</v>
      </c>
      <c r="C19" s="16" t="s">
        <v>0</v>
      </c>
      <c r="D19" s="16" t="s">
        <v>0</v>
      </c>
    </row>
    <row r="20" spans="1:21" x14ac:dyDescent="0.2">
      <c r="A20" s="3" t="s">
        <v>74</v>
      </c>
    </row>
    <row r="21" spans="1:21" x14ac:dyDescent="0.2">
      <c r="A21" s="16" t="s">
        <v>0</v>
      </c>
      <c r="B21" s="16" t="s">
        <v>0</v>
      </c>
      <c r="C21" s="16" t="s">
        <v>0</v>
      </c>
      <c r="D21" s="16" t="s">
        <v>0</v>
      </c>
      <c r="S21" s="25"/>
      <c r="T21" s="25"/>
    </row>
    <row r="22" spans="1:21" x14ac:dyDescent="0.2">
      <c r="C22" s="325" t="s">
        <v>7</v>
      </c>
      <c r="D22" s="325" t="s">
        <v>8</v>
      </c>
    </row>
    <row r="23" spans="1:21" x14ac:dyDescent="0.2">
      <c r="C23" s="325" t="s">
        <v>10</v>
      </c>
      <c r="D23" s="325" t="s">
        <v>11</v>
      </c>
      <c r="T23" s="30"/>
      <c r="U23" s="30"/>
    </row>
    <row r="24" spans="1:21" x14ac:dyDescent="0.2">
      <c r="A24" s="5" t="s">
        <v>75</v>
      </c>
      <c r="D24" s="354">
        <v>8.4099999999999994E-2</v>
      </c>
    </row>
    <row r="25" spans="1:21" x14ac:dyDescent="0.2">
      <c r="A25" s="5" t="s">
        <v>76</v>
      </c>
      <c r="D25" s="355">
        <v>9.2332899999999999E-3</v>
      </c>
      <c r="S25" s="25"/>
    </row>
    <row r="26" spans="1:21" x14ac:dyDescent="0.2">
      <c r="A26" s="5" t="s">
        <v>77</v>
      </c>
      <c r="D26" s="355">
        <v>9.2332899999999999E-3</v>
      </c>
    </row>
    <row r="27" spans="1:21" x14ac:dyDescent="0.2">
      <c r="A27" s="5" t="s">
        <v>78</v>
      </c>
      <c r="D27" s="356">
        <v>0.35</v>
      </c>
      <c r="S27" s="25"/>
      <c r="T27" s="31"/>
      <c r="U27" s="31"/>
    </row>
    <row r="28" spans="1:21" x14ac:dyDescent="0.2">
      <c r="A28" s="5" t="s">
        <v>79</v>
      </c>
      <c r="D28" s="354">
        <v>0.06</v>
      </c>
    </row>
    <row r="29" spans="1:21" x14ac:dyDescent="0.2">
      <c r="A29" s="5" t="s">
        <v>808</v>
      </c>
      <c r="D29" s="357">
        <f>ROUND((D27+D28)-(D28*D27),3)</f>
        <v>0.38900000000000001</v>
      </c>
    </row>
    <row r="30" spans="1:21" x14ac:dyDescent="0.2">
      <c r="A30" s="5" t="s">
        <v>644</v>
      </c>
      <c r="D30" s="358">
        <f>0.0003+0.0261</f>
        <v>2.6400000000000003E-2</v>
      </c>
      <c r="S30" s="25"/>
      <c r="T30" s="31"/>
      <c r="U30" s="31"/>
    </row>
    <row r="31" spans="1:21" x14ac:dyDescent="0.2">
      <c r="A31" s="5" t="s">
        <v>81</v>
      </c>
      <c r="D31" s="359">
        <v>1.9009999999999999E-3</v>
      </c>
    </row>
    <row r="32" spans="1:21" x14ac:dyDescent="0.2">
      <c r="A32" s="5" t="s">
        <v>82</v>
      </c>
      <c r="D32" s="354">
        <v>0.11</v>
      </c>
      <c r="S32" s="25"/>
      <c r="T32" s="30"/>
      <c r="U32" s="30"/>
    </row>
    <row r="33" spans="1:21" x14ac:dyDescent="0.2">
      <c r="A33" s="5" t="s">
        <v>83</v>
      </c>
      <c r="D33" s="356">
        <v>0.35</v>
      </c>
    </row>
    <row r="34" spans="1:21" x14ac:dyDescent="0.2">
      <c r="A34" s="3" t="s">
        <v>80</v>
      </c>
      <c r="D34" s="360">
        <v>0.48530000000000001</v>
      </c>
    </row>
    <row r="35" spans="1:21" x14ac:dyDescent="0.2">
      <c r="A35" s="185" t="s">
        <v>809</v>
      </c>
      <c r="D35" s="361">
        <f>IF(C2=3,ROUND(ROUND('Min Syst - Mains'!C27/1,5)*J2,5),IF(C2=5,ROUND(ROUND('Min Syst - Mains'!C27/1,5)*J3,5),ROUND(ROUND('Min Syst - Mains'!C27/1,5)*J4,5)))</f>
        <v>0</v>
      </c>
      <c r="S35" s="25"/>
      <c r="T35" s="30"/>
      <c r="U35" s="30"/>
    </row>
    <row r="36" spans="1:21" ht="12" thickBot="1" x14ac:dyDescent="0.25">
      <c r="A36" s="5"/>
      <c r="C36" s="5"/>
      <c r="D36" s="5"/>
      <c r="L36" s="125"/>
      <c r="M36" s="125"/>
    </row>
    <row r="37" spans="1:21" x14ac:dyDescent="0.2">
      <c r="A37" s="192" t="s">
        <v>820</v>
      </c>
      <c r="B37" s="193"/>
      <c r="C37" s="194"/>
      <c r="D37" s="194"/>
      <c r="E37" s="195"/>
      <c r="L37" s="125"/>
      <c r="M37" s="125"/>
    </row>
    <row r="38" spans="1:21" x14ac:dyDescent="0.2">
      <c r="A38" s="196"/>
      <c r="B38" s="197"/>
      <c r="C38" s="198"/>
      <c r="D38" s="198"/>
      <c r="E38" s="199"/>
      <c r="L38" s="125"/>
      <c r="M38" s="125"/>
    </row>
    <row r="39" spans="1:21" x14ac:dyDescent="0.2">
      <c r="A39" s="200" t="s">
        <v>27</v>
      </c>
      <c r="B39" s="201"/>
      <c r="C39" s="201"/>
      <c r="D39" s="201"/>
      <c r="E39" s="212">
        <v>1</v>
      </c>
      <c r="L39" s="125"/>
      <c r="M39" s="125"/>
    </row>
    <row r="40" spans="1:21" x14ac:dyDescent="0.2">
      <c r="A40" s="200" t="s">
        <v>821</v>
      </c>
      <c r="B40" s="201"/>
      <c r="C40" s="201"/>
      <c r="D40" s="201"/>
      <c r="E40" s="212">
        <f>D26</f>
        <v>9.2332899999999999E-3</v>
      </c>
      <c r="L40" s="125"/>
      <c r="M40" s="125"/>
    </row>
    <row r="41" spans="1:21" x14ac:dyDescent="0.2">
      <c r="A41" s="200" t="s">
        <v>822</v>
      </c>
      <c r="B41" s="201"/>
      <c r="C41" s="201"/>
      <c r="D41" s="201"/>
      <c r="E41" s="213">
        <f>D31</f>
        <v>1.9009999999999999E-3</v>
      </c>
      <c r="L41" s="125"/>
      <c r="M41" s="125"/>
    </row>
    <row r="42" spans="1:21" x14ac:dyDescent="0.2">
      <c r="A42" s="200" t="s">
        <v>823</v>
      </c>
      <c r="B42" s="201"/>
      <c r="C42" s="201"/>
      <c r="D42" s="201"/>
      <c r="E42" s="202">
        <f>E39-E40-E41</f>
        <v>0.98886571000000001</v>
      </c>
      <c r="L42" s="125"/>
      <c r="M42" s="125"/>
    </row>
    <row r="43" spans="1:21" x14ac:dyDescent="0.2">
      <c r="A43" s="200" t="s">
        <v>824</v>
      </c>
      <c r="B43" s="201"/>
      <c r="C43" s="203">
        <f>D28</f>
        <v>0.06</v>
      </c>
      <c r="D43" s="201"/>
      <c r="E43" s="204">
        <f>ROUND(E42*C43,8)</f>
        <v>5.933194E-2</v>
      </c>
      <c r="L43" s="125"/>
      <c r="M43" s="125"/>
    </row>
    <row r="44" spans="1:21" x14ac:dyDescent="0.2">
      <c r="A44" s="200" t="s">
        <v>825</v>
      </c>
      <c r="B44" s="201"/>
      <c r="C44" s="201"/>
      <c r="D44" s="201"/>
      <c r="E44" s="202">
        <f>(E42-E43)</f>
        <v>0.92953377000000004</v>
      </c>
      <c r="L44" s="125"/>
      <c r="M44" s="125"/>
    </row>
    <row r="45" spans="1:21" x14ac:dyDescent="0.2">
      <c r="A45" s="200" t="s">
        <v>424</v>
      </c>
      <c r="B45" s="201"/>
      <c r="C45" s="205">
        <f>D33</f>
        <v>0.35</v>
      </c>
      <c r="D45" s="201"/>
      <c r="E45" s="206">
        <f>ROUND(E44*C45,8)</f>
        <v>0.32533682000000003</v>
      </c>
      <c r="L45" s="125"/>
      <c r="M45" s="125"/>
    </row>
    <row r="46" spans="1:21" x14ac:dyDescent="0.2">
      <c r="A46" s="200" t="s">
        <v>826</v>
      </c>
      <c r="B46" s="201"/>
      <c r="C46" s="201"/>
      <c r="D46" s="201"/>
      <c r="E46" s="202">
        <f>E44-E45</f>
        <v>0.60419694999999995</v>
      </c>
      <c r="L46" s="125"/>
      <c r="M46" s="125"/>
    </row>
    <row r="47" spans="1:21" x14ac:dyDescent="0.2">
      <c r="A47" s="207"/>
      <c r="B47" s="201"/>
      <c r="C47" s="201"/>
      <c r="D47" s="201"/>
      <c r="E47" s="208"/>
      <c r="L47" s="125"/>
      <c r="M47" s="125"/>
    </row>
    <row r="48" spans="1:21" x14ac:dyDescent="0.2">
      <c r="A48" s="200" t="s">
        <v>827</v>
      </c>
      <c r="B48" s="201"/>
      <c r="C48" s="201"/>
      <c r="D48" s="201"/>
      <c r="E48" s="208"/>
      <c r="L48" s="125"/>
      <c r="M48" s="125"/>
    </row>
    <row r="49" spans="1:15" ht="12" thickBot="1" x14ac:dyDescent="0.25">
      <c r="A49" s="209" t="s">
        <v>828</v>
      </c>
      <c r="B49" s="210"/>
      <c r="C49" s="210"/>
      <c r="D49" s="210"/>
      <c r="E49" s="211">
        <f>ROUND(1/E46,9)</f>
        <v>1.6550894540000001</v>
      </c>
      <c r="L49" s="125"/>
      <c r="M49" s="125"/>
    </row>
    <row r="50" spans="1:15" x14ac:dyDescent="0.2">
      <c r="A50" s="5"/>
      <c r="C50" s="5"/>
      <c r="D50" s="5"/>
      <c r="L50" s="125"/>
      <c r="M50" s="125"/>
    </row>
    <row r="51" spans="1:15" x14ac:dyDescent="0.2">
      <c r="A51" s="5"/>
      <c r="C51" s="5"/>
      <c r="D51" s="5"/>
      <c r="L51" s="125"/>
      <c r="M51" s="125"/>
    </row>
    <row r="52" spans="1:15" x14ac:dyDescent="0.2">
      <c r="A52" s="16" t="s">
        <v>0</v>
      </c>
      <c r="B52" s="16" t="s">
        <v>0</v>
      </c>
      <c r="C52" s="16" t="s">
        <v>0</v>
      </c>
      <c r="D52" s="16" t="s">
        <v>0</v>
      </c>
      <c r="E52" s="16" t="s">
        <v>0</v>
      </c>
      <c r="F52" s="16" t="s">
        <v>0</v>
      </c>
      <c r="G52" s="16" t="s">
        <v>0</v>
      </c>
      <c r="H52" s="16" t="s">
        <v>0</v>
      </c>
      <c r="I52" s="16" t="s">
        <v>0</v>
      </c>
      <c r="J52" s="16" t="s">
        <v>0</v>
      </c>
      <c r="K52" s="16"/>
      <c r="L52" s="128"/>
      <c r="M52" s="128"/>
    </row>
    <row r="53" spans="1:15" x14ac:dyDescent="0.2">
      <c r="A53" s="3" t="s">
        <v>85</v>
      </c>
      <c r="L53" s="125"/>
      <c r="M53" s="125"/>
    </row>
    <row r="54" spans="1:15" x14ac:dyDescent="0.2">
      <c r="A54" s="16" t="s">
        <v>0</v>
      </c>
      <c r="B54" s="16" t="s">
        <v>0</v>
      </c>
      <c r="C54" s="16" t="s">
        <v>0</v>
      </c>
      <c r="D54" s="16" t="s">
        <v>0</v>
      </c>
      <c r="E54" s="16" t="s">
        <v>0</v>
      </c>
      <c r="F54" s="16" t="s">
        <v>0</v>
      </c>
      <c r="G54" s="16" t="s">
        <v>0</v>
      </c>
      <c r="H54" s="16" t="s">
        <v>0</v>
      </c>
      <c r="I54" s="16" t="s">
        <v>0</v>
      </c>
      <c r="J54" s="16" t="s">
        <v>0</v>
      </c>
      <c r="K54" s="16"/>
      <c r="L54" s="128"/>
      <c r="M54" s="128"/>
    </row>
    <row r="55" spans="1:15" x14ac:dyDescent="0.2">
      <c r="D55" s="325" t="s">
        <v>8</v>
      </c>
      <c r="K55" s="5"/>
      <c r="L55" s="132"/>
      <c r="M55" s="132"/>
      <c r="N55" s="5"/>
      <c r="O55" s="5"/>
    </row>
    <row r="56" spans="1:15" x14ac:dyDescent="0.2">
      <c r="D56" s="325" t="s">
        <v>11</v>
      </c>
      <c r="E56" s="3" t="str">
        <f>$C$12</f>
        <v>GS-RESIDENTIAL</v>
      </c>
      <c r="F56" s="3" t="str">
        <f>$C$13</f>
        <v>GS-OTHER</v>
      </c>
      <c r="G56" s="3" t="str">
        <f>$C$14</f>
        <v>IUS</v>
      </c>
      <c r="H56" s="3" t="str">
        <f>$C$15</f>
        <v>DS-ML</v>
      </c>
      <c r="I56" s="3" t="str">
        <f>$C$16</f>
        <v>DS/IS</v>
      </c>
      <c r="J56" s="3" t="str">
        <f>$C$17</f>
        <v>NOT USED</v>
      </c>
      <c r="K56" s="3" t="str">
        <f>$C$18</f>
        <v>NOT USED</v>
      </c>
      <c r="L56" s="125"/>
      <c r="M56" s="125"/>
    </row>
    <row r="57" spans="1:15" x14ac:dyDescent="0.2">
      <c r="A57" s="5" t="s">
        <v>86</v>
      </c>
      <c r="D57" s="3">
        <f>SUM(E57:M57)</f>
        <v>23816710.600000001</v>
      </c>
      <c r="E57" s="5">
        <f>'Sales &amp; Rev'!D41</f>
        <v>7960000.1000000006</v>
      </c>
      <c r="F57" s="5">
        <f>'Sales &amp; Rev'!E41</f>
        <v>5750963.4000000004</v>
      </c>
      <c r="G57" s="5">
        <f>'Sales &amp; Rev'!F41</f>
        <v>11320.699999999999</v>
      </c>
      <c r="H57" s="5">
        <v>0</v>
      </c>
      <c r="I57" s="5">
        <f>'Sales &amp; Rev'!H41</f>
        <v>10094426.4</v>
      </c>
      <c r="J57" s="5">
        <f>'Sales &amp; Rev'!I41</f>
        <v>0</v>
      </c>
      <c r="K57" s="5">
        <f>'Sales &amp; Rev'!J41</f>
        <v>0</v>
      </c>
      <c r="L57" s="132"/>
      <c r="M57" s="132"/>
    </row>
    <row r="58" spans="1:15" x14ac:dyDescent="0.2">
      <c r="A58" s="5" t="s">
        <v>87</v>
      </c>
      <c r="D58" s="3">
        <f>SUM(E58:M58)</f>
        <v>308200</v>
      </c>
      <c r="E58" s="5">
        <f>'Design Day'!C31</f>
        <v>137300</v>
      </c>
      <c r="F58" s="5">
        <f>'Design Day'!D31</f>
        <v>88300</v>
      </c>
      <c r="G58" s="5">
        <f>'Design Day'!E31</f>
        <v>200</v>
      </c>
      <c r="H58" s="5">
        <f>'Design Day'!F31</f>
        <v>0</v>
      </c>
      <c r="I58" s="5">
        <f>'Design Day'!G31</f>
        <v>82400</v>
      </c>
      <c r="J58" s="5">
        <f>'Design Day'!H31</f>
        <v>0</v>
      </c>
      <c r="K58" s="5">
        <f>'Design Day'!I31</f>
        <v>0</v>
      </c>
      <c r="L58" s="132"/>
      <c r="M58" s="132"/>
    </row>
    <row r="59" spans="1:15" x14ac:dyDescent="0.2">
      <c r="A59" s="5" t="s">
        <v>554</v>
      </c>
      <c r="D59" s="3">
        <f>SUM(E59:M59)</f>
        <v>225300</v>
      </c>
      <c r="E59" s="5">
        <f>'Design Day'!C45</f>
        <v>137300</v>
      </c>
      <c r="F59" s="5">
        <f>'Design Day'!D45</f>
        <v>83900</v>
      </c>
      <c r="G59" s="5">
        <f>'Design Day'!E45</f>
        <v>200</v>
      </c>
      <c r="H59" s="5">
        <f>'Design Day'!F45</f>
        <v>0</v>
      </c>
      <c r="I59" s="5">
        <f>'Design Day'!G45</f>
        <v>3900</v>
      </c>
      <c r="J59" s="5">
        <f>'Design Day'!H31</f>
        <v>0</v>
      </c>
      <c r="K59" s="5">
        <f>'Design Day'!I31</f>
        <v>0</v>
      </c>
      <c r="L59" s="132"/>
      <c r="M59" s="132"/>
    </row>
    <row r="60" spans="1:15" x14ac:dyDescent="0.2">
      <c r="A60" s="5" t="s">
        <v>88</v>
      </c>
      <c r="D60" s="3">
        <f>SUM(E60:M60)</f>
        <v>135979</v>
      </c>
      <c r="E60" s="5">
        <f>Customers!D39</f>
        <v>121915</v>
      </c>
      <c r="F60" s="5">
        <f>Customers!E39</f>
        <v>13977</v>
      </c>
      <c r="G60" s="5">
        <f>Customers!F39</f>
        <v>2</v>
      </c>
      <c r="H60" s="5">
        <f>Customers!G39</f>
        <v>6</v>
      </c>
      <c r="I60" s="5">
        <f>Customers!H39</f>
        <v>79</v>
      </c>
      <c r="J60" s="5">
        <f>Customers!I39</f>
        <v>0</v>
      </c>
      <c r="K60" s="5">
        <f>Customers!J39</f>
        <v>0</v>
      </c>
      <c r="L60" s="132"/>
      <c r="M60" s="132"/>
    </row>
    <row r="61" spans="1:15" x14ac:dyDescent="0.2">
      <c r="A61" s="5"/>
      <c r="E61" s="5"/>
      <c r="F61" s="5"/>
      <c r="G61" s="5"/>
      <c r="H61" s="5"/>
      <c r="I61" s="5"/>
      <c r="J61" s="5"/>
      <c r="K61" s="5"/>
      <c r="L61" s="132"/>
      <c r="M61" s="132"/>
      <c r="N61" s="5"/>
      <c r="O61" s="5"/>
    </row>
    <row r="62" spans="1:15" x14ac:dyDescent="0.2">
      <c r="K62" s="5"/>
      <c r="L62" s="132"/>
      <c r="M62" s="132"/>
      <c r="N62" s="5"/>
      <c r="O62" s="5"/>
    </row>
    <row r="63" spans="1:15" x14ac:dyDescent="0.2">
      <c r="A63" s="16" t="s">
        <v>0</v>
      </c>
      <c r="B63" s="16" t="s">
        <v>0</v>
      </c>
      <c r="C63" s="16" t="s">
        <v>0</v>
      </c>
      <c r="D63" s="16" t="s">
        <v>0</v>
      </c>
      <c r="E63" s="16" t="s">
        <v>0</v>
      </c>
      <c r="F63" s="16" t="s">
        <v>0</v>
      </c>
      <c r="G63" s="16" t="s">
        <v>0</v>
      </c>
      <c r="H63" s="16" t="s">
        <v>0</v>
      </c>
      <c r="I63" s="16" t="s">
        <v>0</v>
      </c>
      <c r="J63" s="16" t="s">
        <v>0</v>
      </c>
      <c r="K63" s="16" t="s">
        <v>0</v>
      </c>
      <c r="L63" s="128"/>
      <c r="M63" s="128"/>
    </row>
    <row r="64" spans="1:15" x14ac:dyDescent="0.2">
      <c r="A64" s="3" t="s">
        <v>89</v>
      </c>
      <c r="L64" s="125"/>
      <c r="M64" s="125"/>
    </row>
    <row r="65" spans="1:15" x14ac:dyDescent="0.2">
      <c r="A65" s="16" t="s">
        <v>0</v>
      </c>
      <c r="B65" s="16" t="s">
        <v>0</v>
      </c>
      <c r="C65" s="16" t="s">
        <v>0</v>
      </c>
      <c r="D65" s="16" t="s">
        <v>0</v>
      </c>
      <c r="E65" s="16" t="s">
        <v>0</v>
      </c>
      <c r="F65" s="16" t="s">
        <v>0</v>
      </c>
      <c r="G65" s="16" t="s">
        <v>0</v>
      </c>
      <c r="H65" s="16" t="s">
        <v>0</v>
      </c>
      <c r="I65" s="16" t="s">
        <v>0</v>
      </c>
      <c r="J65" s="16" t="s">
        <v>0</v>
      </c>
      <c r="K65" s="16" t="s">
        <v>0</v>
      </c>
      <c r="L65" s="128"/>
      <c r="M65" s="128"/>
    </row>
    <row r="66" spans="1:15" x14ac:dyDescent="0.2">
      <c r="A66" s="32" t="s">
        <v>91</v>
      </c>
      <c r="C66" s="325" t="s">
        <v>92</v>
      </c>
      <c r="D66" s="325" t="s">
        <v>8</v>
      </c>
      <c r="L66" s="125"/>
      <c r="M66" s="125"/>
    </row>
    <row r="67" spans="1:15" x14ac:dyDescent="0.2">
      <c r="A67" s="32" t="s">
        <v>94</v>
      </c>
      <c r="C67" s="325" t="s">
        <v>10</v>
      </c>
      <c r="D67" s="325" t="s">
        <v>11</v>
      </c>
      <c r="E67" s="3" t="str">
        <f>$C$12</f>
        <v>GS-RESIDENTIAL</v>
      </c>
      <c r="F67" s="3" t="str">
        <f>$C$13</f>
        <v>GS-OTHER</v>
      </c>
      <c r="G67" s="325" t="str">
        <f>$C$14</f>
        <v>IUS</v>
      </c>
      <c r="H67" s="3" t="str">
        <f>$C$15</f>
        <v>DS-ML</v>
      </c>
      <c r="I67" s="3" t="str">
        <f>$C$16</f>
        <v>DS/IS</v>
      </c>
      <c r="J67" s="3" t="str">
        <f>$C$17</f>
        <v>NOT USED</v>
      </c>
      <c r="K67" s="3" t="str">
        <f>$C$18</f>
        <v>NOT USED</v>
      </c>
      <c r="L67" s="125"/>
      <c r="M67" s="125"/>
    </row>
    <row r="68" spans="1:15" x14ac:dyDescent="0.2">
      <c r="A68" s="123">
        <v>151</v>
      </c>
      <c r="B68" s="2" t="s">
        <v>95</v>
      </c>
      <c r="C68" s="2">
        <v>2</v>
      </c>
      <c r="D68" s="2">
        <v>0</v>
      </c>
      <c r="L68" s="125"/>
      <c r="M68" s="125"/>
    </row>
    <row r="69" spans="1:15" x14ac:dyDescent="0.2">
      <c r="A69" s="123">
        <v>190</v>
      </c>
      <c r="B69" s="2" t="s">
        <v>96</v>
      </c>
      <c r="C69" s="2">
        <v>19</v>
      </c>
      <c r="D69" s="2">
        <v>5385972.865384616</v>
      </c>
      <c r="L69" s="125"/>
      <c r="M69" s="125"/>
    </row>
    <row r="70" spans="1:15" x14ac:dyDescent="0.2">
      <c r="A70" s="123">
        <v>252</v>
      </c>
      <c r="B70" s="2" t="s">
        <v>97</v>
      </c>
      <c r="C70" s="2">
        <f>C2</f>
        <v>5</v>
      </c>
      <c r="D70" s="2">
        <v>0</v>
      </c>
      <c r="E70" s="5"/>
      <c r="F70" s="5"/>
      <c r="G70" s="5"/>
      <c r="H70" s="5"/>
      <c r="I70" s="5"/>
      <c r="J70" s="5"/>
      <c r="K70" s="5"/>
      <c r="L70" s="125"/>
      <c r="M70" s="132"/>
    </row>
    <row r="71" spans="1:15" x14ac:dyDescent="0.2">
      <c r="A71" s="123">
        <v>255</v>
      </c>
      <c r="B71" s="2" t="s">
        <v>98</v>
      </c>
      <c r="C71" s="2">
        <v>19</v>
      </c>
      <c r="D71" s="2">
        <v>0</v>
      </c>
    </row>
    <row r="72" spans="1:15" x14ac:dyDescent="0.2">
      <c r="A72" s="123">
        <v>282</v>
      </c>
      <c r="B72" s="2" t="s">
        <v>96</v>
      </c>
      <c r="C72" s="2">
        <v>19</v>
      </c>
      <c r="D72" s="2">
        <v>86167687</v>
      </c>
    </row>
    <row r="73" spans="1:15" x14ac:dyDescent="0.2">
      <c r="A73" s="123">
        <v>283</v>
      </c>
      <c r="B73" s="2" t="s">
        <v>96</v>
      </c>
      <c r="C73" s="2">
        <v>19</v>
      </c>
      <c r="D73" s="2">
        <v>0</v>
      </c>
    </row>
    <row r="74" spans="1:15" x14ac:dyDescent="0.2">
      <c r="A74" s="123">
        <v>154</v>
      </c>
      <c r="B74" s="2" t="s">
        <v>99</v>
      </c>
      <c r="C74" s="2">
        <v>7</v>
      </c>
      <c r="D74" s="2">
        <v>82011</v>
      </c>
    </row>
    <row r="75" spans="1:15" x14ac:dyDescent="0.2">
      <c r="A75" s="123">
        <v>165</v>
      </c>
      <c r="B75" s="2" t="s">
        <v>100</v>
      </c>
      <c r="C75" s="2">
        <v>13</v>
      </c>
      <c r="D75" s="2">
        <v>469518</v>
      </c>
    </row>
    <row r="76" spans="1:15" x14ac:dyDescent="0.2">
      <c r="A76" s="123">
        <v>164</v>
      </c>
      <c r="B76" s="2" t="s">
        <v>101</v>
      </c>
      <c r="C76" s="2">
        <v>2</v>
      </c>
      <c r="D76" s="2">
        <v>41772551</v>
      </c>
    </row>
    <row r="77" spans="1:15" x14ac:dyDescent="0.2">
      <c r="A77" s="123" t="s">
        <v>2</v>
      </c>
      <c r="B77" s="2" t="s">
        <v>2</v>
      </c>
      <c r="C77" s="2"/>
      <c r="D77" s="2"/>
    </row>
    <row r="78" spans="1:15" x14ac:dyDescent="0.2">
      <c r="A78" s="1"/>
      <c r="B78" s="2" t="s">
        <v>2</v>
      </c>
      <c r="C78" s="2"/>
      <c r="D78" s="2"/>
    </row>
    <row r="80" spans="1:15" x14ac:dyDescent="0.2">
      <c r="A80" s="16" t="s">
        <v>0</v>
      </c>
      <c r="B80" s="16" t="s">
        <v>0</v>
      </c>
      <c r="C80" s="16" t="s">
        <v>0</v>
      </c>
      <c r="D80" s="16" t="s">
        <v>0</v>
      </c>
      <c r="E80" s="16" t="s">
        <v>0</v>
      </c>
      <c r="F80" s="16" t="s">
        <v>0</v>
      </c>
      <c r="G80" s="16" t="s">
        <v>0</v>
      </c>
      <c r="H80" s="16" t="s">
        <v>0</v>
      </c>
      <c r="I80" s="16" t="s">
        <v>0</v>
      </c>
      <c r="J80" s="16" t="s">
        <v>0</v>
      </c>
      <c r="K80" s="16" t="s">
        <v>0</v>
      </c>
      <c r="L80" s="16" t="s">
        <v>0</v>
      </c>
      <c r="M80" s="16" t="s">
        <v>0</v>
      </c>
      <c r="N80" s="16"/>
      <c r="O80" s="16"/>
    </row>
    <row r="81" spans="1:15" x14ac:dyDescent="0.2">
      <c r="A81" s="3" t="s">
        <v>102</v>
      </c>
    </row>
    <row r="82" spans="1:15" x14ac:dyDescent="0.2">
      <c r="A82" s="16" t="s">
        <v>0</v>
      </c>
      <c r="B82" s="16" t="s">
        <v>0</v>
      </c>
      <c r="C82" s="16" t="s">
        <v>0</v>
      </c>
      <c r="D82" s="16" t="s">
        <v>0</v>
      </c>
      <c r="E82" s="16" t="s">
        <v>0</v>
      </c>
      <c r="F82" s="16" t="s">
        <v>0</v>
      </c>
      <c r="G82" s="16" t="s">
        <v>0</v>
      </c>
      <c r="H82" s="16" t="s">
        <v>0</v>
      </c>
      <c r="I82" s="16" t="s">
        <v>0</v>
      </c>
      <c r="J82" s="16" t="s">
        <v>0</v>
      </c>
      <c r="K82" s="16" t="s">
        <v>0</v>
      </c>
      <c r="L82" s="16" t="s">
        <v>0</v>
      </c>
      <c r="M82" s="16" t="s">
        <v>0</v>
      </c>
      <c r="N82" s="16"/>
      <c r="O82" s="16"/>
    </row>
    <row r="83" spans="1:15" x14ac:dyDescent="0.2">
      <c r="C83" s="325" t="s">
        <v>92</v>
      </c>
      <c r="D83" s="325" t="s">
        <v>103</v>
      </c>
      <c r="E83" s="325" t="s">
        <v>104</v>
      </c>
      <c r="F83" s="325"/>
    </row>
    <row r="84" spans="1:15" x14ac:dyDescent="0.2">
      <c r="C84" s="325" t="s">
        <v>10</v>
      </c>
      <c r="D84" s="325" t="s">
        <v>105</v>
      </c>
      <c r="E84" s="325" t="s">
        <v>105</v>
      </c>
      <c r="G84" s="3" t="str">
        <f>$C$12</f>
        <v>GS-RESIDENTIAL</v>
      </c>
      <c r="H84" s="3" t="str">
        <f>$C$13</f>
        <v>GS-OTHER</v>
      </c>
      <c r="I84" s="325" t="str">
        <f>$C$14</f>
        <v>IUS</v>
      </c>
      <c r="J84" s="3" t="str">
        <f>$C$15</f>
        <v>DS-ML</v>
      </c>
      <c r="K84" s="3" t="str">
        <f>$C$16</f>
        <v>DS/IS</v>
      </c>
      <c r="L84" s="3" t="str">
        <f>$C$17</f>
        <v>NOT USED</v>
      </c>
      <c r="M84" s="3" t="str">
        <f>$C$18</f>
        <v>NOT USED</v>
      </c>
    </row>
    <row r="85" spans="1:15" x14ac:dyDescent="0.2">
      <c r="A85" s="3" t="s">
        <v>106</v>
      </c>
    </row>
    <row r="86" spans="1:15" x14ac:dyDescent="0.2">
      <c r="A86" s="33">
        <v>301</v>
      </c>
      <c r="B86" s="5" t="s">
        <v>107</v>
      </c>
      <c r="C86" s="2">
        <v>7</v>
      </c>
      <c r="D86" s="2">
        <v>521</v>
      </c>
      <c r="E86" s="2">
        <v>0</v>
      </c>
      <c r="F86" s="2"/>
    </row>
    <row r="87" spans="1:15" x14ac:dyDescent="0.2">
      <c r="A87" s="33">
        <v>303</v>
      </c>
      <c r="B87" s="5" t="s">
        <v>565</v>
      </c>
      <c r="C87" s="2">
        <v>7</v>
      </c>
      <c r="D87" s="2">
        <v>74348</v>
      </c>
      <c r="E87" s="2">
        <v>0</v>
      </c>
      <c r="F87" s="2"/>
    </row>
    <row r="88" spans="1:15" x14ac:dyDescent="0.2">
      <c r="A88" s="33">
        <v>303.10000000000002</v>
      </c>
      <c r="B88" s="5" t="s">
        <v>108</v>
      </c>
      <c r="C88" s="2">
        <v>7</v>
      </c>
      <c r="D88" s="2">
        <v>0</v>
      </c>
      <c r="E88" s="2">
        <v>0</v>
      </c>
      <c r="F88" s="2"/>
    </row>
    <row r="89" spans="1:15" x14ac:dyDescent="0.2">
      <c r="A89" s="33">
        <v>303.2</v>
      </c>
      <c r="B89" s="5" t="s">
        <v>109</v>
      </c>
      <c r="C89" s="2">
        <v>7</v>
      </c>
      <c r="D89" s="2">
        <v>0</v>
      </c>
      <c r="E89" s="2">
        <v>0</v>
      </c>
      <c r="F89" s="2"/>
    </row>
    <row r="90" spans="1:15" x14ac:dyDescent="0.2">
      <c r="A90" s="33">
        <v>303.3</v>
      </c>
      <c r="B90" s="5" t="s">
        <v>566</v>
      </c>
      <c r="C90" s="2">
        <v>7</v>
      </c>
      <c r="D90" s="2">
        <v>8341319</v>
      </c>
      <c r="E90" s="2">
        <v>0</v>
      </c>
      <c r="F90" s="2"/>
    </row>
    <row r="91" spans="1:15" x14ac:dyDescent="0.2">
      <c r="A91" s="3" t="s">
        <v>110</v>
      </c>
      <c r="C91" s="1"/>
      <c r="D91" s="1"/>
      <c r="E91" s="1"/>
      <c r="F91" s="2"/>
    </row>
    <row r="92" spans="1:15" x14ac:dyDescent="0.2">
      <c r="A92" s="33">
        <v>304.10000000000002</v>
      </c>
      <c r="B92" s="5" t="s">
        <v>111</v>
      </c>
      <c r="C92" s="2">
        <v>2</v>
      </c>
      <c r="D92" s="2">
        <v>0</v>
      </c>
      <c r="E92" s="2">
        <v>0</v>
      </c>
      <c r="F92" s="2"/>
    </row>
    <row r="93" spans="1:15" x14ac:dyDescent="0.2">
      <c r="A93" s="33">
        <v>305</v>
      </c>
      <c r="B93" s="5" t="s">
        <v>112</v>
      </c>
      <c r="C93" s="2">
        <v>2</v>
      </c>
      <c r="D93" s="2">
        <v>0</v>
      </c>
      <c r="E93" s="2">
        <v>0</v>
      </c>
      <c r="F93" s="2"/>
    </row>
    <row r="94" spans="1:15" x14ac:dyDescent="0.2">
      <c r="A94" s="33">
        <v>311</v>
      </c>
      <c r="B94" s="5" t="s">
        <v>113</v>
      </c>
      <c r="C94" s="2">
        <v>2</v>
      </c>
      <c r="D94" s="2">
        <v>0</v>
      </c>
      <c r="E94" s="2">
        <v>0</v>
      </c>
      <c r="F94" s="2"/>
    </row>
    <row r="95" spans="1:15" x14ac:dyDescent="0.2">
      <c r="A95" s="25" t="s">
        <v>114</v>
      </c>
      <c r="C95" s="1"/>
      <c r="D95" s="1"/>
      <c r="E95" s="1"/>
      <c r="F95" s="2"/>
      <c r="G95" s="5"/>
      <c r="H95" s="5"/>
      <c r="I95" s="5"/>
      <c r="J95" s="5"/>
      <c r="K95" s="5"/>
    </row>
    <row r="96" spans="1:15" x14ac:dyDescent="0.2">
      <c r="A96" s="35">
        <v>374.1</v>
      </c>
      <c r="B96" s="5" t="s">
        <v>115</v>
      </c>
      <c r="C96" s="2">
        <f t="shared" ref="C96:C102" si="0">$C$2</f>
        <v>5</v>
      </c>
      <c r="D96" s="2">
        <v>206</v>
      </c>
      <c r="E96" s="2">
        <v>0</v>
      </c>
      <c r="F96" s="2"/>
      <c r="G96" s="5"/>
      <c r="H96" s="5"/>
      <c r="I96" s="5"/>
      <c r="J96" s="5"/>
      <c r="K96" s="5"/>
    </row>
    <row r="97" spans="1:15" x14ac:dyDescent="0.2">
      <c r="A97" s="35">
        <v>374.2</v>
      </c>
      <c r="B97" s="5" t="s">
        <v>116</v>
      </c>
      <c r="C97" s="2">
        <f t="shared" si="0"/>
        <v>5</v>
      </c>
      <c r="D97" s="2">
        <v>877756</v>
      </c>
      <c r="E97" s="2">
        <v>0</v>
      </c>
      <c r="F97" s="2"/>
      <c r="G97" s="5"/>
      <c r="H97" s="5"/>
      <c r="I97" s="5"/>
      <c r="J97" s="5"/>
      <c r="K97" s="5"/>
    </row>
    <row r="98" spans="1:15" x14ac:dyDescent="0.2">
      <c r="A98" s="35">
        <v>374.4</v>
      </c>
      <c r="B98" s="5" t="s">
        <v>117</v>
      </c>
      <c r="C98" s="2">
        <f t="shared" si="0"/>
        <v>5</v>
      </c>
      <c r="D98" s="2">
        <v>661306</v>
      </c>
      <c r="E98" s="2">
        <v>0</v>
      </c>
      <c r="F98" s="2"/>
      <c r="G98" s="5"/>
      <c r="H98" s="5"/>
      <c r="I98" s="5"/>
      <c r="J98" s="5"/>
      <c r="K98" s="5"/>
    </row>
    <row r="99" spans="1:15" x14ac:dyDescent="0.2">
      <c r="A99" s="35">
        <v>374.5</v>
      </c>
      <c r="B99" s="5" t="s">
        <v>118</v>
      </c>
      <c r="C99" s="2">
        <f t="shared" si="0"/>
        <v>5</v>
      </c>
      <c r="D99" s="2">
        <v>2729828</v>
      </c>
      <c r="E99" s="2">
        <v>0</v>
      </c>
      <c r="F99" s="2"/>
      <c r="G99" s="5"/>
      <c r="H99" s="5"/>
      <c r="I99" s="5"/>
      <c r="J99" s="5"/>
      <c r="K99" s="5"/>
      <c r="L99" s="5"/>
      <c r="M99" s="5"/>
      <c r="N99" s="5"/>
      <c r="O99" s="5"/>
    </row>
    <row r="100" spans="1:15" x14ac:dyDescent="0.2">
      <c r="A100" s="35">
        <v>375.2</v>
      </c>
      <c r="B100" s="5" t="s">
        <v>119</v>
      </c>
      <c r="C100" s="2">
        <f t="shared" si="0"/>
        <v>5</v>
      </c>
      <c r="D100" s="2">
        <v>2125</v>
      </c>
      <c r="E100" s="2">
        <v>0</v>
      </c>
      <c r="F100" s="2"/>
      <c r="G100" s="5"/>
      <c r="H100" s="5"/>
      <c r="I100" s="5"/>
      <c r="J100" s="5"/>
      <c r="K100" s="5"/>
      <c r="L100" s="5"/>
      <c r="M100" s="5"/>
      <c r="N100" s="5"/>
      <c r="O100" s="5"/>
    </row>
    <row r="101" spans="1:15" x14ac:dyDescent="0.2">
      <c r="A101" s="35">
        <v>375.3</v>
      </c>
      <c r="B101" s="5" t="s">
        <v>120</v>
      </c>
      <c r="C101" s="2">
        <f t="shared" si="0"/>
        <v>5</v>
      </c>
      <c r="D101" s="2">
        <v>0</v>
      </c>
      <c r="E101" s="2">
        <v>0</v>
      </c>
      <c r="F101" s="2"/>
    </row>
    <row r="102" spans="1:15" x14ac:dyDescent="0.2">
      <c r="A102" s="35">
        <v>375.4</v>
      </c>
      <c r="B102" s="5" t="s">
        <v>121</v>
      </c>
      <c r="C102" s="2">
        <f t="shared" si="0"/>
        <v>5</v>
      </c>
      <c r="D102" s="2">
        <v>2222897</v>
      </c>
      <c r="E102" s="2">
        <v>0</v>
      </c>
      <c r="F102" s="2"/>
      <c r="G102" s="5"/>
      <c r="H102" s="5"/>
      <c r="I102" s="5"/>
      <c r="J102" s="5">
        <v>46210.76</v>
      </c>
      <c r="K102" s="5"/>
      <c r="L102" s="5"/>
      <c r="M102" s="5"/>
      <c r="N102" s="5"/>
      <c r="O102" s="5"/>
    </row>
    <row r="103" spans="1:15" x14ac:dyDescent="0.2">
      <c r="A103" s="35">
        <v>375.6</v>
      </c>
      <c r="B103" s="5" t="s">
        <v>122</v>
      </c>
      <c r="C103" s="2">
        <v>8</v>
      </c>
      <c r="D103" s="2">
        <v>0</v>
      </c>
      <c r="E103" s="2">
        <v>0</v>
      </c>
      <c r="F103" s="2"/>
      <c r="H103" s="5"/>
      <c r="I103" s="5"/>
      <c r="J103" s="5"/>
      <c r="K103" s="5"/>
      <c r="L103" s="5"/>
      <c r="M103" s="5"/>
      <c r="N103" s="5"/>
      <c r="O103" s="5"/>
    </row>
    <row r="104" spans="1:15" x14ac:dyDescent="0.2">
      <c r="A104" s="35">
        <v>375.7</v>
      </c>
      <c r="B104" s="5" t="s">
        <v>123</v>
      </c>
      <c r="C104" s="2">
        <v>7</v>
      </c>
      <c r="D104" s="2">
        <v>8761416</v>
      </c>
      <c r="E104" s="2">
        <v>0</v>
      </c>
      <c r="F104" s="2"/>
      <c r="G104" s="5"/>
    </row>
    <row r="105" spans="1:15" x14ac:dyDescent="0.2">
      <c r="A105" s="35">
        <v>375.71</v>
      </c>
      <c r="B105" s="5" t="s">
        <v>124</v>
      </c>
      <c r="C105" s="2">
        <v>7</v>
      </c>
      <c r="D105" s="2">
        <v>259809</v>
      </c>
      <c r="E105" s="2">
        <v>0</v>
      </c>
      <c r="F105" s="2"/>
      <c r="G105" s="5"/>
    </row>
    <row r="106" spans="1:15" x14ac:dyDescent="0.2">
      <c r="A106" s="35">
        <v>375.8</v>
      </c>
      <c r="B106" s="5" t="s">
        <v>125</v>
      </c>
      <c r="C106" s="2">
        <f t="shared" ref="C106:C111" si="1">$C$2</f>
        <v>5</v>
      </c>
      <c r="D106" s="2">
        <v>0</v>
      </c>
      <c r="E106" s="2">
        <v>0</v>
      </c>
      <c r="F106" s="2"/>
      <c r="G106" s="5"/>
    </row>
    <row r="107" spans="1:15" x14ac:dyDescent="0.2">
      <c r="A107" s="35">
        <v>376</v>
      </c>
      <c r="B107" s="5" t="s">
        <v>126</v>
      </c>
      <c r="C107" s="2">
        <f t="shared" si="1"/>
        <v>5</v>
      </c>
      <c r="D107" s="2">
        <f>221312537-1</f>
        <v>221312536</v>
      </c>
      <c r="E107" s="2">
        <v>0</v>
      </c>
      <c r="F107" s="2"/>
      <c r="G107" s="5">
        <v>0</v>
      </c>
      <c r="H107" s="5">
        <v>0</v>
      </c>
      <c r="I107" s="5">
        <v>0</v>
      </c>
      <c r="J107" s="5">
        <v>11681.79</v>
      </c>
      <c r="K107" s="5">
        <v>0</v>
      </c>
      <c r="L107" s="5">
        <v>0</v>
      </c>
      <c r="M107" s="5"/>
      <c r="N107" s="5"/>
      <c r="O107" s="5"/>
    </row>
    <row r="108" spans="1:15" x14ac:dyDescent="0.2">
      <c r="A108" s="35">
        <v>378.1</v>
      </c>
      <c r="B108" s="5" t="s">
        <v>127</v>
      </c>
      <c r="C108" s="2">
        <f t="shared" si="1"/>
        <v>5</v>
      </c>
      <c r="D108" s="2">
        <v>518504</v>
      </c>
      <c r="E108" s="2">
        <v>0</v>
      </c>
      <c r="F108" s="2"/>
      <c r="G108" s="5"/>
      <c r="H108" s="5"/>
      <c r="I108" s="5"/>
      <c r="J108" s="5"/>
      <c r="K108" s="5"/>
      <c r="L108" s="5"/>
      <c r="M108" s="5"/>
      <c r="N108" s="5"/>
      <c r="O108" s="5"/>
    </row>
    <row r="109" spans="1:15" x14ac:dyDescent="0.2">
      <c r="A109" s="35">
        <v>378.2</v>
      </c>
      <c r="B109" s="5" t="s">
        <v>128</v>
      </c>
      <c r="C109" s="2">
        <f t="shared" si="1"/>
        <v>5</v>
      </c>
      <c r="D109" s="2">
        <f>9952182-777092</f>
        <v>9175090</v>
      </c>
      <c r="E109" s="2">
        <v>0</v>
      </c>
      <c r="F109" s="2"/>
    </row>
    <row r="110" spans="1:15" x14ac:dyDescent="0.2">
      <c r="A110" s="35">
        <v>378.3</v>
      </c>
      <c r="B110" s="5" t="s">
        <v>129</v>
      </c>
      <c r="C110" s="2">
        <f t="shared" si="1"/>
        <v>5</v>
      </c>
      <c r="D110" s="2">
        <v>45443</v>
      </c>
      <c r="E110" s="2">
        <v>0</v>
      </c>
      <c r="F110" s="2"/>
    </row>
    <row r="111" spans="1:15" x14ac:dyDescent="0.2">
      <c r="A111" s="35">
        <v>379.1</v>
      </c>
      <c r="B111" s="5" t="s">
        <v>130</v>
      </c>
      <c r="C111" s="2">
        <f t="shared" si="1"/>
        <v>5</v>
      </c>
      <c r="D111" s="2">
        <v>254901</v>
      </c>
      <c r="E111" s="2">
        <v>0</v>
      </c>
      <c r="F111" s="2"/>
    </row>
    <row r="112" spans="1:15" x14ac:dyDescent="0.2">
      <c r="A112" s="35">
        <v>380</v>
      </c>
      <c r="B112" s="5" t="s">
        <v>131</v>
      </c>
      <c r="C112" s="2">
        <v>15</v>
      </c>
      <c r="D112" s="2">
        <v>127467343</v>
      </c>
      <c r="E112" s="2">
        <v>0</v>
      </c>
      <c r="F112" s="2"/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/>
      <c r="N112" s="5"/>
      <c r="O112" s="5"/>
    </row>
    <row r="113" spans="1:15" x14ac:dyDescent="0.2">
      <c r="A113" s="35">
        <v>381</v>
      </c>
      <c r="B113" s="5" t="s">
        <v>132</v>
      </c>
      <c r="C113" s="2">
        <v>16</v>
      </c>
      <c r="D113" s="2">
        <f>13959511+8830068</f>
        <v>22789579</v>
      </c>
      <c r="E113" s="2">
        <v>0</v>
      </c>
      <c r="F113" s="2"/>
    </row>
    <row r="114" spans="1:15" x14ac:dyDescent="0.2">
      <c r="A114" s="35">
        <v>382</v>
      </c>
      <c r="B114" s="5" t="s">
        <v>133</v>
      </c>
      <c r="C114" s="2">
        <v>16</v>
      </c>
      <c r="D114" s="2">
        <v>9462175</v>
      </c>
      <c r="E114" s="2">
        <v>0</v>
      </c>
      <c r="F114" s="2"/>
      <c r="J114" s="5"/>
      <c r="K114" s="5"/>
      <c r="L114" s="5"/>
      <c r="M114" s="5"/>
      <c r="N114" s="5"/>
      <c r="O114" s="5"/>
    </row>
    <row r="115" spans="1:15" x14ac:dyDescent="0.2">
      <c r="A115" s="35">
        <v>383</v>
      </c>
      <c r="B115" s="5" t="s">
        <v>134</v>
      </c>
      <c r="C115" s="2">
        <v>16</v>
      </c>
      <c r="D115" s="2">
        <v>5770311</v>
      </c>
      <c r="E115" s="2">
        <v>0</v>
      </c>
      <c r="F115" s="2"/>
      <c r="G115" s="5"/>
      <c r="H115" s="5"/>
      <c r="I115" s="5"/>
    </row>
    <row r="116" spans="1:15" x14ac:dyDescent="0.2">
      <c r="A116" s="35">
        <v>384</v>
      </c>
      <c r="B116" s="5" t="s">
        <v>135</v>
      </c>
      <c r="C116" s="2">
        <v>16</v>
      </c>
      <c r="D116" s="2">
        <v>2257522</v>
      </c>
      <c r="E116" s="2">
        <v>0</v>
      </c>
      <c r="F116" s="2"/>
    </row>
    <row r="117" spans="1:15" x14ac:dyDescent="0.2">
      <c r="A117" s="35">
        <v>385</v>
      </c>
      <c r="B117" s="5" t="s">
        <v>136</v>
      </c>
      <c r="C117" s="2">
        <v>17</v>
      </c>
      <c r="D117" s="2">
        <v>3375376</v>
      </c>
      <c r="E117" s="2">
        <v>0</v>
      </c>
      <c r="F117" s="2"/>
      <c r="G117" s="5">
        <v>0</v>
      </c>
      <c r="H117" s="5">
        <v>0</v>
      </c>
      <c r="I117" s="5">
        <v>0</v>
      </c>
      <c r="J117" s="5">
        <v>677829</v>
      </c>
      <c r="K117" s="5">
        <v>0</v>
      </c>
      <c r="L117" s="5">
        <v>0</v>
      </c>
      <c r="M117" s="5"/>
      <c r="N117" s="5"/>
      <c r="O117" s="5"/>
    </row>
    <row r="118" spans="1:15" x14ac:dyDescent="0.2">
      <c r="A118" s="35">
        <v>387.2</v>
      </c>
      <c r="B118" s="5" t="s">
        <v>137</v>
      </c>
      <c r="C118" s="2">
        <v>7</v>
      </c>
      <c r="D118" s="2">
        <v>0</v>
      </c>
      <c r="E118" s="2">
        <v>0</v>
      </c>
      <c r="F118" s="2"/>
      <c r="G118" s="5"/>
      <c r="H118" s="5"/>
      <c r="I118" s="5"/>
    </row>
    <row r="119" spans="1:15" x14ac:dyDescent="0.2">
      <c r="A119" s="35">
        <v>387.41</v>
      </c>
      <c r="B119" s="5" t="s">
        <v>138</v>
      </c>
      <c r="C119" s="2">
        <v>7</v>
      </c>
      <c r="D119" s="2">
        <v>735771</v>
      </c>
      <c r="E119" s="2">
        <v>0</v>
      </c>
      <c r="F119" s="2"/>
      <c r="J119" s="5"/>
      <c r="K119" s="5"/>
      <c r="L119" s="5"/>
      <c r="M119" s="5"/>
      <c r="N119" s="5"/>
      <c r="O119" s="5"/>
    </row>
    <row r="120" spans="1:15" x14ac:dyDescent="0.2">
      <c r="A120" s="35">
        <v>387.42</v>
      </c>
      <c r="B120" s="5" t="s">
        <v>139</v>
      </c>
      <c r="C120" s="2">
        <v>7</v>
      </c>
      <c r="D120" s="2">
        <v>795187</v>
      </c>
      <c r="E120" s="2">
        <v>0</v>
      </c>
      <c r="F120" s="2"/>
      <c r="G120" s="5"/>
      <c r="H120" s="5"/>
      <c r="I120" s="5"/>
      <c r="J120" s="5"/>
      <c r="K120" s="5"/>
      <c r="L120" s="5"/>
      <c r="M120" s="5"/>
      <c r="N120" s="5"/>
      <c r="O120" s="5"/>
    </row>
    <row r="121" spans="1:15" x14ac:dyDescent="0.2">
      <c r="A121" s="35">
        <v>387.44</v>
      </c>
      <c r="B121" s="5" t="s">
        <v>140</v>
      </c>
      <c r="C121" s="2">
        <v>7</v>
      </c>
      <c r="D121" s="2">
        <v>133590</v>
      </c>
      <c r="E121" s="2">
        <v>0</v>
      </c>
      <c r="F121" s="2"/>
      <c r="G121" s="5"/>
      <c r="H121" s="5"/>
      <c r="I121" s="5"/>
      <c r="J121" s="5"/>
      <c r="K121" s="5"/>
      <c r="L121" s="5"/>
      <c r="M121" s="5"/>
      <c r="N121" s="5"/>
      <c r="O121" s="5"/>
    </row>
    <row r="122" spans="1:15" x14ac:dyDescent="0.2">
      <c r="A122" s="35">
        <v>387.45</v>
      </c>
      <c r="B122" s="5" t="s">
        <v>141</v>
      </c>
      <c r="C122" s="2">
        <v>7</v>
      </c>
      <c r="D122" s="2">
        <v>3779585</v>
      </c>
      <c r="E122" s="2">
        <v>0</v>
      </c>
      <c r="F122" s="2"/>
      <c r="J122" s="5"/>
    </row>
    <row r="123" spans="1:15" x14ac:dyDescent="0.2">
      <c r="A123" s="35">
        <v>387.46</v>
      </c>
      <c r="B123" s="5" t="s">
        <v>142</v>
      </c>
      <c r="C123" s="2">
        <v>7</v>
      </c>
      <c r="D123" s="2">
        <v>113644</v>
      </c>
      <c r="E123" s="2">
        <v>0</v>
      </c>
      <c r="F123" s="2"/>
      <c r="G123" s="5"/>
      <c r="H123" s="5"/>
      <c r="I123" s="5"/>
      <c r="L123" s="5"/>
    </row>
    <row r="124" spans="1:15" x14ac:dyDescent="0.2">
      <c r="A124" s="36" t="s">
        <v>143</v>
      </c>
      <c r="C124" s="1"/>
      <c r="D124" s="1"/>
      <c r="E124" s="2">
        <v>0</v>
      </c>
      <c r="F124" s="2"/>
    </row>
    <row r="125" spans="1:15" x14ac:dyDescent="0.2">
      <c r="A125" s="35">
        <v>391.1</v>
      </c>
      <c r="B125" s="5" t="s">
        <v>144</v>
      </c>
      <c r="C125" s="2">
        <v>7</v>
      </c>
      <c r="D125" s="2">
        <v>735278</v>
      </c>
      <c r="E125" s="2">
        <v>0</v>
      </c>
      <c r="F125" s="2"/>
    </row>
    <row r="126" spans="1:15" x14ac:dyDescent="0.2">
      <c r="A126" s="35">
        <v>391.11</v>
      </c>
      <c r="B126" s="5" t="s">
        <v>145</v>
      </c>
      <c r="C126" s="2">
        <v>7</v>
      </c>
      <c r="D126" s="2">
        <v>18816</v>
      </c>
      <c r="E126" s="2">
        <v>0</v>
      </c>
      <c r="F126" s="2"/>
    </row>
    <row r="127" spans="1:15" x14ac:dyDescent="0.2">
      <c r="A127" s="35">
        <v>391.12</v>
      </c>
      <c r="B127" s="5" t="s">
        <v>146</v>
      </c>
      <c r="C127" s="2">
        <v>7</v>
      </c>
      <c r="D127" s="2">
        <v>1257641</v>
      </c>
      <c r="E127" s="2">
        <v>0</v>
      </c>
      <c r="F127" s="2"/>
      <c r="G127" s="5"/>
      <c r="H127" s="5"/>
      <c r="I127" s="5"/>
      <c r="J127" s="5"/>
      <c r="K127" s="5"/>
      <c r="L127" s="5"/>
      <c r="M127" s="5"/>
      <c r="N127" s="5"/>
      <c r="O127" s="5"/>
    </row>
    <row r="128" spans="1:15" x14ac:dyDescent="0.2">
      <c r="A128" s="35">
        <v>392.2</v>
      </c>
      <c r="B128" s="5" t="s">
        <v>629</v>
      </c>
      <c r="C128" s="2">
        <v>7</v>
      </c>
      <c r="D128" s="2">
        <v>95778</v>
      </c>
      <c r="E128" s="2">
        <v>0</v>
      </c>
      <c r="F128" s="2"/>
    </row>
    <row r="129" spans="1:15" x14ac:dyDescent="0.2">
      <c r="A129" s="35">
        <v>392.21</v>
      </c>
      <c r="B129" s="5" t="s">
        <v>630</v>
      </c>
      <c r="C129" s="2">
        <v>7</v>
      </c>
      <c r="D129" s="2">
        <v>24462</v>
      </c>
      <c r="E129" s="2">
        <v>0</v>
      </c>
      <c r="F129" s="2"/>
      <c r="G129" s="5"/>
      <c r="H129" s="5"/>
      <c r="I129" s="5"/>
      <c r="J129" s="5"/>
      <c r="K129" s="5"/>
      <c r="L129" s="5"/>
      <c r="M129" s="5"/>
      <c r="N129" s="5"/>
      <c r="O129" s="5"/>
    </row>
    <row r="130" spans="1:15" x14ac:dyDescent="0.2">
      <c r="A130" s="35">
        <v>394.1</v>
      </c>
      <c r="B130" s="5" t="s">
        <v>147</v>
      </c>
      <c r="C130" s="2">
        <v>7</v>
      </c>
      <c r="D130" s="2">
        <v>24241</v>
      </c>
      <c r="E130" s="2">
        <v>0</v>
      </c>
      <c r="F130" s="2"/>
    </row>
    <row r="131" spans="1:15" x14ac:dyDescent="0.2">
      <c r="A131" s="35">
        <v>394.13</v>
      </c>
      <c r="B131" s="5" t="s">
        <v>964</v>
      </c>
      <c r="C131" s="2">
        <v>7</v>
      </c>
      <c r="D131" s="2">
        <v>0</v>
      </c>
      <c r="E131" s="2">
        <v>0</v>
      </c>
      <c r="F131" s="2"/>
    </row>
    <row r="132" spans="1:15" x14ac:dyDescent="0.2">
      <c r="A132" s="35">
        <v>393</v>
      </c>
      <c r="B132" s="5" t="s">
        <v>631</v>
      </c>
      <c r="C132" s="2">
        <v>7</v>
      </c>
      <c r="D132" s="2">
        <v>0</v>
      </c>
      <c r="E132" s="2">
        <v>0</v>
      </c>
      <c r="F132" s="2"/>
    </row>
    <row r="133" spans="1:15" x14ac:dyDescent="0.2">
      <c r="A133" s="35">
        <v>394.2</v>
      </c>
      <c r="B133" s="5" t="s">
        <v>148</v>
      </c>
      <c r="C133" s="2">
        <v>7</v>
      </c>
      <c r="D133" s="2">
        <v>0</v>
      </c>
      <c r="E133" s="2">
        <v>0</v>
      </c>
      <c r="F133" s="2"/>
    </row>
    <row r="134" spans="1:15" x14ac:dyDescent="0.2">
      <c r="A134" s="35">
        <v>394.3</v>
      </c>
      <c r="B134" s="5" t="s">
        <v>149</v>
      </c>
      <c r="C134" s="2">
        <v>7</v>
      </c>
      <c r="D134" s="2">
        <v>3259030</v>
      </c>
      <c r="E134" s="2">
        <v>0</v>
      </c>
      <c r="F134" s="2"/>
    </row>
    <row r="135" spans="1:15" x14ac:dyDescent="0.2">
      <c r="A135" s="35">
        <v>395</v>
      </c>
      <c r="B135" s="5" t="s">
        <v>150</v>
      </c>
      <c r="C135" s="2">
        <v>7</v>
      </c>
      <c r="D135" s="2">
        <v>9258</v>
      </c>
      <c r="E135" s="2">
        <v>0</v>
      </c>
      <c r="F135" s="2"/>
    </row>
    <row r="136" spans="1:15" x14ac:dyDescent="0.2">
      <c r="A136" s="35">
        <v>396</v>
      </c>
      <c r="B136" s="5" t="s">
        <v>151</v>
      </c>
      <c r="C136" s="2">
        <v>7</v>
      </c>
      <c r="D136" s="2">
        <v>253135</v>
      </c>
      <c r="E136" s="2">
        <v>0</v>
      </c>
      <c r="F136" s="2"/>
    </row>
    <row r="137" spans="1:15" x14ac:dyDescent="0.2">
      <c r="A137" s="35">
        <v>397.5</v>
      </c>
      <c r="B137" s="5" t="s">
        <v>152</v>
      </c>
      <c r="C137" s="2">
        <v>7</v>
      </c>
      <c r="D137" s="2">
        <v>0</v>
      </c>
      <c r="E137" s="2">
        <v>0</v>
      </c>
      <c r="F137" s="2"/>
    </row>
    <row r="138" spans="1:15" x14ac:dyDescent="0.2">
      <c r="A138" s="35">
        <v>398</v>
      </c>
      <c r="B138" s="5" t="s">
        <v>153</v>
      </c>
      <c r="C138" s="2">
        <v>7</v>
      </c>
      <c r="D138" s="2">
        <v>294060</v>
      </c>
      <c r="E138" s="2">
        <v>0</v>
      </c>
      <c r="F138" s="2"/>
    </row>
    <row r="139" spans="1:15" x14ac:dyDescent="0.2">
      <c r="B139" s="3" t="s">
        <v>154</v>
      </c>
      <c r="D139" s="3">
        <f t="shared" ref="D139:M139" si="2">SUM(D86:D138)</f>
        <v>437889787</v>
      </c>
      <c r="E139" s="3">
        <f t="shared" si="2"/>
        <v>0</v>
      </c>
      <c r="G139" s="3">
        <f t="shared" si="2"/>
        <v>0</v>
      </c>
      <c r="H139" s="3">
        <f t="shared" si="2"/>
        <v>0</v>
      </c>
      <c r="I139" s="3">
        <f t="shared" si="2"/>
        <v>0</v>
      </c>
      <c r="J139" s="3">
        <f t="shared" si="2"/>
        <v>735721.55</v>
      </c>
      <c r="K139" s="3">
        <f t="shared" si="2"/>
        <v>0</v>
      </c>
      <c r="L139" s="3">
        <f t="shared" si="2"/>
        <v>0</v>
      </c>
      <c r="M139" s="3">
        <f t="shared" si="2"/>
        <v>0</v>
      </c>
    </row>
    <row r="140" spans="1:15" x14ac:dyDescent="0.2">
      <c r="A140" s="16" t="s">
        <v>0</v>
      </c>
      <c r="B140" s="16" t="s">
        <v>0</v>
      </c>
      <c r="C140" s="16" t="s">
        <v>0</v>
      </c>
      <c r="D140" s="16" t="s">
        <v>0</v>
      </c>
      <c r="E140" s="16" t="s">
        <v>0</v>
      </c>
      <c r="F140" s="16" t="s">
        <v>0</v>
      </c>
      <c r="G140" s="16" t="s">
        <v>0</v>
      </c>
      <c r="H140" s="16" t="s">
        <v>0</v>
      </c>
      <c r="I140" s="16" t="s">
        <v>0</v>
      </c>
      <c r="J140" s="16" t="s">
        <v>0</v>
      </c>
      <c r="K140" s="16" t="s">
        <v>0</v>
      </c>
      <c r="L140" s="16" t="s">
        <v>0</v>
      </c>
      <c r="M140" s="16" t="s">
        <v>0</v>
      </c>
      <c r="N140" s="16"/>
      <c r="O140" s="16"/>
    </row>
    <row r="141" spans="1:15" x14ac:dyDescent="0.2">
      <c r="A141" s="3" t="s">
        <v>155</v>
      </c>
    </row>
    <row r="142" spans="1:15" x14ac:dyDescent="0.2">
      <c r="A142" s="16" t="s">
        <v>0</v>
      </c>
      <c r="B142" s="16" t="s">
        <v>0</v>
      </c>
      <c r="C142" s="16" t="s">
        <v>0</v>
      </c>
      <c r="D142" s="16" t="s">
        <v>0</v>
      </c>
      <c r="E142" s="16" t="s">
        <v>0</v>
      </c>
      <c r="F142" s="16" t="s">
        <v>0</v>
      </c>
      <c r="G142" s="16" t="s">
        <v>0</v>
      </c>
      <c r="H142" s="16" t="s">
        <v>0</v>
      </c>
      <c r="I142" s="16" t="s">
        <v>0</v>
      </c>
      <c r="J142" s="16" t="s">
        <v>0</v>
      </c>
      <c r="K142" s="16" t="s">
        <v>0</v>
      </c>
      <c r="L142" s="16" t="s">
        <v>0</v>
      </c>
      <c r="M142" s="16" t="s">
        <v>0</v>
      </c>
      <c r="N142" s="16"/>
      <c r="O142" s="16"/>
    </row>
    <row r="143" spans="1:15" x14ac:dyDescent="0.2">
      <c r="C143" s="325" t="s">
        <v>92</v>
      </c>
      <c r="D143" s="325" t="s">
        <v>156</v>
      </c>
      <c r="E143" s="325" t="s">
        <v>157</v>
      </c>
    </row>
    <row r="144" spans="1:15" x14ac:dyDescent="0.2">
      <c r="C144" s="325" t="s">
        <v>10</v>
      </c>
      <c r="D144" s="325" t="s">
        <v>105</v>
      </c>
      <c r="E144" s="325" t="s">
        <v>105</v>
      </c>
      <c r="G144" s="3" t="str">
        <f>$C$12</f>
        <v>GS-RESIDENTIAL</v>
      </c>
      <c r="H144" s="3" t="str">
        <f>$C$13</f>
        <v>GS-OTHER</v>
      </c>
      <c r="I144" s="3" t="str">
        <f>$C$14</f>
        <v>IUS</v>
      </c>
      <c r="J144" s="3" t="str">
        <f>$C$15</f>
        <v>DS-ML</v>
      </c>
      <c r="K144" s="3" t="str">
        <f>$C$16</f>
        <v>DS/IS</v>
      </c>
      <c r="L144" s="3" t="str">
        <f>$C$17</f>
        <v>NOT USED</v>
      </c>
      <c r="M144" s="3" t="str">
        <f>$C$18</f>
        <v>NOT USED</v>
      </c>
    </row>
    <row r="145" spans="1:11" x14ac:dyDescent="0.2">
      <c r="A145" s="3" t="str">
        <f t="shared" ref="A145:A183" si="3">A85</f>
        <v>INTANGIBLE PLANT</v>
      </c>
    </row>
    <row r="146" spans="1:11" x14ac:dyDescent="0.2">
      <c r="A146" s="24">
        <f t="shared" si="3"/>
        <v>301</v>
      </c>
      <c r="B146" s="3" t="str">
        <f t="shared" ref="B146:C150" si="4">B86</f>
        <v>ORGANIZATION</v>
      </c>
      <c r="C146" s="3">
        <f t="shared" si="4"/>
        <v>7</v>
      </c>
      <c r="D146" s="2">
        <v>0</v>
      </c>
      <c r="E146" s="5">
        <v>0</v>
      </c>
    </row>
    <row r="147" spans="1:11" x14ac:dyDescent="0.2">
      <c r="A147" s="24">
        <f t="shared" si="3"/>
        <v>303</v>
      </c>
      <c r="B147" s="3" t="str">
        <f t="shared" si="4"/>
        <v>MISC. INTANGIBLE PLANT</v>
      </c>
      <c r="C147" s="3">
        <f t="shared" si="4"/>
        <v>7</v>
      </c>
      <c r="D147" s="2">
        <v>49104</v>
      </c>
      <c r="E147" s="5">
        <v>0</v>
      </c>
    </row>
    <row r="148" spans="1:11" x14ac:dyDescent="0.2">
      <c r="A148" s="24">
        <f t="shared" si="3"/>
        <v>303.10000000000002</v>
      </c>
      <c r="B148" s="3" t="str">
        <f t="shared" si="4"/>
        <v>DIS SOFTWARE</v>
      </c>
      <c r="C148" s="3">
        <f t="shared" si="4"/>
        <v>7</v>
      </c>
      <c r="D148" s="2">
        <v>0</v>
      </c>
      <c r="E148" s="5">
        <v>0</v>
      </c>
    </row>
    <row r="149" spans="1:11" x14ac:dyDescent="0.2">
      <c r="A149" s="24">
        <f t="shared" si="3"/>
        <v>303.2</v>
      </c>
      <c r="B149" s="3" t="str">
        <f t="shared" si="4"/>
        <v>FARA SOFTWARE</v>
      </c>
      <c r="C149" s="3">
        <f t="shared" si="4"/>
        <v>7</v>
      </c>
      <c r="D149" s="2">
        <v>0</v>
      </c>
      <c r="E149" s="5">
        <v>0</v>
      </c>
    </row>
    <row r="150" spans="1:11" x14ac:dyDescent="0.2">
      <c r="A150" s="24">
        <f t="shared" si="3"/>
        <v>303.3</v>
      </c>
      <c r="B150" s="3" t="str">
        <f t="shared" si="4"/>
        <v>OTHER SOFTWARE</v>
      </c>
      <c r="C150" s="3">
        <f t="shared" si="4"/>
        <v>7</v>
      </c>
      <c r="D150" s="2">
        <v>3424538</v>
      </c>
      <c r="E150" s="5">
        <v>0</v>
      </c>
    </row>
    <row r="151" spans="1:11" x14ac:dyDescent="0.2">
      <c r="A151" s="24" t="str">
        <f t="shared" si="3"/>
        <v>PRODUCTION PLANT</v>
      </c>
      <c r="D151" s="2"/>
      <c r="E151" s="5"/>
    </row>
    <row r="152" spans="1:11" x14ac:dyDescent="0.2">
      <c r="A152" s="24">
        <f t="shared" si="3"/>
        <v>304.10000000000002</v>
      </c>
      <c r="B152" s="3" t="str">
        <f t="shared" ref="B152:C154" si="5">B92</f>
        <v>LAND</v>
      </c>
      <c r="C152" s="3">
        <f t="shared" si="5"/>
        <v>2</v>
      </c>
      <c r="D152" s="2">
        <v>0</v>
      </c>
      <c r="E152" s="5">
        <v>0</v>
      </c>
    </row>
    <row r="153" spans="1:11" x14ac:dyDescent="0.2">
      <c r="A153" s="24">
        <f t="shared" si="3"/>
        <v>305</v>
      </c>
      <c r="B153" s="3" t="str">
        <f t="shared" si="5"/>
        <v>STRUCTURES &amp; IMPROVEMENTS</v>
      </c>
      <c r="C153" s="3">
        <f t="shared" si="5"/>
        <v>2</v>
      </c>
      <c r="D153" s="2">
        <v>0</v>
      </c>
      <c r="E153" s="5">
        <v>0</v>
      </c>
    </row>
    <row r="154" spans="1:11" x14ac:dyDescent="0.2">
      <c r="A154" s="24">
        <f t="shared" si="3"/>
        <v>311</v>
      </c>
      <c r="B154" s="3" t="str">
        <f t="shared" si="5"/>
        <v>LIQUEFIED PETROLEUM GAS EQUIP</v>
      </c>
      <c r="C154" s="3">
        <f t="shared" si="5"/>
        <v>2</v>
      </c>
      <c r="D154" s="2">
        <v>0</v>
      </c>
      <c r="E154" s="5">
        <v>0</v>
      </c>
    </row>
    <row r="155" spans="1:11" x14ac:dyDescent="0.2">
      <c r="A155" s="24" t="str">
        <f t="shared" si="3"/>
        <v>DISTRIBUTION PLANT</v>
      </c>
      <c r="D155" s="2"/>
      <c r="E155" s="5"/>
    </row>
    <row r="156" spans="1:11" x14ac:dyDescent="0.2">
      <c r="A156" s="24">
        <f t="shared" si="3"/>
        <v>374.1</v>
      </c>
      <c r="B156" s="3" t="str">
        <f t="shared" ref="B156:B183" si="6">B96</f>
        <v>LAND - CITY GATE &amp; M/L IND M&amp;R</v>
      </c>
      <c r="C156" s="5">
        <f t="shared" ref="C156:C162" si="7">$C$2</f>
        <v>5</v>
      </c>
      <c r="D156" s="2">
        <v>0</v>
      </c>
      <c r="E156" s="5">
        <v>0</v>
      </c>
    </row>
    <row r="157" spans="1:11" x14ac:dyDescent="0.2">
      <c r="A157" s="24">
        <f t="shared" si="3"/>
        <v>374.2</v>
      </c>
      <c r="B157" s="3" t="str">
        <f t="shared" si="6"/>
        <v>LAND - OTHER DISTRIBUTION</v>
      </c>
      <c r="C157" s="5">
        <f t="shared" si="7"/>
        <v>5</v>
      </c>
      <c r="D157" s="2">
        <v>-523</v>
      </c>
      <c r="E157" s="5">
        <v>0</v>
      </c>
    </row>
    <row r="158" spans="1:11" x14ac:dyDescent="0.2">
      <c r="A158" s="24">
        <f t="shared" si="3"/>
        <v>374.4</v>
      </c>
      <c r="B158" s="3" t="str">
        <f t="shared" si="6"/>
        <v>LAND RIGHTS - OTHER DISTRIBUTION</v>
      </c>
      <c r="C158" s="5">
        <f t="shared" si="7"/>
        <v>5</v>
      </c>
      <c r="D158" s="2">
        <v>184637</v>
      </c>
      <c r="E158" s="5">
        <v>0</v>
      </c>
      <c r="G158" s="5"/>
      <c r="H158" s="5"/>
      <c r="I158" s="5"/>
      <c r="J158" s="5"/>
      <c r="K158" s="5"/>
    </row>
    <row r="159" spans="1:11" x14ac:dyDescent="0.2">
      <c r="A159" s="24">
        <f t="shared" si="3"/>
        <v>374.5</v>
      </c>
      <c r="B159" s="3" t="str">
        <f t="shared" si="6"/>
        <v>RIGHTS OF WAY</v>
      </c>
      <c r="C159" s="5">
        <f t="shared" si="7"/>
        <v>5</v>
      </c>
      <c r="D159" s="2">
        <v>942676</v>
      </c>
      <c r="E159" s="5">
        <v>0</v>
      </c>
    </row>
    <row r="160" spans="1:11" x14ac:dyDescent="0.2">
      <c r="A160" s="24">
        <f t="shared" si="3"/>
        <v>375.2</v>
      </c>
      <c r="B160" s="3" t="str">
        <f t="shared" si="6"/>
        <v>CITY GATE - MEAS &amp; REG STRUCTURES</v>
      </c>
      <c r="C160" s="5">
        <f t="shared" si="7"/>
        <v>5</v>
      </c>
      <c r="D160" s="2">
        <v>2063</v>
      </c>
      <c r="E160" s="5">
        <v>0</v>
      </c>
      <c r="G160" s="5"/>
      <c r="H160" s="5"/>
      <c r="I160" s="5"/>
      <c r="J160" s="5"/>
      <c r="K160" s="5"/>
    </row>
    <row r="161" spans="1:15" x14ac:dyDescent="0.2">
      <c r="A161" s="24">
        <f t="shared" si="3"/>
        <v>375.3</v>
      </c>
      <c r="B161" s="3" t="str">
        <f t="shared" si="6"/>
        <v>STRUC &amp; IMPROV-GENERAL M&amp;R</v>
      </c>
      <c r="C161" s="5">
        <f t="shared" si="7"/>
        <v>5</v>
      </c>
      <c r="D161" s="2">
        <v>-78</v>
      </c>
      <c r="E161" s="5">
        <v>0</v>
      </c>
    </row>
    <row r="162" spans="1:15" x14ac:dyDescent="0.2">
      <c r="A162" s="24">
        <f t="shared" si="3"/>
        <v>375.4</v>
      </c>
      <c r="B162" s="3" t="str">
        <f t="shared" si="6"/>
        <v>STRUC &amp; IMPROV-REGULATING</v>
      </c>
      <c r="C162" s="5">
        <f t="shared" si="7"/>
        <v>5</v>
      </c>
      <c r="D162" s="2">
        <v>500890</v>
      </c>
      <c r="E162" s="5">
        <v>0</v>
      </c>
      <c r="G162" s="5"/>
      <c r="J162" s="3">
        <v>3027.73</v>
      </c>
    </row>
    <row r="163" spans="1:15" x14ac:dyDescent="0.2">
      <c r="A163" s="24">
        <f t="shared" si="3"/>
        <v>375.6</v>
      </c>
      <c r="B163" s="3" t="str">
        <f t="shared" si="6"/>
        <v>STRUC &amp; IMPROV-DIST. IND. M &amp; R</v>
      </c>
      <c r="C163" s="3">
        <f>C103</f>
        <v>8</v>
      </c>
      <c r="D163" s="2">
        <v>0</v>
      </c>
      <c r="E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/>
      <c r="O163" s="5"/>
    </row>
    <row r="164" spans="1:15" x14ac:dyDescent="0.2">
      <c r="A164" s="24">
        <f t="shared" si="3"/>
        <v>375.7</v>
      </c>
      <c r="B164" s="3" t="str">
        <f t="shared" si="6"/>
        <v>STRUC &amp; IMPROV-OTHER DIST. SYSTEM</v>
      </c>
      <c r="C164" s="3">
        <f>C104</f>
        <v>7</v>
      </c>
      <c r="D164" s="2">
        <v>3369677</v>
      </c>
      <c r="E164" s="5">
        <v>0</v>
      </c>
      <c r="G164" s="5"/>
    </row>
    <row r="165" spans="1:15" x14ac:dyDescent="0.2">
      <c r="A165" s="24">
        <f t="shared" si="3"/>
        <v>375.71</v>
      </c>
      <c r="B165" s="3" t="str">
        <f t="shared" si="6"/>
        <v>STRUCT &amp; IMPROV-OTHER DIST. SYSTEM-IMPROV</v>
      </c>
      <c r="C165" s="3">
        <f>C105</f>
        <v>7</v>
      </c>
      <c r="D165" s="2">
        <v>199220</v>
      </c>
      <c r="E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/>
      <c r="O165" s="5"/>
    </row>
    <row r="166" spans="1:15" x14ac:dyDescent="0.2">
      <c r="A166" s="24">
        <f t="shared" si="3"/>
        <v>375.8</v>
      </c>
      <c r="B166" s="3" t="str">
        <f t="shared" si="6"/>
        <v>STRUC &amp; IMPROV-COMMUNICATION</v>
      </c>
      <c r="C166" s="5">
        <f t="shared" ref="C166:C171" si="8">$C$2</f>
        <v>5</v>
      </c>
      <c r="D166" s="2">
        <v>0</v>
      </c>
      <c r="E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/>
      <c r="O166" s="5"/>
    </row>
    <row r="167" spans="1:15" x14ac:dyDescent="0.2">
      <c r="A167" s="24">
        <f t="shared" si="3"/>
        <v>376</v>
      </c>
      <c r="B167" s="3" t="str">
        <f t="shared" si="6"/>
        <v>MAINS</v>
      </c>
      <c r="C167" s="5">
        <f t="shared" si="8"/>
        <v>5</v>
      </c>
      <c r="D167" s="2">
        <f>58826287-1</f>
        <v>58826286</v>
      </c>
      <c r="E167" s="5">
        <v>0</v>
      </c>
      <c r="G167" s="5">
        <v>0</v>
      </c>
      <c r="H167" s="5">
        <v>0</v>
      </c>
      <c r="I167" s="5">
        <v>0</v>
      </c>
      <c r="J167" s="5">
        <v>8703.0499999999993</v>
      </c>
      <c r="K167" s="5">
        <v>0</v>
      </c>
      <c r="L167" s="5">
        <v>0</v>
      </c>
      <c r="M167" s="5">
        <v>0</v>
      </c>
      <c r="N167" s="5"/>
      <c r="O167" s="5"/>
    </row>
    <row r="168" spans="1:15" x14ac:dyDescent="0.2">
      <c r="A168" s="24">
        <f t="shared" si="3"/>
        <v>378.1</v>
      </c>
      <c r="B168" s="3" t="str">
        <f t="shared" si="6"/>
        <v>M &amp; R GENERAL</v>
      </c>
      <c r="C168" s="5">
        <f t="shared" si="8"/>
        <v>5</v>
      </c>
      <c r="D168" s="2">
        <v>372072</v>
      </c>
      <c r="E168" s="5">
        <v>0</v>
      </c>
      <c r="G168" s="5"/>
    </row>
    <row r="169" spans="1:15" x14ac:dyDescent="0.2">
      <c r="A169" s="24">
        <f t="shared" si="3"/>
        <v>378.2</v>
      </c>
      <c r="B169" s="3" t="str">
        <f t="shared" si="6"/>
        <v>M &amp; R GENERAL - REGULATING</v>
      </c>
      <c r="C169" s="5">
        <f t="shared" si="8"/>
        <v>5</v>
      </c>
      <c r="D169" s="2">
        <f>3508826-55347</f>
        <v>3453479</v>
      </c>
      <c r="E169" s="5">
        <v>0</v>
      </c>
      <c r="G169" s="5"/>
      <c r="H169" s="5"/>
      <c r="I169" s="5"/>
      <c r="J169" s="5"/>
      <c r="K169" s="5"/>
      <c r="L169" s="5"/>
      <c r="M169" s="5"/>
      <c r="N169" s="5"/>
      <c r="O169" s="5"/>
    </row>
    <row r="170" spans="1:15" x14ac:dyDescent="0.2">
      <c r="A170" s="24">
        <f t="shared" si="3"/>
        <v>378.3</v>
      </c>
      <c r="B170" s="3" t="str">
        <f t="shared" si="6"/>
        <v>M &amp; R EQUIP - LOCAL GAS PURCHASES</v>
      </c>
      <c r="C170" s="5">
        <f t="shared" si="8"/>
        <v>5</v>
      </c>
      <c r="D170" s="2">
        <v>36634</v>
      </c>
      <c r="E170" s="5">
        <v>0</v>
      </c>
      <c r="G170" s="5"/>
      <c r="H170" s="5"/>
      <c r="I170" s="5"/>
      <c r="J170" s="5"/>
      <c r="K170" s="5"/>
      <c r="L170" s="5"/>
      <c r="M170" s="5"/>
      <c r="N170" s="5"/>
      <c r="O170" s="5"/>
    </row>
    <row r="171" spans="1:15" x14ac:dyDescent="0.2">
      <c r="A171" s="24">
        <f t="shared" si="3"/>
        <v>379.1</v>
      </c>
      <c r="B171" s="3" t="str">
        <f t="shared" si="6"/>
        <v>STA EQUIP - CITY</v>
      </c>
      <c r="C171" s="5">
        <f t="shared" si="8"/>
        <v>5</v>
      </c>
      <c r="D171" s="2">
        <v>267731</v>
      </c>
      <c r="E171" s="5">
        <v>0</v>
      </c>
      <c r="G171" s="5"/>
      <c r="H171" s="5"/>
      <c r="I171" s="5"/>
      <c r="J171" s="5"/>
      <c r="K171" s="5"/>
      <c r="L171" s="5"/>
      <c r="M171" s="5"/>
      <c r="N171" s="5"/>
      <c r="O171" s="5"/>
    </row>
    <row r="172" spans="1:15" x14ac:dyDescent="0.2">
      <c r="A172" s="24">
        <f t="shared" si="3"/>
        <v>380</v>
      </c>
      <c r="B172" s="3" t="str">
        <f t="shared" si="6"/>
        <v>SERVICES</v>
      </c>
      <c r="C172" s="3">
        <f t="shared" ref="C172:C183" si="9">C112</f>
        <v>15</v>
      </c>
      <c r="D172" s="2">
        <v>61085053</v>
      </c>
      <c r="E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/>
      <c r="O172" s="5"/>
    </row>
    <row r="173" spans="1:15" x14ac:dyDescent="0.2">
      <c r="A173" s="24">
        <f t="shared" si="3"/>
        <v>381</v>
      </c>
      <c r="B173" s="3" t="str">
        <f t="shared" si="6"/>
        <v>METERS</v>
      </c>
      <c r="C173" s="3">
        <f t="shared" si="9"/>
        <v>16</v>
      </c>
      <c r="D173" s="2">
        <f>5124685+900360</f>
        <v>6025045</v>
      </c>
      <c r="E173" s="5">
        <v>0</v>
      </c>
      <c r="G173" s="5"/>
      <c r="H173" s="5"/>
      <c r="I173" s="5"/>
      <c r="J173" s="5"/>
      <c r="K173" s="5"/>
      <c r="L173" s="5"/>
      <c r="M173" s="5"/>
      <c r="N173" s="5"/>
      <c r="O173" s="5"/>
    </row>
    <row r="174" spans="1:15" x14ac:dyDescent="0.2">
      <c r="A174" s="24">
        <f t="shared" si="3"/>
        <v>382</v>
      </c>
      <c r="B174" s="3" t="str">
        <f t="shared" si="6"/>
        <v>METER INSTALLATIONS</v>
      </c>
      <c r="C174" s="3">
        <f t="shared" si="9"/>
        <v>16</v>
      </c>
      <c r="D174" s="2">
        <v>4714156</v>
      </c>
      <c r="E174" s="5">
        <v>0</v>
      </c>
      <c r="H174" s="5"/>
      <c r="I174" s="5"/>
      <c r="J174" s="5"/>
      <c r="K174" s="5"/>
      <c r="L174" s="5"/>
      <c r="M174" s="5"/>
      <c r="N174" s="5"/>
      <c r="O174" s="5"/>
    </row>
    <row r="175" spans="1:15" x14ac:dyDescent="0.2">
      <c r="A175" s="24">
        <f t="shared" si="3"/>
        <v>383</v>
      </c>
      <c r="B175" s="3" t="str">
        <f t="shared" si="6"/>
        <v>HOUSE REGULATORS</v>
      </c>
      <c r="C175" s="3">
        <f t="shared" si="9"/>
        <v>16</v>
      </c>
      <c r="D175" s="2">
        <v>1568587</v>
      </c>
      <c r="E175" s="5">
        <v>0</v>
      </c>
      <c r="G175" s="5"/>
      <c r="H175" s="5"/>
      <c r="I175" s="5"/>
      <c r="J175" s="5"/>
      <c r="K175" s="5"/>
      <c r="L175" s="5"/>
      <c r="M175" s="5"/>
      <c r="N175" s="5"/>
      <c r="O175" s="5"/>
    </row>
    <row r="176" spans="1:15" x14ac:dyDescent="0.2">
      <c r="A176" s="24">
        <f t="shared" si="3"/>
        <v>384</v>
      </c>
      <c r="B176" s="3" t="str">
        <f t="shared" si="6"/>
        <v>HOUSE REG INSTALLATIONS</v>
      </c>
      <c r="C176" s="3">
        <f t="shared" si="9"/>
        <v>16</v>
      </c>
      <c r="D176" s="2">
        <v>1780729</v>
      </c>
      <c r="E176" s="5">
        <v>0</v>
      </c>
    </row>
    <row r="177" spans="1:16" x14ac:dyDescent="0.2">
      <c r="A177" s="24">
        <f t="shared" si="3"/>
        <v>385</v>
      </c>
      <c r="B177" s="3" t="str">
        <f t="shared" si="6"/>
        <v>IND M&amp;R EQUIPMENT</v>
      </c>
      <c r="C177" s="3">
        <f t="shared" si="9"/>
        <v>17</v>
      </c>
      <c r="D177" s="2">
        <v>956884</v>
      </c>
      <c r="E177" s="5">
        <v>0</v>
      </c>
      <c r="G177" s="5">
        <v>0</v>
      </c>
      <c r="H177" s="5">
        <v>0</v>
      </c>
      <c r="I177" s="5">
        <v>0</v>
      </c>
      <c r="J177" s="5">
        <v>133766.32</v>
      </c>
      <c r="K177" s="5">
        <v>0</v>
      </c>
      <c r="L177" s="5">
        <v>0</v>
      </c>
      <c r="M177" s="5">
        <v>0</v>
      </c>
      <c r="N177" s="5"/>
      <c r="O177" s="5"/>
    </row>
    <row r="178" spans="1:16" x14ac:dyDescent="0.2">
      <c r="A178" s="24">
        <f t="shared" si="3"/>
        <v>387.2</v>
      </c>
      <c r="B178" s="3" t="str">
        <f t="shared" si="6"/>
        <v>ODORIZATION</v>
      </c>
      <c r="C178" s="3">
        <f t="shared" si="9"/>
        <v>7</v>
      </c>
      <c r="D178" s="2">
        <v>-59912</v>
      </c>
      <c r="E178" s="5">
        <v>0</v>
      </c>
    </row>
    <row r="179" spans="1:16" x14ac:dyDescent="0.2">
      <c r="A179" s="24">
        <f t="shared" si="3"/>
        <v>387.41</v>
      </c>
      <c r="B179" s="3" t="str">
        <f t="shared" si="6"/>
        <v>TELEPHONE</v>
      </c>
      <c r="C179" s="3">
        <f t="shared" si="9"/>
        <v>7</v>
      </c>
      <c r="D179" s="2">
        <v>399816</v>
      </c>
      <c r="E179" s="5">
        <v>0</v>
      </c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x14ac:dyDescent="0.2">
      <c r="A180" s="24">
        <f t="shared" si="3"/>
        <v>387.42</v>
      </c>
      <c r="B180" s="3" t="str">
        <f t="shared" si="6"/>
        <v>RADIO</v>
      </c>
      <c r="C180" s="3">
        <f t="shared" si="9"/>
        <v>7</v>
      </c>
      <c r="D180" s="2">
        <v>567414</v>
      </c>
      <c r="E180" s="5">
        <v>0</v>
      </c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x14ac:dyDescent="0.2">
      <c r="A181" s="24">
        <f t="shared" si="3"/>
        <v>387.44</v>
      </c>
      <c r="B181" s="3" t="str">
        <f t="shared" si="6"/>
        <v>OTHER COMMUNICATION</v>
      </c>
      <c r="C181" s="3">
        <f t="shared" si="9"/>
        <v>7</v>
      </c>
      <c r="D181" s="2">
        <v>50650</v>
      </c>
      <c r="E181" s="5">
        <v>0</v>
      </c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x14ac:dyDescent="0.2">
      <c r="A182" s="24">
        <f t="shared" si="3"/>
        <v>387.45</v>
      </c>
      <c r="B182" s="3" t="str">
        <f t="shared" si="6"/>
        <v>TELEMETERING</v>
      </c>
      <c r="C182" s="3">
        <f t="shared" si="9"/>
        <v>7</v>
      </c>
      <c r="D182" s="2">
        <v>529513</v>
      </c>
      <c r="E182" s="5">
        <v>0</v>
      </c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x14ac:dyDescent="0.2">
      <c r="A183" s="24">
        <f t="shared" si="3"/>
        <v>387.46</v>
      </c>
      <c r="B183" s="3" t="str">
        <f t="shared" si="6"/>
        <v>CIS</v>
      </c>
      <c r="C183" s="3">
        <f t="shared" si="9"/>
        <v>7</v>
      </c>
      <c r="D183" s="2">
        <v>114357</v>
      </c>
      <c r="E183" s="5">
        <v>0</v>
      </c>
    </row>
    <row r="184" spans="1:16" x14ac:dyDescent="0.2">
      <c r="D184" s="1"/>
    </row>
    <row r="185" spans="1:16" x14ac:dyDescent="0.2">
      <c r="D185" s="1"/>
    </row>
    <row r="186" spans="1:16" x14ac:dyDescent="0.2">
      <c r="A186" s="24" t="str">
        <f t="shared" ref="A186:A198" si="10">A124</f>
        <v>GENERAL PLANT</v>
      </c>
      <c r="D186" s="1"/>
      <c r="E186" s="5"/>
    </row>
    <row r="187" spans="1:16" x14ac:dyDescent="0.2">
      <c r="A187" s="24">
        <f t="shared" si="10"/>
        <v>391.1</v>
      </c>
      <c r="B187" s="3" t="str">
        <f t="shared" ref="B187:C198" si="11">B125</f>
        <v>OFF FURN &amp; EQUIP - UNSPEC</v>
      </c>
      <c r="C187" s="3">
        <f t="shared" si="11"/>
        <v>7</v>
      </c>
      <c r="D187" s="2">
        <v>-33247</v>
      </c>
      <c r="E187" s="5">
        <v>0</v>
      </c>
    </row>
    <row r="188" spans="1:16" x14ac:dyDescent="0.2">
      <c r="A188" s="24">
        <f t="shared" si="10"/>
        <v>391.11</v>
      </c>
      <c r="B188" s="3" t="str">
        <f t="shared" si="11"/>
        <v>OFF FURN &amp; EQUIP - DATA HAND</v>
      </c>
      <c r="C188" s="3">
        <f t="shared" si="11"/>
        <v>7</v>
      </c>
      <c r="D188" s="2">
        <v>-11355</v>
      </c>
      <c r="E188" s="5">
        <v>0</v>
      </c>
    </row>
    <row r="189" spans="1:16" x14ac:dyDescent="0.2">
      <c r="A189" s="24">
        <f t="shared" si="10"/>
        <v>391.12</v>
      </c>
      <c r="B189" s="3" t="str">
        <f t="shared" si="11"/>
        <v>OFF FURN &amp; EQUIP - INFO SYSTEM</v>
      </c>
      <c r="C189" s="3">
        <f t="shared" si="11"/>
        <v>7</v>
      </c>
      <c r="D189" s="2">
        <v>750133</v>
      </c>
      <c r="E189" s="5">
        <v>0</v>
      </c>
    </row>
    <row r="190" spans="1:16" x14ac:dyDescent="0.2">
      <c r="A190" s="24">
        <f t="shared" si="10"/>
        <v>392.2</v>
      </c>
      <c r="B190" s="3" t="str">
        <f t="shared" si="11"/>
        <v>TR EQ - TRAILER &gt; $1,000</v>
      </c>
      <c r="C190" s="3">
        <f t="shared" si="11"/>
        <v>7</v>
      </c>
      <c r="D190" s="2">
        <v>27035</v>
      </c>
      <c r="E190" s="5">
        <v>0</v>
      </c>
    </row>
    <row r="191" spans="1:16" x14ac:dyDescent="0.2">
      <c r="A191" s="24">
        <f t="shared" si="10"/>
        <v>392.21</v>
      </c>
      <c r="B191" s="3" t="str">
        <f t="shared" si="11"/>
        <v>TR EQ - TRAILER &lt; $1,000</v>
      </c>
      <c r="C191" s="3">
        <f t="shared" si="11"/>
        <v>7</v>
      </c>
      <c r="D191" s="2">
        <v>6309</v>
      </c>
      <c r="E191" s="5">
        <v>0</v>
      </c>
      <c r="G191" s="5"/>
      <c r="H191" s="5"/>
      <c r="I191" s="5"/>
      <c r="J191" s="5"/>
      <c r="K191" s="5"/>
    </row>
    <row r="192" spans="1:16" x14ac:dyDescent="0.2">
      <c r="A192" s="24">
        <f t="shared" si="10"/>
        <v>394.1</v>
      </c>
      <c r="B192" s="3" t="str">
        <f t="shared" si="11"/>
        <v>TOOLS,SHOP, &amp; GAR EQ-GARAGE &amp; SERV</v>
      </c>
      <c r="C192" s="3">
        <f t="shared" si="11"/>
        <v>7</v>
      </c>
      <c r="D192" s="2">
        <v>15095</v>
      </c>
      <c r="E192" s="5">
        <v>0</v>
      </c>
    </row>
    <row r="193" spans="1:11" x14ac:dyDescent="0.2">
      <c r="A193" s="24">
        <f t="shared" si="10"/>
        <v>394.13</v>
      </c>
      <c r="B193" s="3" t="str">
        <f t="shared" si="11"/>
        <v>TOOLS,SHOP, &amp; GAR EQ-UND TANK CLEANUP</v>
      </c>
      <c r="C193" s="3">
        <f t="shared" si="11"/>
        <v>7</v>
      </c>
      <c r="D193" s="2">
        <v>37937</v>
      </c>
      <c r="E193" s="5">
        <v>0</v>
      </c>
      <c r="J193" s="5"/>
      <c r="K193" s="5"/>
    </row>
    <row r="194" spans="1:11" x14ac:dyDescent="0.2">
      <c r="A194" s="24">
        <f t="shared" si="10"/>
        <v>393</v>
      </c>
      <c r="B194" s="3" t="str">
        <f t="shared" si="11"/>
        <v>STORES EQUIPMENT</v>
      </c>
      <c r="C194" s="3">
        <f t="shared" si="11"/>
        <v>7</v>
      </c>
      <c r="D194" s="2">
        <v>0</v>
      </c>
      <c r="E194" s="5">
        <v>0</v>
      </c>
      <c r="H194" s="5"/>
    </row>
    <row r="195" spans="1:11" x14ac:dyDescent="0.2">
      <c r="A195" s="24">
        <f t="shared" si="10"/>
        <v>394.2</v>
      </c>
      <c r="B195" s="3" t="str">
        <f t="shared" si="11"/>
        <v>SHOP EQUIPMENT</v>
      </c>
      <c r="C195" s="3">
        <f t="shared" si="11"/>
        <v>7</v>
      </c>
      <c r="D195" s="2">
        <v>185</v>
      </c>
      <c r="E195" s="5">
        <v>0</v>
      </c>
      <c r="G195" s="5"/>
    </row>
    <row r="196" spans="1:11" x14ac:dyDescent="0.2">
      <c r="A196" s="24">
        <f t="shared" si="10"/>
        <v>394.3</v>
      </c>
      <c r="B196" s="3" t="str">
        <f t="shared" si="11"/>
        <v>TOOLS &amp; OTHER EQUIPMENT</v>
      </c>
      <c r="C196" s="3">
        <f t="shared" si="11"/>
        <v>7</v>
      </c>
      <c r="D196" s="2">
        <v>1333005</v>
      </c>
      <c r="E196" s="5">
        <v>0</v>
      </c>
      <c r="G196" s="5"/>
    </row>
    <row r="197" spans="1:11" x14ac:dyDescent="0.2">
      <c r="A197" s="24">
        <f t="shared" si="10"/>
        <v>395</v>
      </c>
      <c r="B197" s="3" t="str">
        <f t="shared" si="11"/>
        <v>LABORATORY EQUIPMENT</v>
      </c>
      <c r="C197" s="3">
        <f t="shared" si="11"/>
        <v>7</v>
      </c>
      <c r="D197" s="2">
        <v>7764</v>
      </c>
      <c r="E197" s="5">
        <v>0</v>
      </c>
      <c r="G197" s="5"/>
    </row>
    <row r="198" spans="1:11" x14ac:dyDescent="0.2">
      <c r="A198" s="24">
        <f t="shared" si="10"/>
        <v>396</v>
      </c>
      <c r="B198" s="3" t="str">
        <f t="shared" si="11"/>
        <v>POWER OP EQUIP-GEN TOOLS</v>
      </c>
      <c r="C198" s="3">
        <f t="shared" si="11"/>
        <v>7</v>
      </c>
      <c r="D198" s="2">
        <v>202598</v>
      </c>
      <c r="E198" s="5">
        <v>0</v>
      </c>
      <c r="G198" s="5"/>
    </row>
    <row r="199" spans="1:11" x14ac:dyDescent="0.2">
      <c r="A199" s="24"/>
      <c r="B199" s="3" t="s">
        <v>431</v>
      </c>
      <c r="C199" s="3">
        <f>C137</f>
        <v>7</v>
      </c>
      <c r="D199" s="2">
        <v>0</v>
      </c>
      <c r="E199" s="5">
        <v>0</v>
      </c>
      <c r="G199" s="5"/>
    </row>
    <row r="200" spans="1:11" x14ac:dyDescent="0.2">
      <c r="A200" s="24">
        <f>A138</f>
        <v>398</v>
      </c>
      <c r="B200" s="3" t="str">
        <f>B138</f>
        <v>MISCELLANEOUS EQUIPMENT</v>
      </c>
      <c r="C200" s="3">
        <f>C138</f>
        <v>7</v>
      </c>
      <c r="D200" s="2">
        <v>12094</v>
      </c>
      <c r="E200" s="5">
        <v>0</v>
      </c>
    </row>
    <row r="201" spans="1:11" x14ac:dyDescent="0.2">
      <c r="D201" s="2"/>
    </row>
    <row r="202" spans="1:11" x14ac:dyDescent="0.2">
      <c r="B202" s="3" t="s">
        <v>162</v>
      </c>
      <c r="D202" s="1">
        <f>SUM(D146:D201)</f>
        <v>151708251</v>
      </c>
      <c r="E202" s="3">
        <f>SUM(E146:E200)</f>
        <v>0</v>
      </c>
    </row>
    <row r="204" spans="1:11" x14ac:dyDescent="0.2">
      <c r="A204" s="16" t="s">
        <v>0</v>
      </c>
      <c r="B204" s="16" t="s">
        <v>0</v>
      </c>
      <c r="C204" s="16" t="s">
        <v>0</v>
      </c>
      <c r="D204" s="16" t="s">
        <v>0</v>
      </c>
      <c r="E204" s="16" t="s">
        <v>0</v>
      </c>
    </row>
    <row r="205" spans="1:11" x14ac:dyDescent="0.2">
      <c r="A205" s="3" t="s">
        <v>163</v>
      </c>
    </row>
    <row r="206" spans="1:11" x14ac:dyDescent="0.2">
      <c r="A206" s="16" t="s">
        <v>0</v>
      </c>
      <c r="B206" s="16" t="s">
        <v>0</v>
      </c>
      <c r="C206" s="16" t="s">
        <v>0</v>
      </c>
      <c r="D206" s="16" t="s">
        <v>0</v>
      </c>
      <c r="E206" s="16" t="s">
        <v>0</v>
      </c>
    </row>
    <row r="208" spans="1:11" x14ac:dyDescent="0.2">
      <c r="D208" s="325" t="s">
        <v>105</v>
      </c>
    </row>
    <row r="209" spans="1:17" x14ac:dyDescent="0.2">
      <c r="A209" s="24" t="str">
        <f t="shared" ref="A209:A247" si="12">A145</f>
        <v>INTANGIBLE PLANT</v>
      </c>
      <c r="B209" s="25"/>
      <c r="D209" s="325" t="s">
        <v>164</v>
      </c>
      <c r="E209" s="5"/>
    </row>
    <row r="210" spans="1:17" x14ac:dyDescent="0.2">
      <c r="A210" s="24">
        <f t="shared" si="12"/>
        <v>301</v>
      </c>
      <c r="B210" s="24" t="str">
        <f t="shared" ref="B210:C214" si="13">B146</f>
        <v>ORGANIZATION</v>
      </c>
      <c r="C210" s="3">
        <f t="shared" si="13"/>
        <v>7</v>
      </c>
      <c r="D210" s="2">
        <v>0</v>
      </c>
    </row>
    <row r="211" spans="1:17" x14ac:dyDescent="0.2">
      <c r="A211" s="24">
        <f t="shared" si="12"/>
        <v>303</v>
      </c>
      <c r="B211" s="24" t="str">
        <f t="shared" si="13"/>
        <v>MISC. INTANGIBLE PLANT</v>
      </c>
      <c r="C211" s="3">
        <f t="shared" si="13"/>
        <v>7</v>
      </c>
      <c r="D211" s="2">
        <v>2478.2400000000002</v>
      </c>
    </row>
    <row r="212" spans="1:17" x14ac:dyDescent="0.2">
      <c r="A212" s="24">
        <f t="shared" si="12"/>
        <v>303.10000000000002</v>
      </c>
      <c r="B212" s="24" t="str">
        <f t="shared" si="13"/>
        <v>DIS SOFTWARE</v>
      </c>
      <c r="C212" s="3">
        <f t="shared" si="13"/>
        <v>7</v>
      </c>
      <c r="D212" s="2">
        <v>0</v>
      </c>
      <c r="E212" s="5"/>
    </row>
    <row r="213" spans="1:17" x14ac:dyDescent="0.2">
      <c r="A213" s="24">
        <f t="shared" si="12"/>
        <v>303.2</v>
      </c>
      <c r="B213" s="24" t="str">
        <f t="shared" si="13"/>
        <v>FARA SOFTWARE</v>
      </c>
      <c r="C213" s="3">
        <f t="shared" si="13"/>
        <v>7</v>
      </c>
      <c r="D213" s="2">
        <v>0</v>
      </c>
      <c r="E213" s="5"/>
    </row>
    <row r="214" spans="1:17" x14ac:dyDescent="0.2">
      <c r="A214" s="24">
        <f t="shared" si="12"/>
        <v>303.3</v>
      </c>
      <c r="B214" s="24" t="str">
        <f t="shared" si="13"/>
        <v>OTHER SOFTWARE</v>
      </c>
      <c r="C214" s="3">
        <f t="shared" si="13"/>
        <v>7</v>
      </c>
      <c r="D214" s="2">
        <v>1271617.3233508226</v>
      </c>
      <c r="G214" s="5">
        <f>E611</f>
        <v>0</v>
      </c>
      <c r="H214" s="5">
        <f>F611</f>
        <v>0</v>
      </c>
      <c r="I214" s="5">
        <f>G610</f>
        <v>0</v>
      </c>
      <c r="J214" s="5">
        <f>H610</f>
        <v>0</v>
      </c>
      <c r="K214" s="5">
        <f>I610</f>
        <v>0</v>
      </c>
      <c r="L214" s="5">
        <f>J610</f>
        <v>0</v>
      </c>
      <c r="M214" s="5">
        <f>K610</f>
        <v>0</v>
      </c>
      <c r="N214" s="5"/>
      <c r="O214" s="5"/>
      <c r="Q214" s="5"/>
    </row>
    <row r="215" spans="1:17" x14ac:dyDescent="0.2">
      <c r="A215" s="24" t="str">
        <f t="shared" si="12"/>
        <v>PRODUCTION PLANT</v>
      </c>
      <c r="B215" s="24"/>
      <c r="D215" s="2"/>
    </row>
    <row r="216" spans="1:17" x14ac:dyDescent="0.2">
      <c r="A216" s="24">
        <f t="shared" si="12"/>
        <v>304.10000000000002</v>
      </c>
      <c r="B216" s="24" t="str">
        <f t="shared" ref="B216:C218" si="14">B152</f>
        <v>LAND</v>
      </c>
      <c r="C216" s="3">
        <f t="shared" si="14"/>
        <v>2</v>
      </c>
      <c r="D216" s="2">
        <v>0</v>
      </c>
    </row>
    <row r="217" spans="1:17" x14ac:dyDescent="0.2">
      <c r="A217" s="24">
        <f t="shared" si="12"/>
        <v>305</v>
      </c>
      <c r="B217" s="24" t="str">
        <f t="shared" si="14"/>
        <v>STRUCTURES &amp; IMPROVEMENTS</v>
      </c>
      <c r="C217" s="3">
        <f t="shared" si="14"/>
        <v>2</v>
      </c>
      <c r="D217" s="2">
        <v>0</v>
      </c>
    </row>
    <row r="218" spans="1:17" x14ac:dyDescent="0.2">
      <c r="A218" s="24">
        <f t="shared" si="12"/>
        <v>311</v>
      </c>
      <c r="B218" s="24" t="str">
        <f t="shared" si="14"/>
        <v>LIQUEFIED PETROLEUM GAS EQUIP</v>
      </c>
      <c r="C218" s="3">
        <f t="shared" si="14"/>
        <v>2</v>
      </c>
      <c r="D218" s="2">
        <v>0</v>
      </c>
    </row>
    <row r="219" spans="1:17" x14ac:dyDescent="0.2">
      <c r="A219" s="24" t="str">
        <f t="shared" si="12"/>
        <v>DISTRIBUTION PLANT</v>
      </c>
      <c r="B219" s="24"/>
      <c r="D219" s="2"/>
    </row>
    <row r="220" spans="1:17" x14ac:dyDescent="0.2">
      <c r="A220" s="24">
        <f t="shared" si="12"/>
        <v>374.1</v>
      </c>
      <c r="B220" s="24" t="str">
        <f t="shared" ref="B220:B247" si="15">B156</f>
        <v>LAND - CITY GATE &amp; M/L IND M&amp;R</v>
      </c>
      <c r="C220" s="5">
        <f t="shared" ref="C220:C226" si="16">$C$2</f>
        <v>5</v>
      </c>
      <c r="D220" s="2">
        <v>0</v>
      </c>
      <c r="E220" s="5"/>
    </row>
    <row r="221" spans="1:17" x14ac:dyDescent="0.2">
      <c r="A221" s="24">
        <f t="shared" si="12"/>
        <v>374.2</v>
      </c>
      <c r="B221" s="24" t="str">
        <f t="shared" si="15"/>
        <v>LAND - OTHER DISTRIBUTION</v>
      </c>
      <c r="C221" s="5">
        <f t="shared" si="16"/>
        <v>5</v>
      </c>
      <c r="D221" s="2">
        <v>0</v>
      </c>
      <c r="E221" s="5"/>
    </row>
    <row r="222" spans="1:17" x14ac:dyDescent="0.2">
      <c r="A222" s="24">
        <f t="shared" si="12"/>
        <v>374.4</v>
      </c>
      <c r="B222" s="24" t="str">
        <f t="shared" si="15"/>
        <v>LAND RIGHTS - OTHER DISTRIBUTION</v>
      </c>
      <c r="C222" s="5">
        <f t="shared" si="16"/>
        <v>5</v>
      </c>
      <c r="D222" s="2">
        <v>11508</v>
      </c>
      <c r="E222" s="5"/>
    </row>
    <row r="223" spans="1:17" x14ac:dyDescent="0.2">
      <c r="A223" s="24">
        <f t="shared" si="12"/>
        <v>374.5</v>
      </c>
      <c r="B223" s="24" t="str">
        <f t="shared" si="15"/>
        <v>RIGHTS OF WAY</v>
      </c>
      <c r="C223" s="5">
        <f t="shared" si="16"/>
        <v>5</v>
      </c>
      <c r="D223" s="2">
        <v>35215</v>
      </c>
      <c r="E223" s="5"/>
    </row>
    <row r="224" spans="1:17" x14ac:dyDescent="0.2">
      <c r="A224" s="24">
        <f t="shared" si="12"/>
        <v>375.2</v>
      </c>
      <c r="B224" s="24" t="str">
        <f t="shared" si="15"/>
        <v>CITY GATE - MEAS &amp; REG STRUCTURES</v>
      </c>
      <c r="C224" s="5">
        <f t="shared" si="16"/>
        <v>5</v>
      </c>
      <c r="D224" s="2">
        <v>72</v>
      </c>
      <c r="E224" s="5"/>
    </row>
    <row r="225" spans="1:16" x14ac:dyDescent="0.2">
      <c r="A225" s="24">
        <f t="shared" si="12"/>
        <v>375.3</v>
      </c>
      <c r="B225" s="24" t="str">
        <f t="shared" si="15"/>
        <v>STRUC &amp; IMPROV-GENERAL M&amp;R</v>
      </c>
      <c r="C225" s="5">
        <f t="shared" si="16"/>
        <v>5</v>
      </c>
      <c r="D225" s="2">
        <v>0</v>
      </c>
      <c r="E225" s="5"/>
    </row>
    <row r="226" spans="1:16" x14ac:dyDescent="0.2">
      <c r="A226" s="24">
        <f t="shared" si="12"/>
        <v>375.4</v>
      </c>
      <c r="B226" s="24" t="str">
        <f t="shared" si="15"/>
        <v>STRUC &amp; IMPROV-REGULATING</v>
      </c>
      <c r="C226" s="5">
        <f t="shared" si="16"/>
        <v>5</v>
      </c>
      <c r="D226" s="2">
        <v>70632</v>
      </c>
      <c r="E226" s="5"/>
      <c r="J226" s="3">
        <v>743.99</v>
      </c>
    </row>
    <row r="227" spans="1:16" x14ac:dyDescent="0.2">
      <c r="A227" s="24">
        <f t="shared" si="12"/>
        <v>375.6</v>
      </c>
      <c r="B227" s="24" t="str">
        <f t="shared" si="15"/>
        <v>STRUC &amp; IMPROV-DIST. IND. M &amp; R</v>
      </c>
      <c r="C227" s="3">
        <f>C163</f>
        <v>8</v>
      </c>
      <c r="D227" s="2">
        <v>0</v>
      </c>
      <c r="E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x14ac:dyDescent="0.2">
      <c r="A228" s="24">
        <f t="shared" si="12"/>
        <v>375.7</v>
      </c>
      <c r="B228" s="24" t="str">
        <f t="shared" si="15"/>
        <v>STRUC &amp; IMPROV-OTHER DIST. SYSTEM</v>
      </c>
      <c r="C228" s="3">
        <f>C164</f>
        <v>7</v>
      </c>
      <c r="D228" s="2">
        <v>185730</v>
      </c>
      <c r="E228" s="5"/>
    </row>
    <row r="229" spans="1:16" x14ac:dyDescent="0.2">
      <c r="A229" s="24">
        <f t="shared" si="12"/>
        <v>375.71</v>
      </c>
      <c r="B229" s="24" t="str">
        <f t="shared" si="15"/>
        <v>STRUCT &amp; IMPROV-OTHER DIST. SYSTEM-IMPROV</v>
      </c>
      <c r="C229" s="3">
        <f>C165</f>
        <v>7</v>
      </c>
      <c r="D229" s="2">
        <v>33049</v>
      </c>
      <c r="E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x14ac:dyDescent="0.2">
      <c r="A230" s="24">
        <f t="shared" si="12"/>
        <v>375.8</v>
      </c>
      <c r="B230" s="24" t="str">
        <f t="shared" si="15"/>
        <v>STRUC &amp; IMPROV-COMMUNICATION</v>
      </c>
      <c r="C230" s="5">
        <f t="shared" ref="C230:C235" si="17">$C$2</f>
        <v>5</v>
      </c>
      <c r="D230" s="2">
        <v>0</v>
      </c>
      <c r="E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x14ac:dyDescent="0.2">
      <c r="A231" s="24">
        <f t="shared" si="12"/>
        <v>376</v>
      </c>
      <c r="B231" s="24" t="str">
        <f t="shared" si="15"/>
        <v>MAINS</v>
      </c>
      <c r="C231" s="5">
        <f t="shared" si="17"/>
        <v>5</v>
      </c>
      <c r="D231" s="2">
        <f>5087765-1</f>
        <v>5087764</v>
      </c>
      <c r="E231" s="5"/>
      <c r="G231" s="5">
        <v>0</v>
      </c>
      <c r="H231" s="5">
        <v>0</v>
      </c>
      <c r="I231" s="5">
        <v>0</v>
      </c>
      <c r="J231" s="5">
        <v>150.69999999999999</v>
      </c>
      <c r="K231" s="5">
        <v>0</v>
      </c>
      <c r="L231" s="5">
        <v>0</v>
      </c>
      <c r="M231" s="5">
        <v>0</v>
      </c>
      <c r="N231" s="5"/>
      <c r="O231" s="5"/>
    </row>
    <row r="232" spans="1:16" x14ac:dyDescent="0.2">
      <c r="A232" s="24">
        <f t="shared" si="12"/>
        <v>378.1</v>
      </c>
      <c r="B232" s="24" t="str">
        <f t="shared" si="15"/>
        <v>M &amp; R GENERAL</v>
      </c>
      <c r="C232" s="2">
        <f t="shared" si="17"/>
        <v>5</v>
      </c>
      <c r="D232" s="2">
        <v>17220</v>
      </c>
      <c r="E232" s="5"/>
    </row>
    <row r="233" spans="1:16" x14ac:dyDescent="0.2">
      <c r="A233" s="24">
        <f t="shared" si="12"/>
        <v>378.2</v>
      </c>
      <c r="B233" s="24" t="str">
        <f t="shared" si="15"/>
        <v>M &amp; R GENERAL - REGULATING</v>
      </c>
      <c r="C233" s="2">
        <f t="shared" si="17"/>
        <v>5</v>
      </c>
      <c r="D233" s="2">
        <f>330302-25903</f>
        <v>304399</v>
      </c>
      <c r="E233" s="5"/>
    </row>
    <row r="234" spans="1:16" x14ac:dyDescent="0.2">
      <c r="A234" s="24">
        <f t="shared" si="12"/>
        <v>378.3</v>
      </c>
      <c r="B234" s="24" t="str">
        <f t="shared" si="15"/>
        <v>M &amp; R EQUIP - LOCAL GAS PURCHASES</v>
      </c>
      <c r="C234" s="2">
        <f t="shared" si="17"/>
        <v>5</v>
      </c>
      <c r="D234" s="2">
        <v>1512</v>
      </c>
      <c r="E234" s="5"/>
    </row>
    <row r="235" spans="1:16" x14ac:dyDescent="0.2">
      <c r="A235" s="24">
        <f t="shared" si="12"/>
        <v>379.1</v>
      </c>
      <c r="B235" s="24" t="str">
        <f t="shared" si="15"/>
        <v>STA EQUIP - CITY</v>
      </c>
      <c r="C235" s="2">
        <f t="shared" si="17"/>
        <v>5</v>
      </c>
      <c r="D235" s="2">
        <v>0</v>
      </c>
      <c r="E235" s="5"/>
      <c r="G235" s="5"/>
      <c r="H235" s="5"/>
      <c r="I235" s="5"/>
      <c r="J235" s="5"/>
      <c r="K235" s="5"/>
      <c r="L235" s="5"/>
      <c r="M235" s="5"/>
      <c r="N235" s="5"/>
      <c r="P235" s="5"/>
    </row>
    <row r="236" spans="1:16" x14ac:dyDescent="0.2">
      <c r="A236" s="24">
        <f t="shared" si="12"/>
        <v>380</v>
      </c>
      <c r="B236" s="24" t="str">
        <f t="shared" si="15"/>
        <v>SERVICES</v>
      </c>
      <c r="C236" s="3">
        <f t="shared" ref="C236:C247" si="18">C172</f>
        <v>15</v>
      </c>
      <c r="D236" s="2">
        <v>6496995</v>
      </c>
      <c r="E236" s="5"/>
    </row>
    <row r="237" spans="1:16" x14ac:dyDescent="0.2">
      <c r="A237" s="24">
        <f t="shared" si="12"/>
        <v>381</v>
      </c>
      <c r="B237" s="24" t="str">
        <f t="shared" si="15"/>
        <v>METERS</v>
      </c>
      <c r="C237" s="3">
        <f t="shared" si="18"/>
        <v>16</v>
      </c>
      <c r="D237" s="2">
        <f>460501+711763</f>
        <v>1172264</v>
      </c>
      <c r="E237" s="5"/>
      <c r="G237" s="5"/>
      <c r="H237" s="5"/>
      <c r="I237" s="5"/>
      <c r="J237" s="5"/>
      <c r="K237" s="5"/>
      <c r="L237" s="5"/>
      <c r="M237" s="5"/>
      <c r="N237" s="5"/>
      <c r="P237" s="5"/>
    </row>
    <row r="238" spans="1:16" x14ac:dyDescent="0.2">
      <c r="A238" s="24">
        <f t="shared" si="12"/>
        <v>382</v>
      </c>
      <c r="B238" s="24" t="str">
        <f t="shared" si="15"/>
        <v>METER INSTALLATIONS</v>
      </c>
      <c r="C238" s="3">
        <f t="shared" si="18"/>
        <v>16</v>
      </c>
      <c r="D238" s="2">
        <v>230831</v>
      </c>
      <c r="E238" s="5"/>
    </row>
    <row r="239" spans="1:16" x14ac:dyDescent="0.2">
      <c r="A239" s="24">
        <f t="shared" si="12"/>
        <v>383</v>
      </c>
      <c r="B239" s="24" t="str">
        <f t="shared" si="15"/>
        <v>HOUSE REGULATORS</v>
      </c>
      <c r="C239" s="3">
        <f t="shared" si="18"/>
        <v>16</v>
      </c>
      <c r="D239" s="2">
        <v>157520</v>
      </c>
      <c r="E239" s="5"/>
      <c r="G239" s="5"/>
      <c r="H239" s="5"/>
      <c r="I239" s="5"/>
      <c r="J239" s="5"/>
      <c r="K239" s="5"/>
      <c r="L239" s="5"/>
      <c r="M239" s="5"/>
      <c r="N239" s="5"/>
      <c r="P239" s="5"/>
    </row>
    <row r="240" spans="1:16" x14ac:dyDescent="0.2">
      <c r="A240" s="24">
        <f t="shared" si="12"/>
        <v>384</v>
      </c>
      <c r="B240" s="24" t="str">
        <f t="shared" si="15"/>
        <v>HOUSE REG INSTALLATIONS</v>
      </c>
      <c r="C240" s="3">
        <f t="shared" si="18"/>
        <v>16</v>
      </c>
      <c r="D240" s="2">
        <v>22800</v>
      </c>
      <c r="E240" s="5"/>
    </row>
    <row r="241" spans="1:16" x14ac:dyDescent="0.2">
      <c r="A241" s="24">
        <f t="shared" si="12"/>
        <v>385</v>
      </c>
      <c r="B241" s="24" t="str">
        <f t="shared" si="15"/>
        <v>IND M&amp;R EQUIPMENT</v>
      </c>
      <c r="C241" s="3">
        <f t="shared" si="18"/>
        <v>17</v>
      </c>
      <c r="D241" s="2">
        <v>171381</v>
      </c>
      <c r="E241" s="5"/>
      <c r="J241" s="3">
        <v>13065.17</v>
      </c>
    </row>
    <row r="242" spans="1:16" x14ac:dyDescent="0.2">
      <c r="A242" s="24">
        <f t="shared" si="12"/>
        <v>387.2</v>
      </c>
      <c r="B242" s="24" t="str">
        <f t="shared" si="15"/>
        <v>ODORIZATION</v>
      </c>
      <c r="C242" s="3">
        <f t="shared" si="18"/>
        <v>7</v>
      </c>
      <c r="D242" s="2">
        <v>0</v>
      </c>
      <c r="E242" s="5"/>
    </row>
    <row r="243" spans="1:16" x14ac:dyDescent="0.2">
      <c r="A243" s="24">
        <f t="shared" si="12"/>
        <v>387.41</v>
      </c>
      <c r="B243" s="24" t="str">
        <f t="shared" si="15"/>
        <v>TELEPHONE</v>
      </c>
      <c r="C243" s="3">
        <f t="shared" si="18"/>
        <v>7</v>
      </c>
      <c r="D243" s="2">
        <v>27516</v>
      </c>
      <c r="E243" s="5"/>
    </row>
    <row r="244" spans="1:16" x14ac:dyDescent="0.2">
      <c r="A244" s="24">
        <f t="shared" si="12"/>
        <v>387.42</v>
      </c>
      <c r="B244" s="24" t="str">
        <f t="shared" si="15"/>
        <v>RADIO</v>
      </c>
      <c r="C244" s="3">
        <f t="shared" si="18"/>
        <v>7</v>
      </c>
      <c r="D244" s="2">
        <v>29736</v>
      </c>
      <c r="E244" s="5"/>
      <c r="G244" s="5"/>
      <c r="H244" s="5"/>
      <c r="I244" s="5"/>
      <c r="J244" s="5"/>
      <c r="K244" s="5"/>
      <c r="L244" s="5"/>
      <c r="M244" s="5"/>
      <c r="N244" s="5"/>
      <c r="P244" s="5"/>
    </row>
    <row r="245" spans="1:16" x14ac:dyDescent="0.2">
      <c r="A245" s="24">
        <f t="shared" si="12"/>
        <v>387.44</v>
      </c>
      <c r="B245" s="24" t="str">
        <f t="shared" si="15"/>
        <v>OTHER COMMUNICATION</v>
      </c>
      <c r="C245" s="3">
        <f t="shared" si="18"/>
        <v>7</v>
      </c>
      <c r="D245" s="2">
        <v>4992</v>
      </c>
      <c r="E245" s="5"/>
    </row>
    <row r="246" spans="1:16" x14ac:dyDescent="0.2">
      <c r="A246" s="24">
        <f t="shared" si="12"/>
        <v>387.45</v>
      </c>
      <c r="B246" s="24" t="str">
        <f t="shared" si="15"/>
        <v>TELEMETERING</v>
      </c>
      <c r="C246" s="3">
        <f t="shared" si="18"/>
        <v>7</v>
      </c>
      <c r="D246" s="2">
        <v>140832</v>
      </c>
      <c r="G246" s="5"/>
      <c r="H246" s="5"/>
      <c r="I246" s="5"/>
      <c r="J246" s="5"/>
      <c r="K246" s="5"/>
      <c r="L246" s="5"/>
      <c r="M246" s="5"/>
      <c r="N246" s="5"/>
      <c r="P246" s="5"/>
    </row>
    <row r="247" spans="1:16" x14ac:dyDescent="0.2">
      <c r="A247" s="24">
        <f t="shared" si="12"/>
        <v>387.46</v>
      </c>
      <c r="B247" s="24" t="str">
        <f t="shared" si="15"/>
        <v>CIS</v>
      </c>
      <c r="C247" s="3">
        <f t="shared" si="18"/>
        <v>7</v>
      </c>
      <c r="D247" s="2">
        <v>4248</v>
      </c>
    </row>
    <row r="248" spans="1:16" x14ac:dyDescent="0.2">
      <c r="A248" s="24" t="str">
        <f t="shared" ref="A248:A260" si="19">A186</f>
        <v>GENERAL PLANT</v>
      </c>
      <c r="B248" s="24"/>
      <c r="D248" s="1"/>
    </row>
    <row r="249" spans="1:16" x14ac:dyDescent="0.2">
      <c r="A249" s="24">
        <f t="shared" si="19"/>
        <v>391.1</v>
      </c>
      <c r="B249" s="24" t="str">
        <f t="shared" ref="B249:C262" si="20">B187</f>
        <v>OFF FURN &amp; EQUIP - UNSPEC</v>
      </c>
      <c r="C249" s="3">
        <f t="shared" si="20"/>
        <v>7</v>
      </c>
      <c r="D249" s="2">
        <v>36561</v>
      </c>
    </row>
    <row r="250" spans="1:16" x14ac:dyDescent="0.2">
      <c r="A250" s="24">
        <f t="shared" si="19"/>
        <v>391.11</v>
      </c>
      <c r="B250" s="24" t="str">
        <f t="shared" si="20"/>
        <v>OFF FURN &amp; EQUIP - DATA HAND</v>
      </c>
      <c r="C250" s="3">
        <f t="shared" si="20"/>
        <v>7</v>
      </c>
      <c r="D250" s="2">
        <v>1260</v>
      </c>
    </row>
    <row r="251" spans="1:16" x14ac:dyDescent="0.2">
      <c r="A251" s="24">
        <f t="shared" si="19"/>
        <v>391.12</v>
      </c>
      <c r="B251" s="24" t="str">
        <f t="shared" si="20"/>
        <v>OFF FURN &amp; EQUIP - INFO SYSTEM</v>
      </c>
      <c r="C251" s="3">
        <f t="shared" si="20"/>
        <v>7</v>
      </c>
      <c r="D251" s="2">
        <v>253397</v>
      </c>
    </row>
    <row r="252" spans="1:16" x14ac:dyDescent="0.2">
      <c r="A252" s="24">
        <f t="shared" si="19"/>
        <v>392.2</v>
      </c>
      <c r="B252" s="24" t="str">
        <f t="shared" si="20"/>
        <v>TR EQ - TRAILER &gt; $1,000</v>
      </c>
      <c r="C252" s="3">
        <f t="shared" si="20"/>
        <v>7</v>
      </c>
      <c r="D252" s="2">
        <v>8760</v>
      </c>
    </row>
    <row r="253" spans="1:16" x14ac:dyDescent="0.2">
      <c r="A253" s="24">
        <f t="shared" si="19"/>
        <v>392.21</v>
      </c>
      <c r="B253" s="24" t="str">
        <f t="shared" si="20"/>
        <v>TR EQ - TRAILER &lt; $1,000</v>
      </c>
      <c r="C253" s="3">
        <f t="shared" si="20"/>
        <v>7</v>
      </c>
      <c r="D253" s="2">
        <v>2244</v>
      </c>
    </row>
    <row r="254" spans="1:16" x14ac:dyDescent="0.2">
      <c r="A254" s="24">
        <f t="shared" si="19"/>
        <v>394.1</v>
      </c>
      <c r="B254" s="24" t="str">
        <f t="shared" si="20"/>
        <v>TOOLS,SHOP, &amp; GAR EQ-GARAGE &amp; SERV</v>
      </c>
      <c r="C254" s="3">
        <f t="shared" si="20"/>
        <v>7</v>
      </c>
      <c r="D254" s="2">
        <v>972</v>
      </c>
      <c r="E254" s="29"/>
    </row>
    <row r="255" spans="1:16" x14ac:dyDescent="0.2">
      <c r="A255" s="24">
        <f t="shared" si="19"/>
        <v>394.13</v>
      </c>
      <c r="B255" s="24" t="str">
        <f t="shared" si="20"/>
        <v>TOOLS,SHOP, &amp; GAR EQ-UND TANK CLEANUP</v>
      </c>
      <c r="C255" s="3">
        <f t="shared" si="20"/>
        <v>7</v>
      </c>
      <c r="D255" s="2">
        <v>0</v>
      </c>
      <c r="E255" s="29"/>
    </row>
    <row r="256" spans="1:16" x14ac:dyDescent="0.2">
      <c r="A256" s="24">
        <f t="shared" si="19"/>
        <v>393</v>
      </c>
      <c r="B256" s="24" t="str">
        <f t="shared" si="20"/>
        <v>STORES EQUIPMENT</v>
      </c>
      <c r="C256" s="3">
        <f t="shared" si="20"/>
        <v>7</v>
      </c>
      <c r="D256" s="2">
        <v>0</v>
      </c>
      <c r="E256" s="5"/>
    </row>
    <row r="257" spans="1:13" x14ac:dyDescent="0.2">
      <c r="A257" s="24">
        <f t="shared" si="19"/>
        <v>394.2</v>
      </c>
      <c r="B257" s="24" t="str">
        <f t="shared" si="20"/>
        <v>SHOP EQUIPMENT</v>
      </c>
      <c r="C257" s="3">
        <f t="shared" si="20"/>
        <v>7</v>
      </c>
      <c r="D257" s="2">
        <v>0</v>
      </c>
      <c r="E257" s="5"/>
    </row>
    <row r="258" spans="1:13" x14ac:dyDescent="0.2">
      <c r="A258" s="24">
        <f t="shared" si="19"/>
        <v>394.3</v>
      </c>
      <c r="B258" s="24" t="str">
        <f t="shared" si="20"/>
        <v>TOOLS &amp; OTHER EQUIPMENT</v>
      </c>
      <c r="C258" s="3">
        <f t="shared" si="20"/>
        <v>7</v>
      </c>
      <c r="D258" s="2">
        <v>129657</v>
      </c>
    </row>
    <row r="259" spans="1:13" x14ac:dyDescent="0.2">
      <c r="A259" s="24">
        <f t="shared" si="19"/>
        <v>395</v>
      </c>
      <c r="B259" s="24" t="str">
        <f t="shared" si="20"/>
        <v>LABORATORY EQUIPMENT</v>
      </c>
      <c r="C259" s="3">
        <f t="shared" si="20"/>
        <v>7</v>
      </c>
      <c r="D259" s="2">
        <v>468</v>
      </c>
    </row>
    <row r="260" spans="1:13" x14ac:dyDescent="0.2">
      <c r="A260" s="24">
        <f t="shared" si="19"/>
        <v>396</v>
      </c>
      <c r="B260" s="24" t="str">
        <f t="shared" si="20"/>
        <v>POWER OP EQUIP-GEN TOOLS</v>
      </c>
      <c r="C260" s="3">
        <f t="shared" si="20"/>
        <v>7</v>
      </c>
      <c r="D260" s="2">
        <v>6552</v>
      </c>
    </row>
    <row r="261" spans="1:13" x14ac:dyDescent="0.2">
      <c r="A261" s="24"/>
      <c r="B261" s="24" t="str">
        <f t="shared" si="20"/>
        <v>RETIREMENT WORK IN PROGRESS</v>
      </c>
      <c r="C261" s="3">
        <f t="shared" si="20"/>
        <v>7</v>
      </c>
      <c r="D261" s="2">
        <v>0</v>
      </c>
    </row>
    <row r="262" spans="1:13" x14ac:dyDescent="0.2">
      <c r="A262" s="24">
        <f>A200</f>
        <v>398</v>
      </c>
      <c r="B262" s="24" t="str">
        <f t="shared" si="20"/>
        <v>MISCELLANEOUS EQUIPMENT</v>
      </c>
      <c r="C262" s="3">
        <f t="shared" si="20"/>
        <v>7</v>
      </c>
      <c r="D262" s="2">
        <v>19604</v>
      </c>
    </row>
    <row r="263" spans="1:13" x14ac:dyDescent="0.2">
      <c r="D263" s="1"/>
    </row>
    <row r="264" spans="1:13" x14ac:dyDescent="0.2">
      <c r="A264" s="24"/>
      <c r="B264" s="3" t="s">
        <v>166</v>
      </c>
      <c r="D264" s="1">
        <f>SUM(D210:D262)</f>
        <v>15939786.563350823</v>
      </c>
    </row>
    <row r="266" spans="1:13" x14ac:dyDescent="0.2">
      <c r="D266" s="1"/>
      <c r="E266" s="5"/>
    </row>
    <row r="267" spans="1:13" x14ac:dyDescent="0.2">
      <c r="A267" s="16" t="s">
        <v>0</v>
      </c>
      <c r="B267" s="16" t="s">
        <v>0</v>
      </c>
      <c r="C267" s="16" t="s">
        <v>0</v>
      </c>
      <c r="D267" s="16" t="s">
        <v>0</v>
      </c>
      <c r="E267" s="16" t="s">
        <v>0</v>
      </c>
      <c r="F267" s="16" t="s">
        <v>0</v>
      </c>
      <c r="G267" s="16" t="s">
        <v>0</v>
      </c>
      <c r="H267" s="16" t="s">
        <v>0</v>
      </c>
      <c r="I267" s="16" t="s">
        <v>0</v>
      </c>
      <c r="J267" s="16" t="s">
        <v>0</v>
      </c>
      <c r="K267" s="16" t="s">
        <v>0</v>
      </c>
      <c r="L267" s="16"/>
      <c r="M267" s="16"/>
    </row>
    <row r="268" spans="1:13" x14ac:dyDescent="0.2">
      <c r="A268" s="3" t="s">
        <v>167</v>
      </c>
    </row>
    <row r="269" spans="1:13" x14ac:dyDescent="0.2">
      <c r="A269" s="16" t="s">
        <v>0</v>
      </c>
      <c r="B269" s="16" t="s">
        <v>0</v>
      </c>
      <c r="C269" s="16" t="s">
        <v>0</v>
      </c>
      <c r="D269" s="16" t="s">
        <v>0</v>
      </c>
      <c r="E269" s="16" t="s">
        <v>0</v>
      </c>
      <c r="F269" s="16" t="s">
        <v>0</v>
      </c>
      <c r="G269" s="16" t="s">
        <v>0</v>
      </c>
      <c r="H269" s="16" t="s">
        <v>0</v>
      </c>
      <c r="I269" s="16" t="s">
        <v>0</v>
      </c>
      <c r="J269" s="16" t="s">
        <v>0</v>
      </c>
      <c r="K269" s="16" t="s">
        <v>0</v>
      </c>
      <c r="L269" s="16"/>
      <c r="M269" s="16"/>
    </row>
    <row r="271" spans="1:13" x14ac:dyDescent="0.2">
      <c r="C271" s="325" t="s">
        <v>92</v>
      </c>
      <c r="D271" s="325" t="s">
        <v>8</v>
      </c>
    </row>
    <row r="272" spans="1:13" x14ac:dyDescent="0.2">
      <c r="C272" s="325" t="s">
        <v>10</v>
      </c>
      <c r="D272" s="325" t="s">
        <v>11</v>
      </c>
      <c r="E272" s="3" t="str">
        <f>$C$12</f>
        <v>GS-RESIDENTIAL</v>
      </c>
      <c r="F272" s="3" t="str">
        <f>$C$13</f>
        <v>GS-OTHER</v>
      </c>
      <c r="G272" s="3" t="str">
        <f>$C$14</f>
        <v>IUS</v>
      </c>
      <c r="H272" s="3" t="str">
        <f>$C$15</f>
        <v>DS-ML</v>
      </c>
      <c r="I272" s="3" t="str">
        <f>$C$16</f>
        <v>DS/IS</v>
      </c>
      <c r="J272" s="3" t="str">
        <f>$C$17</f>
        <v>NOT USED</v>
      </c>
      <c r="K272" s="3" t="str">
        <f>$C$18</f>
        <v>NOT USED</v>
      </c>
    </row>
    <row r="273" spans="1:13" x14ac:dyDescent="0.2">
      <c r="A273" s="37" t="s">
        <v>168</v>
      </c>
      <c r="B273" s="5" t="s">
        <v>1155</v>
      </c>
      <c r="D273" s="3">
        <f>SUM(E273:M273)</f>
        <v>49696061.100000001</v>
      </c>
      <c r="E273" s="29">
        <f>'Sales &amp; Rev'!C90</f>
        <v>49696061.100000001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/>
      <c r="M273" s="29"/>
    </row>
    <row r="274" spans="1:13" x14ac:dyDescent="0.2">
      <c r="A274" s="37" t="s">
        <v>170</v>
      </c>
      <c r="B274" s="5" t="s">
        <v>1152</v>
      </c>
      <c r="C274" s="3" t="s">
        <v>2</v>
      </c>
      <c r="D274" s="3">
        <f>SUM(E274:M274)</f>
        <v>18520317.479999997</v>
      </c>
      <c r="E274" s="29">
        <v>0</v>
      </c>
      <c r="F274" s="29">
        <f>'Sales &amp; Rev'!E67+'Sales &amp; Rev'!E64+'Sales &amp; Rev'!E60</f>
        <v>18520317.479999997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/>
      <c r="M274" s="29"/>
    </row>
    <row r="275" spans="1:13" x14ac:dyDescent="0.2">
      <c r="A275" s="37" t="s">
        <v>172</v>
      </c>
      <c r="B275" s="5" t="s">
        <v>1153</v>
      </c>
      <c r="D275" s="3">
        <f>SUM(E275:M275)</f>
        <v>1410901.5999999999</v>
      </c>
      <c r="E275" s="29">
        <v>0</v>
      </c>
      <c r="F275" s="29">
        <f>'Sales &amp; Rev'!E68</f>
        <v>1410901.5999999999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/>
      <c r="M275" s="29"/>
    </row>
    <row r="276" spans="1:13" x14ac:dyDescent="0.2">
      <c r="A276" s="37" t="s">
        <v>172</v>
      </c>
      <c r="B276" s="5" t="s">
        <v>1154</v>
      </c>
      <c r="D276" s="3">
        <f>SUM(E276:M276)</f>
        <v>47824.330000000009</v>
      </c>
      <c r="E276" s="29">
        <v>0</v>
      </c>
      <c r="F276" s="29">
        <v>0</v>
      </c>
      <c r="G276" s="29">
        <f>'Sales &amp; Rev'!F73</f>
        <v>47824.330000000009</v>
      </c>
      <c r="H276" s="29">
        <v>0</v>
      </c>
      <c r="I276" s="29">
        <v>0</v>
      </c>
      <c r="J276" s="29">
        <v>0</v>
      </c>
      <c r="K276" s="29">
        <v>0</v>
      </c>
      <c r="L276" s="29"/>
      <c r="M276" s="29"/>
    </row>
    <row r="277" spans="1:13" x14ac:dyDescent="0.2">
      <c r="A277" s="37" t="s">
        <v>174</v>
      </c>
      <c r="B277" s="5" t="s">
        <v>567</v>
      </c>
      <c r="C277" s="5" t="s">
        <v>2</v>
      </c>
      <c r="D277" s="1">
        <f>'Sales &amp; Rev'!C100</f>
        <v>476000</v>
      </c>
      <c r="E277" s="29">
        <f>'Sales &amp; Rev'!D100</f>
        <v>305532</v>
      </c>
      <c r="F277" s="29">
        <f>'Sales &amp; Rev'!E100</f>
        <v>137766</v>
      </c>
      <c r="G277" s="29">
        <f>'Sales &amp; Rev'!F100</f>
        <v>249</v>
      </c>
      <c r="H277" s="29">
        <f>'Sales &amp; Rev'!G100</f>
        <v>2494</v>
      </c>
      <c r="I277" s="29">
        <f>'Sales &amp; Rev'!H100</f>
        <v>29959</v>
      </c>
      <c r="J277" s="29">
        <v>0</v>
      </c>
      <c r="K277" s="29">
        <v>0</v>
      </c>
      <c r="L277" s="29"/>
      <c r="M277" s="29"/>
    </row>
    <row r="278" spans="1:13" x14ac:dyDescent="0.2">
      <c r="A278" s="37" t="s">
        <v>175</v>
      </c>
      <c r="B278" s="5" t="s">
        <v>432</v>
      </c>
      <c r="C278" s="5">
        <v>6</v>
      </c>
      <c r="D278" s="2">
        <f>'Sales &amp; Rev'!C101</f>
        <v>137000</v>
      </c>
      <c r="E278" s="3">
        <f>D278-SUM(F278:I278)</f>
        <v>122833</v>
      </c>
      <c r="F278" s="3">
        <f>ROUND(VLOOKUP($C$278,'Alloc Table'!$A$7:$S$46,14,FALSE)*$D$278,0)</f>
        <v>14082</v>
      </c>
      <c r="G278" s="3">
        <f>ROUND(VLOOKUP($C$278,'Alloc Table'!$A$7:$S$46,15,FALSE)*$D$278,0)</f>
        <v>1</v>
      </c>
      <c r="H278" s="3">
        <f>ROUND(VLOOKUP($C$278,'Alloc Table'!$A$7:$S$46,16,FALSE)*$D$278,0)</f>
        <v>5</v>
      </c>
      <c r="I278" s="3">
        <f>ROUND(VLOOKUP($C$278,'Alloc Table'!$A$7:$S$46,17,FALSE)*$D$278,0)</f>
        <v>79</v>
      </c>
      <c r="J278" s="3">
        <v>0</v>
      </c>
      <c r="K278" s="3">
        <v>0</v>
      </c>
    </row>
    <row r="279" spans="1:13" x14ac:dyDescent="0.2">
      <c r="A279" s="37" t="s">
        <v>176</v>
      </c>
      <c r="B279" s="5" t="s">
        <v>1156</v>
      </c>
      <c r="D279" s="1">
        <f>SUM(E279:M279)</f>
        <v>9029105.3399999999</v>
      </c>
      <c r="E279" s="29">
        <f>'Sales &amp; Rev'!D88</f>
        <v>9029105.3399999999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/>
      <c r="M279" s="29"/>
    </row>
    <row r="280" spans="1:13" x14ac:dyDescent="0.2">
      <c r="A280" s="37" t="s">
        <v>176</v>
      </c>
      <c r="B280" s="5" t="s">
        <v>1157</v>
      </c>
      <c r="D280" s="1">
        <f t="shared" ref="D280:D282" si="21">SUM(E280:M280)</f>
        <v>6541879.9299999997</v>
      </c>
      <c r="E280" s="29">
        <v>0</v>
      </c>
      <c r="F280" s="29">
        <f>'Sales &amp; Rev'!E88</f>
        <v>6541879.9299999997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/>
      <c r="M280" s="29"/>
    </row>
    <row r="281" spans="1:13" x14ac:dyDescent="0.2">
      <c r="A281" s="37" t="s">
        <v>176</v>
      </c>
      <c r="B281" s="5" t="s">
        <v>1158</v>
      </c>
      <c r="D281" s="1">
        <f t="shared" si="21"/>
        <v>479212.93999999994</v>
      </c>
      <c r="E281" s="29">
        <v>0</v>
      </c>
      <c r="F281" s="29">
        <v>0</v>
      </c>
      <c r="G281" s="29">
        <v>0</v>
      </c>
      <c r="H281" s="29">
        <f>'Sales &amp; Rev'!G88</f>
        <v>479212.93999999994</v>
      </c>
      <c r="I281" s="29">
        <v>0</v>
      </c>
      <c r="J281" s="29">
        <v>0</v>
      </c>
      <c r="K281" s="29">
        <v>0</v>
      </c>
      <c r="L281" s="29"/>
      <c r="M281" s="29"/>
    </row>
    <row r="282" spans="1:13" x14ac:dyDescent="0.2">
      <c r="A282" s="37" t="s">
        <v>176</v>
      </c>
      <c r="B282" s="5" t="s">
        <v>1159</v>
      </c>
      <c r="D282" s="1">
        <f t="shared" si="21"/>
        <v>5756864.0300000003</v>
      </c>
      <c r="E282" s="29">
        <v>0</v>
      </c>
      <c r="F282" s="29">
        <v>0</v>
      </c>
      <c r="G282" s="29">
        <v>0</v>
      </c>
      <c r="H282" s="29">
        <v>0</v>
      </c>
      <c r="I282" s="29">
        <f>'Sales &amp; Rev'!H88</f>
        <v>5756864.0300000003</v>
      </c>
      <c r="J282" s="29">
        <v>0</v>
      </c>
      <c r="K282" s="29">
        <v>0</v>
      </c>
      <c r="L282" s="29"/>
      <c r="M282" s="29"/>
    </row>
    <row r="283" spans="1:13" x14ac:dyDescent="0.2">
      <c r="A283" s="37">
        <v>495</v>
      </c>
      <c r="B283" s="5" t="s">
        <v>179</v>
      </c>
      <c r="C283" s="5">
        <v>6</v>
      </c>
      <c r="D283" s="2">
        <f>'Sales &amp; Rev'!C102</f>
        <v>587000</v>
      </c>
      <c r="E283" s="3">
        <f>D283-SUM(F283:I283)</f>
        <v>526293</v>
      </c>
      <c r="F283" s="3">
        <f>ROUND(VLOOKUP($C$283,'Alloc Table'!$A$7:$S$46,14,FALSE)*$D$283,0)</f>
        <v>60338</v>
      </c>
      <c r="G283" s="3">
        <f>ROUND(VLOOKUP($C$283,'Alloc Table'!$A$7:$S$46,15,FALSE)*$D$283,0)</f>
        <v>6</v>
      </c>
      <c r="H283" s="3">
        <f>ROUND(VLOOKUP($C$283,'Alloc Table'!$A$7:$S$46,16,FALSE)*$D$283,0)</f>
        <v>23</v>
      </c>
      <c r="I283" s="3">
        <f>ROUND(VLOOKUP($C$283,'Alloc Table'!$A$7:$S$46,17,FALSE)*$D$283,0)</f>
        <v>340</v>
      </c>
      <c r="J283" s="1"/>
    </row>
    <row r="284" spans="1:13" x14ac:dyDescent="0.2">
      <c r="D284" s="3">
        <f>SUM(D273:D283)</f>
        <v>92682166.75</v>
      </c>
    </row>
    <row r="286" spans="1:13" x14ac:dyDescent="0.2">
      <c r="B286" s="16" t="s">
        <v>0</v>
      </c>
      <c r="C286" s="16" t="s">
        <v>0</v>
      </c>
      <c r="D286" s="16" t="s">
        <v>0</v>
      </c>
      <c r="E286" s="16" t="s">
        <v>0</v>
      </c>
      <c r="F286" s="16" t="s">
        <v>0</v>
      </c>
      <c r="G286" s="16" t="s">
        <v>0</v>
      </c>
      <c r="H286" s="16" t="s">
        <v>0</v>
      </c>
      <c r="I286" s="16" t="s">
        <v>0</v>
      </c>
      <c r="J286" s="16" t="s">
        <v>0</v>
      </c>
      <c r="K286" s="16" t="s">
        <v>0</v>
      </c>
      <c r="L286" s="16"/>
      <c r="M286" s="16"/>
    </row>
    <row r="287" spans="1:13" x14ac:dyDescent="0.2">
      <c r="A287" s="3" t="s">
        <v>816</v>
      </c>
      <c r="C287" s="325"/>
      <c r="D287" s="325" t="s">
        <v>8</v>
      </c>
      <c r="L287" s="16"/>
      <c r="M287" s="16"/>
    </row>
    <row r="288" spans="1:13" x14ac:dyDescent="0.2">
      <c r="C288" s="118"/>
      <c r="D288" s="325" t="s">
        <v>11</v>
      </c>
      <c r="E288" s="3" t="str">
        <f>$C$12</f>
        <v>GS-RESIDENTIAL</v>
      </c>
      <c r="F288" s="3" t="str">
        <f>$C$13</f>
        <v>GS-OTHER</v>
      </c>
      <c r="G288" s="3" t="str">
        <f>$C$14</f>
        <v>IUS</v>
      </c>
      <c r="H288" s="3" t="str">
        <f>$C$15</f>
        <v>DS-ML</v>
      </c>
      <c r="I288" s="3" t="str">
        <f>$C$16</f>
        <v>DS/IS</v>
      </c>
      <c r="J288" s="3" t="str">
        <f>$C$17</f>
        <v>NOT USED</v>
      </c>
      <c r="K288" s="3" t="str">
        <f>$C$18</f>
        <v>NOT USED</v>
      </c>
      <c r="L288" s="16"/>
      <c r="M288" s="16"/>
    </row>
    <row r="289" spans="1:13" x14ac:dyDescent="0.2">
      <c r="A289" s="37" t="s">
        <v>168</v>
      </c>
      <c r="B289" s="5" t="s">
        <v>169</v>
      </c>
      <c r="C289" s="328"/>
      <c r="D289" s="3">
        <f ca="1">SUM(E289:M289)</f>
        <v>17486899</v>
      </c>
      <c r="E289" s="327">
        <f ca="1">Customer!F385</f>
        <v>17486899</v>
      </c>
      <c r="F289" s="327">
        <f>Customer!G385</f>
        <v>0</v>
      </c>
      <c r="G289" s="327">
        <f>Customer!H385</f>
        <v>0</v>
      </c>
      <c r="H289" s="327">
        <f>Customer!I385</f>
        <v>0</v>
      </c>
      <c r="I289" s="327">
        <f>Customer!J385</f>
        <v>0</v>
      </c>
      <c r="J289" s="327">
        <f>Customer!K385</f>
        <v>0</v>
      </c>
      <c r="K289" s="327">
        <f>Customer!L385</f>
        <v>0</v>
      </c>
      <c r="L289" s="16"/>
      <c r="M289" s="16"/>
    </row>
    <row r="290" spans="1:13" x14ac:dyDescent="0.2">
      <c r="A290" s="37" t="s">
        <v>170</v>
      </c>
      <c r="B290" s="5" t="s">
        <v>171</v>
      </c>
      <c r="C290" s="328"/>
      <c r="D290" s="3">
        <f ca="1">SUM(E290:M290)</f>
        <v>5563210</v>
      </c>
      <c r="E290" s="327">
        <f>Customer!F386</f>
        <v>0</v>
      </c>
      <c r="F290" s="327">
        <f ca="1">Customer!G386</f>
        <v>5563210</v>
      </c>
      <c r="G290" s="327">
        <f>Customer!H386</f>
        <v>0</v>
      </c>
      <c r="H290" s="327">
        <f>Customer!I386</f>
        <v>0</v>
      </c>
      <c r="I290" s="327">
        <f>Customer!J386</f>
        <v>0</v>
      </c>
      <c r="J290" s="327">
        <f>Customer!K386</f>
        <v>0</v>
      </c>
      <c r="K290" s="327">
        <f>Customer!L386</f>
        <v>0</v>
      </c>
      <c r="L290" s="16"/>
      <c r="M290" s="16"/>
    </row>
    <row r="291" spans="1:13" x14ac:dyDescent="0.2">
      <c r="A291" s="37" t="s">
        <v>172</v>
      </c>
      <c r="B291" s="5" t="s">
        <v>173</v>
      </c>
      <c r="C291" s="328"/>
      <c r="D291" s="3">
        <f ca="1">SUM(E291:M291)</f>
        <v>434929</v>
      </c>
      <c r="E291" s="327">
        <f>Customer!F387</f>
        <v>0</v>
      </c>
      <c r="F291" s="327">
        <f ca="1">Customer!G387</f>
        <v>423812</v>
      </c>
      <c r="G291" s="327">
        <f ca="1">Customer!H387</f>
        <v>11117</v>
      </c>
      <c r="H291" s="327">
        <f>Customer!I387</f>
        <v>0</v>
      </c>
      <c r="I291" s="327">
        <f>Customer!J387</f>
        <v>0</v>
      </c>
      <c r="J291" s="327">
        <f>Customer!K387</f>
        <v>0</v>
      </c>
      <c r="K291" s="327">
        <f>Customer!L387</f>
        <v>0</v>
      </c>
      <c r="L291" s="16"/>
      <c r="M291" s="16"/>
    </row>
    <row r="292" spans="1:13" x14ac:dyDescent="0.2">
      <c r="A292" s="37" t="s">
        <v>176</v>
      </c>
      <c r="B292" s="5" t="s">
        <v>177</v>
      </c>
      <c r="C292" s="328"/>
      <c r="D292" s="1">
        <f ca="1">SUM(E292:M292)</f>
        <v>10625492</v>
      </c>
      <c r="E292" s="327">
        <f ca="1">Customer!F392</f>
        <v>4399432</v>
      </c>
      <c r="F292" s="327">
        <f ca="1">Customer!G392</f>
        <v>3187531</v>
      </c>
      <c r="G292" s="327">
        <f>Customer!H392</f>
        <v>0</v>
      </c>
      <c r="H292" s="327">
        <f ca="1">Customer!I392</f>
        <v>233497</v>
      </c>
      <c r="I292" s="327">
        <f ca="1">Customer!J392</f>
        <v>2805032</v>
      </c>
      <c r="J292" s="327">
        <f>Customer!K392</f>
        <v>0</v>
      </c>
      <c r="K292" s="327">
        <f>Customer!L392</f>
        <v>0</v>
      </c>
      <c r="L292" s="16"/>
      <c r="M292" s="16"/>
    </row>
    <row r="293" spans="1:13" x14ac:dyDescent="0.2">
      <c r="A293" s="37" t="s">
        <v>174</v>
      </c>
      <c r="B293" s="5" t="s">
        <v>567</v>
      </c>
      <c r="C293" s="328"/>
      <c r="D293" s="1">
        <f t="shared" ref="D293:D295" ca="1" si="22">SUM(E293:M293)</f>
        <v>231930</v>
      </c>
      <c r="E293" s="327">
        <f ca="1">Customer!F390</f>
        <v>148870</v>
      </c>
      <c r="F293" s="327">
        <f ca="1">Customer!G390</f>
        <v>67126</v>
      </c>
      <c r="G293" s="327">
        <f ca="1">Customer!H390</f>
        <v>121</v>
      </c>
      <c r="H293" s="327">
        <f ca="1">Customer!I390</f>
        <v>1215</v>
      </c>
      <c r="I293" s="327">
        <f ca="1">Customer!J390</f>
        <v>14598</v>
      </c>
      <c r="J293" s="327">
        <f>Customer!K390</f>
        <v>0</v>
      </c>
      <c r="K293" s="327">
        <f>Customer!L390</f>
        <v>0</v>
      </c>
      <c r="L293" s="16"/>
      <c r="M293" s="16"/>
    </row>
    <row r="294" spans="1:13" x14ac:dyDescent="0.2">
      <c r="A294" s="37" t="s">
        <v>175</v>
      </c>
      <c r="B294" s="5" t="s">
        <v>432</v>
      </c>
      <c r="C294" s="328"/>
      <c r="D294" s="1">
        <f t="shared" si="22"/>
        <v>136998</v>
      </c>
      <c r="E294" s="327">
        <f>Customer!F391</f>
        <v>122831</v>
      </c>
      <c r="F294" s="327">
        <f>Customer!G391</f>
        <v>14082</v>
      </c>
      <c r="G294" s="327">
        <f>Customer!H391</f>
        <v>1</v>
      </c>
      <c r="H294" s="327">
        <f>Customer!I391</f>
        <v>5</v>
      </c>
      <c r="I294" s="327">
        <f>Customer!J391</f>
        <v>79</v>
      </c>
      <c r="J294" s="327">
        <f>Customer!K391</f>
        <v>0</v>
      </c>
      <c r="K294" s="327">
        <f>Customer!L391</f>
        <v>0</v>
      </c>
      <c r="L294" s="16"/>
      <c r="M294" s="16"/>
    </row>
    <row r="295" spans="1:13" x14ac:dyDescent="0.2">
      <c r="A295" s="37">
        <v>495</v>
      </c>
      <c r="B295" s="5" t="s">
        <v>179</v>
      </c>
      <c r="C295" s="328"/>
      <c r="D295" s="1">
        <f t="shared" si="22"/>
        <v>586999</v>
      </c>
      <c r="E295" s="3">
        <f>Customer!F393</f>
        <v>526292</v>
      </c>
      <c r="F295" s="3">
        <f>Customer!G393</f>
        <v>60338</v>
      </c>
      <c r="G295" s="3">
        <f>Customer!H393</f>
        <v>6</v>
      </c>
      <c r="H295" s="3">
        <f>Customer!I393</f>
        <v>23</v>
      </c>
      <c r="I295" s="3">
        <f>Customer!J393</f>
        <v>340</v>
      </c>
      <c r="J295" s="3">
        <f>Customer!K393</f>
        <v>0</v>
      </c>
      <c r="K295" s="3">
        <f>Customer!L393</f>
        <v>0</v>
      </c>
      <c r="L295" s="16"/>
      <c r="M295" s="16"/>
    </row>
    <row r="296" spans="1:13" x14ac:dyDescent="0.2">
      <c r="C296" s="1"/>
      <c r="L296" s="16"/>
      <c r="M296" s="16"/>
    </row>
    <row r="297" spans="1:13" x14ac:dyDescent="0.2">
      <c r="A297" s="3" t="s">
        <v>1037</v>
      </c>
      <c r="C297" s="118"/>
      <c r="D297" s="325" t="s">
        <v>8</v>
      </c>
      <c r="L297" s="16"/>
      <c r="M297" s="16"/>
    </row>
    <row r="298" spans="1:13" x14ac:dyDescent="0.2">
      <c r="C298" s="118"/>
      <c r="D298" s="325" t="s">
        <v>11</v>
      </c>
      <c r="E298" s="3" t="str">
        <f>$C$12</f>
        <v>GS-RESIDENTIAL</v>
      </c>
      <c r="F298" s="3" t="str">
        <f>$C$13</f>
        <v>GS-OTHER</v>
      </c>
      <c r="G298" s="3" t="str">
        <f>$C$14</f>
        <v>IUS</v>
      </c>
      <c r="H298" s="3" t="str">
        <f>$C$15</f>
        <v>DS-ML</v>
      </c>
      <c r="I298" s="3" t="str">
        <f>$C$16</f>
        <v>DS/IS</v>
      </c>
      <c r="J298" s="3" t="str">
        <f>$C$17</f>
        <v>NOT USED</v>
      </c>
      <c r="K298" s="3" t="str">
        <f>$C$18</f>
        <v>NOT USED</v>
      </c>
      <c r="L298" s="16"/>
      <c r="M298" s="16"/>
    </row>
    <row r="299" spans="1:13" x14ac:dyDescent="0.2">
      <c r="A299" s="37" t="s">
        <v>168</v>
      </c>
      <c r="B299" s="5" t="s">
        <v>169</v>
      </c>
      <c r="C299" s="328"/>
      <c r="D299" s="3">
        <f ca="1">SUM(E299:M299)</f>
        <v>22106059.589999996</v>
      </c>
      <c r="E299" s="327">
        <f ca="1">Commodity!F385</f>
        <v>22106059.589999996</v>
      </c>
      <c r="F299" s="327">
        <f>Commodity!G385</f>
        <v>0</v>
      </c>
      <c r="G299" s="327">
        <f>Commodity!H385</f>
        <v>0</v>
      </c>
      <c r="H299" s="327">
        <f>Commodity!I385</f>
        <v>0</v>
      </c>
      <c r="I299" s="327">
        <f>Commodity!J385</f>
        <v>0</v>
      </c>
      <c r="J299" s="327">
        <f>Commodity!K385</f>
        <v>0</v>
      </c>
      <c r="K299" s="327">
        <f>Commodity!L385</f>
        <v>0</v>
      </c>
      <c r="L299" s="16"/>
      <c r="M299" s="16"/>
    </row>
    <row r="300" spans="1:13" x14ac:dyDescent="0.2">
      <c r="A300" s="37" t="s">
        <v>170</v>
      </c>
      <c r="B300" s="5" t="s">
        <v>171</v>
      </c>
      <c r="C300" s="328"/>
      <c r="D300" s="3">
        <f ca="1">SUM(E300:M300)</f>
        <v>9742948</v>
      </c>
      <c r="E300" s="327">
        <f>Commodity!F386</f>
        <v>0</v>
      </c>
      <c r="F300" s="327">
        <f ca="1">Commodity!G386</f>
        <v>9742948</v>
      </c>
      <c r="G300" s="327">
        <f>Commodity!H386</f>
        <v>0</v>
      </c>
      <c r="H300" s="327">
        <f>Commodity!I386</f>
        <v>0</v>
      </c>
      <c r="I300" s="327">
        <f>Commodity!J386</f>
        <v>0</v>
      </c>
      <c r="J300" s="327">
        <f>Commodity!K386</f>
        <v>0</v>
      </c>
      <c r="K300" s="327">
        <f>Commodity!L386</f>
        <v>0</v>
      </c>
      <c r="L300" s="16"/>
      <c r="M300" s="16"/>
    </row>
    <row r="301" spans="1:13" x14ac:dyDescent="0.2">
      <c r="A301" s="37" t="s">
        <v>172</v>
      </c>
      <c r="B301" s="5" t="s">
        <v>173</v>
      </c>
      <c r="C301" s="328"/>
      <c r="D301" s="3">
        <f ca="1">SUM(E301:M301)</f>
        <v>772515.56</v>
      </c>
      <c r="E301" s="327">
        <f>Commodity!F387</f>
        <v>0</v>
      </c>
      <c r="F301" s="327">
        <f ca="1">Commodity!G387</f>
        <v>742231</v>
      </c>
      <c r="G301" s="327">
        <f ca="1">Commodity!H387</f>
        <v>30284.560000000001</v>
      </c>
      <c r="H301" s="327">
        <f>Commodity!I387</f>
        <v>0</v>
      </c>
      <c r="I301" s="327">
        <f>Commodity!J387</f>
        <v>0</v>
      </c>
      <c r="J301" s="327">
        <f>Commodity!K387</f>
        <v>0</v>
      </c>
      <c r="K301" s="327">
        <f>Commodity!L387</f>
        <v>0</v>
      </c>
      <c r="L301" s="16"/>
      <c r="M301" s="16"/>
    </row>
    <row r="302" spans="1:13" x14ac:dyDescent="0.2">
      <c r="A302" s="37" t="s">
        <v>176</v>
      </c>
      <c r="B302" s="5" t="s">
        <v>177</v>
      </c>
      <c r="C302" s="328"/>
      <c r="D302" s="1">
        <f ca="1">SUM(E302:M302)</f>
        <v>5042664</v>
      </c>
      <c r="E302" s="327">
        <f ca="1">Commodity!F392</f>
        <v>2087890</v>
      </c>
      <c r="F302" s="327">
        <f ca="1">Commodity!G392</f>
        <v>1512744</v>
      </c>
      <c r="G302" s="327">
        <f>Commodity!H392</f>
        <v>0</v>
      </c>
      <c r="H302" s="327">
        <f ca="1">Commodity!I392</f>
        <v>110813</v>
      </c>
      <c r="I302" s="327">
        <f ca="1">Commodity!J392</f>
        <v>1331217</v>
      </c>
      <c r="J302" s="327">
        <f>Commodity!K392</f>
        <v>0</v>
      </c>
      <c r="K302" s="327">
        <f>Commodity!L392</f>
        <v>0</v>
      </c>
      <c r="L302" s="16"/>
      <c r="M302" s="16"/>
    </row>
    <row r="303" spans="1:13" x14ac:dyDescent="0.2">
      <c r="A303" s="37" t="s">
        <v>174</v>
      </c>
      <c r="B303" s="5" t="s">
        <v>567</v>
      </c>
      <c r="C303" s="328"/>
      <c r="D303" s="1">
        <f ca="1">SUM(E303:M303)</f>
        <v>109434</v>
      </c>
      <c r="E303" s="327">
        <f ca="1">Commodity!F390</f>
        <v>70651</v>
      </c>
      <c r="F303" s="327">
        <f ca="1">Commodity!G390</f>
        <v>38783</v>
      </c>
      <c r="G303" s="327">
        <f>Commodity!H390</f>
        <v>0</v>
      </c>
      <c r="H303" s="327">
        <f>Commodity!I390</f>
        <v>0</v>
      </c>
      <c r="I303" s="327">
        <f>Commodity!J390</f>
        <v>0</v>
      </c>
      <c r="J303" s="327">
        <f>Commodity!K390</f>
        <v>0</v>
      </c>
      <c r="K303" s="327">
        <f>Commodity!L390</f>
        <v>0</v>
      </c>
      <c r="L303" s="16"/>
      <c r="M303" s="16"/>
    </row>
    <row r="304" spans="1:13" x14ac:dyDescent="0.2">
      <c r="A304" s="37" t="s">
        <v>175</v>
      </c>
      <c r="B304" s="5" t="s">
        <v>432</v>
      </c>
      <c r="C304" s="328"/>
      <c r="D304" s="1">
        <f t="shared" ref="D304:D305" si="23">SUM(E304:M304)</f>
        <v>0</v>
      </c>
      <c r="E304" s="327">
        <f>Commodity!F391</f>
        <v>0</v>
      </c>
      <c r="F304" s="327">
        <f>Commodity!G391</f>
        <v>0</v>
      </c>
      <c r="G304" s="327">
        <f>Commodity!H391</f>
        <v>0</v>
      </c>
      <c r="H304" s="327">
        <f>Commodity!I391</f>
        <v>0</v>
      </c>
      <c r="I304" s="327">
        <f>Commodity!J391</f>
        <v>0</v>
      </c>
      <c r="J304" s="327">
        <f>Commodity!K391</f>
        <v>0</v>
      </c>
      <c r="K304" s="327">
        <f>Commodity!L391</f>
        <v>0</v>
      </c>
      <c r="L304" s="16"/>
      <c r="M304" s="16"/>
    </row>
    <row r="305" spans="1:13" x14ac:dyDescent="0.2">
      <c r="A305" s="37">
        <v>495</v>
      </c>
      <c r="B305" s="5" t="s">
        <v>179</v>
      </c>
      <c r="C305" s="328"/>
      <c r="D305" s="1">
        <f t="shared" si="23"/>
        <v>0</v>
      </c>
      <c r="E305" s="3">
        <f>Commodity!F393</f>
        <v>0</v>
      </c>
      <c r="F305" s="3">
        <f>Commodity!G393</f>
        <v>0</v>
      </c>
      <c r="G305" s="3">
        <f>Commodity!H393</f>
        <v>0</v>
      </c>
      <c r="H305" s="3">
        <f>Commodity!I393</f>
        <v>0</v>
      </c>
      <c r="I305" s="3">
        <f>Commodity!J393</f>
        <v>0</v>
      </c>
      <c r="J305" s="3">
        <f>Commodity!K393</f>
        <v>0</v>
      </c>
      <c r="K305" s="3">
        <f>Commodity!L393</f>
        <v>0</v>
      </c>
      <c r="L305" s="16"/>
      <c r="M305" s="16"/>
    </row>
    <row r="306" spans="1:13" x14ac:dyDescent="0.2">
      <c r="A306" s="3" t="s">
        <v>1038</v>
      </c>
      <c r="C306" s="118"/>
      <c r="D306" s="325" t="s">
        <v>8</v>
      </c>
      <c r="L306" s="16"/>
      <c r="M306" s="16"/>
    </row>
    <row r="307" spans="1:13" x14ac:dyDescent="0.2">
      <c r="C307" s="118"/>
      <c r="D307" s="325" t="s">
        <v>11</v>
      </c>
      <c r="E307" s="3" t="str">
        <f>$C$12</f>
        <v>GS-RESIDENTIAL</v>
      </c>
      <c r="F307" s="3" t="str">
        <f>$C$13</f>
        <v>GS-OTHER</v>
      </c>
      <c r="G307" s="3" t="str">
        <f>$C$14</f>
        <v>IUS</v>
      </c>
      <c r="H307" s="3" t="str">
        <f>$C$15</f>
        <v>DS-ML</v>
      </c>
      <c r="I307" s="3" t="str">
        <f>$C$16</f>
        <v>DS/IS</v>
      </c>
      <c r="J307" s="3" t="str">
        <f>$C$17</f>
        <v>NOT USED</v>
      </c>
      <c r="K307" s="3" t="str">
        <f>$C$18</f>
        <v>NOT USED</v>
      </c>
      <c r="L307" s="16"/>
      <c r="M307" s="16"/>
    </row>
    <row r="308" spans="1:13" x14ac:dyDescent="0.2">
      <c r="A308" s="37" t="s">
        <v>168</v>
      </c>
      <c r="B308" s="5" t="s">
        <v>169</v>
      </c>
      <c r="C308" s="328"/>
      <c r="D308" s="3">
        <f ca="1">SUM(E308:M308)</f>
        <v>10103102.510000005</v>
      </c>
      <c r="E308" s="327">
        <f ca="1">Demand!F385</f>
        <v>10103102.510000005</v>
      </c>
      <c r="F308" s="327">
        <f>Demand!G385</f>
        <v>0</v>
      </c>
      <c r="G308" s="327">
        <f>Demand!H385</f>
        <v>0</v>
      </c>
      <c r="H308" s="327">
        <f>Demand!I385</f>
        <v>0</v>
      </c>
      <c r="I308" s="327">
        <f>Demand!J385</f>
        <v>0</v>
      </c>
      <c r="J308" s="327">
        <f>Demand!K385</f>
        <v>0</v>
      </c>
      <c r="K308" s="327">
        <f>Demand!L385</f>
        <v>0</v>
      </c>
      <c r="L308" s="16"/>
      <c r="M308" s="16"/>
    </row>
    <row r="309" spans="1:13" x14ac:dyDescent="0.2">
      <c r="A309" s="37" t="s">
        <v>170</v>
      </c>
      <c r="B309" s="5" t="s">
        <v>171</v>
      </c>
      <c r="C309" s="328"/>
      <c r="D309" s="3">
        <f ca="1">SUM(E309:M309)</f>
        <v>3214159.4799999967</v>
      </c>
      <c r="E309" s="327">
        <f>Demand!F386</f>
        <v>0</v>
      </c>
      <c r="F309" s="327">
        <f ca="1">Demand!G386</f>
        <v>3214159.4799999967</v>
      </c>
      <c r="G309" s="327">
        <f>Demand!H386</f>
        <v>0</v>
      </c>
      <c r="H309" s="327">
        <f>Demand!I386</f>
        <v>0</v>
      </c>
      <c r="I309" s="327">
        <f>Demand!J386</f>
        <v>0</v>
      </c>
      <c r="J309" s="327">
        <f>Demand!K386</f>
        <v>0</v>
      </c>
      <c r="K309" s="327">
        <f>Demand!L386</f>
        <v>0</v>
      </c>
      <c r="L309" s="16"/>
      <c r="M309" s="16"/>
    </row>
    <row r="310" spans="1:13" x14ac:dyDescent="0.2">
      <c r="A310" s="37" t="s">
        <v>172</v>
      </c>
      <c r="B310" s="5" t="s">
        <v>173</v>
      </c>
      <c r="C310" s="328"/>
      <c r="D310" s="3">
        <f ca="1">SUM(E310:M310)</f>
        <v>251281.36999999988</v>
      </c>
      <c r="E310" s="327">
        <f>Demand!F387</f>
        <v>0</v>
      </c>
      <c r="F310" s="327">
        <f ca="1">Demand!G387</f>
        <v>244858.59999999986</v>
      </c>
      <c r="G310" s="327">
        <f ca="1">Demand!H387</f>
        <v>6422.7700000000077</v>
      </c>
      <c r="H310" s="327">
        <f>Demand!I387</f>
        <v>0</v>
      </c>
      <c r="I310" s="327">
        <f>Demand!J387</f>
        <v>0</v>
      </c>
      <c r="J310" s="327">
        <f>Demand!K387</f>
        <v>0</v>
      </c>
      <c r="K310" s="327">
        <f>Demand!L387</f>
        <v>0</v>
      </c>
      <c r="L310" s="16"/>
      <c r="M310" s="16"/>
    </row>
    <row r="311" spans="1:13" x14ac:dyDescent="0.2">
      <c r="A311" s="37" t="s">
        <v>176</v>
      </c>
      <c r="B311" s="5" t="s">
        <v>177</v>
      </c>
      <c r="C311" s="328"/>
      <c r="D311" s="1">
        <f ca="1">SUM(E311:M311)</f>
        <v>6138906.2399999993</v>
      </c>
      <c r="E311" s="327">
        <f ca="1">Demand!F392</f>
        <v>2541783.34</v>
      </c>
      <c r="F311" s="327">
        <f ca="1">Demand!G392</f>
        <v>1841604.9299999997</v>
      </c>
      <c r="G311" s="327">
        <f>Demand!H392</f>
        <v>0</v>
      </c>
      <c r="H311" s="327">
        <f ca="1">Demand!I392</f>
        <v>134902.93999999994</v>
      </c>
      <c r="I311" s="327">
        <f ca="1">Demand!J392</f>
        <v>1620615.0300000003</v>
      </c>
      <c r="J311" s="327">
        <f>Demand!K392</f>
        <v>0</v>
      </c>
      <c r="K311" s="327">
        <f>Demand!L392</f>
        <v>0</v>
      </c>
      <c r="L311" s="16"/>
      <c r="M311" s="16"/>
    </row>
    <row r="312" spans="1:13" x14ac:dyDescent="0.2">
      <c r="A312" s="37" t="s">
        <v>174</v>
      </c>
      <c r="B312" s="5" t="s">
        <v>567</v>
      </c>
      <c r="C312" s="328"/>
      <c r="D312" s="1">
        <f t="shared" ref="D312:D314" ca="1" si="24">SUM(E312:M312)</f>
        <v>134636</v>
      </c>
      <c r="E312" s="327">
        <f ca="1">Demand!F390</f>
        <v>86011</v>
      </c>
      <c r="F312" s="327">
        <f ca="1">Demand!G390</f>
        <v>31857</v>
      </c>
      <c r="G312" s="327">
        <f ca="1">Demand!H390</f>
        <v>128</v>
      </c>
      <c r="H312" s="327">
        <f ca="1">Demand!I390</f>
        <v>1279</v>
      </c>
      <c r="I312" s="327">
        <f ca="1">Demand!J390</f>
        <v>15361</v>
      </c>
      <c r="J312" s="327">
        <f>Demand!K390</f>
        <v>0</v>
      </c>
      <c r="K312" s="327">
        <f>Demand!L390</f>
        <v>0</v>
      </c>
      <c r="L312" s="16"/>
      <c r="M312" s="16"/>
    </row>
    <row r="313" spans="1:13" x14ac:dyDescent="0.2">
      <c r="A313" s="37" t="s">
        <v>175</v>
      </c>
      <c r="B313" s="5" t="s">
        <v>432</v>
      </c>
      <c r="C313" s="328"/>
      <c r="D313" s="1">
        <f t="shared" si="24"/>
        <v>0</v>
      </c>
      <c r="E313" s="327">
        <f>Demand!F391</f>
        <v>0</v>
      </c>
      <c r="F313" s="327">
        <f>Demand!G391</f>
        <v>0</v>
      </c>
      <c r="G313" s="327">
        <f>Demand!H391</f>
        <v>0</v>
      </c>
      <c r="H313" s="327">
        <f>Demand!I391</f>
        <v>0</v>
      </c>
      <c r="I313" s="327">
        <f>Demand!J391</f>
        <v>0</v>
      </c>
      <c r="J313" s="327">
        <f>Demand!K391</f>
        <v>0</v>
      </c>
      <c r="K313" s="327">
        <f>Demand!L391</f>
        <v>0</v>
      </c>
      <c r="L313" s="16"/>
      <c r="M313" s="16"/>
    </row>
    <row r="314" spans="1:13" x14ac:dyDescent="0.2">
      <c r="A314" s="37">
        <v>495</v>
      </c>
      <c r="B314" s="5" t="s">
        <v>179</v>
      </c>
      <c r="C314" s="328"/>
      <c r="D314" s="1">
        <f t="shared" si="24"/>
        <v>0</v>
      </c>
      <c r="E314" s="327">
        <f>Demand!F393</f>
        <v>0</v>
      </c>
      <c r="F314" s="327">
        <f>Demand!G393</f>
        <v>0</v>
      </c>
      <c r="G314" s="327">
        <f>Demand!H393</f>
        <v>0</v>
      </c>
      <c r="H314" s="327">
        <f>Demand!I393</f>
        <v>0</v>
      </c>
      <c r="I314" s="327">
        <f>Demand!J393</f>
        <v>0</v>
      </c>
      <c r="J314" s="327">
        <f>Demand!K393</f>
        <v>0</v>
      </c>
      <c r="K314" s="327">
        <f>Demand!L393</f>
        <v>0</v>
      </c>
      <c r="L314" s="16"/>
      <c r="M314" s="16"/>
    </row>
    <row r="315" spans="1:13" x14ac:dyDescent="0.2">
      <c r="A315" s="3" t="s">
        <v>180</v>
      </c>
      <c r="C315" s="1"/>
    </row>
    <row r="316" spans="1:13" x14ac:dyDescent="0.2">
      <c r="A316" s="16" t="s">
        <v>0</v>
      </c>
      <c r="B316" s="16" t="s">
        <v>0</v>
      </c>
      <c r="C316" s="16" t="s">
        <v>0</v>
      </c>
      <c r="D316" s="16" t="s">
        <v>0</v>
      </c>
      <c r="E316" s="16" t="s">
        <v>0</v>
      </c>
      <c r="F316" s="16" t="s">
        <v>0</v>
      </c>
      <c r="G316" s="16" t="s">
        <v>0</v>
      </c>
      <c r="H316" s="16" t="s">
        <v>0</v>
      </c>
      <c r="I316" s="16" t="s">
        <v>0</v>
      </c>
      <c r="J316" s="16" t="s">
        <v>0</v>
      </c>
      <c r="K316" s="16" t="s">
        <v>0</v>
      </c>
      <c r="L316" s="16"/>
      <c r="M316" s="16"/>
    </row>
    <row r="317" spans="1:13" x14ac:dyDescent="0.2">
      <c r="A317" s="38" t="s">
        <v>181</v>
      </c>
      <c r="B317" s="5" t="s">
        <v>182</v>
      </c>
      <c r="C317" s="5">
        <v>2</v>
      </c>
      <c r="D317" s="2">
        <v>0</v>
      </c>
    </row>
    <row r="318" spans="1:13" x14ac:dyDescent="0.2">
      <c r="A318" s="38" t="s">
        <v>181</v>
      </c>
      <c r="B318" s="5" t="s">
        <v>183</v>
      </c>
      <c r="C318" s="5">
        <v>2</v>
      </c>
      <c r="D318" s="2">
        <v>2139</v>
      </c>
    </row>
    <row r="319" spans="1:13" x14ac:dyDescent="0.2">
      <c r="A319" s="38" t="s">
        <v>184</v>
      </c>
      <c r="B319" s="5" t="s">
        <v>185</v>
      </c>
      <c r="C319" s="5">
        <v>2</v>
      </c>
      <c r="D319" s="2">
        <v>0</v>
      </c>
    </row>
    <row r="320" spans="1:13" x14ac:dyDescent="0.2">
      <c r="A320" s="38" t="s">
        <v>186</v>
      </c>
      <c r="B320" s="5" t="s">
        <v>187</v>
      </c>
      <c r="C320" s="5">
        <v>2</v>
      </c>
      <c r="D320" s="2">
        <v>0</v>
      </c>
    </row>
    <row r="321" spans="1:13" x14ac:dyDescent="0.2">
      <c r="A321" s="38" t="s">
        <v>188</v>
      </c>
      <c r="B321" s="5" t="s">
        <v>189</v>
      </c>
      <c r="C321" s="5">
        <v>2</v>
      </c>
      <c r="D321" s="2">
        <v>0</v>
      </c>
    </row>
    <row r="322" spans="1:13" x14ac:dyDescent="0.2">
      <c r="A322" s="38" t="s">
        <v>188</v>
      </c>
      <c r="B322" s="5" t="s">
        <v>190</v>
      </c>
      <c r="C322" s="5">
        <v>2</v>
      </c>
      <c r="D322" s="2">
        <v>0</v>
      </c>
    </row>
    <row r="323" spans="1:13" x14ac:dyDescent="0.2">
      <c r="A323" s="38" t="s">
        <v>191</v>
      </c>
      <c r="B323" s="5" t="s">
        <v>192</v>
      </c>
      <c r="C323" s="5">
        <v>2</v>
      </c>
      <c r="D323" s="2">
        <v>0</v>
      </c>
    </row>
    <row r="324" spans="1:13" x14ac:dyDescent="0.2">
      <c r="A324" s="38" t="s">
        <v>191</v>
      </c>
      <c r="B324" s="5" t="s">
        <v>193</v>
      </c>
      <c r="C324" s="5">
        <v>2</v>
      </c>
      <c r="D324" s="2">
        <v>0</v>
      </c>
    </row>
    <row r="325" spans="1:13" x14ac:dyDescent="0.2">
      <c r="A325" s="38" t="s">
        <v>194</v>
      </c>
      <c r="B325" s="5" t="s">
        <v>195</v>
      </c>
      <c r="C325" s="5">
        <v>9</v>
      </c>
      <c r="D325" s="1">
        <f>SUM(E325:M325)</f>
        <v>21475950.109999996</v>
      </c>
      <c r="E325" s="29">
        <f>'Sales &amp; Rev'!D147</f>
        <v>13807094.589999998</v>
      </c>
      <c r="F325" s="29">
        <f>'Sales &amp; Rev'!E147</f>
        <v>7643846.9600000009</v>
      </c>
      <c r="G325" s="29">
        <f>'Sales &amp; Rev'!F147</f>
        <v>25008.560000000001</v>
      </c>
      <c r="H325" s="29">
        <f>'Sales &amp; Rev'!G147</f>
        <v>0</v>
      </c>
      <c r="I325" s="29">
        <f>'Sales &amp; Rev'!H147</f>
        <v>0</v>
      </c>
      <c r="J325" s="29">
        <v>0</v>
      </c>
      <c r="K325" s="29">
        <v>0</v>
      </c>
      <c r="L325" s="29"/>
      <c r="M325" s="29"/>
    </row>
    <row r="326" spans="1:13" x14ac:dyDescent="0.2">
      <c r="A326" s="38" t="s">
        <v>196</v>
      </c>
      <c r="B326" s="5" t="s">
        <v>197</v>
      </c>
      <c r="C326" s="5">
        <v>9</v>
      </c>
      <c r="D326" s="2">
        <v>0</v>
      </c>
    </row>
    <row r="327" spans="1:13" x14ac:dyDescent="0.2">
      <c r="A327" s="38" t="s">
        <v>196</v>
      </c>
      <c r="B327" s="5" t="s">
        <v>198</v>
      </c>
      <c r="C327" s="5">
        <v>9</v>
      </c>
      <c r="D327" s="2">
        <v>341557</v>
      </c>
    </row>
    <row r="328" spans="1:13" x14ac:dyDescent="0.2">
      <c r="A328" s="38" t="s">
        <v>199</v>
      </c>
      <c r="B328" s="5" t="s">
        <v>200</v>
      </c>
      <c r="C328" s="5">
        <v>9</v>
      </c>
      <c r="D328" s="2">
        <f>-214759*0</f>
        <v>0</v>
      </c>
    </row>
    <row r="329" spans="1:13" x14ac:dyDescent="0.2">
      <c r="A329" s="5"/>
      <c r="B329" s="3" t="s">
        <v>201</v>
      </c>
      <c r="D329" s="3">
        <f>SUM(D317:D328)</f>
        <v>21819646.109999996</v>
      </c>
    </row>
    <row r="332" spans="1:13" x14ac:dyDescent="0.2">
      <c r="A332" s="16" t="s">
        <v>0</v>
      </c>
      <c r="B332" s="16" t="s">
        <v>0</v>
      </c>
      <c r="C332" s="16" t="s">
        <v>0</v>
      </c>
      <c r="D332" s="3" t="s">
        <v>2</v>
      </c>
    </row>
    <row r="333" spans="1:13" x14ac:dyDescent="0.2">
      <c r="A333" s="3" t="s">
        <v>202</v>
      </c>
    </row>
    <row r="334" spans="1:13" x14ac:dyDescent="0.2">
      <c r="A334" s="16" t="s">
        <v>0</v>
      </c>
      <c r="B334" s="16" t="s">
        <v>0</v>
      </c>
      <c r="C334" s="16" t="s">
        <v>0</v>
      </c>
      <c r="D334" s="16" t="s">
        <v>0</v>
      </c>
    </row>
    <row r="335" spans="1:13" x14ac:dyDescent="0.2">
      <c r="A335" s="16" t="s">
        <v>0</v>
      </c>
      <c r="C335" s="325" t="s">
        <v>92</v>
      </c>
      <c r="D335" s="325" t="s">
        <v>8</v>
      </c>
    </row>
    <row r="336" spans="1:13" x14ac:dyDescent="0.2">
      <c r="A336" s="3" t="s">
        <v>203</v>
      </c>
      <c r="C336" s="325" t="s">
        <v>10</v>
      </c>
      <c r="D336" s="325" t="s">
        <v>11</v>
      </c>
      <c r="E336" s="3" t="str">
        <f>$C$12</f>
        <v>GS-RESIDENTIAL</v>
      </c>
      <c r="F336" s="3" t="str">
        <f>$C$13</f>
        <v>GS-OTHER</v>
      </c>
      <c r="G336" s="3" t="str">
        <f>$C$14</f>
        <v>IUS</v>
      </c>
      <c r="H336" s="3" t="str">
        <f>$C$15</f>
        <v>DS-ML</v>
      </c>
      <c r="I336" s="3" t="str">
        <f>$C$16</f>
        <v>DS/IS</v>
      </c>
      <c r="J336" s="3" t="str">
        <f>$C$17</f>
        <v>NOT USED</v>
      </c>
      <c r="K336" s="3" t="str">
        <f>$C$18</f>
        <v>NOT USED</v>
      </c>
    </row>
    <row r="337" spans="1:5" x14ac:dyDescent="0.2">
      <c r="A337" s="16" t="s">
        <v>0</v>
      </c>
    </row>
    <row r="338" spans="1:5" x14ac:dyDescent="0.2">
      <c r="A338" s="3" t="s">
        <v>204</v>
      </c>
    </row>
    <row r="340" spans="1:5" x14ac:dyDescent="0.2">
      <c r="A340" s="3" t="s">
        <v>205</v>
      </c>
      <c r="D340" s="1"/>
    </row>
    <row r="341" spans="1:5" x14ac:dyDescent="0.2">
      <c r="A341" s="38" t="s">
        <v>206</v>
      </c>
      <c r="B341" s="5" t="s">
        <v>207</v>
      </c>
      <c r="C341" s="5">
        <v>10</v>
      </c>
      <c r="D341" s="2">
        <v>97461</v>
      </c>
    </row>
    <row r="342" spans="1:5" x14ac:dyDescent="0.2">
      <c r="A342" s="38" t="s">
        <v>208</v>
      </c>
      <c r="B342" s="5" t="s">
        <v>209</v>
      </c>
      <c r="C342" s="5">
        <v>4</v>
      </c>
      <c r="D342" s="2">
        <v>66644</v>
      </c>
    </row>
    <row r="343" spans="1:5" x14ac:dyDescent="0.2">
      <c r="A343" s="38" t="s">
        <v>210</v>
      </c>
      <c r="B343" s="5" t="s">
        <v>211</v>
      </c>
      <c r="C343" s="5">
        <v>14</v>
      </c>
      <c r="D343" s="2">
        <v>1726536</v>
      </c>
    </row>
    <row r="344" spans="1:5" x14ac:dyDescent="0.2">
      <c r="A344" s="38" t="s">
        <v>212</v>
      </c>
      <c r="B344" s="5" t="s">
        <v>213</v>
      </c>
      <c r="C344" s="5">
        <v>18</v>
      </c>
      <c r="D344" s="2">
        <v>82347</v>
      </c>
    </row>
    <row r="345" spans="1:5" x14ac:dyDescent="0.2">
      <c r="A345" s="38" t="s">
        <v>214</v>
      </c>
      <c r="B345" s="5" t="s">
        <v>215</v>
      </c>
      <c r="C345" s="5">
        <v>8</v>
      </c>
      <c r="D345" s="2">
        <v>38736</v>
      </c>
    </row>
    <row r="346" spans="1:5" x14ac:dyDescent="0.2">
      <c r="A346" s="38" t="s">
        <v>216</v>
      </c>
      <c r="B346" s="5" t="s">
        <v>217</v>
      </c>
      <c r="C346" s="5">
        <v>16</v>
      </c>
      <c r="D346" s="2">
        <v>1279637</v>
      </c>
    </row>
    <row r="347" spans="1:5" x14ac:dyDescent="0.2">
      <c r="A347" s="38" t="s">
        <v>218</v>
      </c>
      <c r="B347" s="5" t="s">
        <v>219</v>
      </c>
      <c r="C347" s="5">
        <v>16</v>
      </c>
      <c r="D347" s="2">
        <v>1500691</v>
      </c>
    </row>
    <row r="348" spans="1:5" x14ac:dyDescent="0.2">
      <c r="A348" s="38" t="s">
        <v>220</v>
      </c>
      <c r="B348" s="5" t="s">
        <v>179</v>
      </c>
      <c r="C348" s="5">
        <v>10</v>
      </c>
      <c r="D348" s="2">
        <v>547972</v>
      </c>
    </row>
    <row r="349" spans="1:5" x14ac:dyDescent="0.2">
      <c r="A349" s="38" t="s">
        <v>221</v>
      </c>
      <c r="B349" s="5" t="s">
        <v>178</v>
      </c>
      <c r="C349" s="5">
        <v>10</v>
      </c>
      <c r="D349" s="2">
        <v>0</v>
      </c>
      <c r="E349" s="3">
        <f>SUM(D341:D349)</f>
        <v>5340024</v>
      </c>
    </row>
    <row r="350" spans="1:5" x14ac:dyDescent="0.2">
      <c r="A350" s="3" t="s">
        <v>222</v>
      </c>
      <c r="D350" s="1"/>
    </row>
    <row r="351" spans="1:5" x14ac:dyDescent="0.2">
      <c r="A351" s="38" t="s">
        <v>223</v>
      </c>
      <c r="B351" s="5" t="s">
        <v>207</v>
      </c>
      <c r="C351" s="5">
        <v>10</v>
      </c>
      <c r="D351" s="2">
        <v>8649</v>
      </c>
    </row>
    <row r="352" spans="1:5" x14ac:dyDescent="0.2">
      <c r="A352" s="38" t="s">
        <v>224</v>
      </c>
      <c r="B352" s="5" t="s">
        <v>112</v>
      </c>
      <c r="C352" s="5">
        <v>18</v>
      </c>
      <c r="D352" s="2">
        <v>2509</v>
      </c>
    </row>
    <row r="353" spans="1:13" x14ac:dyDescent="0.2">
      <c r="A353" s="38" t="s">
        <v>225</v>
      </c>
      <c r="B353" s="5" t="s">
        <v>126</v>
      </c>
      <c r="C353" s="5">
        <v>18</v>
      </c>
      <c r="D353" s="2">
        <v>926354</v>
      </c>
    </row>
    <row r="354" spans="1:13" x14ac:dyDescent="0.2">
      <c r="A354" s="38" t="s">
        <v>226</v>
      </c>
      <c r="B354" s="5" t="s">
        <v>213</v>
      </c>
      <c r="C354" s="5">
        <v>18</v>
      </c>
      <c r="D354" s="2">
        <v>138594</v>
      </c>
    </row>
    <row r="355" spans="1:13" x14ac:dyDescent="0.2">
      <c r="A355" s="38" t="s">
        <v>227</v>
      </c>
      <c r="B355" s="5" t="s">
        <v>215</v>
      </c>
      <c r="C355" s="5">
        <v>8</v>
      </c>
      <c r="D355" s="2">
        <v>19419</v>
      </c>
    </row>
    <row r="356" spans="1:13" x14ac:dyDescent="0.2">
      <c r="A356" s="38" t="s">
        <v>228</v>
      </c>
      <c r="B356" s="5" t="s">
        <v>131</v>
      </c>
      <c r="C356" s="5">
        <v>15</v>
      </c>
      <c r="D356" s="2">
        <v>298657</v>
      </c>
    </row>
    <row r="357" spans="1:13" x14ac:dyDescent="0.2">
      <c r="A357" s="38" t="s">
        <v>229</v>
      </c>
      <c r="B357" s="5" t="s">
        <v>217</v>
      </c>
      <c r="C357" s="5">
        <v>16</v>
      </c>
      <c r="D357" s="2">
        <v>26851</v>
      </c>
    </row>
    <row r="358" spans="1:13" x14ac:dyDescent="0.2">
      <c r="A358" s="38" t="s">
        <v>230</v>
      </c>
      <c r="B358" s="5" t="s">
        <v>231</v>
      </c>
      <c r="C358" s="5">
        <v>10</v>
      </c>
      <c r="D358" s="2">
        <v>124180</v>
      </c>
      <c r="E358" s="3">
        <f>SUM(D351:D358)</f>
        <v>1545213</v>
      </c>
    </row>
    <row r="359" spans="1:13" x14ac:dyDescent="0.2">
      <c r="A359" s="3" t="s">
        <v>232</v>
      </c>
      <c r="D359" s="1"/>
    </row>
    <row r="360" spans="1:13" x14ac:dyDescent="0.2">
      <c r="A360" s="38" t="s">
        <v>233</v>
      </c>
      <c r="B360" s="5" t="s">
        <v>234</v>
      </c>
      <c r="C360" s="5">
        <v>6</v>
      </c>
      <c r="D360" s="2">
        <v>0</v>
      </c>
    </row>
    <row r="361" spans="1:13" x14ac:dyDescent="0.2">
      <c r="A361" s="38" t="s">
        <v>235</v>
      </c>
      <c r="B361" s="5" t="s">
        <v>236</v>
      </c>
      <c r="C361" s="5">
        <v>6</v>
      </c>
      <c r="D361" s="2">
        <v>165331</v>
      </c>
    </row>
    <row r="362" spans="1:13" x14ac:dyDescent="0.2">
      <c r="A362" s="38" t="s">
        <v>237</v>
      </c>
      <c r="B362" s="5" t="s">
        <v>238</v>
      </c>
      <c r="C362" s="5">
        <v>6</v>
      </c>
      <c r="D362" s="2">
        <v>692556</v>
      </c>
    </row>
    <row r="363" spans="1:13" x14ac:dyDescent="0.2">
      <c r="A363" s="38" t="s">
        <v>237</v>
      </c>
      <c r="B363" s="5" t="s">
        <v>240</v>
      </c>
      <c r="C363" s="5"/>
      <c r="D363" s="1">
        <v>0</v>
      </c>
    </row>
    <row r="364" spans="1:13" x14ac:dyDescent="0.2">
      <c r="A364" s="38" t="s">
        <v>241</v>
      </c>
      <c r="B364" s="5" t="s">
        <v>242</v>
      </c>
      <c r="C364" s="5">
        <v>21</v>
      </c>
      <c r="D364" s="1">
        <v>0</v>
      </c>
      <c r="F364" s="5"/>
      <c r="G364" s="5"/>
      <c r="H364" s="5"/>
      <c r="I364" s="5"/>
      <c r="J364" s="5"/>
      <c r="K364" s="5"/>
      <c r="L364" s="5"/>
      <c r="M364" s="5"/>
    </row>
    <row r="365" spans="1:13" x14ac:dyDescent="0.2">
      <c r="A365" s="38" t="s">
        <v>243</v>
      </c>
      <c r="B365" s="5" t="s">
        <v>244</v>
      </c>
      <c r="C365" s="5">
        <v>6</v>
      </c>
      <c r="D365" s="2">
        <v>0</v>
      </c>
    </row>
    <row r="366" spans="1:13" x14ac:dyDescent="0.2">
      <c r="A366" s="38" t="s">
        <v>245</v>
      </c>
      <c r="B366" s="5" t="s">
        <v>246</v>
      </c>
      <c r="C366" s="5">
        <v>6</v>
      </c>
      <c r="D366" s="2">
        <v>0</v>
      </c>
    </row>
    <row r="367" spans="1:13" x14ac:dyDescent="0.2">
      <c r="A367" s="38" t="s">
        <v>247</v>
      </c>
      <c r="B367" s="5" t="s">
        <v>248</v>
      </c>
      <c r="C367" s="5">
        <v>6</v>
      </c>
      <c r="D367" s="2">
        <v>0</v>
      </c>
    </row>
    <row r="368" spans="1:13" x14ac:dyDescent="0.2">
      <c r="A368" s="38" t="s">
        <v>249</v>
      </c>
      <c r="B368" s="5" t="s">
        <v>178</v>
      </c>
      <c r="C368" s="5">
        <v>6</v>
      </c>
      <c r="D368" s="2">
        <v>0</v>
      </c>
    </row>
    <row r="369" spans="1:14" x14ac:dyDescent="0.2">
      <c r="A369" s="38" t="s">
        <v>250</v>
      </c>
      <c r="B369" s="5" t="s">
        <v>251</v>
      </c>
      <c r="C369" s="5">
        <v>6</v>
      </c>
      <c r="D369" s="2">
        <v>0</v>
      </c>
      <c r="E369" s="3">
        <f>SUM(D360:D369)</f>
        <v>857887</v>
      </c>
    </row>
    <row r="370" spans="1:14" x14ac:dyDescent="0.2">
      <c r="A370" s="3" t="s">
        <v>252</v>
      </c>
      <c r="D370" s="1"/>
    </row>
    <row r="371" spans="1:14" x14ac:dyDescent="0.2">
      <c r="A371" s="38" t="s">
        <v>254</v>
      </c>
      <c r="B371" s="5" t="s">
        <v>234</v>
      </c>
      <c r="C371" s="5">
        <v>6</v>
      </c>
      <c r="D371" s="2">
        <v>0</v>
      </c>
    </row>
    <row r="372" spans="1:14" x14ac:dyDescent="0.2">
      <c r="A372" s="38" t="s">
        <v>254</v>
      </c>
      <c r="B372" s="5" t="s">
        <v>255</v>
      </c>
      <c r="D372" s="1">
        <v>0</v>
      </c>
    </row>
    <row r="373" spans="1:14" x14ac:dyDescent="0.2">
      <c r="A373" s="38" t="s">
        <v>257</v>
      </c>
      <c r="B373" s="5" t="s">
        <v>258</v>
      </c>
      <c r="C373" s="5">
        <v>6</v>
      </c>
      <c r="D373" s="2">
        <v>12982</v>
      </c>
      <c r="E373" s="5"/>
      <c r="F373" s="5"/>
      <c r="H373" s="5"/>
      <c r="K373" s="5"/>
      <c r="L373" s="5"/>
      <c r="M373" s="5"/>
      <c r="N373" s="5"/>
    </row>
    <row r="374" spans="1:14" x14ac:dyDescent="0.2">
      <c r="A374" s="38" t="s">
        <v>257</v>
      </c>
      <c r="B374" s="5" t="s">
        <v>259</v>
      </c>
      <c r="D374" s="1">
        <v>0</v>
      </c>
    </row>
    <row r="375" spans="1:14" x14ac:dyDescent="0.2">
      <c r="A375" s="38" t="s">
        <v>260</v>
      </c>
      <c r="B375" s="5" t="s">
        <v>633</v>
      </c>
      <c r="C375" s="5">
        <v>6</v>
      </c>
      <c r="D375" s="2">
        <v>0</v>
      </c>
    </row>
    <row r="376" spans="1:14" x14ac:dyDescent="0.2">
      <c r="A376" s="38" t="s">
        <v>262</v>
      </c>
      <c r="B376" s="5" t="s">
        <v>74</v>
      </c>
      <c r="C376" s="5">
        <v>6</v>
      </c>
      <c r="D376" s="2">
        <v>0</v>
      </c>
    </row>
    <row r="377" spans="1:14" x14ac:dyDescent="0.2">
      <c r="A377" s="38" t="s">
        <v>245</v>
      </c>
      <c r="B377" s="5" t="s">
        <v>246</v>
      </c>
      <c r="C377" s="5">
        <v>6</v>
      </c>
      <c r="D377" s="2">
        <v>0</v>
      </c>
    </row>
    <row r="378" spans="1:14" x14ac:dyDescent="0.2">
      <c r="A378" s="38" t="s">
        <v>247</v>
      </c>
      <c r="B378" s="5" t="s">
        <v>248</v>
      </c>
      <c r="C378" s="5">
        <v>6</v>
      </c>
      <c r="D378" s="2">
        <v>0</v>
      </c>
    </row>
    <row r="379" spans="1:14" x14ac:dyDescent="0.2">
      <c r="A379" s="38" t="s">
        <v>249</v>
      </c>
      <c r="B379" s="5" t="s">
        <v>178</v>
      </c>
      <c r="C379" s="5">
        <v>6</v>
      </c>
      <c r="D379" s="2">
        <v>0</v>
      </c>
    </row>
    <row r="380" spans="1:14" x14ac:dyDescent="0.2">
      <c r="A380" s="38" t="s">
        <v>250</v>
      </c>
      <c r="B380" s="5" t="s">
        <v>251</v>
      </c>
      <c r="C380" s="5">
        <v>6</v>
      </c>
      <c r="D380" s="2">
        <v>0</v>
      </c>
      <c r="E380" s="3">
        <f>SUM(D371:D380)</f>
        <v>12982</v>
      </c>
    </row>
    <row r="381" spans="1:14" x14ac:dyDescent="0.2">
      <c r="A381" s="3" t="s">
        <v>264</v>
      </c>
      <c r="D381" s="1"/>
    </row>
    <row r="382" spans="1:14" x14ac:dyDescent="0.2">
      <c r="A382" s="38" t="s">
        <v>265</v>
      </c>
      <c r="B382" s="5" t="s">
        <v>234</v>
      </c>
      <c r="C382" s="5">
        <v>6</v>
      </c>
      <c r="D382" s="2">
        <v>0</v>
      </c>
    </row>
    <row r="383" spans="1:14" x14ac:dyDescent="0.2">
      <c r="A383" s="38" t="s">
        <v>267</v>
      </c>
      <c r="B383" s="5" t="s">
        <v>268</v>
      </c>
      <c r="C383" s="5">
        <v>6</v>
      </c>
      <c r="D383" s="2">
        <v>0</v>
      </c>
    </row>
    <row r="384" spans="1:14" x14ac:dyDescent="0.2">
      <c r="A384" s="38" t="s">
        <v>269</v>
      </c>
      <c r="B384" s="5" t="s">
        <v>261</v>
      </c>
      <c r="C384" s="5">
        <v>6</v>
      </c>
      <c r="D384" s="2">
        <v>0</v>
      </c>
    </row>
    <row r="385" spans="1:5" x14ac:dyDescent="0.2">
      <c r="A385" s="38" t="s">
        <v>270</v>
      </c>
      <c r="B385" s="5" t="s">
        <v>244</v>
      </c>
      <c r="C385" s="5">
        <v>6</v>
      </c>
      <c r="D385" s="2">
        <v>0</v>
      </c>
      <c r="E385" s="3">
        <f>D385+D384+D383+D382</f>
        <v>0</v>
      </c>
    </row>
    <row r="387" spans="1:5" x14ac:dyDescent="0.2">
      <c r="B387" s="3" t="s">
        <v>8</v>
      </c>
      <c r="D387" s="3">
        <f>SUM(D341:D385)</f>
        <v>7756106</v>
      </c>
      <c r="E387" s="3">
        <f>SUM(E341:E385)</f>
        <v>7756106</v>
      </c>
    </row>
    <row r="389" spans="1:5" x14ac:dyDescent="0.2">
      <c r="A389" s="16" t="s">
        <v>0</v>
      </c>
      <c r="C389" s="325" t="s">
        <v>92</v>
      </c>
      <c r="D389" s="325" t="s">
        <v>8</v>
      </c>
    </row>
    <row r="390" spans="1:5" x14ac:dyDescent="0.2">
      <c r="A390" s="3" t="s">
        <v>679</v>
      </c>
      <c r="C390" s="325" t="s">
        <v>10</v>
      </c>
      <c r="D390" s="325" t="s">
        <v>11</v>
      </c>
    </row>
    <row r="391" spans="1:5" x14ac:dyDescent="0.2">
      <c r="A391" s="16" t="s">
        <v>0</v>
      </c>
    </row>
    <row r="393" spans="1:5" x14ac:dyDescent="0.2">
      <c r="A393" s="3" t="str">
        <f>A338</f>
        <v>DISTRIBUTION EXPENSES</v>
      </c>
    </row>
    <row r="395" spans="1:5" x14ac:dyDescent="0.2">
      <c r="A395" s="3" t="s">
        <v>205</v>
      </c>
    </row>
    <row r="396" spans="1:5" x14ac:dyDescent="0.2">
      <c r="A396" s="3" t="str">
        <f t="shared" ref="A396:B404" si="25">A341</f>
        <v>870</v>
      </c>
      <c r="B396" s="3" t="str">
        <f t="shared" si="25"/>
        <v>SUPERVISION &amp; ENGINEERING</v>
      </c>
      <c r="C396" s="5">
        <v>11</v>
      </c>
      <c r="D396" s="2">
        <v>880931</v>
      </c>
    </row>
    <row r="397" spans="1:5" x14ac:dyDescent="0.2">
      <c r="A397" s="3" t="str">
        <f t="shared" si="25"/>
        <v>871</v>
      </c>
      <c r="B397" s="3" t="str">
        <f t="shared" si="25"/>
        <v>DISTRIBUTION LOAD DISPATCH</v>
      </c>
      <c r="C397" s="5">
        <v>4</v>
      </c>
      <c r="D397" s="2">
        <v>84529</v>
      </c>
    </row>
    <row r="398" spans="1:5" x14ac:dyDescent="0.2">
      <c r="A398" s="3" t="str">
        <f t="shared" si="25"/>
        <v>874</v>
      </c>
      <c r="B398" s="3" t="str">
        <f t="shared" si="25"/>
        <v>MAINS &amp; SERVICES</v>
      </c>
      <c r="C398" s="5">
        <v>14</v>
      </c>
      <c r="D398" s="2">
        <v>6524196</v>
      </c>
    </row>
    <row r="399" spans="1:5" x14ac:dyDescent="0.2">
      <c r="A399" s="3" t="str">
        <f t="shared" si="25"/>
        <v>875</v>
      </c>
      <c r="B399" s="3" t="str">
        <f t="shared" si="25"/>
        <v>M &amp; R - GENERAL</v>
      </c>
      <c r="C399" s="5">
        <v>18</v>
      </c>
      <c r="D399" s="2">
        <v>200726.09999999998</v>
      </c>
    </row>
    <row r="400" spans="1:5" x14ac:dyDescent="0.2">
      <c r="A400" s="3" t="str">
        <f t="shared" si="25"/>
        <v>876</v>
      </c>
      <c r="B400" s="3" t="str">
        <f t="shared" si="25"/>
        <v>M &amp; R - INDUSTRIAL</v>
      </c>
      <c r="C400" s="5">
        <v>8</v>
      </c>
      <c r="D400" s="2">
        <v>68338</v>
      </c>
    </row>
    <row r="401" spans="1:5" x14ac:dyDescent="0.2">
      <c r="A401" s="3" t="str">
        <f t="shared" si="25"/>
        <v>878</v>
      </c>
      <c r="B401" s="3" t="str">
        <f t="shared" si="25"/>
        <v>METERS &amp; HOUSE REGULATORS</v>
      </c>
      <c r="C401" s="5">
        <v>16</v>
      </c>
      <c r="D401" s="2">
        <v>1764694.0299999998</v>
      </c>
    </row>
    <row r="402" spans="1:5" x14ac:dyDescent="0.2">
      <c r="A402" s="3" t="str">
        <f t="shared" si="25"/>
        <v>879</v>
      </c>
      <c r="B402" s="3" t="str">
        <f t="shared" si="25"/>
        <v xml:space="preserve">CUSTOMER INSTALLATION </v>
      </c>
      <c r="C402" s="5">
        <v>16</v>
      </c>
      <c r="D402" s="2">
        <v>2156631.9700000002</v>
      </c>
    </row>
    <row r="403" spans="1:5" x14ac:dyDescent="0.2">
      <c r="A403" s="3" t="str">
        <f t="shared" si="25"/>
        <v>880</v>
      </c>
      <c r="B403" s="3" t="str">
        <f t="shared" si="25"/>
        <v>OTHER</v>
      </c>
      <c r="C403" s="5">
        <v>11</v>
      </c>
      <c r="D403" s="2">
        <v>1759459</v>
      </c>
    </row>
    <row r="404" spans="1:5" x14ac:dyDescent="0.2">
      <c r="A404" s="3" t="str">
        <f t="shared" si="25"/>
        <v>881</v>
      </c>
      <c r="B404" s="3" t="str">
        <f t="shared" si="25"/>
        <v>RENTS</v>
      </c>
      <c r="C404" s="5">
        <v>11</v>
      </c>
      <c r="D404" s="2">
        <v>82157</v>
      </c>
      <c r="E404" s="3">
        <f>SUM(D396:D404)</f>
        <v>13521662.1</v>
      </c>
    </row>
    <row r="405" spans="1:5" x14ac:dyDescent="0.2">
      <c r="A405" s="3" t="str">
        <f t="shared" ref="A405:A440" si="26">A350</f>
        <v>MAINTENANCE</v>
      </c>
      <c r="C405" s="5"/>
      <c r="D405" s="1"/>
    </row>
    <row r="406" spans="1:5" x14ac:dyDescent="0.2">
      <c r="A406" s="3" t="str">
        <f t="shared" si="26"/>
        <v>885</v>
      </c>
      <c r="B406" s="3" t="str">
        <f t="shared" ref="B406:B413" si="27">B351</f>
        <v>SUPERVISION &amp; ENGINEERING</v>
      </c>
      <c r="C406" s="5">
        <v>11</v>
      </c>
      <c r="D406" s="2">
        <v>11219.999999999998</v>
      </c>
    </row>
    <row r="407" spans="1:5" x14ac:dyDescent="0.2">
      <c r="A407" s="3" t="str">
        <f t="shared" si="26"/>
        <v>886</v>
      </c>
      <c r="B407" s="3" t="str">
        <f t="shared" si="27"/>
        <v>STRUCTURES &amp; IMPROVEMENTS</v>
      </c>
      <c r="C407" s="5">
        <v>18</v>
      </c>
      <c r="D407" s="2">
        <v>254347.08000000002</v>
      </c>
    </row>
    <row r="408" spans="1:5" x14ac:dyDescent="0.2">
      <c r="A408" s="3" t="str">
        <f t="shared" si="26"/>
        <v>887</v>
      </c>
      <c r="B408" s="3" t="str">
        <f t="shared" si="27"/>
        <v>MAINS</v>
      </c>
      <c r="C408" s="5">
        <v>18</v>
      </c>
      <c r="D408" s="2">
        <v>3128430.0000000005</v>
      </c>
    </row>
    <row r="409" spans="1:5" x14ac:dyDescent="0.2">
      <c r="A409" s="3" t="str">
        <f t="shared" si="26"/>
        <v>889</v>
      </c>
      <c r="B409" s="3" t="str">
        <f t="shared" si="27"/>
        <v>M &amp; R - GENERAL</v>
      </c>
      <c r="C409" s="5">
        <v>18</v>
      </c>
      <c r="D409" s="2">
        <v>283329.98999999993</v>
      </c>
    </row>
    <row r="410" spans="1:5" x14ac:dyDescent="0.2">
      <c r="A410" s="3" t="str">
        <f t="shared" si="26"/>
        <v>890</v>
      </c>
      <c r="B410" s="3" t="str">
        <f t="shared" si="27"/>
        <v>M &amp; R - INDUSTRIAL</v>
      </c>
      <c r="C410" s="5">
        <v>8</v>
      </c>
      <c r="D410" s="2">
        <v>71299</v>
      </c>
    </row>
    <row r="411" spans="1:5" x14ac:dyDescent="0.2">
      <c r="A411" s="3" t="str">
        <f t="shared" si="26"/>
        <v>892</v>
      </c>
      <c r="B411" s="3" t="str">
        <f t="shared" si="27"/>
        <v>SERVICES</v>
      </c>
      <c r="C411" s="5">
        <v>15</v>
      </c>
      <c r="D411" s="2">
        <v>729908</v>
      </c>
    </row>
    <row r="412" spans="1:5" x14ac:dyDescent="0.2">
      <c r="A412" s="3" t="str">
        <f t="shared" si="26"/>
        <v>893</v>
      </c>
      <c r="B412" s="3" t="str">
        <f t="shared" si="27"/>
        <v>METERS &amp; HOUSE REGULATORS</v>
      </c>
      <c r="C412" s="5">
        <v>16</v>
      </c>
      <c r="D412" s="2">
        <v>145027</v>
      </c>
    </row>
    <row r="413" spans="1:5" x14ac:dyDescent="0.2">
      <c r="A413" s="3" t="str">
        <f t="shared" si="26"/>
        <v>894</v>
      </c>
      <c r="B413" s="3" t="str">
        <f t="shared" si="27"/>
        <v>OTHER EQUIPMENT</v>
      </c>
      <c r="C413" s="5">
        <v>11</v>
      </c>
      <c r="D413" s="2">
        <v>323753</v>
      </c>
      <c r="E413" s="3">
        <f>SUM(D406:D413)</f>
        <v>4947314.07</v>
      </c>
    </row>
    <row r="414" spans="1:5" x14ac:dyDescent="0.2">
      <c r="A414" s="3" t="str">
        <f t="shared" si="26"/>
        <v>CUSTOMER ACCOUNTS</v>
      </c>
      <c r="C414" s="5"/>
      <c r="D414" s="1"/>
    </row>
    <row r="415" spans="1:5" x14ac:dyDescent="0.2">
      <c r="A415" s="3" t="str">
        <f t="shared" si="26"/>
        <v>901</v>
      </c>
      <c r="B415" s="3" t="str">
        <f t="shared" ref="B415:B424" si="28">B360</f>
        <v>SUPERVISION</v>
      </c>
      <c r="C415" s="5">
        <v>6</v>
      </c>
      <c r="D415" s="2">
        <v>0</v>
      </c>
    </row>
    <row r="416" spans="1:5" x14ac:dyDescent="0.2">
      <c r="A416" s="3" t="str">
        <f t="shared" si="26"/>
        <v>902</v>
      </c>
      <c r="B416" s="3" t="str">
        <f t="shared" si="28"/>
        <v>METER READING</v>
      </c>
      <c r="C416" s="5">
        <v>6</v>
      </c>
      <c r="D416" s="2">
        <v>564833</v>
      </c>
    </row>
    <row r="417" spans="1:13" x14ac:dyDescent="0.2">
      <c r="A417" s="3" t="str">
        <f t="shared" si="26"/>
        <v>903</v>
      </c>
      <c r="B417" s="3" t="str">
        <f t="shared" si="28"/>
        <v>CUSTOMER RECORDS &amp; COLLECTIONS</v>
      </c>
      <c r="C417" s="5">
        <v>6</v>
      </c>
      <c r="D417" s="2">
        <v>3945468</v>
      </c>
    </row>
    <row r="418" spans="1:13" x14ac:dyDescent="0.2">
      <c r="A418" s="3" t="str">
        <f t="shared" si="26"/>
        <v>903</v>
      </c>
      <c r="B418" s="3" t="str">
        <f t="shared" si="28"/>
        <v>DIRECT CUSTOMER RECORDS &amp; COLLECTIONS</v>
      </c>
      <c r="D418" s="1">
        <v>0</v>
      </c>
    </row>
    <row r="419" spans="1:13" x14ac:dyDescent="0.2">
      <c r="A419" s="3" t="str">
        <f t="shared" si="26"/>
        <v>904</v>
      </c>
      <c r="B419" s="3" t="str">
        <f t="shared" si="28"/>
        <v>UNCOLLECTIBLE ACCOUNTS</v>
      </c>
      <c r="C419" s="5">
        <v>21</v>
      </c>
      <c r="D419" s="2">
        <v>1027585</v>
      </c>
      <c r="E419" s="5"/>
      <c r="F419" s="5"/>
      <c r="G419" s="5"/>
      <c r="H419" s="5"/>
      <c r="I419" s="5"/>
      <c r="J419" s="5"/>
      <c r="K419" s="5"/>
      <c r="L419" s="5"/>
      <c r="M419" s="5"/>
    </row>
    <row r="420" spans="1:13" x14ac:dyDescent="0.2">
      <c r="A420" s="3" t="str">
        <f t="shared" si="26"/>
        <v>905</v>
      </c>
      <c r="B420" s="3" t="str">
        <f t="shared" si="28"/>
        <v>MISC.</v>
      </c>
      <c r="C420" s="5">
        <v>6</v>
      </c>
      <c r="D420" s="2">
        <v>1073</v>
      </c>
    </row>
    <row r="421" spans="1:13" x14ac:dyDescent="0.2">
      <c r="A421" s="3" t="str">
        <f t="shared" si="26"/>
        <v>920</v>
      </c>
      <c r="B421" s="3" t="str">
        <f t="shared" si="28"/>
        <v>SALARIES</v>
      </c>
      <c r="C421" s="5">
        <v>6</v>
      </c>
      <c r="D421" s="2">
        <v>0</v>
      </c>
    </row>
    <row r="422" spans="1:13" x14ac:dyDescent="0.2">
      <c r="A422" s="3" t="str">
        <f t="shared" si="26"/>
        <v>921</v>
      </c>
      <c r="B422" s="3" t="str">
        <f t="shared" si="28"/>
        <v>OFFICE SUPPLIES AND EXPENSE</v>
      </c>
      <c r="C422" s="5">
        <v>6</v>
      </c>
      <c r="D422" s="2">
        <v>253</v>
      </c>
    </row>
    <row r="423" spans="1:13" x14ac:dyDescent="0.2">
      <c r="A423" s="3" t="str">
        <f t="shared" si="26"/>
        <v>931</v>
      </c>
      <c r="B423" s="3" t="str">
        <f t="shared" si="28"/>
        <v>RENTS</v>
      </c>
      <c r="C423" s="5">
        <v>6</v>
      </c>
      <c r="D423" s="2">
        <v>0</v>
      </c>
    </row>
    <row r="424" spans="1:13" x14ac:dyDescent="0.2">
      <c r="A424" s="3" t="str">
        <f t="shared" si="26"/>
        <v>935</v>
      </c>
      <c r="B424" s="3" t="str">
        <f t="shared" si="28"/>
        <v>GENERAL PLANT MAINTENANCE</v>
      </c>
      <c r="C424" s="5">
        <v>6</v>
      </c>
      <c r="D424" s="2">
        <v>0</v>
      </c>
      <c r="E424" s="3">
        <f>SUM(D415:D424)</f>
        <v>5539212</v>
      </c>
    </row>
    <row r="425" spans="1:13" x14ac:dyDescent="0.2">
      <c r="A425" s="3" t="str">
        <f t="shared" si="26"/>
        <v>CUSTOMER SERVICE &amp; INFORMATIONAL</v>
      </c>
      <c r="C425" s="5"/>
      <c r="D425" s="2"/>
    </row>
    <row r="426" spans="1:13" x14ac:dyDescent="0.2">
      <c r="A426" s="3" t="str">
        <f t="shared" si="26"/>
        <v>907</v>
      </c>
      <c r="B426" s="3" t="str">
        <f t="shared" ref="B426:B435" si="29">B371</f>
        <v>SUPERVISION</v>
      </c>
      <c r="C426" s="5">
        <v>6</v>
      </c>
      <c r="D426" s="2">
        <v>-2788.9999999999982</v>
      </c>
    </row>
    <row r="427" spans="1:13" x14ac:dyDescent="0.2">
      <c r="A427" s="3" t="str">
        <f t="shared" si="26"/>
        <v>907</v>
      </c>
      <c r="B427" s="3" t="str">
        <f t="shared" si="29"/>
        <v>DIRECT SUPERVISION</v>
      </c>
      <c r="D427" s="1">
        <v>0</v>
      </c>
    </row>
    <row r="428" spans="1:13" x14ac:dyDescent="0.2">
      <c r="A428" s="3" t="str">
        <f t="shared" si="26"/>
        <v>908</v>
      </c>
      <c r="B428" s="3" t="str">
        <f t="shared" si="29"/>
        <v>CUSTOMER ASSISTANCE</v>
      </c>
      <c r="C428" s="5">
        <v>6</v>
      </c>
      <c r="D428" s="2">
        <v>1211952.9999999995</v>
      </c>
    </row>
    <row r="429" spans="1:13" x14ac:dyDescent="0.2">
      <c r="A429" s="3" t="str">
        <f t="shared" si="26"/>
        <v>908</v>
      </c>
      <c r="B429" s="3" t="str">
        <f t="shared" si="29"/>
        <v>DIRECT CUSTOMER ASSISTANCE</v>
      </c>
      <c r="D429" s="1">
        <v>0</v>
      </c>
    </row>
    <row r="430" spans="1:13" x14ac:dyDescent="0.2">
      <c r="A430" s="3" t="str">
        <f t="shared" si="26"/>
        <v>909</v>
      </c>
      <c r="B430" s="3" t="str">
        <f t="shared" si="29"/>
        <v>INFO. &amp; INSTRUCTIONAL</v>
      </c>
      <c r="C430" s="5">
        <v>6</v>
      </c>
      <c r="D430" s="2">
        <v>65932</v>
      </c>
    </row>
    <row r="431" spans="1:13" x14ac:dyDescent="0.2">
      <c r="A431" s="3" t="str">
        <f t="shared" si="26"/>
        <v>910</v>
      </c>
      <c r="B431" s="3" t="str">
        <f t="shared" si="29"/>
        <v>MISCELLANEOUS</v>
      </c>
      <c r="C431" s="5">
        <v>6</v>
      </c>
      <c r="D431" s="2">
        <v>257797</v>
      </c>
    </row>
    <row r="432" spans="1:13" x14ac:dyDescent="0.2">
      <c r="A432" s="3" t="str">
        <f t="shared" si="26"/>
        <v>920</v>
      </c>
      <c r="B432" s="3" t="str">
        <f t="shared" si="29"/>
        <v>SALARIES</v>
      </c>
      <c r="C432" s="5">
        <v>6</v>
      </c>
      <c r="D432" s="2">
        <v>0</v>
      </c>
    </row>
    <row r="433" spans="1:35" x14ac:dyDescent="0.2">
      <c r="A433" s="3" t="str">
        <f t="shared" si="26"/>
        <v>921</v>
      </c>
      <c r="B433" s="3" t="str">
        <f t="shared" si="29"/>
        <v>OFFICE SUPPLIES AND EXPENSE</v>
      </c>
      <c r="C433" s="5">
        <v>6</v>
      </c>
      <c r="D433" s="2">
        <v>13868</v>
      </c>
    </row>
    <row r="434" spans="1:35" x14ac:dyDescent="0.2">
      <c r="A434" s="3" t="str">
        <f t="shared" si="26"/>
        <v>931</v>
      </c>
      <c r="B434" s="3" t="str">
        <f t="shared" si="29"/>
        <v>RENTS</v>
      </c>
      <c r="C434" s="5">
        <v>6</v>
      </c>
      <c r="D434" s="2">
        <f>0-D379</f>
        <v>0</v>
      </c>
    </row>
    <row r="435" spans="1:35" x14ac:dyDescent="0.2">
      <c r="A435" s="3" t="str">
        <f t="shared" si="26"/>
        <v>935</v>
      </c>
      <c r="B435" s="3" t="str">
        <f t="shared" si="29"/>
        <v>GENERAL PLANT MAINTENANCE</v>
      </c>
      <c r="C435" s="5">
        <v>6</v>
      </c>
      <c r="D435" s="2">
        <v>0</v>
      </c>
      <c r="E435" s="3">
        <f>SUM(D426:D435)</f>
        <v>1546760.9999999995</v>
      </c>
    </row>
    <row r="436" spans="1:35" x14ac:dyDescent="0.2">
      <c r="A436" s="3" t="str">
        <f t="shared" si="26"/>
        <v>SALES</v>
      </c>
      <c r="C436" s="5"/>
      <c r="D436" s="1"/>
    </row>
    <row r="437" spans="1:35" x14ac:dyDescent="0.2">
      <c r="A437" s="3" t="str">
        <f t="shared" si="26"/>
        <v>911</v>
      </c>
      <c r="B437" s="3" t="str">
        <f>B382</f>
        <v>SUPERVISION</v>
      </c>
      <c r="C437" s="5">
        <v>6</v>
      </c>
      <c r="D437" s="2">
        <v>0</v>
      </c>
    </row>
    <row r="438" spans="1:35" x14ac:dyDescent="0.2">
      <c r="A438" s="3" t="str">
        <f t="shared" si="26"/>
        <v>912</v>
      </c>
      <c r="B438" s="3" t="str">
        <f>B383</f>
        <v>DEMONSTRATION &amp; SELLING</v>
      </c>
      <c r="C438" s="5">
        <v>6</v>
      </c>
      <c r="D438" s="2">
        <v>37477</v>
      </c>
    </row>
    <row r="439" spans="1:35" x14ac:dyDescent="0.2">
      <c r="A439" s="3" t="str">
        <f t="shared" si="26"/>
        <v>913</v>
      </c>
      <c r="B439" s="3" t="str">
        <f>B384</f>
        <v>ADVERTISING</v>
      </c>
      <c r="C439" s="5">
        <v>6</v>
      </c>
      <c r="D439" s="2">
        <v>138706</v>
      </c>
      <c r="E439" s="3">
        <f>D439+D438+D437+D440</f>
        <v>176183</v>
      </c>
    </row>
    <row r="440" spans="1:35" x14ac:dyDescent="0.2">
      <c r="A440" s="3" t="str">
        <f t="shared" si="26"/>
        <v>916</v>
      </c>
      <c r="B440" s="3" t="str">
        <f>B385</f>
        <v>MISC.</v>
      </c>
      <c r="C440" s="5">
        <v>6</v>
      </c>
      <c r="D440" s="2">
        <v>0</v>
      </c>
    </row>
    <row r="442" spans="1:35" x14ac:dyDescent="0.2">
      <c r="B442" s="3" t="s">
        <v>8</v>
      </c>
      <c r="D442" s="3">
        <f>SUM(D396:D440)</f>
        <v>25731132.169999998</v>
      </c>
      <c r="E442" s="3">
        <f>SUM(E395:E440)</f>
        <v>25731132.170000002</v>
      </c>
    </row>
    <row r="444" spans="1:35" x14ac:dyDescent="0.2">
      <c r="A444" s="16" t="s">
        <v>0</v>
      </c>
      <c r="B444" s="16" t="s">
        <v>0</v>
      </c>
      <c r="C444" s="16" t="s">
        <v>0</v>
      </c>
      <c r="D444" s="16" t="s">
        <v>0</v>
      </c>
      <c r="Z444" s="1"/>
    </row>
    <row r="445" spans="1:35" x14ac:dyDescent="0.2">
      <c r="A445" s="3" t="s">
        <v>281</v>
      </c>
      <c r="Z445" s="1"/>
      <c r="AD445" s="14"/>
      <c r="AE445" s="15"/>
      <c r="AF445" s="15"/>
      <c r="AG445" s="15"/>
      <c r="AI445" s="15"/>
    </row>
    <row r="446" spans="1:35" x14ac:dyDescent="0.2">
      <c r="A446" s="16" t="s">
        <v>0</v>
      </c>
      <c r="B446" s="16" t="s">
        <v>0</v>
      </c>
      <c r="C446" s="16" t="s">
        <v>0</v>
      </c>
      <c r="D446" s="16" t="s">
        <v>0</v>
      </c>
    </row>
    <row r="448" spans="1:35" x14ac:dyDescent="0.2">
      <c r="A448" s="16" t="s">
        <v>0</v>
      </c>
      <c r="C448" s="325" t="s">
        <v>92</v>
      </c>
      <c r="D448" s="325" t="s">
        <v>8</v>
      </c>
    </row>
    <row r="449" spans="1:11" x14ac:dyDescent="0.2">
      <c r="A449" s="3" t="s">
        <v>282</v>
      </c>
      <c r="C449" s="325" t="s">
        <v>10</v>
      </c>
      <c r="D449" s="325" t="s">
        <v>11</v>
      </c>
      <c r="E449" s="3" t="str">
        <f>$C$12</f>
        <v>GS-RESIDENTIAL</v>
      </c>
      <c r="F449" s="3" t="str">
        <f>$C$13</f>
        <v>GS-OTHER</v>
      </c>
      <c r="G449" s="3" t="str">
        <f>$C$14</f>
        <v>IUS</v>
      </c>
      <c r="I449" s="3" t="str">
        <f>$C$15</f>
        <v>DS-ML</v>
      </c>
      <c r="J449" s="3" t="str">
        <f>$C$16</f>
        <v>DS/IS</v>
      </c>
      <c r="K449" s="3" t="str">
        <f>$C$18</f>
        <v>NOT USED</v>
      </c>
    </row>
    <row r="450" spans="1:11" x14ac:dyDescent="0.2">
      <c r="A450" s="16" t="s">
        <v>0</v>
      </c>
    </row>
    <row r="452" spans="1:11" x14ac:dyDescent="0.2">
      <c r="A452" s="3" t="s">
        <v>283</v>
      </c>
      <c r="D452" s="1"/>
    </row>
    <row r="453" spans="1:11" x14ac:dyDescent="0.2">
      <c r="A453" s="38" t="s">
        <v>245</v>
      </c>
      <c r="B453" s="5" t="s">
        <v>246</v>
      </c>
      <c r="C453" s="5">
        <v>12</v>
      </c>
      <c r="D453" s="2">
        <v>1597984</v>
      </c>
    </row>
    <row r="454" spans="1:11" x14ac:dyDescent="0.2">
      <c r="A454" s="38" t="s">
        <v>247</v>
      </c>
      <c r="B454" s="5" t="s">
        <v>284</v>
      </c>
      <c r="C454" s="5">
        <v>12</v>
      </c>
      <c r="D454" s="2">
        <v>0</v>
      </c>
    </row>
    <row r="455" spans="1:11" x14ac:dyDescent="0.2">
      <c r="A455" s="38" t="s">
        <v>285</v>
      </c>
      <c r="B455" s="5" t="s">
        <v>286</v>
      </c>
      <c r="C455" s="5">
        <v>12</v>
      </c>
      <c r="D455" s="2">
        <v>0</v>
      </c>
    </row>
    <row r="456" spans="1:11" x14ac:dyDescent="0.2">
      <c r="A456" s="38" t="s">
        <v>287</v>
      </c>
      <c r="B456" s="5" t="s">
        <v>288</v>
      </c>
      <c r="C456" s="5">
        <v>12</v>
      </c>
      <c r="D456" s="2">
        <v>4636.4399999998277</v>
      </c>
    </row>
    <row r="457" spans="1:11" x14ac:dyDescent="0.2">
      <c r="A457" s="38" t="s">
        <v>289</v>
      </c>
      <c r="B457" s="5" t="s">
        <v>290</v>
      </c>
      <c r="C457" s="5">
        <v>12</v>
      </c>
      <c r="D457" s="2">
        <v>0</v>
      </c>
    </row>
    <row r="458" spans="1:11" x14ac:dyDescent="0.2">
      <c r="A458" s="38" t="s">
        <v>291</v>
      </c>
      <c r="B458" s="5" t="s">
        <v>292</v>
      </c>
      <c r="C458" s="5">
        <v>12</v>
      </c>
      <c r="D458" s="2">
        <v>0</v>
      </c>
    </row>
    <row r="459" spans="1:11" x14ac:dyDescent="0.2">
      <c r="A459" s="38" t="s">
        <v>293</v>
      </c>
      <c r="B459" s="5" t="s">
        <v>294</v>
      </c>
      <c r="C459" s="5">
        <v>12</v>
      </c>
      <c r="D459" s="2">
        <v>0</v>
      </c>
    </row>
    <row r="460" spans="1:11" x14ac:dyDescent="0.2">
      <c r="A460" s="38" t="s">
        <v>295</v>
      </c>
      <c r="B460" s="5" t="s">
        <v>296</v>
      </c>
      <c r="C460" s="5">
        <v>12</v>
      </c>
      <c r="D460" s="2">
        <v>0</v>
      </c>
    </row>
    <row r="461" spans="1:11" x14ac:dyDescent="0.2">
      <c r="A461" s="38" t="s">
        <v>297</v>
      </c>
      <c r="B461" s="5" t="s">
        <v>298</v>
      </c>
      <c r="C461" s="5">
        <v>12</v>
      </c>
      <c r="D461" s="2">
        <v>0</v>
      </c>
    </row>
    <row r="462" spans="1:11" x14ac:dyDescent="0.2">
      <c r="A462" s="38" t="s">
        <v>299</v>
      </c>
      <c r="B462" s="5" t="s">
        <v>300</v>
      </c>
      <c r="C462" s="5">
        <v>12</v>
      </c>
      <c r="D462" s="2">
        <v>0</v>
      </c>
    </row>
    <row r="463" spans="1:11" x14ac:dyDescent="0.2">
      <c r="A463" s="38" t="s">
        <v>249</v>
      </c>
      <c r="B463" s="5" t="s">
        <v>178</v>
      </c>
      <c r="C463" s="5">
        <v>12</v>
      </c>
      <c r="D463" s="2">
        <v>0</v>
      </c>
    </row>
    <row r="464" spans="1:11" x14ac:dyDescent="0.2">
      <c r="A464" s="38" t="s">
        <v>302</v>
      </c>
      <c r="B464" s="5" t="s">
        <v>303</v>
      </c>
      <c r="C464" s="5">
        <v>12</v>
      </c>
      <c r="D464" s="2">
        <v>0</v>
      </c>
    </row>
    <row r="465" spans="1:26" x14ac:dyDescent="0.2">
      <c r="A465" s="38" t="s">
        <v>304</v>
      </c>
      <c r="B465" s="5" t="s">
        <v>305</v>
      </c>
      <c r="D465" s="1"/>
    </row>
    <row r="466" spans="1:26" x14ac:dyDescent="0.2">
      <c r="B466" s="5" t="s">
        <v>306</v>
      </c>
      <c r="C466" s="5">
        <v>12</v>
      </c>
      <c r="D466" s="2">
        <v>0</v>
      </c>
    </row>
    <row r="467" spans="1:26" x14ac:dyDescent="0.2">
      <c r="A467" s="38">
        <v>932</v>
      </c>
      <c r="B467" s="5" t="s">
        <v>307</v>
      </c>
      <c r="C467" s="5">
        <v>12</v>
      </c>
      <c r="D467" s="2">
        <v>0</v>
      </c>
    </row>
    <row r="468" spans="1:26" x14ac:dyDescent="0.2">
      <c r="B468" s="3" t="s">
        <v>8</v>
      </c>
      <c r="D468" s="3">
        <f>SUM(D453:D467)</f>
        <v>1602620.44</v>
      </c>
      <c r="E468" s="3">
        <f>SUM(D453:D467)</f>
        <v>1602620.44</v>
      </c>
    </row>
    <row r="470" spans="1:26" x14ac:dyDescent="0.2">
      <c r="A470" s="16" t="s">
        <v>0</v>
      </c>
      <c r="C470" s="325" t="s">
        <v>92</v>
      </c>
      <c r="D470" s="325" t="s">
        <v>8</v>
      </c>
    </row>
    <row r="471" spans="1:26" x14ac:dyDescent="0.2">
      <c r="A471" s="3" t="s">
        <v>308</v>
      </c>
      <c r="C471" s="325" t="s">
        <v>10</v>
      </c>
      <c r="D471" s="325" t="s">
        <v>11</v>
      </c>
    </row>
    <row r="472" spans="1:26" x14ac:dyDescent="0.2">
      <c r="A472" s="16" t="s">
        <v>0</v>
      </c>
    </row>
    <row r="474" spans="1:26" x14ac:dyDescent="0.2">
      <c r="A474" s="3" t="str">
        <f t="shared" ref="A474:A481" si="30">A452</f>
        <v>ADMINISTRATIVE &amp; GENERAL</v>
      </c>
      <c r="D474" s="1"/>
    </row>
    <row r="475" spans="1:26" x14ac:dyDescent="0.2">
      <c r="A475" s="3" t="str">
        <f t="shared" si="30"/>
        <v>920</v>
      </c>
      <c r="B475" s="3" t="str">
        <f t="shared" ref="B475:B481" si="31">B453</f>
        <v>SALARIES</v>
      </c>
      <c r="C475" s="5">
        <v>13</v>
      </c>
      <c r="D475" s="2">
        <v>4561286</v>
      </c>
    </row>
    <row r="476" spans="1:26" x14ac:dyDescent="0.2">
      <c r="A476" s="3" t="str">
        <f t="shared" si="30"/>
        <v>921</v>
      </c>
      <c r="B476" s="3" t="str">
        <f t="shared" si="31"/>
        <v>OFFICE SUPPLIES &amp; EXPENSES</v>
      </c>
      <c r="C476" s="5">
        <v>13</v>
      </c>
      <c r="D476" s="2">
        <f>908219-D433-D422</f>
        <v>894098</v>
      </c>
    </row>
    <row r="477" spans="1:26" x14ac:dyDescent="0.2">
      <c r="A477" s="3" t="str">
        <f t="shared" si="30"/>
        <v>922</v>
      </c>
      <c r="B477" s="3" t="str">
        <f t="shared" si="31"/>
        <v>ADMIN. EXPENSES TRANSFERED</v>
      </c>
      <c r="C477" s="5">
        <v>13</v>
      </c>
      <c r="D477" s="2">
        <v>0</v>
      </c>
      <c r="Z477" s="1"/>
    </row>
    <row r="478" spans="1:26" x14ac:dyDescent="0.2">
      <c r="A478" s="3" t="str">
        <f t="shared" si="30"/>
        <v>923</v>
      </c>
      <c r="B478" s="3" t="str">
        <f t="shared" si="31"/>
        <v xml:space="preserve">OUTSIDE SERVICES </v>
      </c>
      <c r="C478" s="5">
        <v>13</v>
      </c>
      <c r="D478" s="2">
        <v>7874425.4399600001</v>
      </c>
      <c r="Z478" s="1"/>
    </row>
    <row r="479" spans="1:26" x14ac:dyDescent="0.2">
      <c r="A479" s="3" t="str">
        <f t="shared" si="30"/>
        <v>924</v>
      </c>
      <c r="B479" s="3" t="str">
        <f t="shared" si="31"/>
        <v>PROPERTY INSURANCE</v>
      </c>
      <c r="C479" s="5">
        <v>13</v>
      </c>
      <c r="D479" s="2">
        <v>81748</v>
      </c>
      <c r="Z479" s="1"/>
    </row>
    <row r="480" spans="1:26" x14ac:dyDescent="0.2">
      <c r="A480" s="3" t="str">
        <f t="shared" si="30"/>
        <v>925</v>
      </c>
      <c r="B480" s="3" t="str">
        <f t="shared" si="31"/>
        <v>INJURIES AND DAMAGES</v>
      </c>
      <c r="C480" s="5">
        <v>12</v>
      </c>
      <c r="D480" s="2">
        <v>1043923.25</v>
      </c>
      <c r="Z480" s="1"/>
    </row>
    <row r="481" spans="1:35" x14ac:dyDescent="0.2">
      <c r="A481" s="3" t="str">
        <f t="shared" si="30"/>
        <v>926</v>
      </c>
      <c r="B481" s="3" t="str">
        <f t="shared" si="31"/>
        <v>EMPLOYEE PENSIONS &amp; BENEFITS</v>
      </c>
      <c r="C481" s="5">
        <v>12</v>
      </c>
      <c r="D481" s="2">
        <v>3351466.88</v>
      </c>
      <c r="Z481" s="1"/>
      <c r="AD481" s="14"/>
      <c r="AE481" s="15"/>
      <c r="AF481" s="15"/>
      <c r="AG481" s="15"/>
      <c r="AI481" s="15"/>
    </row>
    <row r="482" spans="1:35" x14ac:dyDescent="0.2">
      <c r="A482" s="5" t="s">
        <v>293</v>
      </c>
      <c r="B482" s="5" t="s">
        <v>311</v>
      </c>
      <c r="D482" s="1">
        <v>0</v>
      </c>
    </row>
    <row r="483" spans="1:35" x14ac:dyDescent="0.2">
      <c r="A483" s="3" t="str">
        <f>A460</f>
        <v>928</v>
      </c>
      <c r="B483" s="3" t="str">
        <f>B460</f>
        <v>REG COMMISSION EXP - GENERAL</v>
      </c>
      <c r="C483" s="5">
        <v>13</v>
      </c>
      <c r="D483" s="2">
        <f ca="1">373950.25-D484</f>
        <v>197760.25</v>
      </c>
    </row>
    <row r="484" spans="1:35" x14ac:dyDescent="0.2">
      <c r="A484" s="5" t="s">
        <v>295</v>
      </c>
      <c r="B484" s="5" t="str">
        <f>"REGULATORY COMMISSION EXP - PSC @ "&amp;FIXED(D31,6)</f>
        <v>REGULATORY COMMISSION EXP - PSC @ 0.001901</v>
      </c>
      <c r="C484" s="5">
        <v>13</v>
      </c>
      <c r="D484" s="2">
        <f ca="1">'Total Co'!E623</f>
        <v>176190</v>
      </c>
    </row>
    <row r="485" spans="1:35" x14ac:dyDescent="0.2">
      <c r="A485" s="3" t="str">
        <f t="shared" ref="A485:B489" si="32">A461</f>
        <v>930.10</v>
      </c>
      <c r="B485" s="3" t="str">
        <f t="shared" si="32"/>
        <v>MISC. - INSTITUT &amp; GOODWILL ADV</v>
      </c>
      <c r="C485" s="5">
        <v>13</v>
      </c>
      <c r="D485" s="2">
        <v>0</v>
      </c>
    </row>
    <row r="486" spans="1:35" x14ac:dyDescent="0.2">
      <c r="A486" s="3" t="str">
        <f t="shared" si="32"/>
        <v>930.20</v>
      </c>
      <c r="B486" s="3" t="str">
        <f t="shared" si="32"/>
        <v>MISC. - GENERAL</v>
      </c>
      <c r="C486" s="5">
        <v>13</v>
      </c>
      <c r="D486" s="2">
        <v>-62123.400000000009</v>
      </c>
    </row>
    <row r="487" spans="1:35" x14ac:dyDescent="0.2">
      <c r="A487" s="3" t="str">
        <f t="shared" si="32"/>
        <v>931</v>
      </c>
      <c r="B487" s="3" t="str">
        <f t="shared" si="32"/>
        <v>RENTS</v>
      </c>
      <c r="C487" s="5">
        <v>13</v>
      </c>
      <c r="D487" s="2">
        <v>642175</v>
      </c>
    </row>
    <row r="488" spans="1:35" x14ac:dyDescent="0.2">
      <c r="A488" s="3" t="str">
        <f t="shared" si="32"/>
        <v>935.13</v>
      </c>
      <c r="B488" s="3" t="str">
        <f t="shared" si="32"/>
        <v>MAINT. STRUCTURES &amp; IMPROV.</v>
      </c>
      <c r="C488" s="5">
        <v>13</v>
      </c>
      <c r="D488" s="2">
        <v>130</v>
      </c>
    </row>
    <row r="489" spans="1:35" x14ac:dyDescent="0.2">
      <c r="A489" s="3" t="str">
        <f t="shared" si="32"/>
        <v>935.23</v>
      </c>
      <c r="B489" s="3" t="str">
        <f t="shared" si="32"/>
        <v xml:space="preserve">MAINT. - GEN'L OFFICE </v>
      </c>
      <c r="D489" s="1"/>
    </row>
    <row r="490" spans="1:35" x14ac:dyDescent="0.2">
      <c r="B490" s="3" t="str">
        <f>B466</f>
        <v>FURNITURE &amp; EQUIPMENT</v>
      </c>
      <c r="C490" s="5">
        <v>13</v>
      </c>
      <c r="D490" s="2">
        <v>0</v>
      </c>
    </row>
    <row r="491" spans="1:35" x14ac:dyDescent="0.2">
      <c r="A491" s="21">
        <f>A467</f>
        <v>932</v>
      </c>
      <c r="B491" s="3" t="str">
        <f>B467</f>
        <v>MAINT.-MISCELLANEOUS</v>
      </c>
      <c r="C491" s="5">
        <v>13</v>
      </c>
      <c r="D491" s="2">
        <v>259121</v>
      </c>
    </row>
    <row r="492" spans="1:35" x14ac:dyDescent="0.2">
      <c r="B492" s="3" t="s">
        <v>8</v>
      </c>
      <c r="D492" s="1">
        <f ca="1">SUM(D475:D491)</f>
        <v>19020200.41996</v>
      </c>
      <c r="E492" s="3">
        <f ca="1">SUM(D475:D491)</f>
        <v>19020200.41996</v>
      </c>
    </row>
    <row r="493" spans="1:35" x14ac:dyDescent="0.2">
      <c r="A493" s="16" t="s">
        <v>0</v>
      </c>
      <c r="B493" s="16" t="s">
        <v>0</v>
      </c>
      <c r="C493" s="16" t="s">
        <v>0</v>
      </c>
      <c r="D493" s="16" t="s">
        <v>0</v>
      </c>
    </row>
    <row r="494" spans="1:35" x14ac:dyDescent="0.2">
      <c r="A494" s="3" t="s">
        <v>313</v>
      </c>
    </row>
    <row r="495" spans="1:35" x14ac:dyDescent="0.2">
      <c r="A495" s="16" t="s">
        <v>0</v>
      </c>
      <c r="B495" s="16" t="s">
        <v>0</v>
      </c>
      <c r="C495" s="16" t="s">
        <v>0</v>
      </c>
      <c r="D495" s="16" t="s">
        <v>0</v>
      </c>
    </row>
    <row r="496" spans="1:35" x14ac:dyDescent="0.2">
      <c r="C496" s="325" t="s">
        <v>92</v>
      </c>
      <c r="D496" s="325" t="s">
        <v>8</v>
      </c>
    </row>
    <row r="497" spans="1:13" x14ac:dyDescent="0.2">
      <c r="C497" s="325" t="s">
        <v>10</v>
      </c>
      <c r="D497" s="325" t="s">
        <v>11</v>
      </c>
    </row>
    <row r="499" spans="1:13" x14ac:dyDescent="0.2">
      <c r="A499" s="29">
        <v>408</v>
      </c>
      <c r="B499" s="5" t="s">
        <v>570</v>
      </c>
      <c r="C499" s="5">
        <v>7</v>
      </c>
      <c r="D499" s="2">
        <v>4136779</v>
      </c>
    </row>
    <row r="500" spans="1:13" x14ac:dyDescent="0.2">
      <c r="A500" s="29">
        <v>408</v>
      </c>
      <c r="B500" s="5" t="s">
        <v>315</v>
      </c>
      <c r="C500" s="3">
        <v>12</v>
      </c>
      <c r="D500" s="1">
        <v>654102</v>
      </c>
    </row>
    <row r="501" spans="1:13" x14ac:dyDescent="0.2">
      <c r="A501" s="29">
        <v>408</v>
      </c>
      <c r="B501" s="5" t="s">
        <v>571</v>
      </c>
      <c r="C501" s="5">
        <v>12</v>
      </c>
      <c r="D501" s="2">
        <v>0</v>
      </c>
      <c r="E501" s="3">
        <f>SUM(D499:D501)</f>
        <v>4790881</v>
      </c>
    </row>
    <row r="502" spans="1:13" x14ac:dyDescent="0.2">
      <c r="A502" s="29"/>
      <c r="B502" s="5"/>
      <c r="E502" s="5"/>
      <c r="F502" s="5"/>
      <c r="G502" s="5"/>
      <c r="H502" s="5"/>
      <c r="I502" s="5"/>
      <c r="J502" s="5"/>
      <c r="K502" s="5"/>
      <c r="M502" s="5"/>
    </row>
    <row r="504" spans="1:13" x14ac:dyDescent="0.2">
      <c r="A504" s="29"/>
      <c r="B504" s="5"/>
      <c r="C504" s="5"/>
      <c r="D504" s="5"/>
      <c r="E504" s="3">
        <f ca="1">+E492+E442+E387</f>
        <v>52507438.589960001</v>
      </c>
    </row>
    <row r="505" spans="1:13" x14ac:dyDescent="0.2">
      <c r="A505" s="29"/>
      <c r="B505" s="5"/>
      <c r="C505" s="5"/>
      <c r="D505" s="5"/>
    </row>
    <row r="506" spans="1:13" x14ac:dyDescent="0.2">
      <c r="A506" s="29"/>
      <c r="B506" s="5"/>
      <c r="E506" s="5"/>
      <c r="F506" s="5"/>
      <c r="G506" s="5"/>
      <c r="H506" s="5"/>
      <c r="I506" s="5"/>
      <c r="J506" s="5"/>
      <c r="K506" s="5"/>
      <c r="M506" s="5"/>
    </row>
    <row r="507" spans="1:13" x14ac:dyDescent="0.2">
      <c r="A507" s="29"/>
      <c r="B507" s="5"/>
      <c r="C507" s="5"/>
      <c r="D507" s="5"/>
    </row>
    <row r="508" spans="1:13" x14ac:dyDescent="0.2">
      <c r="A508" s="29"/>
      <c r="B508" s="5"/>
      <c r="C508" s="5"/>
      <c r="D508" s="5"/>
    </row>
    <row r="512" spans="1:13" x14ac:dyDescent="0.2">
      <c r="A512" s="33"/>
      <c r="B512" s="5"/>
      <c r="C512" s="5"/>
      <c r="D512" s="5" t="s">
        <v>1</v>
      </c>
    </row>
    <row r="513" spans="1:35" x14ac:dyDescent="0.2">
      <c r="A513" s="16" t="s">
        <v>0</v>
      </c>
      <c r="B513" s="16" t="s">
        <v>0</v>
      </c>
      <c r="C513" s="16" t="s">
        <v>0</v>
      </c>
      <c r="D513" s="16" t="s">
        <v>0</v>
      </c>
    </row>
    <row r="514" spans="1:35" x14ac:dyDescent="0.2">
      <c r="A514" s="3" t="s">
        <v>316</v>
      </c>
    </row>
    <row r="515" spans="1:35" x14ac:dyDescent="0.2">
      <c r="A515" s="16" t="s">
        <v>0</v>
      </c>
      <c r="B515" s="16" t="s">
        <v>0</v>
      </c>
      <c r="C515" s="16" t="s">
        <v>0</v>
      </c>
      <c r="D515" s="16" t="s">
        <v>0</v>
      </c>
    </row>
    <row r="516" spans="1:35" x14ac:dyDescent="0.2">
      <c r="C516" s="325" t="s">
        <v>92</v>
      </c>
      <c r="D516" s="325" t="s">
        <v>8</v>
      </c>
    </row>
    <row r="517" spans="1:35" x14ac:dyDescent="0.2">
      <c r="C517" s="325" t="s">
        <v>10</v>
      </c>
      <c r="D517" s="325" t="s">
        <v>11</v>
      </c>
    </row>
    <row r="518" spans="1:35" x14ac:dyDescent="0.2">
      <c r="A518" s="3" t="s">
        <v>319</v>
      </c>
      <c r="D518" s="1"/>
    </row>
    <row r="519" spans="1:35" x14ac:dyDescent="0.2">
      <c r="A519" s="5" t="s">
        <v>553</v>
      </c>
      <c r="C519" s="5">
        <v>19</v>
      </c>
      <c r="D519" s="2">
        <v>69937</v>
      </c>
    </row>
    <row r="520" spans="1:35" x14ac:dyDescent="0.2">
      <c r="A520" s="5" t="s">
        <v>321</v>
      </c>
      <c r="C520" s="5">
        <v>12</v>
      </c>
      <c r="D520" s="2">
        <v>-4960</v>
      </c>
      <c r="AD520" s="14"/>
      <c r="AE520" s="15"/>
      <c r="AF520" s="15"/>
      <c r="AG520" s="15"/>
      <c r="AI520" s="15"/>
    </row>
    <row r="521" spans="1:35" x14ac:dyDescent="0.2">
      <c r="C521" s="5"/>
      <c r="D521" s="2"/>
    </row>
    <row r="522" spans="1:35" x14ac:dyDescent="0.2">
      <c r="A522" s="5"/>
      <c r="C522" s="5"/>
      <c r="D522" s="2"/>
    </row>
    <row r="523" spans="1:35" x14ac:dyDescent="0.2">
      <c r="A523" s="3" t="s">
        <v>322</v>
      </c>
      <c r="D523" s="1"/>
    </row>
    <row r="524" spans="1:35" x14ac:dyDescent="0.2">
      <c r="A524" s="5" t="s">
        <v>608</v>
      </c>
      <c r="C524" s="5">
        <v>19</v>
      </c>
      <c r="D524" s="2">
        <v>-54526</v>
      </c>
    </row>
    <row r="525" spans="1:35" x14ac:dyDescent="0.2">
      <c r="A525" s="5"/>
      <c r="C525" s="5"/>
      <c r="D525" s="2"/>
    </row>
    <row r="526" spans="1:35" x14ac:dyDescent="0.2">
      <c r="A526" s="5" t="s">
        <v>324</v>
      </c>
      <c r="C526" s="5">
        <v>19</v>
      </c>
      <c r="D526" s="2">
        <v>35760</v>
      </c>
    </row>
    <row r="527" spans="1:35" x14ac:dyDescent="0.2">
      <c r="A527" s="5"/>
      <c r="C527" s="5"/>
      <c r="D527" s="2"/>
    </row>
    <row r="528" spans="1:35" x14ac:dyDescent="0.2">
      <c r="A528" s="5" t="s">
        <v>325</v>
      </c>
      <c r="C528" s="5">
        <v>19</v>
      </c>
      <c r="D528" s="2">
        <v>0</v>
      </c>
    </row>
    <row r="529" spans="1:4" x14ac:dyDescent="0.2">
      <c r="D529" s="1"/>
    </row>
    <row r="530" spans="1:4" x14ac:dyDescent="0.2">
      <c r="A530" s="16" t="s">
        <v>0</v>
      </c>
      <c r="B530" s="16" t="s">
        <v>0</v>
      </c>
      <c r="C530" s="16" t="s">
        <v>0</v>
      </c>
      <c r="D530" s="150" t="s">
        <v>0</v>
      </c>
    </row>
    <row r="531" spans="1:4" x14ac:dyDescent="0.2">
      <c r="A531" s="3" t="s">
        <v>326</v>
      </c>
      <c r="D531" s="1"/>
    </row>
    <row r="532" spans="1:4" x14ac:dyDescent="0.2">
      <c r="A532" s="16" t="s">
        <v>0</v>
      </c>
      <c r="B532" s="16" t="s">
        <v>0</v>
      </c>
      <c r="C532" s="16" t="s">
        <v>0</v>
      </c>
      <c r="D532" s="150" t="s">
        <v>0</v>
      </c>
    </row>
    <row r="533" spans="1:4" x14ac:dyDescent="0.2">
      <c r="C533" s="325" t="s">
        <v>92</v>
      </c>
      <c r="D533" s="118" t="s">
        <v>8</v>
      </c>
    </row>
    <row r="534" spans="1:4" x14ac:dyDescent="0.2">
      <c r="C534" s="325" t="s">
        <v>10</v>
      </c>
      <c r="D534" s="118" t="s">
        <v>11</v>
      </c>
    </row>
    <row r="535" spans="1:4" x14ac:dyDescent="0.2">
      <c r="A535" s="5" t="s">
        <v>320</v>
      </c>
      <c r="C535" s="5">
        <v>19</v>
      </c>
      <c r="D535" s="2">
        <f>74897-4960</f>
        <v>69937</v>
      </c>
    </row>
    <row r="536" spans="1:4" x14ac:dyDescent="0.2">
      <c r="A536" s="5" t="s">
        <v>327</v>
      </c>
      <c r="C536" s="5">
        <v>19</v>
      </c>
      <c r="D536" s="2">
        <v>0</v>
      </c>
    </row>
    <row r="537" spans="1:4" x14ac:dyDescent="0.2">
      <c r="A537" s="3" t="s">
        <v>322</v>
      </c>
      <c r="D537" s="1"/>
    </row>
    <row r="538" spans="1:4" x14ac:dyDescent="0.2">
      <c r="A538" s="5" t="s">
        <v>609</v>
      </c>
      <c r="C538" s="5">
        <v>19</v>
      </c>
      <c r="D538" s="2">
        <v>-17008</v>
      </c>
    </row>
    <row r="539" spans="1:4" x14ac:dyDescent="0.2">
      <c r="A539" s="5" t="s">
        <v>323</v>
      </c>
      <c r="C539" s="5">
        <v>19</v>
      </c>
      <c r="D539" s="2">
        <v>0</v>
      </c>
    </row>
    <row r="540" spans="1:4" x14ac:dyDescent="0.2">
      <c r="D540" s="1"/>
    </row>
    <row r="541" spans="1:4" x14ac:dyDescent="0.2">
      <c r="D541" s="1"/>
    </row>
    <row r="542" spans="1:4" x14ac:dyDescent="0.2">
      <c r="D542" s="1"/>
    </row>
    <row r="545" spans="1:35" x14ac:dyDescent="0.2">
      <c r="A545" s="16" t="s">
        <v>0</v>
      </c>
      <c r="B545" s="16" t="s">
        <v>0</v>
      </c>
      <c r="C545" s="16" t="s">
        <v>0</v>
      </c>
      <c r="D545" s="16" t="s">
        <v>0</v>
      </c>
      <c r="E545" s="16" t="s">
        <v>0</v>
      </c>
      <c r="F545" s="16" t="s">
        <v>0</v>
      </c>
      <c r="G545" s="16" t="s">
        <v>0</v>
      </c>
      <c r="H545" s="16" t="s">
        <v>0</v>
      </c>
      <c r="I545" s="16" t="s">
        <v>0</v>
      </c>
      <c r="J545" s="16" t="s">
        <v>0</v>
      </c>
      <c r="K545" s="16" t="s">
        <v>0</v>
      </c>
      <c r="L545" s="16"/>
      <c r="M545" s="16"/>
    </row>
    <row r="546" spans="1:35" x14ac:dyDescent="0.2">
      <c r="A546" s="3" t="s">
        <v>328</v>
      </c>
    </row>
    <row r="547" spans="1:35" x14ac:dyDescent="0.2">
      <c r="A547" s="16" t="s">
        <v>0</v>
      </c>
      <c r="B547" s="16" t="s">
        <v>0</v>
      </c>
      <c r="C547" s="16" t="s">
        <v>0</v>
      </c>
      <c r="D547" s="16" t="s">
        <v>0</v>
      </c>
      <c r="E547" s="16" t="s">
        <v>0</v>
      </c>
      <c r="F547" s="16" t="s">
        <v>0</v>
      </c>
      <c r="G547" s="16" t="s">
        <v>0</v>
      </c>
      <c r="H547" s="16" t="s">
        <v>0</v>
      </c>
      <c r="I547" s="16" t="s">
        <v>0</v>
      </c>
      <c r="J547" s="16" t="s">
        <v>0</v>
      </c>
      <c r="K547" s="16" t="s">
        <v>0</v>
      </c>
      <c r="L547" s="16"/>
      <c r="M547" s="16"/>
    </row>
    <row r="548" spans="1:35" x14ac:dyDescent="0.2">
      <c r="D548" s="325" t="s">
        <v>105</v>
      </c>
      <c r="E548" s="3" t="str">
        <f>$C$12</f>
        <v>GS-RESIDENTIAL</v>
      </c>
      <c r="F548" s="3" t="str">
        <f>$C$13</f>
        <v>GS-OTHER</v>
      </c>
      <c r="G548" s="3" t="str">
        <f>$C$14</f>
        <v>IUS</v>
      </c>
      <c r="H548" s="3" t="str">
        <f>$C$15</f>
        <v>DS-ML</v>
      </c>
      <c r="I548" s="3" t="str">
        <f>$C$16</f>
        <v>DS/IS</v>
      </c>
      <c r="J548" s="3" t="str">
        <f>$C$17</f>
        <v>NOT USED</v>
      </c>
      <c r="K548" s="3" t="str">
        <f>$C$18</f>
        <v>NOT USED</v>
      </c>
    </row>
    <row r="549" spans="1:35" x14ac:dyDescent="0.2">
      <c r="A549" s="37" t="s">
        <v>168</v>
      </c>
      <c r="B549" s="5" t="s">
        <v>169</v>
      </c>
      <c r="D549" s="3">
        <f>SUM(E549:M549)</f>
        <v>62645904.5</v>
      </c>
      <c r="E549" s="5">
        <f>'Prop Rev.'!D56</f>
        <v>62645904.5</v>
      </c>
      <c r="F549" s="5">
        <f>'Prop Rev.'!E56</f>
        <v>0</v>
      </c>
      <c r="G549" s="5">
        <f>'Prop Rev.'!F56</f>
        <v>0</v>
      </c>
      <c r="H549" s="5">
        <f>'Prop Rev.'!G56</f>
        <v>0</v>
      </c>
      <c r="I549" s="5">
        <f>'Prop Rev.'!H56</f>
        <v>0</v>
      </c>
      <c r="J549" s="5">
        <f>'Prop Rev.'!I56</f>
        <v>0</v>
      </c>
      <c r="K549" s="5">
        <f>'Prop Rev.'!J56</f>
        <v>0</v>
      </c>
      <c r="L549" s="5"/>
      <c r="M549" s="5"/>
    </row>
    <row r="550" spans="1:35" x14ac:dyDescent="0.2">
      <c r="A550" s="37" t="s">
        <v>170</v>
      </c>
      <c r="B550" s="5" t="s">
        <v>171</v>
      </c>
      <c r="D550" s="3">
        <f>SUM(E550:M550)</f>
        <v>22447007.259999998</v>
      </c>
      <c r="E550" s="5">
        <f>'Prop Rev.'!D57</f>
        <v>0</v>
      </c>
      <c r="F550" s="5">
        <f>'Prop Rev.'!E57</f>
        <v>22447007.259999998</v>
      </c>
      <c r="G550" s="5">
        <f>'Prop Rev.'!F57</f>
        <v>0</v>
      </c>
      <c r="H550" s="5">
        <f>'Prop Rev.'!G57</f>
        <v>0</v>
      </c>
      <c r="I550" s="5">
        <f>'Prop Rev.'!H57</f>
        <v>0</v>
      </c>
      <c r="J550" s="5">
        <f>'Prop Rev.'!I57</f>
        <v>0</v>
      </c>
      <c r="K550" s="5">
        <f>'Prop Rev.'!J57</f>
        <v>0</v>
      </c>
      <c r="L550" s="5"/>
      <c r="M550" s="5"/>
    </row>
    <row r="551" spans="1:35" x14ac:dyDescent="0.2">
      <c r="A551" s="37" t="s">
        <v>172</v>
      </c>
      <c r="B551" s="5" t="s">
        <v>173</v>
      </c>
      <c r="D551" s="3">
        <f>SUM(E551:M551)</f>
        <v>1778956.3599999999</v>
      </c>
      <c r="E551" s="5">
        <f>'Prop Rev.'!D58</f>
        <v>0</v>
      </c>
      <c r="F551" s="5">
        <f>'Prop Rev.'!E58</f>
        <v>1723026.5999999999</v>
      </c>
      <c r="G551" s="5">
        <f>'Prop Rev.'!F58</f>
        <v>55929.760000000009</v>
      </c>
      <c r="H551" s="5">
        <f>'Prop Rev.'!G58</f>
        <v>0</v>
      </c>
      <c r="I551" s="5">
        <f>'Prop Rev.'!H58</f>
        <v>0</v>
      </c>
      <c r="J551" s="5">
        <f>'Prop Rev.'!I58</f>
        <v>0</v>
      </c>
      <c r="K551" s="5">
        <f>'Prop Rev.'!J58</f>
        <v>0</v>
      </c>
      <c r="L551" s="5"/>
      <c r="M551" s="5"/>
    </row>
    <row r="552" spans="1:35" x14ac:dyDescent="0.2">
      <c r="A552" s="325" t="str">
        <f>"488, 495"</f>
        <v>488, 495</v>
      </c>
      <c r="B552" s="5" t="s">
        <v>179</v>
      </c>
      <c r="C552" s="2">
        <v>6</v>
      </c>
      <c r="D552" s="5">
        <f>D278+D283</f>
        <v>724000</v>
      </c>
      <c r="E552" s="3">
        <f>ROUND((VLOOKUP($C$552,'Alloc Table'!$A$7:$S$55,13)*$D$552),0)</f>
        <v>649124</v>
      </c>
      <c r="F552" s="3">
        <f>ROUND((VLOOKUP($C$552,'Alloc Table'!$A$7:$S$55,14)*$D$552),0)</f>
        <v>74420</v>
      </c>
      <c r="G552" s="3">
        <f>ROUND((VLOOKUP(C552,'Alloc Table'!$A$7:$S$55,15)*D552),0)</f>
        <v>7</v>
      </c>
      <c r="H552" s="3">
        <f>ROUND((VLOOKUP(C552,'Alloc Table'!$A$7:$S$55,16)*D552),0)</f>
        <v>29</v>
      </c>
      <c r="I552" s="3">
        <f>ROUND((VLOOKUP(C552,'Alloc Table'!$A$7:$S$55,17)*D552),0)</f>
        <v>420</v>
      </c>
      <c r="J552" s="3">
        <f>ROUND((VLOOKUP(C552,'Alloc Table'!$A$7:$S$55,18)*D552),0)</f>
        <v>0</v>
      </c>
      <c r="K552" s="3">
        <f>ROUND((VLOOKUP(C552,'Alloc Table'!$A$7:$S$55,19)*D552),0)</f>
        <v>0</v>
      </c>
    </row>
    <row r="553" spans="1:35" x14ac:dyDescent="0.2">
      <c r="A553" s="325" t="str">
        <f>"487"</f>
        <v>487</v>
      </c>
      <c r="B553" s="5" t="s">
        <v>643</v>
      </c>
      <c r="D553" s="3">
        <f>SUM(E553:M553)</f>
        <v>608048</v>
      </c>
      <c r="E553" s="5">
        <f>'Acct 487'!F66</f>
        <v>391160</v>
      </c>
      <c r="F553" s="5">
        <f>'Acct 487'!F67</f>
        <v>173234</v>
      </c>
      <c r="G553" s="5">
        <f>'Acct 487'!F68</f>
        <v>291</v>
      </c>
      <c r="H553" s="5">
        <f>'Acct 487'!F69</f>
        <v>2495</v>
      </c>
      <c r="I553" s="5">
        <f>'Acct 487'!F70</f>
        <v>40868</v>
      </c>
      <c r="J553" s="5">
        <v>0</v>
      </c>
      <c r="K553" s="5"/>
      <c r="L553" s="5"/>
      <c r="M553" s="5"/>
      <c r="AD553" s="14"/>
      <c r="AE553" s="15"/>
      <c r="AF553" s="15"/>
      <c r="AG553" s="15"/>
      <c r="AI553" s="15"/>
    </row>
    <row r="554" spans="1:35" x14ac:dyDescent="0.2">
      <c r="A554" s="37" t="s">
        <v>176</v>
      </c>
      <c r="B554" s="5" t="s">
        <v>562</v>
      </c>
      <c r="D554" s="3">
        <f>SUM(E554:M554)</f>
        <v>29886623.289999995</v>
      </c>
      <c r="E554" s="5">
        <f>'Prop Rev.'!D64</f>
        <v>12465511.74</v>
      </c>
      <c r="F554" s="5">
        <f>'Prop Rev.'!E64</f>
        <v>9094508.5399999972</v>
      </c>
      <c r="G554" s="5">
        <f>'Prop Rev.'!F64</f>
        <v>0</v>
      </c>
      <c r="H554" s="5">
        <f>'Prop Rev.'!G64</f>
        <v>479213.36</v>
      </c>
      <c r="I554" s="5">
        <f>'Prop Rev.'!H64</f>
        <v>7847389.6499999994</v>
      </c>
      <c r="J554" s="5">
        <f>'Prop Rev.'!I64</f>
        <v>0</v>
      </c>
      <c r="K554" s="5">
        <f>'Prop Rev.'!J64</f>
        <v>0</v>
      </c>
      <c r="L554" s="5"/>
      <c r="M554" s="5"/>
    </row>
    <row r="556" spans="1:35" x14ac:dyDescent="0.2">
      <c r="B556" s="5"/>
      <c r="E556" s="5"/>
      <c r="F556" s="5"/>
      <c r="G556" s="5"/>
      <c r="H556" s="5"/>
      <c r="I556" s="5"/>
      <c r="J556" s="5"/>
      <c r="K556" s="5"/>
      <c r="L556" s="5"/>
      <c r="M556" s="5"/>
    </row>
    <row r="557" spans="1:35" x14ac:dyDescent="0.2">
      <c r="B557" s="3" t="s">
        <v>563</v>
      </c>
      <c r="D557" s="3">
        <f>SUM(E557:M557)</f>
        <v>21475950.109999996</v>
      </c>
      <c r="E557" s="3">
        <f>E325</f>
        <v>13807094.589999998</v>
      </c>
      <c r="F557" s="3">
        <f>F325</f>
        <v>7643846.9600000009</v>
      </c>
      <c r="G557" s="3">
        <f>G325</f>
        <v>25008.560000000001</v>
      </c>
      <c r="H557" s="3">
        <f>H325</f>
        <v>0</v>
      </c>
      <c r="I557" s="3">
        <f>I325</f>
        <v>0</v>
      </c>
      <c r="J557" s="5"/>
      <c r="K557" s="5"/>
      <c r="L557" s="5"/>
      <c r="M557" s="5"/>
    </row>
    <row r="558" spans="1:35" x14ac:dyDescent="0.2">
      <c r="B558" s="338" t="s">
        <v>1161</v>
      </c>
      <c r="E558" s="5"/>
      <c r="F558" s="234">
        <f>ROUND(ROUND(F274/($F$274+$F$275),5)*$F$557,0)</f>
        <v>7102739</v>
      </c>
      <c r="G558" s="5"/>
      <c r="H558" s="5"/>
      <c r="I558" s="5"/>
      <c r="J558" s="5"/>
      <c r="K558" s="5"/>
      <c r="L558" s="5"/>
      <c r="M558" s="5"/>
    </row>
    <row r="559" spans="1:35" x14ac:dyDescent="0.2">
      <c r="B559" s="338" t="s">
        <v>1162</v>
      </c>
      <c r="E559" s="5"/>
      <c r="F559" s="234">
        <f>ROUND(ROUND(F275/($F$274+$F$275),5)*$F$557,0)</f>
        <v>541108</v>
      </c>
      <c r="G559" s="5"/>
      <c r="H559" s="5"/>
      <c r="I559" s="5"/>
      <c r="J559" s="5"/>
      <c r="K559" s="5"/>
      <c r="L559" s="5"/>
      <c r="M559" s="5"/>
    </row>
    <row r="560" spans="1:35" x14ac:dyDescent="0.2">
      <c r="A560" s="3" t="s">
        <v>816</v>
      </c>
      <c r="C560" s="118"/>
      <c r="D560" s="325" t="s">
        <v>8</v>
      </c>
      <c r="L560" s="5"/>
      <c r="M560" s="5"/>
    </row>
    <row r="561" spans="1:13" x14ac:dyDescent="0.2">
      <c r="C561" s="118"/>
      <c r="D561" s="325" t="s">
        <v>11</v>
      </c>
      <c r="E561" s="3" t="str">
        <f>$C$12</f>
        <v>GS-RESIDENTIAL</v>
      </c>
      <c r="F561" s="3" t="str">
        <f>$C$13</f>
        <v>GS-OTHER</v>
      </c>
      <c r="G561" s="3" t="str">
        <f>$C$14</f>
        <v>IUS</v>
      </c>
      <c r="H561" s="3" t="str">
        <f>$C$15</f>
        <v>DS-ML</v>
      </c>
      <c r="I561" s="3" t="str">
        <f>$C$16</f>
        <v>DS/IS</v>
      </c>
      <c r="J561" s="3" t="str">
        <f>$C$17</f>
        <v>NOT USED</v>
      </c>
      <c r="K561" s="3" t="str">
        <f>$C$18</f>
        <v>NOT USED</v>
      </c>
      <c r="L561" s="5"/>
      <c r="M561" s="5"/>
    </row>
    <row r="562" spans="1:13" x14ac:dyDescent="0.2">
      <c r="A562" s="37" t="s">
        <v>168</v>
      </c>
      <c r="B562" s="5" t="s">
        <v>169</v>
      </c>
      <c r="C562" s="328"/>
      <c r="D562" s="3">
        <f ca="1">SUM(E562:M562)</f>
        <v>23796710</v>
      </c>
      <c r="E562" s="327">
        <f ca="1">ROUND('Revenue Req'!D27*(E$549-E557),0)</f>
        <v>23796710</v>
      </c>
      <c r="F562" s="327">
        <v>0</v>
      </c>
      <c r="G562" s="327">
        <v>0</v>
      </c>
      <c r="H562" s="327">
        <v>0</v>
      </c>
      <c r="I562" s="327">
        <v>0</v>
      </c>
      <c r="J562" s="327">
        <v>0</v>
      </c>
      <c r="K562" s="327">
        <v>0</v>
      </c>
      <c r="L562" s="5"/>
      <c r="M562" s="5"/>
    </row>
    <row r="563" spans="1:13" x14ac:dyDescent="0.2">
      <c r="A563" s="37" t="s">
        <v>170</v>
      </c>
      <c r="B563" s="5" t="s">
        <v>171</v>
      </c>
      <c r="C563" s="328"/>
      <c r="D563" s="3">
        <f ca="1">SUM(E563:M563)</f>
        <v>7476495</v>
      </c>
      <c r="E563" s="327">
        <v>0</v>
      </c>
      <c r="F563" s="327">
        <f ca="1">ROUND('Revenue Req'!D27*(F$550-F558),0)</f>
        <v>7476495</v>
      </c>
      <c r="G563" s="327">
        <v>0</v>
      </c>
      <c r="H563" s="327">
        <v>0</v>
      </c>
      <c r="I563" s="327">
        <v>0</v>
      </c>
      <c r="J563" s="327">
        <v>0</v>
      </c>
      <c r="K563" s="327">
        <v>0</v>
      </c>
      <c r="L563" s="5"/>
      <c r="M563" s="5"/>
    </row>
    <row r="564" spans="1:13" x14ac:dyDescent="0.2">
      <c r="A564" s="37" t="s">
        <v>172</v>
      </c>
      <c r="B564" s="5" t="s">
        <v>173</v>
      </c>
      <c r="C564" s="328"/>
      <c r="D564" s="3">
        <f ca="1">SUM(E564:M564)</f>
        <v>590956</v>
      </c>
      <c r="E564" s="327">
        <v>0</v>
      </c>
      <c r="F564" s="327">
        <f ca="1">ROUND('Revenue Req'!D27*(F$551-F559),0)</f>
        <v>575890</v>
      </c>
      <c r="G564" s="327">
        <f ca="1">ROUND('Revenue Req'!D27*(G$551-G557),0)</f>
        <v>15066</v>
      </c>
      <c r="H564" s="327">
        <v>0</v>
      </c>
      <c r="I564" s="327">
        <v>0</v>
      </c>
      <c r="J564" s="327">
        <v>0</v>
      </c>
      <c r="K564" s="327">
        <v>0</v>
      </c>
      <c r="L564" s="5"/>
      <c r="M564" s="5"/>
    </row>
    <row r="565" spans="1:13" x14ac:dyDescent="0.2">
      <c r="A565" s="325" t="str">
        <f>"488, 495"</f>
        <v>488, 495</v>
      </c>
      <c r="B565" s="5" t="s">
        <v>179</v>
      </c>
      <c r="C565" s="328"/>
      <c r="D565" s="3">
        <f t="shared" ref="D565:D566" ca="1" si="33">SUM(E565:M565)</f>
        <v>352769</v>
      </c>
      <c r="E565" s="327">
        <f ca="1">ROUND('Revenue Req'!D27*E$552,0)</f>
        <v>316286</v>
      </c>
      <c r="F565" s="327">
        <f ca="1">ROUND('Revenue Req'!D27*F$552,0)</f>
        <v>36261</v>
      </c>
      <c r="G565" s="327">
        <f ca="1">ROUND('Revenue Req'!D27*G$552,0)</f>
        <v>3</v>
      </c>
      <c r="H565" s="327">
        <f ca="1">ROUND('Revenue Req'!D27*H$552,0)</f>
        <v>14</v>
      </c>
      <c r="I565" s="327">
        <f ca="1">ROUND('Revenue Req'!D27*I$552,0)</f>
        <v>205</v>
      </c>
      <c r="J565" s="327">
        <v>0</v>
      </c>
      <c r="K565" s="327">
        <v>0</v>
      </c>
      <c r="L565" s="5"/>
      <c r="M565" s="5"/>
    </row>
    <row r="566" spans="1:13" x14ac:dyDescent="0.2">
      <c r="A566" s="325" t="str">
        <f>"487"</f>
        <v>487</v>
      </c>
      <c r="B566" s="5" t="s">
        <v>643</v>
      </c>
      <c r="C566" s="328"/>
      <c r="D566" s="3">
        <f t="shared" ca="1" si="33"/>
        <v>296272</v>
      </c>
      <c r="E566" s="327">
        <f ca="1">ROUND('Revenue Req'!D27*E$553,0)</f>
        <v>190593</v>
      </c>
      <c r="F566" s="327">
        <f ca="1">ROUND('Revenue Req'!D27*F$553,0)</f>
        <v>84408</v>
      </c>
      <c r="G566" s="327">
        <f ca="1">ROUND('Revenue Req'!D27*G$553,0)</f>
        <v>142</v>
      </c>
      <c r="H566" s="327">
        <f ca="1">ROUND('Revenue Req'!D27*H$553,0)</f>
        <v>1216</v>
      </c>
      <c r="I566" s="327">
        <f ca="1">ROUND('Revenue Req'!D27*I$553,0)</f>
        <v>19913</v>
      </c>
      <c r="J566" s="327">
        <v>0</v>
      </c>
      <c r="K566" s="327">
        <v>0</v>
      </c>
      <c r="L566" s="5"/>
      <c r="M566" s="5"/>
    </row>
    <row r="567" spans="1:13" x14ac:dyDescent="0.2">
      <c r="A567" s="37" t="s">
        <v>176</v>
      </c>
      <c r="B567" s="5" t="s">
        <v>177</v>
      </c>
      <c r="C567" s="328"/>
      <c r="D567" s="1">
        <f ca="1">SUM(E567:M567)</f>
        <v>14562258</v>
      </c>
      <c r="E567" s="327">
        <f ca="1">ROUND('Revenue Req'!D27*E$554,0)</f>
        <v>6073821</v>
      </c>
      <c r="F567" s="327">
        <f ca="1">ROUND('Revenue Req'!D27*F$554,0)</f>
        <v>4431299</v>
      </c>
      <c r="G567" s="327">
        <f ca="1">IFERROR(ROUND('Revenue Req'!D27*G$554,0),0)</f>
        <v>0</v>
      </c>
      <c r="H567" s="327">
        <f ca="1">ROUND('Revenue Req'!D27*H$554,0)</f>
        <v>233497</v>
      </c>
      <c r="I567" s="327">
        <f ca="1">ROUND('Revenue Req'!D27*I$554,0)</f>
        <v>3823641</v>
      </c>
      <c r="J567" s="327">
        <v>0</v>
      </c>
      <c r="K567" s="327">
        <v>0</v>
      </c>
      <c r="L567" s="5"/>
      <c r="M567" s="5"/>
    </row>
    <row r="568" spans="1:13" x14ac:dyDescent="0.2">
      <c r="C568" s="1"/>
      <c r="L568" s="5"/>
      <c r="M568" s="5"/>
    </row>
    <row r="569" spans="1:13" x14ac:dyDescent="0.2">
      <c r="A569" s="3" t="s">
        <v>1037</v>
      </c>
      <c r="C569" s="118"/>
      <c r="D569" s="325" t="s">
        <v>8</v>
      </c>
      <c r="L569" s="5"/>
      <c r="M569" s="5"/>
    </row>
    <row r="570" spans="1:13" x14ac:dyDescent="0.2">
      <c r="C570" s="118"/>
      <c r="D570" s="325" t="s">
        <v>11</v>
      </c>
      <c r="E570" s="3" t="str">
        <f>$C$12</f>
        <v>GS-RESIDENTIAL</v>
      </c>
      <c r="F570" s="3" t="str">
        <f>$C$13</f>
        <v>GS-OTHER</v>
      </c>
      <c r="G570" s="3" t="str">
        <f>$C$14</f>
        <v>IUS</v>
      </c>
      <c r="H570" s="3" t="str">
        <f>$C$15</f>
        <v>DS-ML</v>
      </c>
      <c r="I570" s="3" t="str">
        <f>$C$16</f>
        <v>DS/IS</v>
      </c>
      <c r="J570" s="3" t="str">
        <f>$C$17</f>
        <v>NOT USED</v>
      </c>
      <c r="K570" s="3" t="str">
        <f>$C$18</f>
        <v>NOT USED</v>
      </c>
      <c r="L570" s="5"/>
      <c r="M570" s="5"/>
    </row>
    <row r="571" spans="1:13" x14ac:dyDescent="0.2">
      <c r="A571" s="37" t="s">
        <v>168</v>
      </c>
      <c r="B571" s="5" t="s">
        <v>169</v>
      </c>
      <c r="C571" s="328"/>
      <c r="D571" s="3">
        <f ca="1">SUM(E571:M571)</f>
        <v>25100580.589999996</v>
      </c>
      <c r="E571" s="327">
        <f ca="1">ROUND('Revenue Req'!E27*(E$549-E557),0)+E557</f>
        <v>25100580.589999996</v>
      </c>
      <c r="F571" s="327">
        <v>0</v>
      </c>
      <c r="G571" s="327">
        <v>0</v>
      </c>
      <c r="H571" s="327">
        <v>0</v>
      </c>
      <c r="I571" s="327">
        <v>0</v>
      </c>
      <c r="J571" s="327">
        <v>0</v>
      </c>
      <c r="K571" s="327">
        <v>0</v>
      </c>
      <c r="L571" s="5"/>
      <c r="M571" s="5"/>
    </row>
    <row r="572" spans="1:13" x14ac:dyDescent="0.2">
      <c r="A572" s="37" t="s">
        <v>170</v>
      </c>
      <c r="B572" s="5" t="s">
        <v>171</v>
      </c>
      <c r="C572" s="328"/>
      <c r="D572" s="3">
        <f ca="1">SUM(E572:M572)</f>
        <v>10650948</v>
      </c>
      <c r="E572" s="327">
        <v>0</v>
      </c>
      <c r="F572" s="327">
        <f ca="1">ROUND('Revenue Req'!E27*(F$550-F558),0)+F558</f>
        <v>10650948</v>
      </c>
      <c r="G572" s="327">
        <v>0</v>
      </c>
      <c r="H572" s="327">
        <v>0</v>
      </c>
      <c r="I572" s="327">
        <v>0</v>
      </c>
      <c r="J572" s="327">
        <v>0</v>
      </c>
      <c r="K572" s="327">
        <v>0</v>
      </c>
      <c r="L572" s="5"/>
      <c r="M572" s="5"/>
    </row>
    <row r="573" spans="1:13" x14ac:dyDescent="0.2">
      <c r="A573" s="37" t="s">
        <v>172</v>
      </c>
      <c r="B573" s="5" t="s">
        <v>173</v>
      </c>
      <c r="C573" s="328"/>
      <c r="D573" s="3">
        <f ca="1">SUM(E573:M573)</f>
        <v>846573.56</v>
      </c>
      <c r="E573" s="327">
        <v>0</v>
      </c>
      <c r="F573" s="327">
        <f ca="1">ROUND('Revenue Req'!E27*(F$551-F559),0)+F559</f>
        <v>814415</v>
      </c>
      <c r="G573" s="327">
        <f ca="1">ROUND('Revenue Req'!E27*(G$551-G557),0)+G557</f>
        <v>32158.560000000001</v>
      </c>
      <c r="H573" s="327">
        <v>0</v>
      </c>
      <c r="I573" s="327">
        <v>0</v>
      </c>
      <c r="J573" s="327">
        <v>0</v>
      </c>
      <c r="K573" s="327">
        <v>0</v>
      </c>
      <c r="L573" s="5"/>
      <c r="M573" s="5"/>
    </row>
    <row r="574" spans="1:13" x14ac:dyDescent="0.2">
      <c r="A574" s="325" t="str">
        <f>"488, 495"</f>
        <v>488, 495</v>
      </c>
      <c r="B574" s="5" t="s">
        <v>179</v>
      </c>
      <c r="C574" s="328"/>
      <c r="D574" s="3">
        <f t="shared" ref="D574:D575" ca="1" si="34">SUM(E574:M574)</f>
        <v>17315</v>
      </c>
      <c r="E574" s="327">
        <f>ROUND(ROUND(E305/(E295+E314+E305),5)*E$552,0)</f>
        <v>0</v>
      </c>
      <c r="F574" s="327">
        <f ca="1">ROUND('Revenue Req'!E27*F$552,0)</f>
        <v>17209</v>
      </c>
      <c r="G574" s="327">
        <f ca="1">ROUND('Revenue Req'!E27*G$552,0)</f>
        <v>2</v>
      </c>
      <c r="H574" s="327">
        <f ca="1">ROUND('Revenue Req'!E27*H$552,0)</f>
        <v>7</v>
      </c>
      <c r="I574" s="327">
        <f ca="1">ROUND('Revenue Req'!E27*I$552,0)</f>
        <v>97</v>
      </c>
      <c r="J574" s="327">
        <v>0</v>
      </c>
      <c r="K574" s="327">
        <v>0</v>
      </c>
      <c r="L574" s="5"/>
      <c r="M574" s="5"/>
    </row>
    <row r="575" spans="1:13" x14ac:dyDescent="0.2">
      <c r="A575" s="325" t="str">
        <f>"487"</f>
        <v>487</v>
      </c>
      <c r="B575" s="5" t="s">
        <v>643</v>
      </c>
      <c r="C575" s="328"/>
      <c r="D575" s="3">
        <f t="shared" ca="1" si="34"/>
        <v>140605</v>
      </c>
      <c r="E575" s="327">
        <f ca="1">ROUND('Revenue Req'!E27*E$553,0)</f>
        <v>90452</v>
      </c>
      <c r="F575" s="327">
        <f ca="1">ROUND('Revenue Req'!E27*F$553,0)</f>
        <v>40059</v>
      </c>
      <c r="G575" s="327">
        <f ca="1">ROUND('Revenue Req'!E27*G$553,0)</f>
        <v>67</v>
      </c>
      <c r="H575" s="327">
        <f ca="1">ROUND('Revenue Req'!E27*H$553,0)</f>
        <v>577</v>
      </c>
      <c r="I575" s="327">
        <f ca="1">ROUND('Revenue Req'!E27*I$553,0)</f>
        <v>9450</v>
      </c>
      <c r="J575" s="327">
        <v>0</v>
      </c>
      <c r="K575" s="327">
        <v>0</v>
      </c>
      <c r="L575" s="5"/>
      <c r="M575" s="5"/>
    </row>
    <row r="576" spans="1:13" x14ac:dyDescent="0.2">
      <c r="A576" s="37" t="s">
        <v>176</v>
      </c>
      <c r="B576" s="5" t="s">
        <v>177</v>
      </c>
      <c r="C576" s="328"/>
      <c r="D576" s="1">
        <f ca="1">SUM(E576:M576)</f>
        <v>6910982</v>
      </c>
      <c r="E576" s="327">
        <f ca="1">ROUND('Revenue Req'!E27*E$554,0)</f>
        <v>2882525</v>
      </c>
      <c r="F576" s="327">
        <f ca="1">ROUND('Revenue Req'!E27*F$554,0)</f>
        <v>2103014</v>
      </c>
      <c r="G576" s="327">
        <f ca="1">IFERROR(ROUND('Revenue Req'!E27*G$554,0),0)</f>
        <v>0</v>
      </c>
      <c r="H576" s="327">
        <f ca="1">ROUND('Revenue Req'!E27*H$554,0)</f>
        <v>110813</v>
      </c>
      <c r="I576" s="327">
        <f ca="1">ROUND('Revenue Req'!E27*I$554,0)</f>
        <v>1814630</v>
      </c>
      <c r="J576" s="327">
        <v>0</v>
      </c>
      <c r="K576" s="327">
        <v>0</v>
      </c>
      <c r="L576" s="5"/>
      <c r="M576" s="5"/>
    </row>
    <row r="577" spans="1:14" x14ac:dyDescent="0.2">
      <c r="C577" s="1"/>
      <c r="L577" s="5"/>
      <c r="M577" s="5"/>
    </row>
    <row r="578" spans="1:14" x14ac:dyDescent="0.2">
      <c r="A578" s="3" t="s">
        <v>1038</v>
      </c>
      <c r="C578" s="118"/>
      <c r="D578" s="325" t="s">
        <v>8</v>
      </c>
      <c r="L578" s="5"/>
      <c r="M578" s="5"/>
    </row>
    <row r="579" spans="1:14" x14ac:dyDescent="0.2">
      <c r="C579" s="118"/>
      <c r="D579" s="325" t="s">
        <v>11</v>
      </c>
      <c r="E579" s="3" t="str">
        <f>$C$12</f>
        <v>GS-RESIDENTIAL</v>
      </c>
      <c r="F579" s="3" t="str">
        <f>$C$13</f>
        <v>GS-OTHER</v>
      </c>
      <c r="G579" s="3" t="str">
        <f>$C$14</f>
        <v>IUS</v>
      </c>
      <c r="H579" s="3" t="str">
        <f>$C$15</f>
        <v>DS-ML</v>
      </c>
      <c r="I579" s="3" t="str">
        <f>$C$16</f>
        <v>DS/IS</v>
      </c>
      <c r="J579" s="3" t="str">
        <f>$C$17</f>
        <v>NOT USED</v>
      </c>
      <c r="K579" s="3" t="str">
        <f>$C$18</f>
        <v>NOT USED</v>
      </c>
      <c r="L579" s="5"/>
      <c r="M579" s="5"/>
    </row>
    <row r="580" spans="1:14" x14ac:dyDescent="0.2">
      <c r="A580" s="37" t="s">
        <v>168</v>
      </c>
      <c r="B580" s="5" t="s">
        <v>169</v>
      </c>
      <c r="C580" s="328"/>
      <c r="D580" s="3">
        <f t="shared" ref="D580:D585" ca="1" si="35">SUM(E580:M580)</f>
        <v>13748613.910000004</v>
      </c>
      <c r="E580" s="327">
        <f ca="1">E549-E562-E571</f>
        <v>13748613.910000004</v>
      </c>
      <c r="F580" s="327">
        <f t="shared" ref="F580:I580" si="36">F549-F562-F571</f>
        <v>0</v>
      </c>
      <c r="G580" s="327">
        <f t="shared" si="36"/>
        <v>0</v>
      </c>
      <c r="H580" s="327">
        <f t="shared" si="36"/>
        <v>0</v>
      </c>
      <c r="I580" s="327">
        <f t="shared" si="36"/>
        <v>0</v>
      </c>
      <c r="J580" s="327">
        <v>0</v>
      </c>
      <c r="K580" s="327">
        <v>0</v>
      </c>
      <c r="L580" s="5"/>
      <c r="M580" s="5"/>
    </row>
    <row r="581" spans="1:14" x14ac:dyDescent="0.2">
      <c r="A581" s="37" t="s">
        <v>170</v>
      </c>
      <c r="B581" s="5" t="s">
        <v>171</v>
      </c>
      <c r="C581" s="328"/>
      <c r="D581" s="3">
        <f t="shared" ca="1" si="35"/>
        <v>4319564.2599999979</v>
      </c>
      <c r="E581" s="327">
        <f t="shared" ref="E581:I585" si="37">E550-E563-E572</f>
        <v>0</v>
      </c>
      <c r="F581" s="327">
        <f t="shared" ca="1" si="37"/>
        <v>4319564.2599999979</v>
      </c>
      <c r="G581" s="327">
        <f t="shared" si="37"/>
        <v>0</v>
      </c>
      <c r="H581" s="327">
        <f t="shared" si="37"/>
        <v>0</v>
      </c>
      <c r="I581" s="327">
        <f t="shared" si="37"/>
        <v>0</v>
      </c>
      <c r="J581" s="327">
        <v>0</v>
      </c>
      <c r="K581" s="327">
        <v>0</v>
      </c>
      <c r="L581" s="5"/>
      <c r="M581" s="5"/>
    </row>
    <row r="582" spans="1:14" x14ac:dyDescent="0.2">
      <c r="A582" s="37" t="s">
        <v>172</v>
      </c>
      <c r="B582" s="5" t="s">
        <v>173</v>
      </c>
      <c r="C582" s="328"/>
      <c r="D582" s="3">
        <f t="shared" ca="1" si="35"/>
        <v>341426.79999999987</v>
      </c>
      <c r="E582" s="327">
        <f t="shared" si="37"/>
        <v>0</v>
      </c>
      <c r="F582" s="327">
        <f t="shared" ca="1" si="37"/>
        <v>332721.59999999986</v>
      </c>
      <c r="G582" s="327">
        <f t="shared" ca="1" si="37"/>
        <v>8705.200000000008</v>
      </c>
      <c r="H582" s="327">
        <f t="shared" si="37"/>
        <v>0</v>
      </c>
      <c r="I582" s="327">
        <f t="shared" si="37"/>
        <v>0</v>
      </c>
      <c r="J582" s="327">
        <v>0</v>
      </c>
      <c r="K582" s="327">
        <v>0</v>
      </c>
      <c r="L582" s="5"/>
      <c r="M582" s="5"/>
    </row>
    <row r="583" spans="1:14" x14ac:dyDescent="0.2">
      <c r="A583" s="325" t="str">
        <f>"488, 495"</f>
        <v>488, 495</v>
      </c>
      <c r="B583" s="5" t="s">
        <v>179</v>
      </c>
      <c r="C583" s="328"/>
      <c r="D583" s="3">
        <f t="shared" ca="1" si="35"/>
        <v>353916</v>
      </c>
      <c r="E583" s="327">
        <f t="shared" ca="1" si="37"/>
        <v>332838</v>
      </c>
      <c r="F583" s="327">
        <f t="shared" ca="1" si="37"/>
        <v>20950</v>
      </c>
      <c r="G583" s="327">
        <f t="shared" ca="1" si="37"/>
        <v>2</v>
      </c>
      <c r="H583" s="327">
        <f t="shared" ca="1" si="37"/>
        <v>8</v>
      </c>
      <c r="I583" s="327">
        <f t="shared" ca="1" si="37"/>
        <v>118</v>
      </c>
      <c r="J583" s="327">
        <v>0</v>
      </c>
      <c r="K583" s="327">
        <v>0</v>
      </c>
      <c r="L583" s="5"/>
      <c r="M583" s="5"/>
    </row>
    <row r="584" spans="1:14" x14ac:dyDescent="0.2">
      <c r="A584" s="325" t="str">
        <f>"487"</f>
        <v>487</v>
      </c>
      <c r="B584" s="5" t="s">
        <v>643</v>
      </c>
      <c r="C584" s="328"/>
      <c r="D584" s="1">
        <f t="shared" ca="1" si="35"/>
        <v>171171</v>
      </c>
      <c r="E584" s="327">
        <f t="shared" ca="1" si="37"/>
        <v>110115</v>
      </c>
      <c r="F584" s="327">
        <f t="shared" ca="1" si="37"/>
        <v>48767</v>
      </c>
      <c r="G584" s="327">
        <f t="shared" ca="1" si="37"/>
        <v>82</v>
      </c>
      <c r="H584" s="327">
        <f t="shared" ca="1" si="37"/>
        <v>702</v>
      </c>
      <c r="I584" s="327">
        <f t="shared" ca="1" si="37"/>
        <v>11505</v>
      </c>
      <c r="J584" s="327">
        <v>0</v>
      </c>
      <c r="K584" s="327">
        <v>0</v>
      </c>
      <c r="L584" s="5"/>
      <c r="M584" s="5"/>
    </row>
    <row r="585" spans="1:14" x14ac:dyDescent="0.2">
      <c r="A585" s="37" t="s">
        <v>176</v>
      </c>
      <c r="B585" s="5" t="s">
        <v>177</v>
      </c>
      <c r="C585" s="328"/>
      <c r="D585" s="1">
        <f t="shared" ca="1" si="35"/>
        <v>8413383.2899999972</v>
      </c>
      <c r="E585" s="327">
        <f t="shared" ca="1" si="37"/>
        <v>3509165.74</v>
      </c>
      <c r="F585" s="327">
        <f t="shared" ca="1" si="37"/>
        <v>2560195.5399999972</v>
      </c>
      <c r="G585" s="327">
        <f t="shared" ca="1" si="37"/>
        <v>0</v>
      </c>
      <c r="H585" s="327">
        <f t="shared" ca="1" si="37"/>
        <v>134903.35999999999</v>
      </c>
      <c r="I585" s="327">
        <f t="shared" ca="1" si="37"/>
        <v>2209118.6499999994</v>
      </c>
      <c r="J585" s="327">
        <v>0</v>
      </c>
      <c r="K585" s="327">
        <v>0</v>
      </c>
      <c r="L585" s="5"/>
      <c r="M585" s="5"/>
    </row>
    <row r="586" spans="1:14" x14ac:dyDescent="0.2">
      <c r="L586" s="5"/>
      <c r="M586" s="5"/>
    </row>
    <row r="587" spans="1:14" x14ac:dyDescent="0.2">
      <c r="B587" s="5"/>
      <c r="E587" s="5"/>
      <c r="F587" s="5"/>
      <c r="G587" s="5"/>
      <c r="H587" s="5"/>
      <c r="I587" s="5"/>
      <c r="J587" s="5"/>
      <c r="K587" s="5"/>
      <c r="L587" s="5"/>
      <c r="M587" s="5"/>
    </row>
    <row r="588" spans="1:14" x14ac:dyDescent="0.2">
      <c r="A588" s="16" t="s">
        <v>0</v>
      </c>
      <c r="B588" s="16" t="s">
        <v>0</v>
      </c>
      <c r="C588" s="16" t="s">
        <v>0</v>
      </c>
      <c r="D588" s="16" t="s">
        <v>0</v>
      </c>
      <c r="E588" s="16" t="s">
        <v>0</v>
      </c>
      <c r="F588" s="16" t="s">
        <v>0</v>
      </c>
      <c r="G588" s="16" t="s">
        <v>0</v>
      </c>
      <c r="H588" s="16" t="s">
        <v>0</v>
      </c>
      <c r="I588" s="16" t="s">
        <v>0</v>
      </c>
      <c r="J588" s="16" t="s">
        <v>0</v>
      </c>
      <c r="K588" s="16" t="s">
        <v>0</v>
      </c>
      <c r="L588" s="16"/>
      <c r="M588" s="16"/>
    </row>
    <row r="589" spans="1:14" x14ac:dyDescent="0.2">
      <c r="A589" s="3" t="s">
        <v>329</v>
      </c>
    </row>
    <row r="590" spans="1:14" x14ac:dyDescent="0.2">
      <c r="A590" s="16" t="s">
        <v>0</v>
      </c>
      <c r="B590" s="16" t="s">
        <v>0</v>
      </c>
      <c r="C590" s="16" t="s">
        <v>0</v>
      </c>
      <c r="D590" s="16" t="s">
        <v>0</v>
      </c>
      <c r="E590" s="16" t="s">
        <v>0</v>
      </c>
      <c r="F590" s="16" t="s">
        <v>0</v>
      </c>
      <c r="G590" s="16" t="s">
        <v>0</v>
      </c>
      <c r="H590" s="16" t="s">
        <v>0</v>
      </c>
      <c r="I590" s="16" t="s">
        <v>0</v>
      </c>
      <c r="J590" s="16" t="s">
        <v>0</v>
      </c>
      <c r="K590" s="16" t="s">
        <v>0</v>
      </c>
      <c r="L590" s="16"/>
      <c r="M590" s="16"/>
      <c r="N590" s="5"/>
    </row>
    <row r="591" spans="1:14" x14ac:dyDescent="0.2">
      <c r="D591" s="325" t="s">
        <v>11</v>
      </c>
      <c r="E591" s="3" t="str">
        <f>$C$12</f>
        <v>GS-RESIDENTIAL</v>
      </c>
      <c r="F591" s="3" t="str">
        <f>$C$13</f>
        <v>GS-OTHER</v>
      </c>
      <c r="G591" s="3" t="str">
        <f>$C$14</f>
        <v>IUS</v>
      </c>
      <c r="H591" s="3" t="str">
        <f>$C$15</f>
        <v>DS-ML</v>
      </c>
      <c r="I591" s="3" t="str">
        <f>$C$16</f>
        <v>DS/IS</v>
      </c>
      <c r="J591" s="3" t="str">
        <f>$C$17</f>
        <v>NOT USED</v>
      </c>
      <c r="K591" s="3" t="str">
        <f>$C$18</f>
        <v>NOT USED</v>
      </c>
      <c r="N591" s="5"/>
    </row>
    <row r="592" spans="1:14" x14ac:dyDescent="0.2">
      <c r="A592" s="3" t="s">
        <v>330</v>
      </c>
      <c r="B592" s="5" t="s">
        <v>331</v>
      </c>
      <c r="C592" s="5"/>
      <c r="D592" s="39">
        <f ca="1">SUM(E592:M592)</f>
        <v>0.99999999999999989</v>
      </c>
      <c r="E592" s="40">
        <f ca="1">'Services&amp;MT'!$P157</f>
        <v>0.88227999999999995</v>
      </c>
      <c r="F592" s="40">
        <f ca="1">'Services&amp;MT'!$P158</f>
        <v>0.11418</v>
      </c>
      <c r="G592" s="40">
        <f ca="1">'Services&amp;MT'!$P160</f>
        <v>1.0000000000000001E-5</v>
      </c>
      <c r="H592" s="219">
        <f>'Services&amp;MT'!P164</f>
        <v>0</v>
      </c>
      <c r="I592" s="40">
        <f ca="1">'Services&amp;MT'!$P159</f>
        <v>3.5300000000000002E-3</v>
      </c>
      <c r="J592" s="40">
        <f ca="1">'Services&amp;MT'!$P161</f>
        <v>0</v>
      </c>
      <c r="K592" s="40">
        <f ca="1">'Services&amp;MT'!$P162</f>
        <v>0</v>
      </c>
      <c r="L592" s="40"/>
      <c r="M592" s="40"/>
      <c r="N592" s="5"/>
    </row>
    <row r="593" spans="1:14" x14ac:dyDescent="0.2">
      <c r="A593" s="3" t="s">
        <v>332</v>
      </c>
      <c r="B593" s="5" t="s">
        <v>333</v>
      </c>
      <c r="C593" s="5"/>
      <c r="D593" s="39">
        <f>SUM(E593:M593)</f>
        <v>1</v>
      </c>
      <c r="E593" s="40">
        <f>Meters!C34</f>
        <v>0.71941662417005559</v>
      </c>
      <c r="F593" s="40">
        <f>Meters!D34</f>
        <v>0.27612389659262171</v>
      </c>
      <c r="G593" s="40">
        <f>Meters!E34</f>
        <v>1.3148477358315252E-4</v>
      </c>
      <c r="H593" s="40">
        <f>Meters!H34</f>
        <v>0</v>
      </c>
      <c r="I593" s="40">
        <f>Meters!F34</f>
        <v>4.3279944637395302E-3</v>
      </c>
      <c r="J593" s="40">
        <v>0</v>
      </c>
      <c r="K593" s="40">
        <v>0</v>
      </c>
      <c r="L593" s="40"/>
      <c r="M593" s="40"/>
      <c r="N593" s="5"/>
    </row>
    <row r="594" spans="1:14" x14ac:dyDescent="0.2">
      <c r="A594" s="3" t="s">
        <v>334</v>
      </c>
      <c r="B594" s="5" t="s">
        <v>335</v>
      </c>
      <c r="C594" s="5"/>
      <c r="D594" s="39">
        <f>SUM(E594:M594)</f>
        <v>1</v>
      </c>
      <c r="E594" s="40">
        <f>'Reg. Station'!F136</f>
        <v>0</v>
      </c>
      <c r="F594" s="40">
        <f>'Reg. Station'!F137</f>
        <v>0.25976700000000003</v>
      </c>
      <c r="G594" s="40">
        <f>'Reg. Station'!F139</f>
        <v>2.8699999999999998E-4</v>
      </c>
      <c r="H594" s="40">
        <f>'Reg. Station'!F145</f>
        <v>0</v>
      </c>
      <c r="I594" s="40">
        <f>'Reg. Station'!F138</f>
        <v>0.73994599999999999</v>
      </c>
      <c r="J594" s="40">
        <f>'Reg. Station'!F140</f>
        <v>0</v>
      </c>
      <c r="K594" s="40">
        <f>'Reg. Station'!F141</f>
        <v>0</v>
      </c>
      <c r="L594" s="40"/>
      <c r="M594" s="40"/>
      <c r="N594" s="5"/>
    </row>
    <row r="595" spans="1:14" x14ac:dyDescent="0.2">
      <c r="A595" s="3" t="s">
        <v>336</v>
      </c>
      <c r="B595" s="5" t="s">
        <v>337</v>
      </c>
      <c r="C595" s="5"/>
      <c r="D595" s="39">
        <f>SUM(E595:K595)</f>
        <v>1</v>
      </c>
      <c r="E595" s="40">
        <f>'Min Syst - Mains'!M15</f>
        <v>0.73792999999999997</v>
      </c>
      <c r="F595" s="40">
        <f>'Min Syst - Mains'!M17</f>
        <v>0.16741</v>
      </c>
      <c r="G595" s="40">
        <f>'Min Syst - Mains'!M19</f>
        <v>2.4000000000000001E-4</v>
      </c>
      <c r="H595" s="40">
        <v>0</v>
      </c>
      <c r="I595" s="40">
        <f>'Min Syst - Mains'!M21</f>
        <v>9.4420000000000004E-2</v>
      </c>
      <c r="J595" s="40">
        <v>0</v>
      </c>
      <c r="K595" s="40">
        <v>0</v>
      </c>
      <c r="L595" s="40"/>
      <c r="M595" s="40"/>
      <c r="N595" s="5"/>
    </row>
    <row r="596" spans="1:14" x14ac:dyDescent="0.2">
      <c r="A596" s="3" t="s">
        <v>338</v>
      </c>
      <c r="B596" s="5"/>
      <c r="C596" s="5"/>
    </row>
    <row r="597" spans="1:14" x14ac:dyDescent="0.2">
      <c r="B597" s="5"/>
      <c r="C597" s="5"/>
      <c r="D597" s="39"/>
      <c r="E597" s="39"/>
      <c r="F597" s="39"/>
      <c r="G597" s="39"/>
      <c r="H597" s="39"/>
      <c r="I597" s="39"/>
      <c r="J597" s="39"/>
      <c r="K597" s="39"/>
      <c r="M597" s="39"/>
    </row>
    <row r="598" spans="1:14" x14ac:dyDescent="0.2">
      <c r="A598" s="3" t="s">
        <v>339</v>
      </c>
      <c r="D598" s="40">
        <f>'Min Syst - Mains'!C27</f>
        <v>0.64824999999999999</v>
      </c>
      <c r="E598" s="39"/>
      <c r="F598" s="39"/>
      <c r="G598" s="39"/>
      <c r="H598" s="39"/>
      <c r="I598" s="39"/>
      <c r="J598" s="39"/>
      <c r="K598" s="39"/>
      <c r="M598" s="39"/>
    </row>
    <row r="599" spans="1:14" x14ac:dyDescent="0.2">
      <c r="C599" s="41"/>
      <c r="D599" s="42"/>
      <c r="E599" s="41"/>
      <c r="F599" s="5"/>
    </row>
    <row r="600" spans="1:14" x14ac:dyDescent="0.2">
      <c r="F600" s="127"/>
      <c r="G600" s="128"/>
      <c r="H600" s="128"/>
      <c r="I600" s="128"/>
      <c r="J600" s="128"/>
      <c r="K600" s="128"/>
      <c r="L600" s="128"/>
      <c r="M600" s="128"/>
    </row>
    <row r="601" spans="1:14" x14ac:dyDescent="0.2">
      <c r="F601" s="125"/>
      <c r="G601" s="125"/>
      <c r="H601" s="125"/>
      <c r="I601" s="125"/>
      <c r="J601" s="125"/>
      <c r="K601" s="125"/>
      <c r="L601" s="125"/>
      <c r="M601" s="125"/>
    </row>
    <row r="602" spans="1:14" x14ac:dyDescent="0.2">
      <c r="F602" s="125"/>
      <c r="G602" s="128"/>
      <c r="H602" s="128"/>
      <c r="I602" s="128"/>
      <c r="J602" s="128"/>
      <c r="K602" s="128"/>
      <c r="L602" s="128"/>
      <c r="M602" s="128"/>
    </row>
    <row r="603" spans="1:14" x14ac:dyDescent="0.2">
      <c r="F603" s="125"/>
      <c r="G603" s="125"/>
      <c r="H603" s="125"/>
      <c r="I603" s="125"/>
      <c r="J603" s="125"/>
      <c r="K603" s="125"/>
      <c r="L603" s="125"/>
      <c r="M603" s="125"/>
    </row>
    <row r="604" spans="1:14" x14ac:dyDescent="0.2">
      <c r="H604" s="125"/>
      <c r="I604" s="125"/>
      <c r="J604" s="125"/>
      <c r="K604" s="125"/>
      <c r="L604" s="125"/>
      <c r="M604" s="125"/>
    </row>
    <row r="605" spans="1:14" x14ac:dyDescent="0.2">
      <c r="H605" s="132"/>
      <c r="I605" s="132"/>
      <c r="J605" s="125"/>
      <c r="K605" s="125"/>
      <c r="L605" s="125"/>
      <c r="M605" s="125"/>
    </row>
    <row r="606" spans="1:14" x14ac:dyDescent="0.2">
      <c r="H606" s="132"/>
      <c r="I606" s="132"/>
      <c r="J606" s="125"/>
      <c r="K606" s="125"/>
      <c r="L606" s="125"/>
      <c r="M606" s="125"/>
    </row>
    <row r="607" spans="1:14" x14ac:dyDescent="0.2">
      <c r="H607" s="132"/>
      <c r="I607" s="132"/>
      <c r="J607" s="125"/>
      <c r="K607" s="125"/>
      <c r="L607" s="125"/>
      <c r="M607" s="125"/>
    </row>
    <row r="608" spans="1:14" x14ac:dyDescent="0.2">
      <c r="F608" s="132"/>
      <c r="G608" s="132"/>
      <c r="H608" s="132"/>
      <c r="I608" s="132"/>
      <c r="J608" s="125"/>
      <c r="K608" s="125"/>
      <c r="L608" s="125"/>
      <c r="M608" s="125"/>
    </row>
    <row r="609" spans="1:13" x14ac:dyDescent="0.2">
      <c r="A609" s="347"/>
      <c r="B609" s="236"/>
      <c r="C609" s="125"/>
      <c r="D609" s="125"/>
      <c r="E609" s="125"/>
      <c r="F609" s="125"/>
      <c r="G609" s="132"/>
      <c r="H609" s="132"/>
      <c r="I609" s="132"/>
      <c r="J609" s="125"/>
      <c r="K609" s="125"/>
      <c r="L609" s="125"/>
      <c r="M609" s="125"/>
    </row>
    <row r="610" spans="1:13" x14ac:dyDescent="0.2">
      <c r="A610" s="347"/>
      <c r="B610" s="129"/>
      <c r="C610" s="132"/>
      <c r="D610" s="131"/>
      <c r="E610" s="132"/>
      <c r="F610" s="132"/>
      <c r="G610" s="132"/>
      <c r="H610" s="132"/>
      <c r="I610" s="132"/>
      <c r="J610" s="125"/>
      <c r="K610" s="125"/>
      <c r="L610" s="125"/>
      <c r="M610" s="125"/>
    </row>
    <row r="611" spans="1:13" x14ac:dyDescent="0.2">
      <c r="A611" s="347"/>
      <c r="B611" s="125"/>
      <c r="C611" s="132"/>
      <c r="D611" s="131"/>
      <c r="E611" s="132"/>
      <c r="F611" s="132"/>
      <c r="G611" s="132"/>
      <c r="H611" s="132"/>
      <c r="I611" s="132"/>
      <c r="J611" s="125"/>
      <c r="K611" s="125"/>
      <c r="L611" s="125"/>
      <c r="M611" s="125"/>
    </row>
    <row r="612" spans="1:13" x14ac:dyDescent="0.2">
      <c r="A612" s="347"/>
      <c r="B612" s="129"/>
      <c r="C612" s="132"/>
      <c r="D612" s="131"/>
      <c r="E612" s="132"/>
      <c r="F612" s="132"/>
      <c r="G612" s="132"/>
      <c r="H612" s="132"/>
      <c r="I612" s="132"/>
      <c r="J612" s="125"/>
      <c r="K612" s="125"/>
      <c r="L612" s="125"/>
      <c r="M612" s="125"/>
    </row>
    <row r="613" spans="1:13" x14ac:dyDescent="0.2">
      <c r="A613" s="347"/>
      <c r="B613" s="125"/>
      <c r="C613" s="132"/>
      <c r="D613" s="132"/>
      <c r="E613" s="132"/>
      <c r="F613" s="132"/>
      <c r="G613" s="132"/>
      <c r="H613" s="132"/>
      <c r="I613" s="132"/>
      <c r="J613" s="125"/>
      <c r="K613" s="125"/>
      <c r="L613" s="125"/>
      <c r="M613" s="125"/>
    </row>
    <row r="614" spans="1:13" x14ac:dyDescent="0.2">
      <c r="A614" s="347"/>
      <c r="B614" s="129"/>
      <c r="C614" s="132"/>
      <c r="D614" s="131"/>
      <c r="E614" s="132"/>
      <c r="F614" s="132"/>
      <c r="G614" s="132"/>
      <c r="H614" s="132"/>
      <c r="I614" s="132"/>
      <c r="J614" s="125"/>
      <c r="K614" s="125"/>
      <c r="L614" s="125"/>
      <c r="M614" s="125"/>
    </row>
    <row r="615" spans="1:13" x14ac:dyDescent="0.2">
      <c r="A615" s="347"/>
      <c r="B615" s="125"/>
      <c r="C615" s="132"/>
      <c r="D615" s="132"/>
      <c r="E615" s="132"/>
      <c r="F615" s="132"/>
      <c r="G615" s="132"/>
      <c r="H615" s="132"/>
      <c r="I615" s="132"/>
      <c r="J615" s="125"/>
      <c r="K615" s="125"/>
      <c r="L615" s="125"/>
      <c r="M615" s="125"/>
    </row>
    <row r="616" spans="1:13" x14ac:dyDescent="0.2">
      <c r="A616" s="347"/>
      <c r="B616" s="129"/>
      <c r="C616" s="132"/>
      <c r="D616" s="131"/>
      <c r="E616" s="132"/>
      <c r="F616" s="132"/>
      <c r="G616" s="125"/>
      <c r="H616" s="125"/>
      <c r="I616" s="125"/>
      <c r="J616" s="125"/>
      <c r="K616" s="125"/>
      <c r="L616" s="125"/>
      <c r="M616" s="125"/>
    </row>
    <row r="617" spans="1:13" x14ac:dyDescent="0.2">
      <c r="A617" s="347"/>
      <c r="B617" s="125"/>
      <c r="C617" s="125"/>
      <c r="D617" s="125"/>
      <c r="E617" s="125"/>
      <c r="F617" s="125"/>
      <c r="G617" s="125"/>
      <c r="H617" s="125"/>
      <c r="I617" s="125"/>
      <c r="J617" s="125"/>
      <c r="K617" s="125"/>
      <c r="L617" s="125"/>
      <c r="M617" s="125"/>
    </row>
    <row r="618" spans="1:13" x14ac:dyDescent="0.2">
      <c r="A618" s="347"/>
      <c r="B618" s="129"/>
      <c r="C618" s="132"/>
      <c r="D618" s="131"/>
      <c r="E618" s="132"/>
      <c r="F618" s="132"/>
      <c r="G618" s="132"/>
      <c r="H618" s="132"/>
      <c r="I618" s="132"/>
      <c r="J618" s="125"/>
      <c r="K618" s="125"/>
      <c r="L618" s="125"/>
      <c r="M618" s="125"/>
    </row>
    <row r="619" spans="1:13" x14ac:dyDescent="0.2">
      <c r="A619" s="347"/>
      <c r="B619" s="125"/>
      <c r="C619" s="132"/>
      <c r="D619" s="132"/>
      <c r="E619" s="132"/>
      <c r="F619" s="132"/>
      <c r="G619" s="125"/>
      <c r="H619" s="125"/>
      <c r="I619" s="125"/>
      <c r="J619" s="125"/>
      <c r="K619" s="125"/>
      <c r="L619" s="125"/>
      <c r="M619" s="125"/>
    </row>
    <row r="620" spans="1:13" x14ac:dyDescent="0.2">
      <c r="A620" s="347"/>
      <c r="B620" s="129"/>
      <c r="C620" s="125"/>
      <c r="D620" s="131"/>
      <c r="E620" s="125"/>
      <c r="F620" s="132"/>
      <c r="G620" s="125"/>
      <c r="H620" s="125"/>
      <c r="I620" s="125"/>
      <c r="J620" s="125"/>
      <c r="K620" s="125"/>
      <c r="L620" s="125"/>
      <c r="M620" s="125"/>
    </row>
    <row r="621" spans="1:13" x14ac:dyDescent="0.2">
      <c r="A621" s="125"/>
      <c r="B621" s="125"/>
      <c r="C621" s="125"/>
      <c r="D621" s="125"/>
      <c r="E621" s="125"/>
      <c r="F621" s="125"/>
      <c r="G621" s="125"/>
      <c r="H621" s="125"/>
      <c r="I621" s="125"/>
      <c r="J621" s="125"/>
      <c r="K621" s="125"/>
      <c r="L621" s="125"/>
      <c r="M621" s="125"/>
    </row>
    <row r="622" spans="1:13" x14ac:dyDescent="0.2">
      <c r="A622" s="125"/>
      <c r="B622" s="129"/>
      <c r="C622" s="125"/>
      <c r="D622" s="131"/>
      <c r="E622" s="125"/>
      <c r="F622" s="132"/>
      <c r="G622" s="125"/>
      <c r="H622" s="125"/>
      <c r="I622" s="125"/>
      <c r="J622" s="125"/>
      <c r="K622" s="125"/>
      <c r="L622" s="125"/>
      <c r="M622" s="125"/>
    </row>
    <row r="623" spans="1:13" x14ac:dyDescent="0.2">
      <c r="A623" s="125"/>
      <c r="B623" s="125"/>
      <c r="C623" s="125"/>
      <c r="D623" s="125"/>
      <c r="E623" s="125"/>
      <c r="F623" s="125"/>
      <c r="G623" s="125"/>
      <c r="H623" s="125"/>
      <c r="I623" s="125"/>
      <c r="J623" s="125"/>
      <c r="K623" s="125"/>
      <c r="L623" s="125"/>
      <c r="M623" s="125"/>
    </row>
    <row r="624" spans="1:13" x14ac:dyDescent="0.2">
      <c r="A624" s="125"/>
      <c r="B624" s="129"/>
      <c r="C624" s="125"/>
      <c r="D624" s="131"/>
      <c r="E624" s="125"/>
      <c r="F624" s="132"/>
      <c r="G624" s="125"/>
      <c r="H624" s="125"/>
      <c r="I624" s="125"/>
      <c r="J624" s="125"/>
      <c r="K624" s="125"/>
      <c r="L624" s="125"/>
      <c r="M624" s="125"/>
    </row>
    <row r="625" spans="1:14" x14ac:dyDescent="0.2">
      <c r="A625" s="125"/>
      <c r="B625" s="125"/>
      <c r="C625" s="125"/>
      <c r="D625" s="125"/>
      <c r="E625" s="125"/>
      <c r="F625" s="125"/>
      <c r="G625" s="125"/>
      <c r="H625" s="125"/>
      <c r="I625" s="125"/>
      <c r="J625" s="125"/>
      <c r="K625" s="125"/>
      <c r="L625" s="125"/>
      <c r="M625" s="125"/>
    </row>
    <row r="626" spans="1:14" x14ac:dyDescent="0.2">
      <c r="A626" s="125"/>
      <c r="B626" s="125"/>
      <c r="C626" s="129"/>
      <c r="D626" s="125"/>
      <c r="E626" s="125"/>
      <c r="F626" s="132"/>
      <c r="G626" s="125"/>
      <c r="H626" s="125"/>
      <c r="I626" s="125"/>
      <c r="J626" s="125"/>
      <c r="K626" s="125"/>
      <c r="L626" s="125"/>
      <c r="M626" s="125"/>
    </row>
    <row r="627" spans="1:14" x14ac:dyDescent="0.2">
      <c r="A627" s="125"/>
      <c r="B627" s="125"/>
      <c r="C627" s="125"/>
      <c r="D627" s="125"/>
      <c r="E627" s="125"/>
      <c r="F627" s="125"/>
      <c r="G627" s="125"/>
      <c r="H627" s="125"/>
      <c r="I627" s="125"/>
      <c r="J627" s="125"/>
      <c r="K627" s="125"/>
      <c r="L627" s="125"/>
      <c r="M627" s="125"/>
    </row>
    <row r="628" spans="1:14" x14ac:dyDescent="0.2">
      <c r="A628" s="125"/>
      <c r="B628" s="129"/>
      <c r="C628" s="125"/>
      <c r="D628" s="131"/>
      <c r="E628" s="125"/>
      <c r="F628" s="132"/>
      <c r="G628" s="125"/>
      <c r="H628" s="125"/>
      <c r="I628" s="125"/>
      <c r="J628" s="125"/>
      <c r="K628" s="125"/>
      <c r="L628" s="125"/>
      <c r="M628" s="125"/>
    </row>
    <row r="629" spans="1:14" x14ac:dyDescent="0.2">
      <c r="A629" s="125"/>
      <c r="B629" s="125"/>
      <c r="C629" s="125"/>
      <c r="D629" s="125"/>
      <c r="E629" s="125"/>
      <c r="F629" s="125"/>
      <c r="G629" s="125"/>
      <c r="H629" s="125"/>
      <c r="I629" s="125"/>
      <c r="J629" s="125"/>
      <c r="K629" s="125"/>
      <c r="L629" s="125"/>
      <c r="M629" s="133"/>
      <c r="N629" s="39"/>
    </row>
    <row r="630" spans="1:14" x14ac:dyDescent="0.2">
      <c r="A630" s="125"/>
      <c r="B630" s="129"/>
      <c r="C630" s="125"/>
      <c r="D630" s="125"/>
      <c r="E630" s="125"/>
      <c r="F630" s="132"/>
      <c r="G630" s="125"/>
      <c r="H630" s="125"/>
      <c r="I630" s="125"/>
      <c r="J630" s="125"/>
      <c r="K630" s="125"/>
      <c r="L630" s="125"/>
      <c r="M630" s="133"/>
      <c r="N630" s="39"/>
    </row>
    <row r="631" spans="1:14" x14ac:dyDescent="0.2">
      <c r="A631" s="125"/>
      <c r="B631" s="125"/>
      <c r="C631" s="125"/>
      <c r="D631" s="125"/>
      <c r="E631" s="125"/>
      <c r="F631" s="125"/>
      <c r="G631" s="125"/>
      <c r="H631" s="125"/>
      <c r="I631" s="125"/>
      <c r="J631" s="125"/>
      <c r="K631" s="125"/>
      <c r="L631" s="125"/>
      <c r="M631" s="133"/>
      <c r="N631" s="39"/>
    </row>
    <row r="632" spans="1:14" x14ac:dyDescent="0.2">
      <c r="A632" s="125"/>
      <c r="B632" s="125"/>
      <c r="C632" s="125"/>
      <c r="D632" s="125"/>
      <c r="E632" s="125"/>
      <c r="F632" s="125"/>
      <c r="G632" s="125"/>
      <c r="H632" s="125"/>
      <c r="I632" s="125"/>
      <c r="J632" s="125"/>
      <c r="K632" s="125"/>
      <c r="L632" s="125"/>
      <c r="M632" s="125"/>
    </row>
    <row r="633" spans="1:14" x14ac:dyDescent="0.2">
      <c r="A633" s="125"/>
      <c r="B633" s="125"/>
      <c r="C633" s="125"/>
      <c r="D633" s="132"/>
      <c r="E633" s="132"/>
      <c r="F633" s="132"/>
      <c r="G633" s="132"/>
      <c r="H633" s="132"/>
      <c r="I633" s="132"/>
      <c r="J633" s="125"/>
      <c r="K633" s="125"/>
      <c r="L633" s="125"/>
      <c r="M633" s="125"/>
    </row>
    <row r="634" spans="1:14" x14ac:dyDescent="0.2">
      <c r="A634" s="125"/>
      <c r="B634" s="125"/>
      <c r="C634" s="125"/>
      <c r="D634" s="134"/>
      <c r="E634" s="125"/>
      <c r="F634" s="135"/>
      <c r="G634" s="135"/>
      <c r="H634" s="135"/>
      <c r="I634" s="135"/>
      <c r="J634" s="125"/>
      <c r="K634" s="125"/>
      <c r="L634" s="125"/>
      <c r="M634" s="125"/>
    </row>
    <row r="635" spans="1:14" x14ac:dyDescent="0.2">
      <c r="A635" s="125"/>
      <c r="B635" s="125"/>
      <c r="C635" s="125"/>
      <c r="D635" s="125"/>
      <c r="E635" s="125"/>
      <c r="F635" s="125"/>
      <c r="G635" s="125"/>
      <c r="H635" s="125"/>
      <c r="I635" s="125"/>
      <c r="J635" s="125"/>
      <c r="K635" s="125"/>
      <c r="L635" s="125"/>
      <c r="M635" s="125"/>
    </row>
    <row r="636" spans="1:14" x14ac:dyDescent="0.2">
      <c r="A636" s="125"/>
      <c r="B636" s="125"/>
      <c r="C636" s="125"/>
      <c r="D636" s="125"/>
      <c r="E636" s="125"/>
      <c r="F636" s="125"/>
      <c r="G636" s="125"/>
      <c r="H636" s="125"/>
      <c r="I636" s="125"/>
      <c r="J636" s="125"/>
      <c r="K636" s="125"/>
      <c r="L636" s="125"/>
      <c r="M636" s="125"/>
    </row>
    <row r="637" spans="1:14" x14ac:dyDescent="0.2">
      <c r="A637" s="125"/>
      <c r="B637" s="125"/>
      <c r="C637" s="125"/>
      <c r="D637" s="125"/>
      <c r="E637" s="125"/>
      <c r="F637" s="125"/>
      <c r="G637" s="125"/>
      <c r="H637" s="125"/>
      <c r="I637" s="125"/>
      <c r="J637" s="125"/>
      <c r="K637" s="125"/>
      <c r="L637" s="125"/>
      <c r="M637" s="125"/>
    </row>
    <row r="638" spans="1:14" x14ac:dyDescent="0.2">
      <c r="A638" s="449"/>
      <c r="B638" s="449"/>
      <c r="C638" s="449"/>
      <c r="D638" s="449"/>
      <c r="E638" s="449"/>
      <c r="F638" s="449"/>
      <c r="G638" s="449"/>
      <c r="H638" s="449"/>
      <c r="I638" s="449"/>
      <c r="J638" s="449"/>
      <c r="K638" s="449"/>
      <c r="L638" s="125"/>
      <c r="M638" s="125"/>
    </row>
    <row r="639" spans="1:14" x14ac:dyDescent="0.2">
      <c r="A639" s="449"/>
      <c r="B639" s="449"/>
      <c r="C639" s="449"/>
      <c r="D639" s="449"/>
      <c r="E639" s="449"/>
      <c r="F639" s="449"/>
      <c r="G639" s="449"/>
      <c r="H639" s="449"/>
      <c r="I639" s="449"/>
      <c r="J639" s="449"/>
      <c r="K639" s="449"/>
      <c r="L639" s="125"/>
      <c r="M639" s="125"/>
    </row>
    <row r="640" spans="1:14" x14ac:dyDescent="0.2">
      <c r="A640" s="449"/>
      <c r="B640" s="449"/>
      <c r="C640" s="449"/>
      <c r="D640" s="449"/>
      <c r="E640" s="449"/>
      <c r="F640" s="449"/>
      <c r="G640" s="449"/>
      <c r="H640" s="449"/>
      <c r="I640" s="449"/>
      <c r="J640" s="449"/>
      <c r="K640" s="449"/>
      <c r="L640" s="125"/>
      <c r="M640" s="125"/>
    </row>
    <row r="641" spans="1:13" x14ac:dyDescent="0.2">
      <c r="A641" s="449"/>
      <c r="B641" s="449"/>
      <c r="C641" s="449"/>
      <c r="D641" s="449"/>
      <c r="E641" s="449"/>
      <c r="F641" s="449"/>
      <c r="G641" s="449"/>
      <c r="H641" s="449"/>
      <c r="I641" s="449"/>
      <c r="J641" s="449"/>
      <c r="K641" s="449"/>
      <c r="L641" s="125"/>
      <c r="M641" s="125"/>
    </row>
    <row r="642" spans="1:13" x14ac:dyDescent="0.2">
      <c r="A642" s="449"/>
      <c r="B642" s="449"/>
      <c r="C642" s="449"/>
      <c r="D642" s="449"/>
      <c r="E642" s="449"/>
      <c r="F642" s="449"/>
      <c r="G642" s="449"/>
      <c r="H642" s="449"/>
      <c r="I642" s="449"/>
      <c r="J642" s="449"/>
      <c r="K642" s="449"/>
      <c r="L642" s="125"/>
      <c r="M642" s="125"/>
    </row>
    <row r="643" spans="1:13" x14ac:dyDescent="0.2">
      <c r="A643" s="136"/>
      <c r="B643" s="137"/>
      <c r="C643" s="137"/>
      <c r="D643" s="137"/>
      <c r="E643" s="137"/>
      <c r="F643" s="339"/>
      <c r="G643" s="339"/>
      <c r="H643" s="339"/>
      <c r="I643" s="125"/>
      <c r="J643" s="137"/>
      <c r="K643" s="138"/>
      <c r="L643" s="125"/>
      <c r="M643" s="125"/>
    </row>
    <row r="644" spans="1:13" x14ac:dyDescent="0.2">
      <c r="A644" s="136"/>
      <c r="B644" s="137"/>
      <c r="C644" s="137"/>
      <c r="D644" s="137"/>
      <c r="E644" s="137"/>
      <c r="F644" s="339"/>
      <c r="G644" s="339"/>
      <c r="H644" s="339"/>
      <c r="I644" s="125"/>
      <c r="J644" s="137"/>
      <c r="K644" s="138"/>
      <c r="L644" s="125"/>
      <c r="M644" s="125"/>
    </row>
    <row r="645" spans="1:13" x14ac:dyDescent="0.2">
      <c r="A645" s="136"/>
      <c r="B645" s="137"/>
      <c r="C645" s="137"/>
      <c r="D645" s="137"/>
      <c r="E645" s="137"/>
      <c r="F645" s="339"/>
      <c r="G645" s="339"/>
      <c r="H645" s="339"/>
      <c r="I645" s="125"/>
      <c r="J645" s="137"/>
      <c r="K645" s="138"/>
      <c r="L645" s="125"/>
      <c r="M645" s="125"/>
    </row>
    <row r="646" spans="1:13" x14ac:dyDescent="0.2">
      <c r="A646" s="136"/>
      <c r="B646" s="137"/>
      <c r="C646" s="137"/>
      <c r="D646" s="137"/>
      <c r="E646" s="137"/>
      <c r="F646" s="339"/>
      <c r="G646" s="339"/>
      <c r="H646" s="339"/>
      <c r="I646" s="125"/>
      <c r="J646" s="137"/>
      <c r="K646" s="139"/>
      <c r="L646" s="125"/>
      <c r="M646" s="125"/>
    </row>
    <row r="647" spans="1:13" x14ac:dyDescent="0.2">
      <c r="A647" s="136"/>
      <c r="B647" s="137"/>
      <c r="C647" s="137"/>
      <c r="D647" s="137"/>
      <c r="E647" s="137"/>
      <c r="F647" s="339"/>
      <c r="G647" s="339"/>
      <c r="H647" s="339"/>
      <c r="I647" s="125"/>
      <c r="J647" s="137"/>
      <c r="K647" s="139"/>
      <c r="L647" s="125"/>
      <c r="M647" s="125"/>
    </row>
    <row r="648" spans="1:13" x14ac:dyDescent="0.2">
      <c r="A648" s="140"/>
      <c r="B648" s="140"/>
      <c r="C648" s="140"/>
      <c r="D648" s="140"/>
      <c r="E648" s="140"/>
      <c r="F648" s="140"/>
      <c r="G648" s="140"/>
      <c r="H648" s="140"/>
      <c r="I648" s="339"/>
      <c r="J648" s="140"/>
      <c r="K648" s="339"/>
      <c r="L648" s="125"/>
      <c r="M648" s="125"/>
    </row>
    <row r="649" spans="1:13" x14ac:dyDescent="0.2">
      <c r="A649" s="140"/>
      <c r="B649" s="140"/>
      <c r="C649" s="140"/>
      <c r="D649" s="140"/>
      <c r="E649" s="339"/>
      <c r="F649" s="339"/>
      <c r="G649" s="339"/>
      <c r="H649" s="339"/>
      <c r="I649" s="362"/>
      <c r="J649" s="140"/>
      <c r="K649" s="339"/>
      <c r="L649" s="125"/>
      <c r="M649" s="125"/>
    </row>
    <row r="650" spans="1:13" x14ac:dyDescent="0.2">
      <c r="A650" s="124"/>
      <c r="B650" s="140"/>
      <c r="C650" s="124"/>
      <c r="D650" s="124"/>
      <c r="E650" s="127"/>
      <c r="F650" s="127"/>
      <c r="G650" s="127"/>
      <c r="H650" s="127"/>
      <c r="I650" s="363"/>
      <c r="J650" s="140"/>
      <c r="K650" s="127"/>
      <c r="L650" s="125"/>
      <c r="M650" s="125"/>
    </row>
    <row r="651" spans="1:13" x14ac:dyDescent="0.2">
      <c r="A651" s="124"/>
      <c r="B651" s="140"/>
      <c r="C651" s="124"/>
      <c r="D651" s="124"/>
      <c r="E651" s="141"/>
      <c r="F651" s="141"/>
      <c r="G651" s="142"/>
      <c r="H651" s="142"/>
      <c r="I651" s="141"/>
      <c r="J651" s="140"/>
      <c r="K651" s="141"/>
      <c r="L651" s="125"/>
      <c r="M651" s="125"/>
    </row>
    <row r="652" spans="1:13" x14ac:dyDescent="0.2">
      <c r="A652" s="140"/>
      <c r="B652" s="140"/>
      <c r="C652" s="125"/>
      <c r="D652" s="140"/>
      <c r="E652" s="364"/>
      <c r="F652" s="339"/>
      <c r="G652" s="339"/>
      <c r="H652" s="339"/>
      <c r="I652" s="362"/>
      <c r="J652" s="140"/>
      <c r="K652" s="339"/>
      <c r="L652" s="125"/>
      <c r="M652" s="125"/>
    </row>
    <row r="653" spans="1:13" x14ac:dyDescent="0.2">
      <c r="A653" s="130"/>
      <c r="B653" s="140"/>
      <c r="C653" s="140"/>
      <c r="D653" s="140"/>
      <c r="E653" s="364"/>
      <c r="F653" s="339"/>
      <c r="G653" s="339"/>
      <c r="H653" s="339"/>
      <c r="I653" s="362"/>
      <c r="J653" s="140"/>
      <c r="K653" s="339"/>
      <c r="L653" s="125"/>
      <c r="M653" s="125"/>
    </row>
    <row r="654" spans="1:13" x14ac:dyDescent="0.2">
      <c r="A654" s="130"/>
      <c r="B654" s="140"/>
      <c r="C654" s="143"/>
      <c r="D654" s="140"/>
      <c r="E654" s="144"/>
      <c r="F654" s="145"/>
      <c r="G654" s="365"/>
      <c r="H654" s="339"/>
      <c r="I654" s="366"/>
      <c r="J654" s="140"/>
      <c r="K654" s="146"/>
      <c r="L654" s="125"/>
      <c r="M654" s="125"/>
    </row>
    <row r="655" spans="1:13" x14ac:dyDescent="0.2">
      <c r="A655" s="140"/>
      <c r="B655" s="140"/>
      <c r="C655" s="125"/>
      <c r="D655" s="140"/>
      <c r="E655" s="364"/>
      <c r="F655" s="339"/>
      <c r="G655" s="339"/>
      <c r="H655" s="339"/>
      <c r="I655" s="362"/>
      <c r="J655" s="140"/>
      <c r="K655" s="339"/>
      <c r="L655" s="125"/>
      <c r="M655" s="125"/>
    </row>
    <row r="656" spans="1:13" x14ac:dyDescent="0.2">
      <c r="A656" s="130"/>
      <c r="B656" s="125"/>
      <c r="C656" s="124"/>
      <c r="D656" s="367"/>
      <c r="E656" s="368"/>
      <c r="F656" s="146"/>
      <c r="G656" s="146"/>
      <c r="H656" s="146"/>
      <c r="I656" s="366"/>
      <c r="J656" s="125"/>
      <c r="K656" s="146"/>
      <c r="L656" s="125"/>
      <c r="M656" s="125"/>
    </row>
    <row r="657" spans="1:13" x14ac:dyDescent="0.2">
      <c r="A657" s="130"/>
      <c r="B657" s="125"/>
      <c r="C657" s="147"/>
      <c r="D657" s="125"/>
      <c r="E657" s="148"/>
      <c r="F657" s="369"/>
      <c r="G657" s="369"/>
      <c r="H657" s="369"/>
      <c r="I657" s="370"/>
      <c r="J657" s="125"/>
      <c r="K657" s="146"/>
      <c r="L657" s="125"/>
      <c r="M657" s="125"/>
    </row>
    <row r="658" spans="1:13" x14ac:dyDescent="0.2">
      <c r="A658" s="130"/>
      <c r="B658" s="125"/>
      <c r="C658" s="147"/>
      <c r="D658" s="125"/>
      <c r="E658" s="148"/>
      <c r="F658" s="369"/>
      <c r="G658" s="369"/>
      <c r="H658" s="369"/>
      <c r="I658" s="370"/>
      <c r="J658" s="125"/>
      <c r="K658" s="146"/>
      <c r="L658" s="125"/>
      <c r="M658" s="125"/>
    </row>
    <row r="659" spans="1:13" x14ac:dyDescent="0.2">
      <c r="A659" s="130"/>
      <c r="B659" s="125"/>
      <c r="C659" s="147"/>
      <c r="D659" s="125"/>
      <c r="E659" s="148"/>
      <c r="F659" s="369"/>
      <c r="G659" s="369"/>
      <c r="H659" s="369"/>
      <c r="I659" s="370"/>
      <c r="J659" s="125"/>
      <c r="K659" s="146"/>
      <c r="L659" s="125"/>
      <c r="M659" s="125"/>
    </row>
    <row r="660" spans="1:13" x14ac:dyDescent="0.2">
      <c r="A660" s="130"/>
      <c r="B660" s="125"/>
      <c r="C660" s="147"/>
      <c r="D660" s="125"/>
      <c r="E660" s="148"/>
      <c r="F660" s="369"/>
      <c r="G660" s="369"/>
      <c r="H660" s="369"/>
      <c r="I660" s="370"/>
      <c r="J660" s="125"/>
      <c r="K660" s="146"/>
      <c r="L660" s="125"/>
      <c r="M660" s="125"/>
    </row>
    <row r="661" spans="1:13" x14ac:dyDescent="0.2">
      <c r="A661" s="130"/>
      <c r="B661" s="125"/>
      <c r="C661" s="147"/>
      <c r="D661" s="236"/>
      <c r="E661" s="148"/>
      <c r="F661" s="369"/>
      <c r="G661" s="369"/>
      <c r="H661" s="369"/>
      <c r="I661" s="370"/>
      <c r="J661" s="125"/>
      <c r="K661" s="146"/>
      <c r="L661" s="125"/>
      <c r="M661" s="125"/>
    </row>
    <row r="662" spans="1:13" x14ac:dyDescent="0.2">
      <c r="A662" s="130"/>
      <c r="B662" s="125"/>
      <c r="C662" s="147"/>
      <c r="D662" s="236"/>
      <c r="E662" s="148"/>
      <c r="F662" s="369"/>
      <c r="G662" s="369"/>
      <c r="H662" s="369"/>
      <c r="I662" s="370"/>
      <c r="J662" s="125"/>
      <c r="K662" s="146"/>
      <c r="L662" s="125"/>
      <c r="M662" s="125"/>
    </row>
    <row r="663" spans="1:13" x14ac:dyDescent="0.2">
      <c r="A663" s="130"/>
      <c r="B663" s="125"/>
      <c r="C663" s="147"/>
      <c r="D663" s="236"/>
      <c r="E663" s="148"/>
      <c r="F663" s="369"/>
      <c r="G663" s="369"/>
      <c r="H663" s="369"/>
      <c r="I663" s="370"/>
      <c r="J663" s="125"/>
      <c r="K663" s="146"/>
      <c r="L663" s="125"/>
      <c r="M663" s="125"/>
    </row>
    <row r="664" spans="1:13" x14ac:dyDescent="0.2">
      <c r="A664" s="130"/>
      <c r="B664" s="125"/>
      <c r="C664" s="147"/>
      <c r="D664" s="236"/>
      <c r="E664" s="148"/>
      <c r="F664" s="369"/>
      <c r="G664" s="369"/>
      <c r="H664" s="369"/>
      <c r="I664" s="370"/>
      <c r="J664" s="125"/>
      <c r="K664" s="146"/>
      <c r="L664" s="125"/>
      <c r="M664" s="125"/>
    </row>
    <row r="665" spans="1:13" x14ac:dyDescent="0.2">
      <c r="A665" s="130"/>
      <c r="B665" s="125"/>
      <c r="C665" s="147"/>
      <c r="D665" s="236"/>
      <c r="E665" s="148"/>
      <c r="F665" s="369"/>
      <c r="G665" s="369"/>
      <c r="H665" s="369"/>
      <c r="I665" s="370"/>
      <c r="J665" s="125"/>
      <c r="K665" s="146"/>
      <c r="L665" s="125"/>
      <c r="M665" s="125"/>
    </row>
    <row r="666" spans="1:13" x14ac:dyDescent="0.2">
      <c r="A666" s="130"/>
      <c r="B666" s="125"/>
      <c r="C666" s="147"/>
      <c r="D666" s="125"/>
      <c r="E666" s="148"/>
      <c r="F666" s="369"/>
      <c r="G666" s="369"/>
      <c r="H666" s="369"/>
      <c r="I666" s="370"/>
      <c r="J666" s="125"/>
      <c r="K666" s="146"/>
      <c r="L666" s="125"/>
      <c r="M666" s="125"/>
    </row>
    <row r="667" spans="1:13" x14ac:dyDescent="0.2">
      <c r="A667" s="130"/>
      <c r="B667" s="125"/>
      <c r="C667" s="147"/>
      <c r="D667" s="125"/>
      <c r="E667" s="148"/>
      <c r="F667" s="369"/>
      <c r="G667" s="369"/>
      <c r="H667" s="369"/>
      <c r="I667" s="370"/>
      <c r="J667" s="125"/>
      <c r="K667" s="146"/>
      <c r="L667" s="125"/>
      <c r="M667" s="125"/>
    </row>
    <row r="668" spans="1:13" x14ac:dyDescent="0.2">
      <c r="A668" s="130"/>
      <c r="B668" s="125"/>
      <c r="C668" s="147"/>
      <c r="D668" s="125"/>
      <c r="E668" s="148"/>
      <c r="F668" s="369"/>
      <c r="G668" s="369"/>
      <c r="H668" s="369"/>
      <c r="I668" s="370"/>
      <c r="J668" s="125"/>
      <c r="K668" s="146"/>
      <c r="L668" s="125"/>
      <c r="M668" s="125"/>
    </row>
    <row r="669" spans="1:13" x14ac:dyDescent="0.2">
      <c r="A669" s="130"/>
      <c r="B669" s="125"/>
      <c r="C669" s="147"/>
      <c r="D669" s="125"/>
      <c r="E669" s="148"/>
      <c r="F669" s="369"/>
      <c r="G669" s="369"/>
      <c r="H669" s="369"/>
      <c r="I669" s="370"/>
      <c r="J669" s="125"/>
      <c r="K669" s="146"/>
      <c r="L669" s="125"/>
      <c r="M669" s="125"/>
    </row>
    <row r="670" spans="1:13" x14ac:dyDescent="0.2">
      <c r="A670" s="130"/>
      <c r="B670" s="125"/>
      <c r="C670" s="147"/>
      <c r="D670" s="125"/>
      <c r="E670" s="148"/>
      <c r="F670" s="369"/>
      <c r="G670" s="369"/>
      <c r="H670" s="369"/>
      <c r="I670" s="370"/>
      <c r="J670" s="125"/>
      <c r="K670" s="146"/>
      <c r="L670" s="125"/>
      <c r="M670" s="125"/>
    </row>
    <row r="671" spans="1:13" x14ac:dyDescent="0.2">
      <c r="A671" s="130"/>
      <c r="B671" s="125"/>
      <c r="C671" s="147"/>
      <c r="D671" s="125"/>
      <c r="E671" s="148"/>
      <c r="F671" s="369"/>
      <c r="G671" s="369"/>
      <c r="H671" s="369"/>
      <c r="I671" s="370"/>
      <c r="J671" s="125"/>
      <c r="K671" s="146"/>
      <c r="L671" s="125"/>
      <c r="M671" s="125"/>
    </row>
    <row r="672" spans="1:13" x14ac:dyDescent="0.2">
      <c r="A672" s="130"/>
      <c r="B672" s="125"/>
      <c r="C672" s="147"/>
      <c r="D672" s="125"/>
      <c r="E672" s="148"/>
      <c r="F672" s="369"/>
      <c r="G672" s="369"/>
      <c r="H672" s="369"/>
      <c r="I672" s="370"/>
      <c r="J672" s="125"/>
      <c r="K672" s="146"/>
      <c r="L672" s="125"/>
      <c r="M672" s="125"/>
    </row>
    <row r="673" spans="1:20" x14ac:dyDescent="0.2">
      <c r="A673" s="130"/>
      <c r="B673" s="125"/>
      <c r="C673" s="147"/>
      <c r="D673" s="125"/>
      <c r="E673" s="148"/>
      <c r="F673" s="369"/>
      <c r="G673" s="369"/>
      <c r="H673" s="369"/>
      <c r="I673" s="370"/>
      <c r="J673" s="125"/>
      <c r="K673" s="146"/>
      <c r="L673" s="125"/>
      <c r="M673" s="125"/>
    </row>
    <row r="674" spans="1:20" x14ac:dyDescent="0.2">
      <c r="A674" s="130"/>
      <c r="B674" s="125"/>
      <c r="C674" s="147"/>
      <c r="D674" s="125"/>
      <c r="E674" s="148"/>
      <c r="F674" s="369"/>
      <c r="G674" s="369"/>
      <c r="H674" s="369"/>
      <c r="I674" s="370"/>
      <c r="J674" s="125"/>
      <c r="K674" s="146"/>
      <c r="L674" s="125"/>
      <c r="M674" s="125"/>
    </row>
    <row r="675" spans="1:20" x14ac:dyDescent="0.2">
      <c r="A675" s="130"/>
      <c r="B675" s="125"/>
      <c r="C675" s="147"/>
      <c r="D675" s="125"/>
      <c r="E675" s="148"/>
      <c r="F675" s="369"/>
      <c r="G675" s="369"/>
      <c r="H675" s="369"/>
      <c r="I675" s="370"/>
      <c r="J675" s="125"/>
      <c r="K675" s="146"/>
      <c r="L675" s="125"/>
      <c r="M675" s="125"/>
    </row>
    <row r="676" spans="1:20" x14ac:dyDescent="0.2">
      <c r="A676" s="130"/>
      <c r="B676" s="125"/>
      <c r="C676" s="147"/>
      <c r="D676" s="125"/>
      <c r="E676" s="368"/>
      <c r="F676" s="146"/>
      <c r="G676" s="369"/>
      <c r="H676" s="369"/>
      <c r="I676" s="370"/>
      <c r="J676" s="125"/>
      <c r="K676" s="146"/>
      <c r="L676" s="125"/>
      <c r="M676" s="125"/>
    </row>
    <row r="677" spans="1:20" x14ac:dyDescent="0.2">
      <c r="A677" s="130"/>
      <c r="B677" s="125"/>
      <c r="C677" s="147"/>
      <c r="D677" s="125"/>
      <c r="E677" s="368"/>
      <c r="F677" s="146"/>
      <c r="G677" s="369"/>
      <c r="H677" s="369"/>
      <c r="I677" s="370"/>
      <c r="J677" s="125"/>
      <c r="K677" s="146"/>
      <c r="L677" s="125"/>
      <c r="M677" s="125"/>
    </row>
    <row r="678" spans="1:20" x14ac:dyDescent="0.2">
      <c r="A678" s="130"/>
      <c r="B678" s="125"/>
      <c r="C678" s="147"/>
      <c r="D678" s="125"/>
      <c r="E678" s="368"/>
      <c r="F678" s="146"/>
      <c r="G678" s="369"/>
      <c r="H678" s="369"/>
      <c r="I678" s="370"/>
      <c r="J678" s="125"/>
      <c r="K678" s="146"/>
      <c r="L678" s="125"/>
      <c r="M678" s="125"/>
    </row>
    <row r="679" spans="1:20" x14ac:dyDescent="0.2">
      <c r="A679" s="130"/>
      <c r="B679" s="125"/>
      <c r="C679" s="147"/>
      <c r="D679" s="125"/>
      <c r="E679" s="368"/>
      <c r="F679" s="146"/>
      <c r="G679" s="369"/>
      <c r="H679" s="369"/>
      <c r="I679" s="370"/>
      <c r="J679" s="125"/>
      <c r="K679" s="146"/>
      <c r="L679" s="125"/>
      <c r="M679" s="125"/>
    </row>
    <row r="680" spans="1:20" x14ac:dyDescent="0.2">
      <c r="A680" s="130"/>
      <c r="B680" s="125"/>
      <c r="C680" s="147"/>
      <c r="D680" s="125"/>
      <c r="E680" s="368"/>
      <c r="F680" s="146"/>
      <c r="G680" s="369"/>
      <c r="H680" s="369"/>
      <c r="I680" s="370"/>
      <c r="J680" s="125"/>
      <c r="K680" s="146"/>
      <c r="L680" s="125"/>
      <c r="M680" s="125"/>
    </row>
    <row r="681" spans="1:20" x14ac:dyDescent="0.2">
      <c r="A681" s="130"/>
      <c r="B681" s="125"/>
      <c r="C681" s="147"/>
      <c r="D681" s="125"/>
      <c r="E681" s="368"/>
      <c r="F681" s="146"/>
      <c r="G681" s="369"/>
      <c r="H681" s="369"/>
      <c r="I681" s="370"/>
      <c r="J681" s="125"/>
      <c r="K681" s="146"/>
      <c r="L681" s="125"/>
      <c r="M681" s="125"/>
    </row>
    <row r="682" spans="1:20" x14ac:dyDescent="0.2">
      <c r="A682" s="130"/>
      <c r="B682" s="125"/>
      <c r="C682" s="147"/>
      <c r="D682" s="125"/>
      <c r="E682" s="368"/>
      <c r="F682" s="146"/>
      <c r="G682" s="146"/>
      <c r="H682" s="146"/>
      <c r="I682" s="370"/>
      <c r="J682" s="125"/>
      <c r="K682" s="146"/>
      <c r="L682" s="125"/>
      <c r="M682" s="125"/>
    </row>
    <row r="683" spans="1:20" x14ac:dyDescent="0.2">
      <c r="A683" s="130"/>
      <c r="B683" s="125"/>
      <c r="C683" s="124"/>
      <c r="D683" s="371"/>
      <c r="E683" s="368"/>
      <c r="F683" s="146"/>
      <c r="G683" s="146"/>
      <c r="H683" s="146"/>
      <c r="I683" s="370"/>
      <c r="J683" s="125"/>
      <c r="K683" s="146"/>
      <c r="L683" s="125"/>
      <c r="M683" s="125"/>
    </row>
    <row r="684" spans="1:20" x14ac:dyDescent="0.2">
      <c r="A684" s="130"/>
      <c r="B684" s="125"/>
      <c r="C684" s="147"/>
      <c r="D684" s="137"/>
      <c r="E684" s="149"/>
      <c r="F684" s="146"/>
      <c r="G684" s="369"/>
      <c r="H684" s="146"/>
      <c r="I684" s="372"/>
      <c r="J684" s="125"/>
      <c r="K684" s="146"/>
      <c r="L684" s="125"/>
      <c r="M684" s="125"/>
    </row>
    <row r="685" spans="1:20" x14ac:dyDescent="0.2">
      <c r="A685" s="130"/>
      <c r="B685" s="125"/>
      <c r="C685" s="147"/>
      <c r="D685" s="125"/>
      <c r="E685" s="368"/>
      <c r="F685" s="146"/>
      <c r="G685" s="369"/>
      <c r="H685" s="369"/>
      <c r="I685" s="370"/>
      <c r="J685" s="125"/>
      <c r="K685" s="146"/>
      <c r="L685" s="125"/>
      <c r="M685" s="125"/>
    </row>
    <row r="686" spans="1:20" x14ac:dyDescent="0.2">
      <c r="A686" s="130"/>
      <c r="B686" s="125"/>
      <c r="C686" s="147"/>
      <c r="D686" s="125"/>
      <c r="E686" s="368"/>
      <c r="F686" s="146"/>
      <c r="G686" s="369"/>
      <c r="H686" s="369"/>
      <c r="I686" s="370"/>
      <c r="J686" s="125"/>
      <c r="K686" s="146"/>
      <c r="L686" s="125"/>
      <c r="M686" s="125"/>
    </row>
    <row r="687" spans="1:20" x14ac:dyDescent="0.2">
      <c r="A687" s="130"/>
      <c r="B687" s="125"/>
      <c r="C687" s="147"/>
      <c r="D687" s="125"/>
      <c r="E687" s="368"/>
      <c r="F687" s="146"/>
      <c r="G687" s="369"/>
      <c r="H687" s="369"/>
      <c r="I687" s="373"/>
      <c r="J687" s="125"/>
      <c r="K687" s="146"/>
      <c r="L687" s="125"/>
      <c r="M687" s="125"/>
      <c r="R687" s="43"/>
      <c r="S687" s="43"/>
      <c r="T687" s="44"/>
    </row>
    <row r="688" spans="1:20" x14ac:dyDescent="0.2">
      <c r="A688" s="130"/>
      <c r="B688" s="125"/>
      <c r="C688" s="147"/>
      <c r="D688" s="125"/>
      <c r="E688" s="149"/>
      <c r="F688" s="137"/>
      <c r="G688" s="369"/>
      <c r="H688" s="369"/>
      <c r="I688" s="372"/>
      <c r="J688" s="125"/>
      <c r="K688" s="146"/>
      <c r="L688" s="125"/>
      <c r="M688" s="125"/>
      <c r="R688" s="43"/>
      <c r="S688" s="43"/>
      <c r="T688" s="44"/>
    </row>
    <row r="689" spans="1:35" x14ac:dyDescent="0.2">
      <c r="A689" s="130"/>
      <c r="B689" s="125"/>
      <c r="C689" s="147"/>
      <c r="D689" s="125"/>
      <c r="E689" s="368"/>
      <c r="F689" s="146"/>
      <c r="G689" s="369"/>
      <c r="H689" s="369"/>
      <c r="I689" s="370"/>
      <c r="J689" s="125"/>
      <c r="K689" s="146"/>
      <c r="L689" s="125"/>
      <c r="M689" s="125"/>
      <c r="R689" s="43"/>
      <c r="S689" s="43"/>
      <c r="T689" s="44"/>
    </row>
    <row r="690" spans="1:35" x14ac:dyDescent="0.2">
      <c r="A690" s="130"/>
      <c r="B690" s="125"/>
      <c r="C690" s="124"/>
      <c r="D690" s="125"/>
      <c r="E690" s="368"/>
      <c r="F690" s="146"/>
      <c r="G690" s="146"/>
      <c r="H690" s="146"/>
      <c r="I690" s="366"/>
      <c r="J690" s="125"/>
      <c r="K690" s="146"/>
      <c r="L690" s="125"/>
      <c r="M690" s="125"/>
    </row>
    <row r="691" spans="1:35" x14ac:dyDescent="0.2">
      <c r="A691" s="130"/>
      <c r="B691" s="125"/>
      <c r="C691" s="125"/>
      <c r="D691" s="125"/>
      <c r="E691" s="130"/>
      <c r="F691" s="146"/>
      <c r="G691" s="146"/>
      <c r="H691" s="146"/>
      <c r="I691" s="366"/>
      <c r="J691" s="125"/>
      <c r="K691" s="146"/>
      <c r="L691" s="125"/>
      <c r="M691" s="125"/>
      <c r="O691" s="39"/>
    </row>
    <row r="692" spans="1:35" x14ac:dyDescent="0.2">
      <c r="A692" s="125"/>
      <c r="B692" s="125"/>
      <c r="C692" s="125"/>
      <c r="D692" s="125"/>
      <c r="E692" s="130"/>
      <c r="F692" s="146"/>
      <c r="G692" s="146"/>
      <c r="H692" s="146"/>
      <c r="I692" s="366"/>
      <c r="J692" s="125"/>
      <c r="K692" s="146"/>
      <c r="L692" s="125"/>
      <c r="M692" s="125"/>
      <c r="O692" s="39"/>
      <c r="P692" s="39"/>
      <c r="R692" s="43"/>
      <c r="S692" s="43"/>
    </row>
    <row r="693" spans="1:35" x14ac:dyDescent="0.2">
      <c r="A693" s="125"/>
      <c r="B693" s="125"/>
      <c r="C693" s="125"/>
      <c r="D693" s="125"/>
      <c r="E693" s="125"/>
      <c r="F693" s="374"/>
      <c r="G693" s="374"/>
      <c r="H693" s="374"/>
      <c r="I693" s="366"/>
      <c r="J693" s="125"/>
      <c r="K693" s="374"/>
      <c r="L693" s="125"/>
      <c r="M693" s="125"/>
      <c r="O693" s="39"/>
      <c r="P693" s="39"/>
      <c r="R693" s="43"/>
      <c r="S693" s="43"/>
    </row>
    <row r="694" spans="1:35" x14ac:dyDescent="0.2">
      <c r="A694" s="45"/>
      <c r="R694" s="43"/>
      <c r="S694" s="43"/>
      <c r="AD694" s="14"/>
      <c r="AE694" s="15"/>
      <c r="AF694" s="15"/>
      <c r="AG694" s="15"/>
      <c r="AI694" s="15"/>
    </row>
    <row r="713" spans="24:35" x14ac:dyDescent="0.2">
      <c r="X713" s="23"/>
    </row>
    <row r="714" spans="24:35" x14ac:dyDescent="0.2">
      <c r="X714" s="23"/>
    </row>
    <row r="715" spans="24:35" x14ac:dyDescent="0.2">
      <c r="X715" s="23"/>
    </row>
    <row r="716" spans="24:35" x14ac:dyDescent="0.2">
      <c r="X716" s="23"/>
    </row>
    <row r="717" spans="24:35" x14ac:dyDescent="0.2">
      <c r="X717" s="23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</row>
    <row r="718" spans="24:35" x14ac:dyDescent="0.2"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</row>
    <row r="750" spans="2:14" x14ac:dyDescent="0.2">
      <c r="B750" s="5"/>
      <c r="C750" s="5"/>
      <c r="D750" s="5"/>
      <c r="E750" s="5"/>
      <c r="F750" s="5"/>
      <c r="H750" s="5"/>
      <c r="J750" s="5"/>
      <c r="L750" s="5"/>
      <c r="M750" s="5"/>
      <c r="N750" s="43"/>
    </row>
    <row r="757" spans="21:21" x14ac:dyDescent="0.2">
      <c r="U757" s="44"/>
    </row>
    <row r="758" spans="21:21" x14ac:dyDescent="0.2">
      <c r="U758" s="44"/>
    </row>
    <row r="759" spans="21:21" x14ac:dyDescent="0.2">
      <c r="U759" s="44"/>
    </row>
    <row r="760" spans="21:21" x14ac:dyDescent="0.2">
      <c r="U760" s="44"/>
    </row>
    <row r="761" spans="21:21" x14ac:dyDescent="0.2">
      <c r="U761" s="44"/>
    </row>
    <row r="762" spans="21:21" x14ac:dyDescent="0.2">
      <c r="U762" s="44"/>
    </row>
    <row r="763" spans="21:21" x14ac:dyDescent="0.2">
      <c r="U763" s="44"/>
    </row>
    <row r="764" spans="21:21" x14ac:dyDescent="0.2">
      <c r="U764" s="44"/>
    </row>
    <row r="775" spans="26:35" x14ac:dyDescent="0.2"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</row>
    <row r="776" spans="26:35" x14ac:dyDescent="0.2">
      <c r="Z776" s="23"/>
      <c r="AA776" s="23"/>
      <c r="AB776" s="23"/>
      <c r="AC776" s="23"/>
      <c r="AD776" s="23"/>
      <c r="AE776" s="23"/>
      <c r="AF776" s="23"/>
      <c r="AG776" s="23"/>
      <c r="AH776" s="23"/>
      <c r="AI776" s="23"/>
    </row>
    <row r="778" spans="26:35" x14ac:dyDescent="0.2"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</row>
    <row r="831" spans="36:36" x14ac:dyDescent="0.2">
      <c r="AJ831" s="26"/>
    </row>
    <row r="925" spans="24:26" x14ac:dyDescent="0.2">
      <c r="X925" s="14"/>
      <c r="Z925" s="15"/>
    </row>
    <row r="952" spans="36:36" x14ac:dyDescent="0.2">
      <c r="AJ952" s="4"/>
    </row>
    <row r="997" spans="28:28" x14ac:dyDescent="0.2">
      <c r="AB997" s="5" t="s">
        <v>2</v>
      </c>
    </row>
    <row r="1034" spans="28:28" x14ac:dyDescent="0.2">
      <c r="AB1034" s="3" t="str">
        <f>AB997</f>
        <v xml:space="preserve"> </v>
      </c>
    </row>
    <row r="1120" spans="36:36" x14ac:dyDescent="0.2">
      <c r="AJ1120" s="50"/>
    </row>
    <row r="1133" spans="36:36" x14ac:dyDescent="0.2">
      <c r="AJ1133" s="50"/>
    </row>
    <row r="1470" spans="23:24" x14ac:dyDescent="0.2">
      <c r="W1470" s="25"/>
      <c r="X1470" s="25"/>
    </row>
  </sheetData>
  <mergeCells count="5">
    <mergeCell ref="A642:K642"/>
    <mergeCell ref="A638:K638"/>
    <mergeCell ref="A639:K639"/>
    <mergeCell ref="A640:K640"/>
    <mergeCell ref="A641:K641"/>
  </mergeCells>
  <phoneticPr fontId="3" type="noConversion"/>
  <printOptions horizontalCentered="1"/>
  <pageMargins left="0" right="0" top="1" bottom="0.55000000000000004" header="0.5" footer="0.5"/>
  <pageSetup scale="87" fitToHeight="2" orientation="landscape" r:id="rId1"/>
  <headerFooter alignWithMargins="0"/>
  <rowBreaks count="30" manualBreakCount="30">
    <brk id="20" min="21" max="34" man="1"/>
    <brk id="70" min="21" max="34" man="1"/>
    <brk id="113" min="21" max="34" man="1"/>
    <brk id="152" min="21" max="34" man="1"/>
    <brk id="196" min="21" max="34" man="1"/>
    <brk id="237" min="21" max="34" man="1"/>
    <brk id="282" min="21" max="34" man="1"/>
    <brk id="350" min="21" max="34" man="1"/>
    <brk id="374" min="21" max="34" man="1"/>
    <brk id="412" max="16383" man="1"/>
    <brk id="445" min="21" max="34" man="1"/>
    <brk id="481" min="21" max="34" man="1"/>
    <brk id="520" min="21" max="34" man="1"/>
    <brk id="553" min="21" max="34" man="1"/>
    <brk id="620" min="21" max="34" man="1"/>
    <brk id="660" min="21" max="34" man="1"/>
    <brk id="694" min="21" max="34" man="1"/>
    <brk id="721" min="21" max="34" man="1"/>
    <brk id="752" min="21" max="34" man="1"/>
    <brk id="782" min="21" max="34" man="1"/>
    <brk id="819" min="21" max="34" man="1"/>
    <brk id="855" min="21" max="34" man="1"/>
    <brk id="890" min="21" max="34" man="1"/>
    <brk id="928" min="21" max="34" man="1"/>
    <brk id="960" min="21" max="34" man="1"/>
    <brk id="997" min="21" max="34" man="1"/>
    <brk id="1034" min="21" max="34" man="1"/>
    <brk id="1079" min="21" max="34" man="1"/>
    <brk id="1114" min="21" max="34" man="1"/>
    <brk id="1151" min="21" max="3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activeCell="C39" sqref="C39"/>
    </sheetView>
  </sheetViews>
  <sheetFormatPr defaultRowHeight="12" x14ac:dyDescent="0.2"/>
  <cols>
    <col min="1" max="1" width="18.83203125" style="7" customWidth="1"/>
    <col min="2" max="2" width="9.33203125" style="7"/>
    <col min="3" max="3" width="13.6640625" style="7" customWidth="1"/>
    <col min="4" max="4" width="17" style="7" bestFit="1" customWidth="1"/>
    <col min="5" max="5" width="12" style="7" customWidth="1"/>
    <col min="6" max="6" width="9.33203125" style="7"/>
    <col min="7" max="7" width="9.5" style="7" customWidth="1"/>
    <col min="8" max="8" width="9.33203125" style="7"/>
    <col min="9" max="10" width="10.83203125" style="7" bestFit="1" customWidth="1"/>
    <col min="11" max="16384" width="9.33203125" style="7"/>
  </cols>
  <sheetData>
    <row r="1" spans="1:11" x14ac:dyDescent="0.2">
      <c r="B1" s="12"/>
      <c r="E1" s="343" t="s">
        <v>580</v>
      </c>
    </row>
    <row r="2" spans="1:11" x14ac:dyDescent="0.2">
      <c r="A2" s="58"/>
      <c r="B2" s="58"/>
      <c r="C2" s="61"/>
      <c r="D2" s="11"/>
      <c r="E2" s="57" t="s">
        <v>581</v>
      </c>
      <c r="F2" s="11"/>
      <c r="G2" s="11"/>
      <c r="H2" s="11"/>
      <c r="I2" s="11"/>
      <c r="J2" s="11"/>
    </row>
    <row r="3" spans="1:11" x14ac:dyDescent="0.2">
      <c r="A3" s="58"/>
      <c r="B3" s="58"/>
      <c r="C3" s="61"/>
      <c r="D3" s="11"/>
      <c r="E3" s="57" t="s">
        <v>958</v>
      </c>
      <c r="F3" s="11"/>
      <c r="G3" s="11"/>
      <c r="H3" s="11"/>
      <c r="I3" s="11"/>
      <c r="J3" s="11"/>
    </row>
    <row r="4" spans="1:11" x14ac:dyDescent="0.2">
      <c r="A4" s="58"/>
      <c r="B4" s="58"/>
      <c r="C4" s="61"/>
      <c r="D4" s="11"/>
      <c r="E4" s="57"/>
      <c r="F4" s="11"/>
      <c r="G4" s="11"/>
      <c r="H4" s="11"/>
      <c r="I4" s="11"/>
      <c r="J4" s="11"/>
    </row>
    <row r="5" spans="1:11" x14ac:dyDescent="0.2">
      <c r="A5" s="58" t="s">
        <v>436</v>
      </c>
      <c r="B5" s="59" t="s">
        <v>626</v>
      </c>
      <c r="C5" s="61"/>
      <c r="D5" s="11"/>
      <c r="E5" s="11"/>
      <c r="F5" s="11"/>
      <c r="G5" s="11"/>
      <c r="H5" s="11"/>
      <c r="I5" s="11"/>
      <c r="J5" s="11"/>
    </row>
    <row r="6" spans="1:11" x14ac:dyDescent="0.2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1" x14ac:dyDescent="0.2">
      <c r="A7" s="60" t="s">
        <v>440</v>
      </c>
      <c r="B7" s="60"/>
      <c r="C7" s="61"/>
      <c r="D7" s="61"/>
      <c r="E7" s="61"/>
      <c r="F7" s="61"/>
      <c r="G7" s="61"/>
      <c r="H7" s="11"/>
      <c r="I7" s="11"/>
      <c r="J7" s="11"/>
      <c r="K7" s="76"/>
    </row>
    <row r="8" spans="1:11" x14ac:dyDescent="0.2">
      <c r="A8" s="62" t="s">
        <v>437</v>
      </c>
      <c r="B8" s="62"/>
      <c r="C8" s="61" t="s">
        <v>12</v>
      </c>
      <c r="D8" s="61" t="str">
        <f>Input!C12</f>
        <v>GS-RESIDENTIAL</v>
      </c>
      <c r="E8" s="61" t="str">
        <f>Input!C13</f>
        <v>GS-OTHER</v>
      </c>
      <c r="F8" s="61" t="str">
        <f>Input!C14</f>
        <v>IUS</v>
      </c>
      <c r="G8" s="61" t="str">
        <f>Input!C15</f>
        <v>DS-ML</v>
      </c>
      <c r="H8" s="61" t="str">
        <f>Input!C16</f>
        <v>DS/IS</v>
      </c>
      <c r="I8" s="61" t="str">
        <f>Input!C17</f>
        <v>NOT USED</v>
      </c>
      <c r="J8" s="61" t="str">
        <f>Input!C18</f>
        <v>NOT USED</v>
      </c>
    </row>
    <row r="9" spans="1:11" x14ac:dyDescent="0.2">
      <c r="A9" s="62"/>
      <c r="B9" s="62"/>
      <c r="C9" s="77"/>
      <c r="D9" s="77"/>
      <c r="E9" s="77"/>
      <c r="F9" s="77"/>
      <c r="G9" s="77"/>
      <c r="H9" s="77"/>
      <c r="I9" s="77"/>
      <c r="J9" s="77"/>
      <c r="K9" s="78"/>
    </row>
    <row r="10" spans="1:11" x14ac:dyDescent="0.2">
      <c r="A10" s="62" t="s">
        <v>445</v>
      </c>
      <c r="B10" s="62"/>
      <c r="C10" s="79"/>
      <c r="D10" s="79"/>
      <c r="E10" s="79"/>
      <c r="F10" s="79"/>
      <c r="G10" s="79"/>
      <c r="H10" s="79"/>
      <c r="I10" s="79"/>
      <c r="J10" s="79"/>
      <c r="K10" s="78"/>
    </row>
    <row r="11" spans="1:11" x14ac:dyDescent="0.2">
      <c r="A11" s="62" t="s">
        <v>433</v>
      </c>
      <c r="B11" s="62"/>
      <c r="C11" s="79">
        <f t="shared" ref="C11:C21" si="0">SUM(D11:J11)</f>
        <v>1180666</v>
      </c>
      <c r="D11" s="79">
        <v>1180666</v>
      </c>
      <c r="E11" s="79"/>
      <c r="F11" s="79"/>
      <c r="G11" s="79"/>
      <c r="H11" s="79"/>
      <c r="I11" s="79"/>
      <c r="J11" s="79"/>
      <c r="K11" s="78"/>
    </row>
    <row r="12" spans="1:11" x14ac:dyDescent="0.2">
      <c r="A12" s="62" t="s">
        <v>448</v>
      </c>
      <c r="B12" s="62"/>
      <c r="C12" s="79">
        <f t="shared" si="0"/>
        <v>41</v>
      </c>
      <c r="D12" s="79"/>
      <c r="E12" s="79">
        <v>41</v>
      </c>
      <c r="F12" s="79"/>
      <c r="G12" s="79"/>
      <c r="H12" s="79"/>
      <c r="I12" s="79"/>
      <c r="J12" s="79"/>
      <c r="K12" s="78"/>
    </row>
    <row r="13" spans="1:11" x14ac:dyDescent="0.2">
      <c r="A13" s="62" t="s">
        <v>439</v>
      </c>
      <c r="B13" s="62"/>
      <c r="C13" s="79">
        <f t="shared" si="0"/>
        <v>192</v>
      </c>
      <c r="D13" s="79">
        <v>192</v>
      </c>
      <c r="E13" s="79"/>
      <c r="F13" s="79"/>
      <c r="G13" s="79"/>
      <c r="H13" s="79"/>
      <c r="I13" s="79"/>
      <c r="J13" s="79"/>
      <c r="K13" s="78"/>
    </row>
    <row r="14" spans="1:11" x14ac:dyDescent="0.2">
      <c r="A14" s="62" t="s">
        <v>450</v>
      </c>
      <c r="B14" s="62"/>
      <c r="C14" s="79">
        <f t="shared" si="0"/>
        <v>108</v>
      </c>
      <c r="D14" s="79">
        <v>108</v>
      </c>
      <c r="E14" s="79"/>
      <c r="F14" s="79"/>
      <c r="G14" s="79"/>
      <c r="H14" s="79"/>
      <c r="I14" s="79"/>
      <c r="J14" s="79"/>
      <c r="K14" s="78"/>
    </row>
    <row r="15" spans="1:11" x14ac:dyDescent="0.2">
      <c r="A15" s="62" t="s">
        <v>435</v>
      </c>
      <c r="B15" s="62"/>
      <c r="C15" s="79">
        <f t="shared" si="0"/>
        <v>36</v>
      </c>
      <c r="D15" s="79">
        <v>36</v>
      </c>
      <c r="E15" s="79"/>
      <c r="F15" s="79"/>
      <c r="G15" s="79"/>
      <c r="H15" s="79"/>
      <c r="I15" s="79"/>
      <c r="J15" s="79"/>
      <c r="K15" s="78"/>
    </row>
    <row r="16" spans="1:11" x14ac:dyDescent="0.2">
      <c r="A16" s="62" t="s">
        <v>449</v>
      </c>
      <c r="B16" s="62"/>
      <c r="C16" s="79">
        <f t="shared" si="0"/>
        <v>24</v>
      </c>
      <c r="D16" s="79">
        <v>12</v>
      </c>
      <c r="E16" s="79">
        <v>12</v>
      </c>
      <c r="F16" s="79"/>
      <c r="G16" s="79"/>
      <c r="H16" s="79"/>
      <c r="I16" s="79"/>
      <c r="J16" s="79"/>
      <c r="K16" s="78"/>
    </row>
    <row r="17" spans="1:11" x14ac:dyDescent="0.2">
      <c r="A17" s="62" t="s">
        <v>441</v>
      </c>
      <c r="B17" s="62"/>
      <c r="C17" s="79">
        <f t="shared" si="0"/>
        <v>12</v>
      </c>
      <c r="D17" s="109">
        <v>12</v>
      </c>
      <c r="E17" s="79"/>
      <c r="F17" s="79"/>
      <c r="G17" s="79"/>
      <c r="H17" s="79"/>
      <c r="I17" s="79"/>
      <c r="J17" s="79"/>
      <c r="K17" s="78"/>
    </row>
    <row r="18" spans="1:11" x14ac:dyDescent="0.2">
      <c r="A18" s="62" t="s">
        <v>442</v>
      </c>
      <c r="B18" s="62"/>
      <c r="C18" s="79">
        <f t="shared" si="0"/>
        <v>12</v>
      </c>
      <c r="D18" s="79">
        <v>12</v>
      </c>
      <c r="E18" s="79"/>
      <c r="F18" s="79"/>
      <c r="G18" s="79"/>
      <c r="H18" s="79"/>
      <c r="I18" s="79"/>
      <c r="J18" s="79"/>
      <c r="K18" s="78"/>
    </row>
    <row r="19" spans="1:11" x14ac:dyDescent="0.2">
      <c r="A19" s="62" t="s">
        <v>451</v>
      </c>
      <c r="B19" s="62"/>
      <c r="C19" s="79">
        <f t="shared" si="0"/>
        <v>119233</v>
      </c>
      <c r="D19" s="79"/>
      <c r="E19" s="79">
        <v>119233</v>
      </c>
      <c r="F19" s="79"/>
      <c r="G19" s="79"/>
      <c r="H19" s="79"/>
      <c r="I19" s="79"/>
      <c r="J19" s="79"/>
      <c r="K19" s="78"/>
    </row>
    <row r="20" spans="1:11" x14ac:dyDescent="0.2">
      <c r="A20" s="62" t="s">
        <v>452</v>
      </c>
      <c r="B20" s="62"/>
      <c r="C20" s="79">
        <f t="shared" si="0"/>
        <v>524</v>
      </c>
      <c r="D20" s="79"/>
      <c r="E20" s="79">
        <v>524</v>
      </c>
      <c r="F20" s="79"/>
      <c r="G20" s="79"/>
      <c r="H20" s="79"/>
      <c r="I20" s="79"/>
      <c r="J20" s="79"/>
      <c r="K20" s="78"/>
    </row>
    <row r="21" spans="1:11" x14ac:dyDescent="0.2">
      <c r="A21" s="62" t="s">
        <v>470</v>
      </c>
      <c r="B21" s="62"/>
      <c r="C21" s="79">
        <f t="shared" si="0"/>
        <v>24</v>
      </c>
      <c r="D21" s="109">
        <v>0</v>
      </c>
      <c r="E21" s="109">
        <v>0</v>
      </c>
      <c r="F21" s="79">
        <v>24</v>
      </c>
      <c r="G21" s="109">
        <v>0</v>
      </c>
      <c r="H21" s="83"/>
      <c r="I21" s="79">
        <v>0</v>
      </c>
      <c r="J21" s="79">
        <v>0</v>
      </c>
      <c r="K21" s="78"/>
    </row>
    <row r="22" spans="1:11" ht="14.25" x14ac:dyDescent="0.35">
      <c r="A22" s="67" t="s">
        <v>471</v>
      </c>
      <c r="B22" s="67"/>
      <c r="C22" s="81">
        <f t="shared" ref="C22:J22" si="1">SUM(C11:C21)</f>
        <v>1300872</v>
      </c>
      <c r="D22" s="81">
        <f t="shared" si="1"/>
        <v>1181038</v>
      </c>
      <c r="E22" s="81">
        <f t="shared" si="1"/>
        <v>119810</v>
      </c>
      <c r="F22" s="82">
        <f t="shared" si="1"/>
        <v>24</v>
      </c>
      <c r="G22" s="81">
        <f t="shared" si="1"/>
        <v>0</v>
      </c>
      <c r="H22" s="82">
        <f t="shared" si="1"/>
        <v>0</v>
      </c>
      <c r="I22" s="82">
        <f t="shared" si="1"/>
        <v>0</v>
      </c>
      <c r="J22" s="82">
        <f t="shared" si="1"/>
        <v>0</v>
      </c>
      <c r="K22" s="78"/>
    </row>
    <row r="23" spans="1:11" x14ac:dyDescent="0.2">
      <c r="A23" s="62" t="s">
        <v>446</v>
      </c>
      <c r="B23" s="62"/>
      <c r="C23" s="79">
        <f t="shared" ref="C23:C36" si="2">SUM(D23:J23)</f>
        <v>281946</v>
      </c>
      <c r="D23" s="79">
        <v>281946</v>
      </c>
      <c r="E23" s="79"/>
      <c r="F23" s="79"/>
      <c r="G23" s="79"/>
      <c r="H23" s="79"/>
      <c r="I23" s="79"/>
      <c r="J23" s="79"/>
      <c r="K23" s="78"/>
    </row>
    <row r="24" spans="1:11" x14ac:dyDescent="0.2">
      <c r="A24" s="62" t="s">
        <v>454</v>
      </c>
      <c r="B24" s="62"/>
      <c r="C24" s="79">
        <f t="shared" si="2"/>
        <v>47445</v>
      </c>
      <c r="D24" s="79"/>
      <c r="E24" s="79">
        <v>47445</v>
      </c>
      <c r="F24" s="79"/>
      <c r="G24" s="79"/>
      <c r="H24" s="79"/>
      <c r="I24" s="79"/>
      <c r="J24" s="79"/>
      <c r="K24" s="78"/>
    </row>
    <row r="25" spans="1:11" x14ac:dyDescent="0.2">
      <c r="A25" s="62" t="s">
        <v>455</v>
      </c>
      <c r="B25" s="62"/>
      <c r="C25" s="79">
        <f t="shared" si="2"/>
        <v>149</v>
      </c>
      <c r="D25" s="79"/>
      <c r="E25" s="79">
        <v>149</v>
      </c>
      <c r="F25" s="79"/>
      <c r="G25" s="79"/>
      <c r="H25" s="79"/>
      <c r="I25" s="79"/>
      <c r="J25" s="79"/>
      <c r="K25" s="78"/>
    </row>
    <row r="26" spans="1:11" x14ac:dyDescent="0.2">
      <c r="A26" s="62" t="s">
        <v>588</v>
      </c>
      <c r="B26" s="62"/>
      <c r="C26" s="79">
        <f t="shared" si="2"/>
        <v>428</v>
      </c>
      <c r="D26" s="79"/>
      <c r="E26" s="79"/>
      <c r="F26" s="79"/>
      <c r="G26" s="83"/>
      <c r="H26" s="79">
        <v>428</v>
      </c>
      <c r="I26" s="83"/>
      <c r="J26" s="79"/>
      <c r="K26" s="78"/>
    </row>
    <row r="27" spans="1:11" x14ac:dyDescent="0.2">
      <c r="A27" s="62" t="s">
        <v>589</v>
      </c>
      <c r="B27" s="62"/>
      <c r="C27" s="79">
        <f t="shared" si="2"/>
        <v>468</v>
      </c>
      <c r="D27" s="109"/>
      <c r="E27" s="109"/>
      <c r="F27" s="109"/>
      <c r="G27" s="83"/>
      <c r="H27" s="79">
        <v>468</v>
      </c>
      <c r="I27" s="83"/>
      <c r="J27" s="79"/>
      <c r="K27" s="78"/>
    </row>
    <row r="28" spans="1:11" x14ac:dyDescent="0.2">
      <c r="A28" s="62" t="s">
        <v>624</v>
      </c>
      <c r="B28" s="62"/>
      <c r="C28" s="79">
        <f t="shared" si="2"/>
        <v>145</v>
      </c>
      <c r="D28" s="109"/>
      <c r="E28" s="79">
        <v>145</v>
      </c>
      <c r="F28" s="109"/>
      <c r="G28" s="109"/>
      <c r="H28" s="79"/>
      <c r="I28" s="83"/>
      <c r="J28" s="79"/>
      <c r="K28" s="78"/>
    </row>
    <row r="29" spans="1:11" x14ac:dyDescent="0.2">
      <c r="A29" s="62" t="s">
        <v>625</v>
      </c>
      <c r="B29" s="62"/>
      <c r="C29" s="79">
        <f t="shared" si="2"/>
        <v>180</v>
      </c>
      <c r="D29" s="109"/>
      <c r="E29" s="79">
        <v>180</v>
      </c>
      <c r="F29" s="109"/>
      <c r="G29" s="109"/>
      <c r="H29" s="79"/>
      <c r="I29" s="83"/>
      <c r="J29" s="79"/>
      <c r="K29" s="78"/>
    </row>
    <row r="30" spans="1:11" x14ac:dyDescent="0.2">
      <c r="A30" s="62" t="s">
        <v>475</v>
      </c>
      <c r="B30" s="62"/>
      <c r="C30" s="79">
        <f t="shared" si="2"/>
        <v>36</v>
      </c>
      <c r="D30" s="109"/>
      <c r="E30" s="109"/>
      <c r="F30" s="109"/>
      <c r="G30" s="79">
        <v>36</v>
      </c>
      <c r="H30" s="83"/>
      <c r="I30" s="79"/>
      <c r="J30" s="83"/>
      <c r="K30" s="78"/>
    </row>
    <row r="31" spans="1:11" x14ac:dyDescent="0.2">
      <c r="A31" s="62" t="s">
        <v>476</v>
      </c>
      <c r="B31" s="62"/>
      <c r="C31" s="79">
        <f t="shared" si="2"/>
        <v>0</v>
      </c>
      <c r="D31" s="109"/>
      <c r="E31" s="79"/>
      <c r="F31" s="109"/>
      <c r="G31" s="109"/>
      <c r="H31" s="79"/>
      <c r="I31" s="79"/>
      <c r="J31" s="79"/>
      <c r="K31" s="78"/>
    </row>
    <row r="32" spans="1:11" x14ac:dyDescent="0.2">
      <c r="A32" s="62" t="s">
        <v>462</v>
      </c>
      <c r="B32" s="62"/>
      <c r="C32" s="79">
        <f t="shared" si="2"/>
        <v>12</v>
      </c>
      <c r="D32" s="109"/>
      <c r="E32" s="109"/>
      <c r="F32" s="83"/>
      <c r="G32" s="79"/>
      <c r="H32" s="79">
        <v>12</v>
      </c>
      <c r="I32" s="83"/>
      <c r="J32" s="79"/>
      <c r="K32" s="78"/>
    </row>
    <row r="33" spans="1:11" x14ac:dyDescent="0.2">
      <c r="A33" s="62" t="s">
        <v>460</v>
      </c>
      <c r="B33" s="62"/>
      <c r="C33" s="79">
        <f t="shared" si="2"/>
        <v>12</v>
      </c>
      <c r="D33" s="109"/>
      <c r="E33" s="109"/>
      <c r="F33" s="83"/>
      <c r="G33" s="79"/>
      <c r="H33" s="79">
        <v>12</v>
      </c>
      <c r="I33" s="83"/>
      <c r="J33" s="79"/>
      <c r="K33" s="78"/>
    </row>
    <row r="34" spans="1:11" x14ac:dyDescent="0.2">
      <c r="A34" s="62" t="s">
        <v>464</v>
      </c>
      <c r="B34" s="62"/>
      <c r="C34" s="79">
        <f t="shared" si="2"/>
        <v>36</v>
      </c>
      <c r="D34" s="109"/>
      <c r="E34" s="109"/>
      <c r="F34" s="83"/>
      <c r="G34" s="79">
        <v>36</v>
      </c>
      <c r="H34" s="79"/>
      <c r="I34" s="83"/>
      <c r="J34" s="79"/>
      <c r="K34" s="78"/>
    </row>
    <row r="35" spans="1:11" x14ac:dyDescent="0.2">
      <c r="A35" s="62" t="s">
        <v>592</v>
      </c>
      <c r="B35" s="62"/>
      <c r="C35" s="79">
        <f t="shared" si="2"/>
        <v>12</v>
      </c>
      <c r="D35" s="109"/>
      <c r="E35" s="83"/>
      <c r="F35" s="83"/>
      <c r="G35" s="79"/>
      <c r="H35" s="79">
        <v>12</v>
      </c>
      <c r="I35" s="83"/>
      <c r="J35" s="79"/>
      <c r="K35" s="78"/>
    </row>
    <row r="36" spans="1:11" ht="14.25" x14ac:dyDescent="0.35">
      <c r="A36" s="62" t="s">
        <v>467</v>
      </c>
      <c r="B36" s="62"/>
      <c r="C36" s="80">
        <f t="shared" si="2"/>
        <v>12</v>
      </c>
      <c r="D36" s="110">
        <v>0</v>
      </c>
      <c r="E36" s="110">
        <v>0</v>
      </c>
      <c r="F36" s="110">
        <v>0</v>
      </c>
      <c r="G36" s="110">
        <v>0</v>
      </c>
      <c r="H36" s="80">
        <v>12</v>
      </c>
      <c r="I36" s="80">
        <v>0</v>
      </c>
      <c r="J36" s="80">
        <v>0</v>
      </c>
      <c r="K36" s="78"/>
    </row>
    <row r="37" spans="1:11" ht="14.25" x14ac:dyDescent="0.35">
      <c r="A37" s="67" t="s">
        <v>472</v>
      </c>
      <c r="B37" s="67"/>
      <c r="C37" s="80">
        <f t="shared" ref="C37:J37" si="3">SUM(C23:C36)</f>
        <v>330881</v>
      </c>
      <c r="D37" s="80">
        <f t="shared" si="3"/>
        <v>281946</v>
      </c>
      <c r="E37" s="80">
        <f t="shared" si="3"/>
        <v>47919</v>
      </c>
      <c r="F37" s="80">
        <f t="shared" si="3"/>
        <v>0</v>
      </c>
      <c r="G37" s="80">
        <f t="shared" si="3"/>
        <v>72</v>
      </c>
      <c r="H37" s="80">
        <f t="shared" si="3"/>
        <v>944</v>
      </c>
      <c r="I37" s="80">
        <f t="shared" si="3"/>
        <v>0</v>
      </c>
      <c r="J37" s="80">
        <f t="shared" si="3"/>
        <v>0</v>
      </c>
      <c r="K37" s="78"/>
    </row>
    <row r="38" spans="1:11" ht="14.25" x14ac:dyDescent="0.35">
      <c r="A38" s="54" t="s">
        <v>443</v>
      </c>
      <c r="B38" s="54"/>
      <c r="C38" s="84">
        <f t="shared" ref="C38:J38" si="4">C22+C37</f>
        <v>1631753</v>
      </c>
      <c r="D38" s="84">
        <f t="shared" si="4"/>
        <v>1462984</v>
      </c>
      <c r="E38" s="84">
        <f t="shared" si="4"/>
        <v>167729</v>
      </c>
      <c r="F38" s="84">
        <f t="shared" si="4"/>
        <v>24</v>
      </c>
      <c r="G38" s="84">
        <f t="shared" si="4"/>
        <v>72</v>
      </c>
      <c r="H38" s="84">
        <f t="shared" si="4"/>
        <v>944</v>
      </c>
      <c r="I38" s="84">
        <f t="shared" si="4"/>
        <v>0</v>
      </c>
      <c r="J38" s="84">
        <f t="shared" si="4"/>
        <v>0</v>
      </c>
      <c r="K38" s="78"/>
    </row>
    <row r="39" spans="1:11" ht="14.25" x14ac:dyDescent="0.35">
      <c r="A39" s="340" t="s">
        <v>444</v>
      </c>
      <c r="B39" s="340"/>
      <c r="C39" s="85">
        <f t="shared" ref="C39:J39" si="5">ROUND(C38/12,0)</f>
        <v>135979</v>
      </c>
      <c r="D39" s="85">
        <f t="shared" si="5"/>
        <v>121915</v>
      </c>
      <c r="E39" s="85">
        <f t="shared" si="5"/>
        <v>13977</v>
      </c>
      <c r="F39" s="85">
        <f t="shared" si="5"/>
        <v>2</v>
      </c>
      <c r="G39" s="85">
        <f t="shared" si="5"/>
        <v>6</v>
      </c>
      <c r="H39" s="85">
        <f t="shared" si="5"/>
        <v>79</v>
      </c>
      <c r="I39" s="85">
        <f t="shared" si="5"/>
        <v>0</v>
      </c>
      <c r="J39" s="85">
        <f t="shared" si="5"/>
        <v>0</v>
      </c>
      <c r="K39" s="78"/>
    </row>
    <row r="40" spans="1:11" ht="14.25" x14ac:dyDescent="0.35">
      <c r="A40" s="340"/>
      <c r="B40" s="340"/>
      <c r="C40" s="85"/>
      <c r="D40" s="85"/>
      <c r="E40" s="85"/>
      <c r="F40" s="85"/>
      <c r="G40" s="85"/>
      <c r="H40" s="85"/>
      <c r="I40" s="85"/>
      <c r="J40" s="85"/>
      <c r="K40" s="78"/>
    </row>
    <row r="41" spans="1:11" ht="14.25" x14ac:dyDescent="0.35">
      <c r="A41" s="340"/>
      <c r="B41" s="340">
        <v>-1</v>
      </c>
      <c r="C41" s="86" t="s">
        <v>542</v>
      </c>
      <c r="D41" s="85"/>
      <c r="E41" s="85"/>
      <c r="F41" s="85"/>
      <c r="G41" s="85"/>
      <c r="H41" s="85"/>
      <c r="I41" s="85"/>
      <c r="J41" s="85"/>
      <c r="K41" s="78"/>
    </row>
    <row r="42" spans="1:11" ht="14.25" x14ac:dyDescent="0.35">
      <c r="A42" s="340"/>
      <c r="B42" s="340">
        <v>-2</v>
      </c>
      <c r="C42" s="86" t="s">
        <v>646</v>
      </c>
      <c r="D42" s="85"/>
      <c r="E42" s="85"/>
      <c r="F42" s="85"/>
      <c r="G42" s="85"/>
      <c r="H42" s="85"/>
      <c r="I42" s="85"/>
      <c r="J42" s="85"/>
      <c r="K42" s="78"/>
    </row>
    <row r="43" spans="1:11" x14ac:dyDescent="0.2">
      <c r="C43" s="78"/>
      <c r="D43" s="78"/>
      <c r="E43" s="78"/>
      <c r="F43" s="78"/>
      <c r="G43" s="78"/>
      <c r="H43" s="78"/>
      <c r="I43" s="78"/>
      <c r="J43" s="78"/>
      <c r="K43" s="78"/>
    </row>
    <row r="44" spans="1:11" x14ac:dyDescent="0.2">
      <c r="C44" s="78"/>
      <c r="D44" s="78"/>
      <c r="E44" s="78"/>
      <c r="F44" s="78"/>
      <c r="G44" s="78"/>
      <c r="H44" s="78"/>
      <c r="I44" s="78"/>
      <c r="J44" s="78"/>
      <c r="K44" s="78"/>
    </row>
    <row r="45" spans="1:11" x14ac:dyDescent="0.2">
      <c r="C45" s="78"/>
      <c r="D45" s="78"/>
      <c r="E45" s="78"/>
      <c r="F45" s="78"/>
      <c r="G45" s="78"/>
      <c r="H45" s="78"/>
      <c r="I45" s="78"/>
      <c r="J45" s="78"/>
      <c r="K45" s="78"/>
    </row>
    <row r="46" spans="1:11" x14ac:dyDescent="0.2">
      <c r="C46" s="78"/>
      <c r="D46" s="78"/>
      <c r="E46" s="78"/>
      <c r="F46" s="78"/>
      <c r="G46" s="78"/>
      <c r="H46" s="78"/>
      <c r="I46" s="78"/>
      <c r="J46" s="78"/>
      <c r="K46" s="78"/>
    </row>
  </sheetData>
  <phoneticPr fontId="3" type="noConversion"/>
  <pageMargins left="0.75" right="0.75" top="1" bottom="1" header="0.5" footer="0.5"/>
  <pageSetup scale="9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5"/>
  <sheetViews>
    <sheetView topLeftCell="A19" workbookViewId="0">
      <selection activeCell="C39" sqref="C39"/>
    </sheetView>
  </sheetViews>
  <sheetFormatPr defaultRowHeight="12" x14ac:dyDescent="0.2"/>
  <cols>
    <col min="1" max="1" width="21.6640625" style="11" customWidth="1"/>
    <col min="2" max="2" width="3.33203125" style="11" customWidth="1"/>
    <col min="3" max="3" width="14.83203125" style="11" bestFit="1" customWidth="1"/>
    <col min="4" max="4" width="17" style="11" bestFit="1" customWidth="1"/>
    <col min="5" max="5" width="15.5" style="11" customWidth="1"/>
    <col min="6" max="6" width="10.5" style="11" bestFit="1" customWidth="1"/>
    <col min="7" max="7" width="14.1640625" style="11" customWidth="1"/>
    <col min="8" max="8" width="13.6640625" style="11" customWidth="1"/>
    <col min="9" max="10" width="11.6640625" style="11" bestFit="1" customWidth="1"/>
    <col min="11" max="11" width="11.6640625" style="11" customWidth="1"/>
    <col min="12" max="13" width="9.33203125" style="11"/>
    <col min="14" max="14" width="12.1640625" style="11" bestFit="1" customWidth="1"/>
    <col min="15" max="16384" width="9.33203125" style="11"/>
  </cols>
  <sheetData>
    <row r="1" spans="1:10" x14ac:dyDescent="0.2">
      <c r="E1" s="57" t="s">
        <v>582</v>
      </c>
    </row>
    <row r="2" spans="1:10" x14ac:dyDescent="0.2">
      <c r="E2" s="57" t="s">
        <v>583</v>
      </c>
    </row>
    <row r="3" spans="1:10" x14ac:dyDescent="0.2">
      <c r="E3" s="57" t="str">
        <f>Customers!E3</f>
        <v>For the Twelve Months Ended December 31, 2017</v>
      </c>
    </row>
    <row r="4" spans="1:10" x14ac:dyDescent="0.2">
      <c r="E4" s="57"/>
    </row>
    <row r="5" spans="1:10" x14ac:dyDescent="0.2">
      <c r="A5" s="58" t="s">
        <v>436</v>
      </c>
      <c r="B5" s="59" t="s">
        <v>962</v>
      </c>
    </row>
    <row r="7" spans="1:10" x14ac:dyDescent="0.2">
      <c r="A7" s="60" t="s">
        <v>473</v>
      </c>
      <c r="B7" s="60"/>
      <c r="C7" s="61"/>
      <c r="D7" s="61"/>
      <c r="E7" s="61"/>
      <c r="F7" s="61"/>
      <c r="G7" s="61"/>
    </row>
    <row r="8" spans="1:10" x14ac:dyDescent="0.2">
      <c r="A8" s="62" t="s">
        <v>437</v>
      </c>
      <c r="B8" s="62"/>
      <c r="C8" s="61" t="s">
        <v>12</v>
      </c>
      <c r="D8" s="61" t="str">
        <f>Customers!D8</f>
        <v>GS-RESIDENTIAL</v>
      </c>
      <c r="E8" s="61" t="str">
        <f>Customers!E8</f>
        <v>GS-OTHER</v>
      </c>
      <c r="F8" s="61" t="str">
        <f>Customers!F8</f>
        <v>IUS</v>
      </c>
      <c r="G8" s="61" t="str">
        <f>Customers!G8</f>
        <v>DS-ML</v>
      </c>
      <c r="H8" s="61" t="str">
        <f>Customers!H8</f>
        <v>DS/IS</v>
      </c>
      <c r="I8" s="61" t="str">
        <f>Customers!I8</f>
        <v>NOT USED</v>
      </c>
      <c r="J8" s="61" t="str">
        <f>Customers!J8</f>
        <v>NOT USED</v>
      </c>
    </row>
    <row r="9" spans="1:10" x14ac:dyDescent="0.2">
      <c r="C9" s="63"/>
      <c r="D9" s="63"/>
      <c r="E9" s="63"/>
      <c r="F9" s="63"/>
      <c r="G9" s="63"/>
      <c r="H9" s="63"/>
      <c r="I9" s="63"/>
      <c r="J9" s="63"/>
    </row>
    <row r="10" spans="1:10" x14ac:dyDescent="0.2">
      <c r="A10" s="62" t="s">
        <v>433</v>
      </c>
      <c r="B10" s="62"/>
      <c r="C10" s="64">
        <f t="shared" ref="C10:C25" si="0">SUM(D10:J10)</f>
        <v>6248080.5000000009</v>
      </c>
      <c r="D10" s="64">
        <v>6248080.5000000009</v>
      </c>
      <c r="E10" s="64"/>
      <c r="F10" s="64"/>
      <c r="G10" s="64"/>
      <c r="H10" s="64"/>
      <c r="I10" s="64"/>
      <c r="J10" s="64"/>
    </row>
    <row r="11" spans="1:10" x14ac:dyDescent="0.2">
      <c r="A11" s="62" t="s">
        <v>448</v>
      </c>
      <c r="B11" s="62"/>
      <c r="C11" s="64">
        <f t="shared" si="0"/>
        <v>1697.8</v>
      </c>
      <c r="D11" s="64"/>
      <c r="E11" s="64">
        <v>1697.8</v>
      </c>
      <c r="F11" s="64"/>
      <c r="G11" s="64"/>
      <c r="H11" s="64"/>
      <c r="I11" s="64"/>
      <c r="J11" s="64"/>
    </row>
    <row r="12" spans="1:10" x14ac:dyDescent="0.2">
      <c r="A12" s="62" t="s">
        <v>439</v>
      </c>
      <c r="B12" s="62"/>
      <c r="C12" s="64">
        <f t="shared" si="0"/>
        <v>2018.8999999999999</v>
      </c>
      <c r="D12" s="64">
        <v>2018.8999999999999</v>
      </c>
      <c r="E12" s="64"/>
      <c r="F12" s="64"/>
      <c r="G12" s="64"/>
      <c r="H12" s="64"/>
      <c r="I12" s="64"/>
      <c r="J12" s="64"/>
    </row>
    <row r="13" spans="1:10" x14ac:dyDescent="0.2">
      <c r="A13" s="62" t="s">
        <v>450</v>
      </c>
      <c r="B13" s="62"/>
      <c r="C13" s="64">
        <f t="shared" si="0"/>
        <v>990.2</v>
      </c>
      <c r="D13" s="64">
        <v>990.2</v>
      </c>
      <c r="E13" s="64"/>
      <c r="F13" s="64"/>
      <c r="G13" s="64"/>
      <c r="H13" s="64"/>
      <c r="I13" s="64"/>
      <c r="J13" s="64"/>
    </row>
    <row r="14" spans="1:10" x14ac:dyDescent="0.2">
      <c r="A14" s="62" t="s">
        <v>434</v>
      </c>
      <c r="B14" s="62"/>
      <c r="C14" s="64">
        <f t="shared" si="0"/>
        <v>0</v>
      </c>
      <c r="D14" s="64"/>
      <c r="E14" s="64"/>
      <c r="F14" s="64"/>
      <c r="G14" s="64"/>
      <c r="H14" s="64"/>
      <c r="I14" s="64"/>
      <c r="J14" s="64"/>
    </row>
    <row r="15" spans="1:10" x14ac:dyDescent="0.2">
      <c r="A15" s="62" t="s">
        <v>435</v>
      </c>
      <c r="B15" s="62"/>
      <c r="C15" s="64">
        <f t="shared" si="0"/>
        <v>333.60000000000008</v>
      </c>
      <c r="D15" s="64">
        <v>333.60000000000008</v>
      </c>
      <c r="E15" s="64"/>
      <c r="F15" s="64"/>
      <c r="G15" s="64"/>
      <c r="H15" s="64"/>
      <c r="I15" s="64"/>
      <c r="J15" s="64"/>
    </row>
    <row r="16" spans="1:10" x14ac:dyDescent="0.2">
      <c r="A16" s="62" t="s">
        <v>449</v>
      </c>
      <c r="B16" s="62"/>
      <c r="C16" s="64">
        <f t="shared" si="0"/>
        <v>1316.1</v>
      </c>
      <c r="D16" s="64">
        <v>605.19999999999993</v>
      </c>
      <c r="E16" s="64">
        <v>710.9</v>
      </c>
      <c r="F16" s="64"/>
      <c r="G16" s="64"/>
      <c r="H16" s="64"/>
      <c r="I16" s="64"/>
      <c r="J16" s="64"/>
    </row>
    <row r="17" spans="1:10" x14ac:dyDescent="0.2">
      <c r="A17" s="62" t="s">
        <v>441</v>
      </c>
      <c r="B17" s="62"/>
      <c r="C17" s="64">
        <f t="shared" si="0"/>
        <v>714.1</v>
      </c>
      <c r="D17" s="70">
        <v>714.1</v>
      </c>
      <c r="E17" s="64"/>
      <c r="F17" s="64"/>
      <c r="G17" s="64"/>
      <c r="H17" s="64"/>
      <c r="I17" s="64"/>
      <c r="J17" s="64"/>
    </row>
    <row r="18" spans="1:10" x14ac:dyDescent="0.2">
      <c r="A18" s="62" t="s">
        <v>442</v>
      </c>
      <c r="B18" s="62"/>
      <c r="C18" s="64">
        <f t="shared" si="0"/>
        <v>257.59999999999997</v>
      </c>
      <c r="D18" s="64">
        <v>257.59999999999997</v>
      </c>
      <c r="E18" s="64"/>
      <c r="F18" s="64"/>
      <c r="G18" s="64"/>
      <c r="H18" s="64"/>
      <c r="I18" s="64"/>
      <c r="J18" s="64"/>
    </row>
    <row r="19" spans="1:10" x14ac:dyDescent="0.2">
      <c r="A19" s="62" t="s">
        <v>451</v>
      </c>
      <c r="B19" s="62"/>
      <c r="C19" s="64">
        <f t="shared" si="0"/>
        <v>3098215.1</v>
      </c>
      <c r="D19" s="64"/>
      <c r="E19" s="64">
        <v>3098215.1</v>
      </c>
      <c r="F19" s="64"/>
      <c r="G19" s="64"/>
      <c r="H19" s="64"/>
      <c r="I19" s="65"/>
      <c r="J19" s="64"/>
    </row>
    <row r="20" spans="1:10" x14ac:dyDescent="0.2">
      <c r="A20" s="62" t="s">
        <v>452</v>
      </c>
      <c r="B20" s="62"/>
      <c r="C20" s="64">
        <f t="shared" si="0"/>
        <v>360250.5</v>
      </c>
      <c r="D20" s="64"/>
      <c r="E20" s="64">
        <v>360250.5</v>
      </c>
      <c r="F20" s="64"/>
      <c r="G20" s="64"/>
      <c r="H20" s="64"/>
      <c r="I20" s="65"/>
      <c r="J20" s="64"/>
    </row>
    <row r="21" spans="1:10" x14ac:dyDescent="0.2">
      <c r="A21" s="62" t="s">
        <v>596</v>
      </c>
      <c r="B21" s="62"/>
      <c r="C21" s="64">
        <f t="shared" si="0"/>
        <v>0</v>
      </c>
      <c r="D21" s="64"/>
      <c r="E21" s="64">
        <v>0</v>
      </c>
      <c r="F21" s="64"/>
      <c r="G21" s="65"/>
      <c r="H21" s="64"/>
      <c r="I21" s="64"/>
      <c r="J21" s="64"/>
    </row>
    <row r="22" spans="1:10" x14ac:dyDescent="0.2">
      <c r="A22" s="62" t="s">
        <v>597</v>
      </c>
      <c r="B22" s="62"/>
      <c r="C22" s="64">
        <f t="shared" si="0"/>
        <v>0</v>
      </c>
      <c r="D22" s="64"/>
      <c r="E22" s="64">
        <v>0</v>
      </c>
      <c r="F22" s="64"/>
      <c r="G22" s="65"/>
      <c r="H22" s="64"/>
      <c r="I22" s="64"/>
      <c r="J22" s="64"/>
    </row>
    <row r="23" spans="1:10" x14ac:dyDescent="0.2">
      <c r="A23" s="62" t="s">
        <v>594</v>
      </c>
      <c r="B23" s="62"/>
      <c r="C23" s="64">
        <f t="shared" si="0"/>
        <v>0</v>
      </c>
      <c r="D23" s="64"/>
      <c r="E23" s="64"/>
      <c r="F23" s="64"/>
      <c r="G23" s="64"/>
      <c r="H23" s="64">
        <v>0</v>
      </c>
      <c r="I23" s="64"/>
      <c r="J23" s="64"/>
    </row>
    <row r="24" spans="1:10" x14ac:dyDescent="0.2">
      <c r="A24" s="62" t="s">
        <v>595</v>
      </c>
      <c r="B24" s="62"/>
      <c r="C24" s="64">
        <f t="shared" si="0"/>
        <v>0</v>
      </c>
      <c r="D24" s="64"/>
      <c r="E24" s="64"/>
      <c r="F24" s="64"/>
      <c r="G24" s="64"/>
      <c r="H24" s="64">
        <v>0</v>
      </c>
      <c r="I24" s="64"/>
      <c r="J24" s="64"/>
    </row>
    <row r="25" spans="1:10" x14ac:dyDescent="0.2">
      <c r="A25" s="62" t="s">
        <v>470</v>
      </c>
      <c r="B25" s="62"/>
      <c r="C25" s="157">
        <f t="shared" si="0"/>
        <v>11320.699999999999</v>
      </c>
      <c r="D25" s="377">
        <v>0</v>
      </c>
      <c r="E25" s="377">
        <v>0</v>
      </c>
      <c r="F25" s="157">
        <v>11320.699999999999</v>
      </c>
      <c r="G25" s="377"/>
      <c r="H25" s="378"/>
      <c r="I25" s="157">
        <v>0</v>
      </c>
      <c r="J25" s="157">
        <v>0</v>
      </c>
    </row>
    <row r="26" spans="1:10" x14ac:dyDescent="0.2">
      <c r="A26" s="67" t="s">
        <v>471</v>
      </c>
      <c r="B26" s="67"/>
      <c r="C26" s="156">
        <f t="shared" ref="C26:J26" si="1">SUM(C10:C25)</f>
        <v>9725195.0999999996</v>
      </c>
      <c r="D26" s="156">
        <f t="shared" si="1"/>
        <v>6253000.1000000006</v>
      </c>
      <c r="E26" s="156">
        <f t="shared" si="1"/>
        <v>3460874.3000000003</v>
      </c>
      <c r="F26" s="156">
        <f t="shared" si="1"/>
        <v>11320.699999999999</v>
      </c>
      <c r="G26" s="156">
        <f t="shared" si="1"/>
        <v>0</v>
      </c>
      <c r="H26" s="156">
        <f t="shared" si="1"/>
        <v>0</v>
      </c>
      <c r="I26" s="156">
        <f t="shared" si="1"/>
        <v>0</v>
      </c>
      <c r="J26" s="156">
        <f t="shared" si="1"/>
        <v>0</v>
      </c>
    </row>
    <row r="27" spans="1:10" x14ac:dyDescent="0.2">
      <c r="A27" s="62" t="s">
        <v>446</v>
      </c>
      <c r="B27" s="62"/>
      <c r="C27" s="64">
        <f t="shared" ref="C27:C39" si="2">SUM(D27:J27)</f>
        <v>1707000</v>
      </c>
      <c r="D27" s="64">
        <v>1707000</v>
      </c>
      <c r="E27" s="64"/>
      <c r="F27" s="64"/>
      <c r="G27" s="64"/>
      <c r="H27" s="64"/>
      <c r="I27" s="64"/>
      <c r="J27" s="64"/>
    </row>
    <row r="28" spans="1:10" x14ac:dyDescent="0.2">
      <c r="A28" s="62" t="s">
        <v>454</v>
      </c>
      <c r="B28" s="62"/>
      <c r="C28" s="64">
        <f t="shared" si="2"/>
        <v>1859990.8000000003</v>
      </c>
      <c r="D28" s="64"/>
      <c r="E28" s="64">
        <v>1859990.8000000003</v>
      </c>
      <c r="F28" s="64"/>
      <c r="G28" s="64"/>
      <c r="H28" s="64"/>
      <c r="I28" s="64"/>
      <c r="J28" s="64"/>
    </row>
    <row r="29" spans="1:10" x14ac:dyDescent="0.2">
      <c r="A29" s="62" t="s">
        <v>455</v>
      </c>
      <c r="B29" s="62"/>
      <c r="C29" s="64">
        <f t="shared" si="2"/>
        <v>71999.899999999994</v>
      </c>
      <c r="D29" s="64"/>
      <c r="E29" s="64">
        <v>71999.899999999994</v>
      </c>
      <c r="F29" s="64"/>
      <c r="G29" s="64"/>
      <c r="H29" s="64"/>
      <c r="I29" s="64"/>
      <c r="J29" s="64"/>
    </row>
    <row r="30" spans="1:10" x14ac:dyDescent="0.2">
      <c r="A30" s="62" t="s">
        <v>588</v>
      </c>
      <c r="B30" s="62"/>
      <c r="C30" s="64">
        <f t="shared" si="2"/>
        <v>1380569.9999999998</v>
      </c>
      <c r="D30" s="64"/>
      <c r="E30" s="64"/>
      <c r="F30" s="64"/>
      <c r="G30" s="64"/>
      <c r="H30" s="64">
        <v>1380569.9999999998</v>
      </c>
      <c r="I30" s="65"/>
      <c r="J30" s="64"/>
    </row>
    <row r="31" spans="1:10" x14ac:dyDescent="0.2">
      <c r="A31" s="62" t="s">
        <v>589</v>
      </c>
      <c r="B31" s="62"/>
      <c r="C31" s="64">
        <f t="shared" si="2"/>
        <v>5517297.4000000004</v>
      </c>
      <c r="D31" s="70"/>
      <c r="E31" s="70"/>
      <c r="F31" s="70"/>
      <c r="G31" s="70"/>
      <c r="H31" s="64">
        <v>5517297.4000000004</v>
      </c>
      <c r="I31" s="65"/>
      <c r="J31" s="64"/>
    </row>
    <row r="32" spans="1:10" x14ac:dyDescent="0.2">
      <c r="A32" s="62" t="s">
        <v>627</v>
      </c>
      <c r="B32" s="62"/>
      <c r="C32" s="64">
        <f t="shared" si="2"/>
        <v>203630.5</v>
      </c>
      <c r="D32" s="70"/>
      <c r="E32" s="64">
        <v>203630.5</v>
      </c>
      <c r="F32" s="70"/>
      <c r="G32" s="70"/>
      <c r="H32" s="64"/>
      <c r="I32" s="65"/>
      <c r="J32" s="64"/>
    </row>
    <row r="33" spans="1:10" x14ac:dyDescent="0.2">
      <c r="A33" s="62" t="s">
        <v>628</v>
      </c>
      <c r="B33" s="62"/>
      <c r="C33" s="64">
        <f t="shared" si="2"/>
        <v>154467.9</v>
      </c>
      <c r="D33" s="70"/>
      <c r="E33" s="64">
        <v>154467.9</v>
      </c>
      <c r="F33" s="70"/>
      <c r="G33" s="70"/>
      <c r="H33" s="64"/>
      <c r="I33" s="65"/>
      <c r="J33" s="64"/>
    </row>
    <row r="34" spans="1:10" x14ac:dyDescent="0.2">
      <c r="A34" s="62" t="s">
        <v>459</v>
      </c>
      <c r="B34" s="62"/>
      <c r="C34" s="64">
        <f t="shared" si="2"/>
        <v>680981</v>
      </c>
      <c r="D34" s="70"/>
      <c r="E34" s="70"/>
      <c r="F34" s="70"/>
      <c r="G34" s="64">
        <v>680981</v>
      </c>
      <c r="H34" s="64"/>
      <c r="I34" s="64"/>
      <c r="J34" s="65"/>
    </row>
    <row r="35" spans="1:10" x14ac:dyDescent="0.2">
      <c r="A35" s="62" t="s">
        <v>462</v>
      </c>
      <c r="B35" s="62"/>
      <c r="C35" s="64">
        <f t="shared" si="2"/>
        <v>541812</v>
      </c>
      <c r="D35" s="70"/>
      <c r="E35" s="70"/>
      <c r="F35" s="64"/>
      <c r="G35" s="70"/>
      <c r="H35" s="65">
        <v>541812</v>
      </c>
      <c r="I35" s="64"/>
      <c r="J35" s="64"/>
    </row>
    <row r="36" spans="1:10" x14ac:dyDescent="0.2">
      <c r="A36" s="62" t="s">
        <v>460</v>
      </c>
      <c r="B36" s="62"/>
      <c r="C36" s="64">
        <f t="shared" si="2"/>
        <v>533988</v>
      </c>
      <c r="D36" s="70"/>
      <c r="E36" s="70"/>
      <c r="F36" s="64"/>
      <c r="G36" s="70"/>
      <c r="H36" s="65">
        <v>533988</v>
      </c>
      <c r="I36" s="64"/>
      <c r="J36" s="64"/>
    </row>
    <row r="37" spans="1:10" x14ac:dyDescent="0.2">
      <c r="A37" s="62" t="s">
        <v>464</v>
      </c>
      <c r="B37" s="62"/>
      <c r="C37" s="64">
        <f t="shared" si="2"/>
        <v>4689510</v>
      </c>
      <c r="D37" s="70"/>
      <c r="E37" s="70"/>
      <c r="F37" s="64"/>
      <c r="G37" s="65">
        <v>4689510</v>
      </c>
      <c r="H37" s="64"/>
      <c r="I37" s="64"/>
      <c r="J37" s="64"/>
    </row>
    <row r="38" spans="1:10" x14ac:dyDescent="0.2">
      <c r="A38" s="62" t="s">
        <v>592</v>
      </c>
      <c r="B38" s="62"/>
      <c r="C38" s="64">
        <f t="shared" si="2"/>
        <v>410759</v>
      </c>
      <c r="D38" s="70"/>
      <c r="E38" s="70"/>
      <c r="F38" s="64"/>
      <c r="G38" s="65"/>
      <c r="H38" s="65">
        <v>410759</v>
      </c>
      <c r="I38" s="64"/>
      <c r="J38" s="64"/>
    </row>
    <row r="39" spans="1:10" ht="15" customHeight="1" x14ac:dyDescent="0.35">
      <c r="A39" s="62" t="s">
        <v>467</v>
      </c>
      <c r="B39" s="62"/>
      <c r="C39" s="66">
        <f t="shared" si="2"/>
        <v>1710000</v>
      </c>
      <c r="D39" s="69">
        <v>0</v>
      </c>
      <c r="E39" s="69">
        <v>0</v>
      </c>
      <c r="F39" s="69">
        <v>0</v>
      </c>
      <c r="G39" s="66">
        <v>0</v>
      </c>
      <c r="H39" s="66">
        <v>1710000</v>
      </c>
      <c r="I39" s="66">
        <v>0</v>
      </c>
      <c r="J39" s="66">
        <v>0</v>
      </c>
    </row>
    <row r="40" spans="1:10" ht="12" customHeight="1" x14ac:dyDescent="0.35">
      <c r="A40" s="67" t="s">
        <v>472</v>
      </c>
      <c r="B40" s="67"/>
      <c r="C40" s="66">
        <f t="shared" ref="C40:J40" si="3">SUM(C27:C39)</f>
        <v>19462006.5</v>
      </c>
      <c r="D40" s="66">
        <f t="shared" si="3"/>
        <v>1707000</v>
      </c>
      <c r="E40" s="66">
        <f t="shared" si="3"/>
        <v>2290089.1</v>
      </c>
      <c r="F40" s="66">
        <f t="shared" si="3"/>
        <v>0</v>
      </c>
      <c r="G40" s="66">
        <f t="shared" si="3"/>
        <v>5370491</v>
      </c>
      <c r="H40" s="66">
        <f t="shared" si="3"/>
        <v>10094426.4</v>
      </c>
      <c r="I40" s="66">
        <f t="shared" si="3"/>
        <v>0</v>
      </c>
      <c r="J40" s="66">
        <f t="shared" si="3"/>
        <v>0</v>
      </c>
    </row>
    <row r="41" spans="1:10" ht="15" customHeight="1" x14ac:dyDescent="0.35">
      <c r="A41" s="67" t="s">
        <v>474</v>
      </c>
      <c r="B41" s="67"/>
      <c r="C41" s="68">
        <f t="shared" ref="C41:H41" si="4">C26+C40</f>
        <v>29187201.600000001</v>
      </c>
      <c r="D41" s="68">
        <f t="shared" si="4"/>
        <v>7960000.1000000006</v>
      </c>
      <c r="E41" s="68">
        <f t="shared" si="4"/>
        <v>5750963.4000000004</v>
      </c>
      <c r="F41" s="68">
        <f t="shared" si="4"/>
        <v>11320.699999999999</v>
      </c>
      <c r="G41" s="68">
        <f t="shared" si="4"/>
        <v>5370491</v>
      </c>
      <c r="H41" s="68">
        <f t="shared" si="4"/>
        <v>10094426.4</v>
      </c>
      <c r="I41" s="69">
        <v>0</v>
      </c>
      <c r="J41" s="69">
        <v>0</v>
      </c>
    </row>
    <row r="42" spans="1:10" ht="12.75" customHeight="1" x14ac:dyDescent="0.35">
      <c r="A42" s="67" t="s">
        <v>545</v>
      </c>
      <c r="B42" s="67"/>
      <c r="C42" s="70">
        <f t="shared" ref="C42:C49" si="5">SUM(D42:H42)</f>
        <v>6253000.1000000006</v>
      </c>
      <c r="D42" s="70">
        <f>D26</f>
        <v>6253000.1000000006</v>
      </c>
      <c r="E42" s="69"/>
      <c r="F42" s="69"/>
      <c r="G42" s="69"/>
      <c r="H42" s="69"/>
      <c r="I42" s="69"/>
      <c r="J42" s="69"/>
    </row>
    <row r="43" spans="1:10" ht="12.75" customHeight="1" x14ac:dyDescent="0.35">
      <c r="A43" s="67" t="s">
        <v>546</v>
      </c>
      <c r="B43" s="67"/>
      <c r="C43" s="70">
        <f t="shared" si="5"/>
        <v>1707000</v>
      </c>
      <c r="D43" s="70">
        <f>D40</f>
        <v>1707000</v>
      </c>
      <c r="E43" s="69"/>
      <c r="F43" s="69"/>
      <c r="G43" s="69"/>
      <c r="H43" s="69"/>
      <c r="I43" s="69"/>
      <c r="J43" s="69"/>
    </row>
    <row r="44" spans="1:10" ht="12.75" customHeight="1" x14ac:dyDescent="0.35">
      <c r="A44" s="67" t="s">
        <v>547</v>
      </c>
      <c r="B44" s="67"/>
      <c r="C44" s="70">
        <f t="shared" si="5"/>
        <v>3100623.8000000003</v>
      </c>
      <c r="D44" s="69"/>
      <c r="E44" s="70">
        <f>E11+E13+E16+E19+E21</f>
        <v>3100623.8000000003</v>
      </c>
      <c r="F44" s="69"/>
      <c r="G44" s="65"/>
      <c r="H44" s="70">
        <f>H23</f>
        <v>0</v>
      </c>
      <c r="I44" s="69"/>
      <c r="J44" s="69"/>
    </row>
    <row r="45" spans="1:10" ht="12.75" customHeight="1" x14ac:dyDescent="0.35">
      <c r="A45" s="67" t="s">
        <v>548</v>
      </c>
      <c r="B45" s="67"/>
      <c r="C45" s="70">
        <f t="shared" si="5"/>
        <v>3986003.3</v>
      </c>
      <c r="D45" s="69"/>
      <c r="E45" s="70">
        <f>E28+E32</f>
        <v>2063621.3000000003</v>
      </c>
      <c r="F45" s="69"/>
      <c r="G45" s="65"/>
      <c r="H45" s="70">
        <f>H30+H35</f>
        <v>1922381.9999999998</v>
      </c>
      <c r="I45" s="69"/>
      <c r="J45" s="69"/>
    </row>
    <row r="46" spans="1:10" ht="12.75" customHeight="1" x14ac:dyDescent="0.35">
      <c r="A46" s="67" t="s">
        <v>549</v>
      </c>
      <c r="B46" s="67"/>
      <c r="C46" s="70">
        <f t="shared" si="5"/>
        <v>371571.20000000001</v>
      </c>
      <c r="D46" s="69"/>
      <c r="E46" s="70">
        <f>E20+E22</f>
        <v>360250.5</v>
      </c>
      <c r="F46" s="70">
        <f>F41</f>
        <v>11320.699999999999</v>
      </c>
      <c r="G46" s="65"/>
      <c r="H46" s="70">
        <f>H24</f>
        <v>0</v>
      </c>
      <c r="I46" s="69"/>
      <c r="J46" s="69"/>
    </row>
    <row r="47" spans="1:10" ht="12.75" customHeight="1" x14ac:dyDescent="0.35">
      <c r="A47" s="67" t="s">
        <v>550</v>
      </c>
      <c r="B47" s="67"/>
      <c r="C47" s="70">
        <f t="shared" si="5"/>
        <v>13358244.199999999</v>
      </c>
      <c r="D47" s="69"/>
      <c r="E47" s="70">
        <f>E29+E33</f>
        <v>226467.8</v>
      </c>
      <c r="F47" s="69"/>
      <c r="G47" s="70">
        <f>G34+G37+G38+G39</f>
        <v>5370491</v>
      </c>
      <c r="H47" s="70">
        <f>H31+H36+H39</f>
        <v>7761285.4000000004</v>
      </c>
      <c r="I47" s="69"/>
      <c r="J47" s="69"/>
    </row>
    <row r="48" spans="1:10" ht="12.75" customHeight="1" x14ac:dyDescent="0.35">
      <c r="A48" s="67" t="s">
        <v>544</v>
      </c>
      <c r="B48" s="67"/>
      <c r="C48" s="69">
        <f t="shared" si="5"/>
        <v>0</v>
      </c>
      <c r="D48" s="69">
        <v>0</v>
      </c>
      <c r="E48" s="69">
        <v>0</v>
      </c>
      <c r="F48" s="66">
        <v>0</v>
      </c>
      <c r="G48" s="69">
        <v>0</v>
      </c>
      <c r="H48" s="69">
        <v>0</v>
      </c>
      <c r="I48" s="69"/>
      <c r="J48" s="69"/>
    </row>
    <row r="49" spans="1:10" ht="12.75" customHeight="1" x14ac:dyDescent="0.35">
      <c r="A49" s="57" t="s">
        <v>12</v>
      </c>
      <c r="B49" s="67"/>
      <c r="C49" s="68">
        <f t="shared" si="5"/>
        <v>28776442.600000001</v>
      </c>
      <c r="D49" s="68">
        <f>SUM(D42:D48)</f>
        <v>7960000.1000000006</v>
      </c>
      <c r="E49" s="68">
        <f>SUM(E44:E48)</f>
        <v>5750963.4000000004</v>
      </c>
      <c r="F49" s="68">
        <f>SUM(F44:F47)</f>
        <v>11320.699999999999</v>
      </c>
      <c r="G49" s="68">
        <f>SUM(G44:G48)</f>
        <v>5370491</v>
      </c>
      <c r="H49" s="68">
        <f>SUM(H44:H48)</f>
        <v>9683667.4000000004</v>
      </c>
      <c r="I49" s="69"/>
      <c r="J49" s="69"/>
    </row>
    <row r="50" spans="1:10" ht="12.75" customHeight="1" x14ac:dyDescent="0.35">
      <c r="A50" s="57"/>
      <c r="B50" s="67"/>
      <c r="C50" s="71"/>
      <c r="D50" s="71"/>
      <c r="E50" s="71"/>
      <c r="F50" s="71"/>
      <c r="G50" s="72"/>
      <c r="H50" s="71"/>
      <c r="I50" s="73"/>
      <c r="J50" s="73"/>
    </row>
    <row r="51" spans="1:10" ht="12.75" customHeight="1" x14ac:dyDescent="0.35">
      <c r="A51" s="57"/>
      <c r="B51" s="67"/>
      <c r="C51" s="71"/>
      <c r="D51" s="71"/>
      <c r="F51" s="71"/>
      <c r="G51" s="71"/>
      <c r="H51" s="71"/>
      <c r="I51" s="73"/>
      <c r="J51" s="73"/>
    </row>
    <row r="52" spans="1:10" ht="12.75" customHeight="1" x14ac:dyDescent="0.35">
      <c r="A52" s="57"/>
      <c r="B52" s="67"/>
      <c r="C52" s="71"/>
      <c r="D52" s="71"/>
      <c r="E52" s="74" t="str">
        <f>E1</f>
        <v>Columbia Gas of Kentucky, Inc,</v>
      </c>
      <c r="F52" s="71"/>
      <c r="G52" s="71"/>
      <c r="H52" s="71"/>
      <c r="I52" s="73"/>
      <c r="J52" s="73"/>
    </row>
    <row r="53" spans="1:10" ht="14.25" x14ac:dyDescent="0.35">
      <c r="B53" s="62"/>
      <c r="C53" s="63"/>
      <c r="D53" s="63"/>
      <c r="E53" s="75" t="s">
        <v>477</v>
      </c>
      <c r="F53" s="63"/>
      <c r="G53" s="63"/>
      <c r="H53" s="63"/>
      <c r="I53" s="63"/>
      <c r="J53" s="63"/>
    </row>
    <row r="54" spans="1:10" x14ac:dyDescent="0.2">
      <c r="A54" s="58" t="s">
        <v>436</v>
      </c>
      <c r="B54" s="58" t="str">
        <f>B5</f>
        <v xml:space="preserve">M-2.1 </v>
      </c>
      <c r="C54" s="61"/>
    </row>
    <row r="56" spans="1:10" x14ac:dyDescent="0.2">
      <c r="A56" s="60" t="s">
        <v>477</v>
      </c>
      <c r="B56" s="60"/>
      <c r="C56" s="61"/>
      <c r="D56" s="61"/>
      <c r="E56" s="61"/>
      <c r="F56" s="61"/>
      <c r="G56" s="61"/>
    </row>
    <row r="57" spans="1:10" x14ac:dyDescent="0.2">
      <c r="A57" s="62" t="s">
        <v>437</v>
      </c>
      <c r="B57" s="62"/>
      <c r="C57" s="61" t="s">
        <v>12</v>
      </c>
      <c r="D57" s="61" t="str">
        <f>Customers!D8</f>
        <v>GS-RESIDENTIAL</v>
      </c>
      <c r="E57" s="61" t="str">
        <f>Customers!E8</f>
        <v>GS-OTHER</v>
      </c>
      <c r="F57" s="61" t="str">
        <f>Customers!F8</f>
        <v>IUS</v>
      </c>
      <c r="G57" s="61" t="str">
        <f>Customers!G8</f>
        <v>DS-ML</v>
      </c>
      <c r="H57" s="61" t="str">
        <f>Customers!H8</f>
        <v>DS/IS</v>
      </c>
      <c r="I57" s="61" t="str">
        <f>Customers!I8</f>
        <v>NOT USED</v>
      </c>
      <c r="J57" s="61" t="str">
        <f>Customers!J8</f>
        <v>NOT USED</v>
      </c>
    </row>
    <row r="58" spans="1:10" x14ac:dyDescent="0.2">
      <c r="C58" s="63"/>
      <c r="D58" s="63"/>
      <c r="E58" s="63"/>
      <c r="F58" s="63"/>
      <c r="G58" s="63"/>
      <c r="H58" s="63"/>
      <c r="I58" s="63"/>
      <c r="J58" s="63"/>
    </row>
    <row r="59" spans="1:10" x14ac:dyDescent="0.2">
      <c r="A59" s="62" t="s">
        <v>433</v>
      </c>
      <c r="B59" s="62"/>
      <c r="C59" s="79">
        <f t="shared" ref="C59:C73" si="6">SUM(D59:J59)</f>
        <v>49681142.430000007</v>
      </c>
      <c r="D59" s="79">
        <v>49681142.430000007</v>
      </c>
      <c r="E59" s="79"/>
      <c r="F59" s="79"/>
      <c r="G59" s="79"/>
      <c r="H59" s="79"/>
      <c r="I59" s="79"/>
      <c r="J59" s="79"/>
    </row>
    <row r="60" spans="1:10" x14ac:dyDescent="0.2">
      <c r="A60" s="62" t="s">
        <v>448</v>
      </c>
      <c r="B60" s="62"/>
      <c r="C60" s="79">
        <f t="shared" si="6"/>
        <v>9744.43</v>
      </c>
      <c r="D60" s="79"/>
      <c r="E60" s="79">
        <v>9744.43</v>
      </c>
      <c r="F60" s="79"/>
      <c r="G60" s="79"/>
      <c r="H60" s="79"/>
      <c r="I60" s="79"/>
      <c r="J60" s="79"/>
    </row>
    <row r="61" spans="1:10" x14ac:dyDescent="0.2">
      <c r="A61" s="62" t="s">
        <v>439</v>
      </c>
      <c r="B61" s="62"/>
      <c r="C61" s="79">
        <f t="shared" si="6"/>
        <v>13751.73</v>
      </c>
      <c r="D61" s="79">
        <v>13751.73</v>
      </c>
      <c r="E61" s="79"/>
      <c r="F61" s="79"/>
      <c r="G61" s="79"/>
      <c r="H61" s="79"/>
      <c r="I61" s="79"/>
      <c r="J61" s="79"/>
    </row>
    <row r="62" spans="1:10" x14ac:dyDescent="0.2">
      <c r="A62" s="62" t="s">
        <v>450</v>
      </c>
      <c r="B62" s="62"/>
      <c r="C62" s="79">
        <f t="shared" si="6"/>
        <v>396.08</v>
      </c>
      <c r="D62" s="79">
        <v>396.08</v>
      </c>
      <c r="E62" s="79"/>
      <c r="F62" s="79"/>
      <c r="G62" s="79"/>
      <c r="H62" s="79"/>
      <c r="I62" s="79"/>
      <c r="J62" s="79"/>
    </row>
    <row r="63" spans="1:10" x14ac:dyDescent="0.2">
      <c r="A63" s="62" t="s">
        <v>435</v>
      </c>
      <c r="B63" s="62"/>
      <c r="C63" s="79">
        <f t="shared" si="6"/>
        <v>200.16</v>
      </c>
      <c r="D63" s="79">
        <v>200.16</v>
      </c>
      <c r="E63" s="79"/>
      <c r="F63" s="79"/>
      <c r="G63" s="79"/>
      <c r="H63" s="79"/>
      <c r="I63" s="79"/>
      <c r="J63" s="79"/>
    </row>
    <row r="64" spans="1:10" x14ac:dyDescent="0.2">
      <c r="A64" s="62" t="s">
        <v>449</v>
      </c>
      <c r="B64" s="62"/>
      <c r="C64" s="79">
        <f t="shared" si="6"/>
        <v>460.68000000000006</v>
      </c>
      <c r="D64" s="79">
        <v>211.84000000000003</v>
      </c>
      <c r="E64" s="79">
        <v>248.84000000000003</v>
      </c>
      <c r="F64" s="79"/>
      <c r="G64" s="79"/>
      <c r="H64" s="79"/>
      <c r="I64" s="79"/>
      <c r="J64" s="79"/>
    </row>
    <row r="65" spans="1:10" x14ac:dyDescent="0.2">
      <c r="A65" s="62" t="s">
        <v>441</v>
      </c>
      <c r="B65" s="62"/>
      <c r="C65" s="79">
        <f t="shared" si="6"/>
        <v>255.82</v>
      </c>
      <c r="D65" s="109">
        <v>255.82</v>
      </c>
      <c r="E65" s="79"/>
      <c r="F65" s="79"/>
      <c r="G65" s="79"/>
      <c r="H65" s="79"/>
      <c r="I65" s="79"/>
      <c r="J65" s="79"/>
    </row>
    <row r="66" spans="1:10" x14ac:dyDescent="0.2">
      <c r="A66" s="62" t="s">
        <v>442</v>
      </c>
      <c r="B66" s="62"/>
      <c r="C66" s="79">
        <f t="shared" si="6"/>
        <v>103.04000000000002</v>
      </c>
      <c r="D66" s="79">
        <v>103.04000000000002</v>
      </c>
      <c r="E66" s="79"/>
      <c r="F66" s="79"/>
      <c r="G66" s="79"/>
      <c r="H66" s="79"/>
      <c r="I66" s="79"/>
      <c r="J66" s="79"/>
    </row>
    <row r="67" spans="1:10" x14ac:dyDescent="0.2">
      <c r="A67" s="62" t="s">
        <v>451</v>
      </c>
      <c r="B67" s="62"/>
      <c r="C67" s="79">
        <f t="shared" si="6"/>
        <v>18510324.209999997</v>
      </c>
      <c r="D67" s="79"/>
      <c r="E67" s="79">
        <v>18510324.209999997</v>
      </c>
      <c r="F67" s="79"/>
      <c r="G67" s="79"/>
      <c r="H67" s="79"/>
      <c r="I67" s="83"/>
      <c r="J67" s="79"/>
    </row>
    <row r="68" spans="1:10" x14ac:dyDescent="0.2">
      <c r="A68" s="62" t="s">
        <v>452</v>
      </c>
      <c r="B68" s="62"/>
      <c r="C68" s="79">
        <f t="shared" si="6"/>
        <v>1410901.5999999999</v>
      </c>
      <c r="D68" s="79"/>
      <c r="E68" s="79">
        <v>1410901.5999999999</v>
      </c>
      <c r="F68" s="79"/>
      <c r="G68" s="79"/>
      <c r="H68" s="79"/>
      <c r="I68" s="83"/>
      <c r="J68" s="79"/>
    </row>
    <row r="69" spans="1:10" x14ac:dyDescent="0.2">
      <c r="A69" s="62" t="s">
        <v>596</v>
      </c>
      <c r="B69" s="62"/>
      <c r="C69" s="79">
        <f t="shared" si="6"/>
        <v>0</v>
      </c>
      <c r="D69" s="79"/>
      <c r="E69" s="79">
        <v>0</v>
      </c>
      <c r="F69" s="79"/>
      <c r="G69" s="83"/>
      <c r="H69" s="79"/>
      <c r="I69" s="79"/>
      <c r="J69" s="79"/>
    </row>
    <row r="70" spans="1:10" x14ac:dyDescent="0.2">
      <c r="A70" s="62" t="s">
        <v>597</v>
      </c>
      <c r="B70" s="62"/>
      <c r="C70" s="79">
        <f t="shared" si="6"/>
        <v>0</v>
      </c>
      <c r="D70" s="79"/>
      <c r="E70" s="79">
        <v>0</v>
      </c>
      <c r="F70" s="79"/>
      <c r="G70" s="83"/>
      <c r="H70" s="79"/>
      <c r="I70" s="79"/>
      <c r="J70" s="79"/>
    </row>
    <row r="71" spans="1:10" x14ac:dyDescent="0.2">
      <c r="A71" s="62" t="s">
        <v>594</v>
      </c>
      <c r="B71" s="62"/>
      <c r="C71" s="79">
        <f t="shared" si="6"/>
        <v>0</v>
      </c>
      <c r="D71" s="79"/>
      <c r="E71" s="79"/>
      <c r="F71" s="79"/>
      <c r="G71" s="79"/>
      <c r="H71" s="79">
        <v>0</v>
      </c>
      <c r="I71" s="79"/>
      <c r="J71" s="79"/>
    </row>
    <row r="72" spans="1:10" x14ac:dyDescent="0.2">
      <c r="A72" s="62" t="s">
        <v>598</v>
      </c>
      <c r="B72" s="62"/>
      <c r="C72" s="79">
        <f t="shared" si="6"/>
        <v>0</v>
      </c>
      <c r="D72" s="79"/>
      <c r="E72" s="79"/>
      <c r="F72" s="79"/>
      <c r="G72" s="79"/>
      <c r="H72" s="79">
        <v>0</v>
      </c>
      <c r="I72" s="79"/>
      <c r="J72" s="79"/>
    </row>
    <row r="73" spans="1:10" x14ac:dyDescent="0.2">
      <c r="A73" s="62" t="s">
        <v>470</v>
      </c>
      <c r="B73" s="62"/>
      <c r="C73" s="111">
        <f t="shared" si="6"/>
        <v>47824.330000000009</v>
      </c>
      <c r="D73" s="379">
        <v>0</v>
      </c>
      <c r="E73" s="379">
        <v>0</v>
      </c>
      <c r="F73" s="111">
        <v>47824.330000000009</v>
      </c>
      <c r="G73" s="379"/>
      <c r="H73" s="112"/>
      <c r="I73" s="111">
        <v>0</v>
      </c>
      <c r="J73" s="111">
        <v>0</v>
      </c>
    </row>
    <row r="74" spans="1:10" x14ac:dyDescent="0.2">
      <c r="A74" s="67" t="s">
        <v>471</v>
      </c>
      <c r="B74" s="67"/>
      <c r="C74" s="155">
        <f t="shared" ref="C74:J74" si="7">SUM(C59:C73)</f>
        <v>69675104.50999999</v>
      </c>
      <c r="D74" s="155">
        <f t="shared" si="7"/>
        <v>49696061.100000001</v>
      </c>
      <c r="E74" s="155">
        <f t="shared" si="7"/>
        <v>19931219.079999998</v>
      </c>
      <c r="F74" s="155">
        <f t="shared" si="7"/>
        <v>47824.330000000009</v>
      </c>
      <c r="G74" s="155">
        <f t="shared" si="7"/>
        <v>0</v>
      </c>
      <c r="H74" s="155">
        <f t="shared" si="7"/>
        <v>0</v>
      </c>
      <c r="I74" s="155">
        <f t="shared" si="7"/>
        <v>0</v>
      </c>
      <c r="J74" s="155">
        <f t="shared" si="7"/>
        <v>0</v>
      </c>
    </row>
    <row r="75" spans="1:10" x14ac:dyDescent="0.2">
      <c r="A75" s="62" t="s">
        <v>446</v>
      </c>
      <c r="B75" s="62"/>
      <c r="C75" s="79">
        <f t="shared" ref="C75:C87" si="8">SUM(D75:J75)</f>
        <v>9029105.3399999999</v>
      </c>
      <c r="D75" s="79">
        <v>9029105.3399999999</v>
      </c>
      <c r="E75" s="79"/>
      <c r="F75" s="79"/>
      <c r="G75" s="79"/>
      <c r="H75" s="79"/>
      <c r="I75" s="79"/>
      <c r="J75" s="79"/>
    </row>
    <row r="76" spans="1:10" x14ac:dyDescent="0.2">
      <c r="A76" s="62" t="s">
        <v>454</v>
      </c>
      <c r="B76" s="62"/>
      <c r="C76" s="79">
        <f t="shared" si="8"/>
        <v>5787037.3699999992</v>
      </c>
      <c r="D76" s="79"/>
      <c r="E76" s="79">
        <v>5787037.3699999992</v>
      </c>
      <c r="F76" s="79"/>
      <c r="G76" s="79"/>
      <c r="H76" s="79"/>
      <c r="I76" s="79"/>
      <c r="J76" s="79"/>
    </row>
    <row r="77" spans="1:10" x14ac:dyDescent="0.2">
      <c r="A77" s="62" t="s">
        <v>455</v>
      </c>
      <c r="B77" s="62"/>
      <c r="C77" s="79">
        <f t="shared" si="8"/>
        <v>127654.24000000002</v>
      </c>
      <c r="D77" s="79"/>
      <c r="E77" s="79">
        <v>127654.24000000002</v>
      </c>
      <c r="F77" s="79"/>
      <c r="G77" s="79"/>
      <c r="H77" s="79"/>
      <c r="I77" s="79"/>
      <c r="J77" s="79"/>
    </row>
    <row r="78" spans="1:10" x14ac:dyDescent="0.2">
      <c r="A78" s="62" t="s">
        <v>588</v>
      </c>
      <c r="B78" s="62"/>
      <c r="C78" s="79">
        <f t="shared" si="8"/>
        <v>1398811.3699999999</v>
      </c>
      <c r="D78" s="79"/>
      <c r="E78" s="79"/>
      <c r="F78" s="79"/>
      <c r="G78" s="79"/>
      <c r="H78" s="79">
        <v>1398811.3699999999</v>
      </c>
      <c r="I78" s="83"/>
      <c r="J78" s="79"/>
    </row>
    <row r="79" spans="1:10" x14ac:dyDescent="0.2">
      <c r="A79" s="62" t="s">
        <v>589</v>
      </c>
      <c r="B79" s="62"/>
      <c r="C79" s="79">
        <f t="shared" si="8"/>
        <v>3222464.1300000004</v>
      </c>
      <c r="D79" s="109"/>
      <c r="E79" s="109"/>
      <c r="F79" s="109"/>
      <c r="G79" s="109"/>
      <c r="H79" s="79">
        <v>3222464.1300000004</v>
      </c>
      <c r="I79" s="83"/>
      <c r="J79" s="79"/>
    </row>
    <row r="80" spans="1:10" x14ac:dyDescent="0.2">
      <c r="A80" s="62" t="s">
        <v>627</v>
      </c>
      <c r="B80" s="62"/>
      <c r="C80" s="79">
        <f t="shared" si="8"/>
        <v>351127.13</v>
      </c>
      <c r="D80" s="109"/>
      <c r="E80" s="79">
        <v>351127.13</v>
      </c>
      <c r="F80" s="109"/>
      <c r="G80" s="109"/>
      <c r="H80" s="79"/>
      <c r="I80" s="83"/>
      <c r="J80" s="79"/>
    </row>
    <row r="81" spans="1:10" x14ac:dyDescent="0.2">
      <c r="A81" s="62" t="s">
        <v>628</v>
      </c>
      <c r="B81" s="62"/>
      <c r="C81" s="79">
        <f t="shared" si="8"/>
        <v>276061.19</v>
      </c>
      <c r="D81" s="109"/>
      <c r="E81" s="79">
        <v>276061.19</v>
      </c>
      <c r="F81" s="109"/>
      <c r="G81" s="109"/>
      <c r="H81" s="79"/>
      <c r="I81" s="83"/>
      <c r="J81" s="79"/>
    </row>
    <row r="82" spans="1:10" x14ac:dyDescent="0.2">
      <c r="A82" s="62" t="s">
        <v>459</v>
      </c>
      <c r="B82" s="62"/>
      <c r="C82" s="79">
        <f t="shared" si="8"/>
        <v>67640.579999999987</v>
      </c>
      <c r="D82" s="109"/>
      <c r="E82" s="109"/>
      <c r="F82" s="109"/>
      <c r="G82" s="79">
        <v>67640.579999999987</v>
      </c>
      <c r="H82" s="83"/>
      <c r="I82" s="79"/>
      <c r="J82" s="83"/>
    </row>
    <row r="83" spans="1:10" x14ac:dyDescent="0.2">
      <c r="A83" s="62" t="s">
        <v>462</v>
      </c>
      <c r="B83" s="62"/>
      <c r="C83" s="79">
        <f t="shared" si="8"/>
        <v>224062.07999999999</v>
      </c>
      <c r="D83" s="109"/>
      <c r="E83" s="109"/>
      <c r="F83" s="79"/>
      <c r="G83" s="109"/>
      <c r="H83" s="83">
        <v>224062.07999999999</v>
      </c>
      <c r="I83" s="79"/>
      <c r="J83" s="79"/>
    </row>
    <row r="84" spans="1:10" x14ac:dyDescent="0.2">
      <c r="A84" s="62" t="s">
        <v>1039</v>
      </c>
      <c r="B84" s="62"/>
      <c r="C84" s="79">
        <f t="shared" si="8"/>
        <v>221010.72000000003</v>
      </c>
      <c r="D84" s="109"/>
      <c r="E84" s="109"/>
      <c r="F84" s="79"/>
      <c r="G84" s="109"/>
      <c r="H84" s="83">
        <v>221010.72000000003</v>
      </c>
      <c r="I84" s="79"/>
      <c r="J84" s="79"/>
    </row>
    <row r="85" spans="1:10" x14ac:dyDescent="0.2">
      <c r="A85" s="62" t="s">
        <v>464</v>
      </c>
      <c r="B85" s="62"/>
      <c r="C85" s="79">
        <f t="shared" si="8"/>
        <v>411572.36</v>
      </c>
      <c r="D85" s="109"/>
      <c r="E85" s="109"/>
      <c r="F85" s="79"/>
      <c r="G85" s="83">
        <v>411572.36</v>
      </c>
      <c r="H85" s="79"/>
      <c r="I85" s="79"/>
      <c r="J85" s="79"/>
    </row>
    <row r="86" spans="1:10" x14ac:dyDescent="0.2">
      <c r="A86" s="62" t="s">
        <v>592</v>
      </c>
      <c r="B86" s="62"/>
      <c r="C86" s="79">
        <f t="shared" si="8"/>
        <v>189660.33</v>
      </c>
      <c r="D86" s="109"/>
      <c r="E86" s="109"/>
      <c r="F86" s="79"/>
      <c r="G86" s="83"/>
      <c r="H86" s="83">
        <v>189660.33</v>
      </c>
      <c r="I86" s="79"/>
      <c r="J86" s="79"/>
    </row>
    <row r="87" spans="1:10" ht="14.25" x14ac:dyDescent="0.35">
      <c r="A87" s="62" t="s">
        <v>467</v>
      </c>
      <c r="B87" s="62"/>
      <c r="C87" s="80">
        <f t="shared" si="8"/>
        <v>500855.40000000008</v>
      </c>
      <c r="D87" s="110">
        <v>0</v>
      </c>
      <c r="E87" s="110">
        <v>0</v>
      </c>
      <c r="F87" s="110">
        <v>0</v>
      </c>
      <c r="G87" s="80">
        <v>0</v>
      </c>
      <c r="H87" s="80">
        <v>500855.40000000008</v>
      </c>
      <c r="I87" s="80">
        <v>0</v>
      </c>
      <c r="J87" s="80">
        <v>0</v>
      </c>
    </row>
    <row r="88" spans="1:10" ht="14.25" x14ac:dyDescent="0.35">
      <c r="A88" s="67" t="s">
        <v>472</v>
      </c>
      <c r="B88" s="67"/>
      <c r="C88" s="80">
        <f t="shared" ref="C88:J88" si="9">SUM(C75:C87)</f>
        <v>21807062.239999991</v>
      </c>
      <c r="D88" s="80">
        <f t="shared" si="9"/>
        <v>9029105.3399999999</v>
      </c>
      <c r="E88" s="80">
        <f t="shared" si="9"/>
        <v>6541879.9299999997</v>
      </c>
      <c r="F88" s="80">
        <f t="shared" si="9"/>
        <v>0</v>
      </c>
      <c r="G88" s="80">
        <f t="shared" si="9"/>
        <v>479212.93999999994</v>
      </c>
      <c r="H88" s="80">
        <f t="shared" si="9"/>
        <v>5756864.0300000003</v>
      </c>
      <c r="I88" s="80">
        <f t="shared" si="9"/>
        <v>0</v>
      </c>
      <c r="J88" s="80">
        <f t="shared" si="9"/>
        <v>0</v>
      </c>
    </row>
    <row r="89" spans="1:10" ht="14.25" x14ac:dyDescent="0.35">
      <c r="A89" s="67" t="s">
        <v>482</v>
      </c>
      <c r="B89" s="67"/>
      <c r="C89" s="108">
        <f t="shared" ref="C89:I89" si="10">C74+C88</f>
        <v>91482166.749999985</v>
      </c>
      <c r="D89" s="108">
        <f t="shared" si="10"/>
        <v>58725166.439999998</v>
      </c>
      <c r="E89" s="108">
        <f t="shared" si="10"/>
        <v>26473099.009999998</v>
      </c>
      <c r="F89" s="108">
        <f t="shared" si="10"/>
        <v>47824.330000000009</v>
      </c>
      <c r="G89" s="108">
        <f t="shared" si="10"/>
        <v>479212.93999999994</v>
      </c>
      <c r="H89" s="108">
        <f t="shared" si="10"/>
        <v>5756864.0300000003</v>
      </c>
      <c r="I89" s="109">
        <f t="shared" si="10"/>
        <v>0</v>
      </c>
      <c r="J89" s="109">
        <v>0</v>
      </c>
    </row>
    <row r="90" spans="1:10" ht="12.75" customHeight="1" x14ac:dyDescent="0.35">
      <c r="A90" s="67" t="s">
        <v>545</v>
      </c>
      <c r="B90" s="67"/>
      <c r="C90" s="109">
        <f t="shared" ref="C90:C97" si="11">SUM(D90:H90)</f>
        <v>49696061.100000001</v>
      </c>
      <c r="D90" s="109">
        <f>D74</f>
        <v>49696061.100000001</v>
      </c>
      <c r="E90" s="110"/>
      <c r="F90" s="110"/>
      <c r="G90" s="110"/>
      <c r="H90" s="110"/>
      <c r="I90" s="110"/>
      <c r="J90" s="110"/>
    </row>
    <row r="91" spans="1:10" ht="12.75" customHeight="1" x14ac:dyDescent="0.35">
      <c r="A91" s="67" t="s">
        <v>546</v>
      </c>
      <c r="B91" s="67"/>
      <c r="C91" s="109">
        <f t="shared" si="11"/>
        <v>9029105.3399999999</v>
      </c>
      <c r="D91" s="109">
        <f>D88</f>
        <v>9029105.3399999999</v>
      </c>
      <c r="E91" s="110"/>
      <c r="F91" s="110"/>
      <c r="G91" s="110"/>
      <c r="H91" s="110"/>
      <c r="I91" s="110"/>
      <c r="J91" s="110"/>
    </row>
    <row r="92" spans="1:10" ht="12.75" customHeight="1" x14ac:dyDescent="0.35">
      <c r="A92" s="67" t="s">
        <v>547</v>
      </c>
      <c r="B92" s="67"/>
      <c r="C92" s="109">
        <f t="shared" si="11"/>
        <v>18520317.479999997</v>
      </c>
      <c r="D92" s="110"/>
      <c r="E92" s="109">
        <f>E60+E62+E64+E67+E69</f>
        <v>18520317.479999997</v>
      </c>
      <c r="F92" s="110"/>
      <c r="G92" s="83"/>
      <c r="H92" s="109">
        <f>H71</f>
        <v>0</v>
      </c>
      <c r="I92" s="110"/>
      <c r="J92" s="110"/>
    </row>
    <row r="93" spans="1:10" ht="12.75" customHeight="1" x14ac:dyDescent="0.35">
      <c r="A93" s="67" t="s">
        <v>548</v>
      </c>
      <c r="B93" s="67"/>
      <c r="C93" s="109">
        <f t="shared" si="11"/>
        <v>7982048.669999999</v>
      </c>
      <c r="D93" s="110"/>
      <c r="E93" s="109">
        <f>E76+E80</f>
        <v>6138164.4999999991</v>
      </c>
      <c r="F93" s="110"/>
      <c r="G93" s="83"/>
      <c r="H93" s="109">
        <f>H78+H83+H84</f>
        <v>1843884.17</v>
      </c>
      <c r="I93" s="110"/>
      <c r="J93" s="110"/>
    </row>
    <row r="94" spans="1:10" ht="12.75" customHeight="1" x14ac:dyDescent="0.35">
      <c r="A94" s="67" t="s">
        <v>549</v>
      </c>
      <c r="B94" s="67"/>
      <c r="C94" s="109">
        <f t="shared" si="11"/>
        <v>1458725.93</v>
      </c>
      <c r="D94" s="110"/>
      <c r="E94" s="109">
        <f>E68+E70</f>
        <v>1410901.5999999999</v>
      </c>
      <c r="F94" s="109">
        <f>F89</f>
        <v>47824.330000000009</v>
      </c>
      <c r="G94" s="83">
        <f>G74</f>
        <v>0</v>
      </c>
      <c r="H94" s="109">
        <f>H72</f>
        <v>0</v>
      </c>
      <c r="I94" s="110"/>
      <c r="J94" s="110"/>
    </row>
    <row r="95" spans="1:10" ht="12.75" customHeight="1" x14ac:dyDescent="0.35">
      <c r="A95" s="67" t="s">
        <v>550</v>
      </c>
      <c r="B95" s="67"/>
      <c r="C95" s="109">
        <f t="shared" si="11"/>
        <v>4795908.2300000004</v>
      </c>
      <c r="D95" s="110"/>
      <c r="E95" s="109">
        <f>E77+E81</f>
        <v>403715.43000000005</v>
      </c>
      <c r="F95" s="110"/>
      <c r="G95" s="109">
        <f>G82+G85+G86+G87</f>
        <v>479212.93999999994</v>
      </c>
      <c r="H95" s="109">
        <f>H79+H87+H86</f>
        <v>3912979.8600000003</v>
      </c>
      <c r="I95" s="110"/>
      <c r="J95" s="110"/>
    </row>
    <row r="96" spans="1:10" ht="12.75" customHeight="1" x14ac:dyDescent="0.35">
      <c r="A96" s="67" t="s">
        <v>544</v>
      </c>
      <c r="B96" s="67"/>
      <c r="C96" s="110">
        <f t="shared" si="11"/>
        <v>0</v>
      </c>
      <c r="D96" s="110">
        <v>0</v>
      </c>
      <c r="E96" s="110">
        <v>0</v>
      </c>
      <c r="F96" s="80">
        <v>0</v>
      </c>
      <c r="G96" s="110">
        <v>0</v>
      </c>
      <c r="H96" s="110">
        <v>0</v>
      </c>
      <c r="I96" s="110"/>
      <c r="J96" s="110"/>
    </row>
    <row r="97" spans="1:10" ht="12.75" customHeight="1" x14ac:dyDescent="0.35">
      <c r="A97" s="57" t="s">
        <v>12</v>
      </c>
      <c r="B97" s="67"/>
      <c r="C97" s="108">
        <f t="shared" si="11"/>
        <v>91482166.749999985</v>
      </c>
      <c r="D97" s="108">
        <f>SUM(D90:D96)</f>
        <v>58725166.439999998</v>
      </c>
      <c r="E97" s="108">
        <f>SUM(E92:E96)</f>
        <v>26473099.009999998</v>
      </c>
      <c r="F97" s="108">
        <f>SUM(F92:F95)</f>
        <v>47824.330000000009</v>
      </c>
      <c r="G97" s="108">
        <f>SUM(G92:G96)</f>
        <v>479212.93999999994</v>
      </c>
      <c r="H97" s="108">
        <f>SUM(H92:H96)</f>
        <v>5756864.0300000003</v>
      </c>
      <c r="I97" s="110"/>
      <c r="J97" s="110"/>
    </row>
    <row r="98" spans="1:10" ht="12.75" customHeight="1" x14ac:dyDescent="0.35">
      <c r="A98" s="67"/>
      <c r="B98" s="67"/>
      <c r="C98" s="110"/>
      <c r="D98" s="110"/>
      <c r="E98" s="110"/>
      <c r="F98" s="110"/>
      <c r="G98" s="110"/>
      <c r="H98" s="110"/>
      <c r="I98" s="110"/>
      <c r="J98" s="110"/>
    </row>
    <row r="99" spans="1:10" x14ac:dyDescent="0.2">
      <c r="C99" s="83"/>
      <c r="D99" s="83"/>
      <c r="E99" s="83"/>
      <c r="F99" s="83"/>
      <c r="G99" s="83"/>
      <c r="H99" s="83"/>
      <c r="I99" s="83"/>
      <c r="J99" s="83"/>
    </row>
    <row r="100" spans="1:10" x14ac:dyDescent="0.2">
      <c r="A100" s="11" t="s">
        <v>478</v>
      </c>
      <c r="C100" s="79">
        <f>SUM(D100:J100)</f>
        <v>476000</v>
      </c>
      <c r="D100" s="83">
        <f>'Acct 487'!F32</f>
        <v>305532</v>
      </c>
      <c r="E100" s="83">
        <f>'Acct 487'!F33</f>
        <v>137766</v>
      </c>
      <c r="F100" s="83">
        <f>'Acct 487'!F34</f>
        <v>249</v>
      </c>
      <c r="G100" s="83">
        <f>'Acct 487'!F35</f>
        <v>2494</v>
      </c>
      <c r="H100" s="83">
        <f>'Acct 487'!F36</f>
        <v>29959</v>
      </c>
      <c r="I100" s="83"/>
      <c r="J100" s="83"/>
    </row>
    <row r="101" spans="1:10" x14ac:dyDescent="0.2">
      <c r="A101" s="11" t="s">
        <v>479</v>
      </c>
      <c r="C101" s="79">
        <v>137000</v>
      </c>
      <c r="D101" s="83"/>
      <c r="E101" s="83"/>
      <c r="F101" s="83"/>
      <c r="G101" s="83"/>
      <c r="H101" s="83"/>
      <c r="I101" s="83"/>
      <c r="J101" s="83"/>
    </row>
    <row r="102" spans="1:10" ht="14.25" x14ac:dyDescent="0.35">
      <c r="A102" s="11" t="s">
        <v>480</v>
      </c>
      <c r="C102" s="80">
        <v>587000</v>
      </c>
      <c r="D102" s="80"/>
      <c r="E102" s="111"/>
      <c r="F102" s="83"/>
      <c r="G102" s="83"/>
      <c r="H102" s="83"/>
      <c r="I102" s="83"/>
      <c r="J102" s="83"/>
    </row>
    <row r="103" spans="1:10" ht="14.25" x14ac:dyDescent="0.35">
      <c r="A103" s="11" t="s">
        <v>481</v>
      </c>
      <c r="C103" s="80">
        <f>SUM(C100:C102)</f>
        <v>1200000</v>
      </c>
      <c r="D103" s="80"/>
      <c r="E103" s="111"/>
      <c r="F103" s="83"/>
      <c r="G103" s="83"/>
      <c r="H103" s="83"/>
      <c r="I103" s="83"/>
      <c r="J103" s="83"/>
    </row>
    <row r="104" spans="1:10" x14ac:dyDescent="0.2">
      <c r="C104" s="111"/>
      <c r="D104" s="111"/>
      <c r="E104" s="112"/>
      <c r="F104" s="83"/>
      <c r="G104" s="83"/>
      <c r="H104" s="83"/>
      <c r="I104" s="83"/>
      <c r="J104" s="83"/>
    </row>
    <row r="105" spans="1:10" ht="14.25" x14ac:dyDescent="0.35">
      <c r="A105" s="11" t="s">
        <v>482</v>
      </c>
      <c r="C105" s="113">
        <f>C89+C103</f>
        <v>92682166.749999985</v>
      </c>
      <c r="D105" s="83"/>
      <c r="F105" s="83"/>
      <c r="G105" s="83"/>
      <c r="H105" s="83"/>
      <c r="I105" s="83"/>
      <c r="J105" s="83"/>
    </row>
    <row r="106" spans="1:10" x14ac:dyDescent="0.2">
      <c r="C106" s="83"/>
      <c r="D106" s="83"/>
      <c r="E106" s="83"/>
      <c r="F106" s="83"/>
      <c r="G106" s="83"/>
      <c r="H106" s="83"/>
      <c r="I106" s="83"/>
      <c r="J106" s="83"/>
    </row>
    <row r="107" spans="1:10" x14ac:dyDescent="0.2">
      <c r="C107" s="83"/>
      <c r="D107" s="83"/>
      <c r="E107" s="114" t="str">
        <f>E52</f>
        <v>Columbia Gas of Kentucky, Inc,</v>
      </c>
      <c r="F107" s="83"/>
      <c r="G107" s="83"/>
      <c r="H107" s="83"/>
      <c r="I107" s="83"/>
      <c r="J107" s="83"/>
    </row>
    <row r="108" spans="1:10" x14ac:dyDescent="0.2">
      <c r="C108" s="83"/>
      <c r="D108" s="83"/>
      <c r="E108" s="115" t="s">
        <v>584</v>
      </c>
      <c r="F108" s="83"/>
      <c r="G108" s="83"/>
      <c r="H108" s="83"/>
      <c r="I108" s="83"/>
      <c r="J108" s="83"/>
    </row>
    <row r="109" spans="1:10" x14ac:dyDescent="0.2">
      <c r="C109" s="83"/>
      <c r="D109" s="83"/>
      <c r="E109" s="83"/>
      <c r="F109" s="83"/>
      <c r="G109" s="83"/>
      <c r="H109" s="83"/>
      <c r="I109" s="83"/>
      <c r="J109" s="83"/>
    </row>
    <row r="110" spans="1:10" x14ac:dyDescent="0.2">
      <c r="A110" s="58" t="s">
        <v>436</v>
      </c>
      <c r="B110" s="58" t="s">
        <v>963</v>
      </c>
      <c r="C110" s="77"/>
      <c r="D110" s="83"/>
      <c r="E110" s="83"/>
      <c r="F110" s="83"/>
      <c r="G110" s="83"/>
      <c r="H110" s="83"/>
      <c r="I110" s="83"/>
      <c r="J110" s="83"/>
    </row>
    <row r="111" spans="1:10" x14ac:dyDescent="0.2">
      <c r="C111" s="83"/>
      <c r="D111" s="83"/>
      <c r="E111" s="83"/>
      <c r="F111" s="83"/>
      <c r="G111" s="83"/>
      <c r="H111" s="83"/>
      <c r="I111" s="83"/>
      <c r="J111" s="83"/>
    </row>
    <row r="112" spans="1:10" x14ac:dyDescent="0.2">
      <c r="A112" s="60" t="s">
        <v>483</v>
      </c>
      <c r="B112" s="60"/>
      <c r="C112" s="77"/>
      <c r="D112" s="77"/>
      <c r="E112" s="77"/>
      <c r="F112" s="77"/>
      <c r="G112" s="77"/>
      <c r="H112" s="83"/>
      <c r="I112" s="83"/>
      <c r="J112" s="83"/>
    </row>
    <row r="113" spans="1:10" x14ac:dyDescent="0.2">
      <c r="A113" s="62" t="s">
        <v>437</v>
      </c>
      <c r="B113" s="62"/>
      <c r="C113" s="77" t="s">
        <v>12</v>
      </c>
      <c r="D113" s="77" t="str">
        <f>Customers!D8</f>
        <v>GS-RESIDENTIAL</v>
      </c>
      <c r="E113" s="77" t="str">
        <f>Customers!E8</f>
        <v>GS-OTHER</v>
      </c>
      <c r="F113" s="77" t="str">
        <f>Customers!F8</f>
        <v>IUS</v>
      </c>
      <c r="G113" s="77" t="str">
        <f>Customers!G8</f>
        <v>DS-ML</v>
      </c>
      <c r="H113" s="77" t="str">
        <f>Customers!H8</f>
        <v>DS/IS</v>
      </c>
      <c r="I113" s="77" t="str">
        <f>Customers!I8</f>
        <v>NOT USED</v>
      </c>
      <c r="J113" s="77" t="str">
        <f>Customers!J8</f>
        <v>NOT USED</v>
      </c>
    </row>
    <row r="114" spans="1:10" x14ac:dyDescent="0.2">
      <c r="C114" s="79"/>
      <c r="D114" s="79"/>
      <c r="E114" s="79"/>
      <c r="F114" s="79"/>
      <c r="G114" s="79"/>
      <c r="H114" s="79"/>
      <c r="I114" s="79"/>
      <c r="J114" s="79"/>
    </row>
    <row r="115" spans="1:10" x14ac:dyDescent="0.2">
      <c r="A115" s="62" t="s">
        <v>433</v>
      </c>
      <c r="B115" s="62"/>
      <c r="C115" s="79">
        <f t="shared" ref="C115:C125" si="12">SUM(D115:J115)</f>
        <v>13802634.639999999</v>
      </c>
      <c r="D115" s="79">
        <v>13802634.639999999</v>
      </c>
      <c r="E115" s="79"/>
      <c r="F115" s="79"/>
      <c r="G115" s="79"/>
      <c r="H115" s="79"/>
      <c r="I115" s="79"/>
      <c r="J115" s="79"/>
    </row>
    <row r="116" spans="1:10" x14ac:dyDescent="0.2">
      <c r="A116" s="62" t="s">
        <v>448</v>
      </c>
      <c r="B116" s="62"/>
      <c r="C116" s="79">
        <f t="shared" si="12"/>
        <v>3750.6100000000006</v>
      </c>
      <c r="D116" s="79"/>
      <c r="E116" s="79">
        <v>3750.6100000000006</v>
      </c>
      <c r="F116" s="79"/>
      <c r="G116" s="79"/>
      <c r="H116" s="79"/>
      <c r="I116" s="79"/>
      <c r="J116" s="79"/>
    </row>
    <row r="117" spans="1:10" x14ac:dyDescent="0.2">
      <c r="A117" s="62" t="s">
        <v>439</v>
      </c>
      <c r="B117" s="62"/>
      <c r="C117" s="79">
        <f t="shared" si="12"/>
        <v>4459.9499999999989</v>
      </c>
      <c r="D117" s="79">
        <v>4459.9499999999989</v>
      </c>
      <c r="E117" s="79"/>
      <c r="F117" s="79"/>
      <c r="G117" s="79"/>
      <c r="H117" s="79"/>
      <c r="I117" s="79"/>
      <c r="J117" s="79"/>
    </row>
    <row r="118" spans="1:10" x14ac:dyDescent="0.2">
      <c r="A118" s="62" t="s">
        <v>434</v>
      </c>
      <c r="B118" s="62"/>
      <c r="C118" s="79">
        <f t="shared" si="12"/>
        <v>0</v>
      </c>
      <c r="D118" s="79">
        <v>0</v>
      </c>
      <c r="E118" s="79"/>
      <c r="F118" s="79"/>
      <c r="G118" s="79"/>
      <c r="H118" s="79"/>
      <c r="I118" s="79"/>
      <c r="J118" s="79"/>
    </row>
    <row r="119" spans="1:10" x14ac:dyDescent="0.2">
      <c r="A119" s="62" t="s">
        <v>435</v>
      </c>
      <c r="B119" s="62"/>
      <c r="C119" s="79">
        <f t="shared" si="12"/>
        <v>0</v>
      </c>
      <c r="D119" s="79">
        <v>0</v>
      </c>
      <c r="E119" s="79"/>
      <c r="F119" s="79"/>
      <c r="G119" s="79"/>
      <c r="H119" s="79"/>
      <c r="I119" s="79"/>
      <c r="J119" s="79"/>
    </row>
    <row r="120" spans="1:10" x14ac:dyDescent="0.2">
      <c r="A120" s="62" t="s">
        <v>449</v>
      </c>
      <c r="B120" s="62"/>
      <c r="C120" s="79">
        <f t="shared" si="12"/>
        <v>0</v>
      </c>
      <c r="D120" s="79">
        <v>0</v>
      </c>
      <c r="E120" s="79">
        <v>0</v>
      </c>
      <c r="F120" s="79"/>
      <c r="G120" s="79"/>
      <c r="H120" s="79"/>
      <c r="I120" s="79"/>
      <c r="J120" s="79"/>
    </row>
    <row r="121" spans="1:10" x14ac:dyDescent="0.2">
      <c r="A121" s="62" t="s">
        <v>441</v>
      </c>
      <c r="B121" s="62"/>
      <c r="C121" s="79">
        <f t="shared" si="12"/>
        <v>0</v>
      </c>
      <c r="D121" s="109">
        <v>0</v>
      </c>
      <c r="E121" s="79"/>
      <c r="F121" s="79"/>
      <c r="G121" s="79"/>
      <c r="H121" s="79"/>
      <c r="I121" s="79"/>
      <c r="J121" s="79"/>
    </row>
    <row r="122" spans="1:10" x14ac:dyDescent="0.2">
      <c r="A122" s="62" t="s">
        <v>442</v>
      </c>
      <c r="B122" s="62"/>
      <c r="C122" s="79">
        <f t="shared" si="12"/>
        <v>0</v>
      </c>
      <c r="D122" s="79">
        <v>0</v>
      </c>
      <c r="E122" s="79"/>
      <c r="F122" s="79"/>
      <c r="G122" s="79"/>
      <c r="H122" s="79"/>
      <c r="I122" s="79"/>
      <c r="J122" s="79"/>
    </row>
    <row r="123" spans="1:10" x14ac:dyDescent="0.2">
      <c r="A123" s="62" t="s">
        <v>451</v>
      </c>
      <c r="B123" s="62"/>
      <c r="C123" s="79">
        <f t="shared" si="12"/>
        <v>6844266.9800000004</v>
      </c>
      <c r="D123" s="79"/>
      <c r="E123" s="79">
        <v>6844266.9800000004</v>
      </c>
      <c r="F123" s="79"/>
      <c r="G123" s="79"/>
      <c r="H123" s="79"/>
      <c r="I123" s="83"/>
      <c r="J123" s="79"/>
    </row>
    <row r="124" spans="1:10" x14ac:dyDescent="0.2">
      <c r="A124" s="62" t="s">
        <v>452</v>
      </c>
      <c r="B124" s="62"/>
      <c r="C124" s="79">
        <f t="shared" si="12"/>
        <v>795829.36999999988</v>
      </c>
      <c r="D124" s="79"/>
      <c r="E124" s="79">
        <v>795829.36999999988</v>
      </c>
      <c r="F124" s="79"/>
      <c r="G124" s="79"/>
      <c r="H124" s="79"/>
      <c r="I124" s="83"/>
      <c r="J124" s="79"/>
    </row>
    <row r="125" spans="1:10" x14ac:dyDescent="0.2">
      <c r="A125" s="62" t="s">
        <v>470</v>
      </c>
      <c r="B125" s="62"/>
      <c r="C125" s="111">
        <f t="shared" si="12"/>
        <v>25008.560000000001</v>
      </c>
      <c r="D125" s="379">
        <v>0</v>
      </c>
      <c r="E125" s="379">
        <v>0</v>
      </c>
      <c r="F125" s="111">
        <v>25008.560000000001</v>
      </c>
      <c r="G125" s="379"/>
      <c r="H125" s="112"/>
      <c r="I125" s="111">
        <v>0</v>
      </c>
      <c r="J125" s="111">
        <v>0</v>
      </c>
    </row>
    <row r="126" spans="1:10" x14ac:dyDescent="0.2">
      <c r="A126" s="67" t="s">
        <v>471</v>
      </c>
      <c r="B126" s="67"/>
      <c r="C126" s="155">
        <f>SUM(C115:C125)</f>
        <v>21475950.109999999</v>
      </c>
      <c r="D126" s="155">
        <f>SUM(D115:D125)</f>
        <v>13807094.589999998</v>
      </c>
      <c r="E126" s="155">
        <f>SUM(E115:E125)</f>
        <v>7643846.9600000009</v>
      </c>
      <c r="F126" s="155">
        <f>SUM(F115:F125)</f>
        <v>25008.560000000001</v>
      </c>
      <c r="G126" s="155">
        <v>0</v>
      </c>
      <c r="H126" s="155">
        <f>SUM(H115:H125)</f>
        <v>0</v>
      </c>
      <c r="I126" s="155">
        <f>SUM(I115:I125)</f>
        <v>0</v>
      </c>
      <c r="J126" s="155">
        <f>SUM(J115:J125)</f>
        <v>0</v>
      </c>
    </row>
    <row r="127" spans="1:10" x14ac:dyDescent="0.2">
      <c r="A127" s="62" t="s">
        <v>446</v>
      </c>
      <c r="B127" s="62"/>
      <c r="C127" s="79">
        <f t="shared" ref="C127:C144" si="13">SUM(D127:J127)</f>
        <v>0</v>
      </c>
      <c r="D127" s="79">
        <v>0</v>
      </c>
      <c r="E127" s="79"/>
      <c r="F127" s="79"/>
      <c r="G127" s="79"/>
      <c r="H127" s="79"/>
      <c r="I127" s="79"/>
      <c r="J127" s="79"/>
    </row>
    <row r="128" spans="1:10" x14ac:dyDescent="0.2">
      <c r="A128" s="62" t="s">
        <v>454</v>
      </c>
      <c r="B128" s="62"/>
      <c r="C128" s="79">
        <f t="shared" si="13"/>
        <v>0</v>
      </c>
      <c r="D128" s="79"/>
      <c r="E128" s="79"/>
      <c r="F128" s="79"/>
      <c r="G128" s="79"/>
      <c r="H128" s="79"/>
      <c r="I128" s="79"/>
      <c r="J128" s="79"/>
    </row>
    <row r="129" spans="1:10" x14ac:dyDescent="0.2">
      <c r="A129" s="62" t="s">
        <v>455</v>
      </c>
      <c r="B129" s="62"/>
      <c r="C129" s="79">
        <f t="shared" si="13"/>
        <v>0</v>
      </c>
      <c r="D129" s="79"/>
      <c r="E129" s="79"/>
      <c r="F129" s="79"/>
      <c r="G129" s="79"/>
      <c r="H129" s="79"/>
      <c r="I129" s="79"/>
      <c r="J129" s="79"/>
    </row>
    <row r="130" spans="1:10" x14ac:dyDescent="0.2">
      <c r="A130" s="62" t="s">
        <v>468</v>
      </c>
      <c r="B130" s="62"/>
      <c r="C130" s="79">
        <f t="shared" si="13"/>
        <v>0</v>
      </c>
      <c r="D130" s="79"/>
      <c r="E130" s="79"/>
      <c r="F130" s="79"/>
      <c r="G130" s="79"/>
      <c r="H130" s="79"/>
      <c r="I130" s="83"/>
      <c r="J130" s="79"/>
    </row>
    <row r="131" spans="1:10" x14ac:dyDescent="0.2">
      <c r="A131" s="62" t="s">
        <v>469</v>
      </c>
      <c r="B131" s="62"/>
      <c r="C131" s="79">
        <f t="shared" si="13"/>
        <v>0</v>
      </c>
      <c r="D131" s="109"/>
      <c r="E131" s="109"/>
      <c r="F131" s="109"/>
      <c r="G131" s="109"/>
      <c r="H131" s="79"/>
      <c r="I131" s="83"/>
      <c r="J131" s="79"/>
    </row>
    <row r="132" spans="1:10" x14ac:dyDescent="0.2">
      <c r="A132" s="62" t="s">
        <v>447</v>
      </c>
      <c r="B132" s="62"/>
      <c r="C132" s="79">
        <f t="shared" si="13"/>
        <v>0</v>
      </c>
      <c r="D132" s="109"/>
      <c r="E132" s="109"/>
      <c r="F132" s="109"/>
      <c r="G132" s="109"/>
      <c r="H132" s="79"/>
      <c r="I132" s="79"/>
      <c r="J132" s="79"/>
    </row>
    <row r="133" spans="1:10" x14ac:dyDescent="0.2">
      <c r="A133" s="62" t="s">
        <v>457</v>
      </c>
      <c r="B133" s="62"/>
      <c r="C133" s="79">
        <f t="shared" si="13"/>
        <v>0</v>
      </c>
      <c r="D133" s="109"/>
      <c r="E133" s="79"/>
      <c r="F133" s="109"/>
      <c r="G133" s="109"/>
      <c r="H133" s="79"/>
      <c r="I133" s="83"/>
      <c r="J133" s="79"/>
    </row>
    <row r="134" spans="1:10" x14ac:dyDescent="0.2">
      <c r="A134" s="62" t="s">
        <v>458</v>
      </c>
      <c r="B134" s="62"/>
      <c r="C134" s="79">
        <f t="shared" si="13"/>
        <v>0</v>
      </c>
      <c r="D134" s="109"/>
      <c r="E134" s="79"/>
      <c r="F134" s="83"/>
      <c r="G134" s="109"/>
      <c r="H134" s="79"/>
      <c r="I134" s="83"/>
      <c r="J134" s="79"/>
    </row>
    <row r="135" spans="1:10" x14ac:dyDescent="0.2">
      <c r="A135" s="62" t="s">
        <v>459</v>
      </c>
      <c r="B135" s="62"/>
      <c r="C135" s="79">
        <f t="shared" si="13"/>
        <v>0</v>
      </c>
      <c r="D135" s="109"/>
      <c r="E135" s="109"/>
      <c r="F135" s="109"/>
      <c r="G135" s="79"/>
      <c r="H135" s="79"/>
      <c r="I135" s="79"/>
      <c r="J135" s="83"/>
    </row>
    <row r="136" spans="1:10" x14ac:dyDescent="0.2">
      <c r="A136" s="62" t="s">
        <v>462</v>
      </c>
      <c r="B136" s="62"/>
      <c r="C136" s="79">
        <f t="shared" si="13"/>
        <v>0</v>
      </c>
      <c r="D136" s="109"/>
      <c r="E136" s="79"/>
      <c r="F136" s="79"/>
      <c r="G136" s="109"/>
      <c r="H136" s="79"/>
      <c r="I136" s="79"/>
      <c r="J136" s="79"/>
    </row>
    <row r="137" spans="1:10" x14ac:dyDescent="0.2">
      <c r="A137" s="62" t="s">
        <v>460</v>
      </c>
      <c r="B137" s="62"/>
      <c r="C137" s="79">
        <f t="shared" si="13"/>
        <v>0</v>
      </c>
      <c r="D137" s="109"/>
      <c r="E137" s="109"/>
      <c r="F137" s="79"/>
      <c r="G137" s="109"/>
      <c r="H137" s="79"/>
      <c r="I137" s="79"/>
      <c r="J137" s="79"/>
    </row>
    <row r="138" spans="1:10" x14ac:dyDescent="0.2">
      <c r="A138" s="62" t="s">
        <v>461</v>
      </c>
      <c r="B138" s="62"/>
      <c r="C138" s="79">
        <f t="shared" si="13"/>
        <v>0</v>
      </c>
      <c r="D138" s="109"/>
      <c r="E138" s="109"/>
      <c r="F138" s="79"/>
      <c r="G138" s="109"/>
      <c r="H138" s="83"/>
      <c r="I138" s="79"/>
      <c r="J138" s="79"/>
    </row>
    <row r="139" spans="1:10" x14ac:dyDescent="0.2">
      <c r="A139" s="62" t="s">
        <v>463</v>
      </c>
      <c r="B139" s="62"/>
      <c r="C139" s="79">
        <f t="shared" si="13"/>
        <v>0</v>
      </c>
      <c r="D139" s="109"/>
      <c r="E139" s="109"/>
      <c r="F139" s="79"/>
      <c r="G139" s="109"/>
      <c r="H139" s="83"/>
      <c r="I139" s="79"/>
      <c r="J139" s="79"/>
    </row>
    <row r="140" spans="1:10" x14ac:dyDescent="0.2">
      <c r="A140" s="62" t="s">
        <v>464</v>
      </c>
      <c r="B140" s="62"/>
      <c r="C140" s="79">
        <f t="shared" si="13"/>
        <v>0</v>
      </c>
      <c r="D140" s="109"/>
      <c r="E140" s="109"/>
      <c r="F140" s="79"/>
      <c r="G140" s="109"/>
      <c r="H140" s="79"/>
      <c r="I140" s="79"/>
      <c r="J140" s="79"/>
    </row>
    <row r="141" spans="1:10" x14ac:dyDescent="0.2">
      <c r="A141" s="62" t="s">
        <v>465</v>
      </c>
      <c r="B141" s="62"/>
      <c r="C141" s="79">
        <f t="shared" si="13"/>
        <v>0</v>
      </c>
      <c r="D141" s="109"/>
      <c r="E141" s="109"/>
      <c r="F141" s="79"/>
      <c r="G141" s="109"/>
      <c r="H141" s="79"/>
      <c r="I141" s="79"/>
      <c r="J141" s="79"/>
    </row>
    <row r="142" spans="1:10" x14ac:dyDescent="0.2">
      <c r="A142" s="62" t="s">
        <v>592</v>
      </c>
      <c r="B142" s="62"/>
      <c r="C142" s="79">
        <f t="shared" si="13"/>
        <v>0</v>
      </c>
      <c r="D142" s="109"/>
      <c r="E142" s="109"/>
      <c r="F142" s="79"/>
      <c r="G142" s="109"/>
      <c r="H142" s="79"/>
      <c r="I142" s="79"/>
      <c r="J142" s="79"/>
    </row>
    <row r="143" spans="1:10" x14ac:dyDescent="0.2">
      <c r="A143" s="62" t="s">
        <v>593</v>
      </c>
      <c r="B143" s="62"/>
      <c r="C143" s="79">
        <f t="shared" si="13"/>
        <v>0</v>
      </c>
      <c r="D143" s="109"/>
      <c r="E143" s="109"/>
      <c r="F143" s="79"/>
      <c r="G143" s="109"/>
      <c r="H143" s="79"/>
      <c r="I143" s="79"/>
      <c r="J143" s="79"/>
    </row>
    <row r="144" spans="1:10" x14ac:dyDescent="0.2">
      <c r="A144" s="62" t="s">
        <v>466</v>
      </c>
      <c r="B144" s="62"/>
      <c r="C144" s="79">
        <f t="shared" si="13"/>
        <v>0</v>
      </c>
      <c r="D144" s="109"/>
      <c r="E144" s="109"/>
      <c r="F144" s="109"/>
      <c r="G144" s="109"/>
      <c r="H144" s="79"/>
      <c r="I144" s="79"/>
      <c r="J144" s="79"/>
    </row>
    <row r="145" spans="1:10" ht="14.25" x14ac:dyDescent="0.35">
      <c r="A145" s="62" t="s">
        <v>467</v>
      </c>
      <c r="B145" s="62"/>
      <c r="C145" s="80">
        <v>0</v>
      </c>
      <c r="D145" s="110">
        <v>0</v>
      </c>
      <c r="E145" s="110">
        <v>0</v>
      </c>
      <c r="F145" s="110">
        <v>0</v>
      </c>
      <c r="G145" s="110">
        <v>0</v>
      </c>
      <c r="H145" s="80">
        <v>0</v>
      </c>
      <c r="I145" s="80">
        <v>0</v>
      </c>
      <c r="J145" s="80">
        <v>0</v>
      </c>
    </row>
    <row r="146" spans="1:10" ht="14.25" x14ac:dyDescent="0.35">
      <c r="A146" s="67" t="s">
        <v>472</v>
      </c>
      <c r="B146" s="67"/>
      <c r="C146" s="80">
        <f t="shared" ref="C146:J146" si="14">SUM(C127:C145)</f>
        <v>0</v>
      </c>
      <c r="D146" s="80">
        <f t="shared" si="14"/>
        <v>0</v>
      </c>
      <c r="E146" s="80">
        <f t="shared" si="14"/>
        <v>0</v>
      </c>
      <c r="F146" s="80">
        <f t="shared" si="14"/>
        <v>0</v>
      </c>
      <c r="G146" s="80">
        <f t="shared" si="14"/>
        <v>0</v>
      </c>
      <c r="H146" s="80">
        <f t="shared" si="14"/>
        <v>0</v>
      </c>
      <c r="I146" s="80">
        <f t="shared" si="14"/>
        <v>0</v>
      </c>
      <c r="J146" s="80">
        <f t="shared" si="14"/>
        <v>0</v>
      </c>
    </row>
    <row r="147" spans="1:10" ht="14.25" x14ac:dyDescent="0.35">
      <c r="A147" s="67" t="s">
        <v>492</v>
      </c>
      <c r="B147" s="67"/>
      <c r="C147" s="108">
        <f t="shared" ref="C147:I147" si="15">C126+C146</f>
        <v>21475950.109999999</v>
      </c>
      <c r="D147" s="108">
        <f t="shared" si="15"/>
        <v>13807094.589999998</v>
      </c>
      <c r="E147" s="108">
        <f t="shared" si="15"/>
        <v>7643846.9600000009</v>
      </c>
      <c r="F147" s="108">
        <f t="shared" si="15"/>
        <v>25008.560000000001</v>
      </c>
      <c r="G147" s="108">
        <f t="shared" si="15"/>
        <v>0</v>
      </c>
      <c r="H147" s="108">
        <f t="shared" si="15"/>
        <v>0</v>
      </c>
      <c r="I147" s="110">
        <f t="shared" si="15"/>
        <v>0</v>
      </c>
      <c r="J147" s="110">
        <v>0</v>
      </c>
    </row>
    <row r="148" spans="1:10" ht="12.75" customHeight="1" x14ac:dyDescent="0.35">
      <c r="A148" s="67" t="s">
        <v>545</v>
      </c>
      <c r="B148" s="67"/>
      <c r="C148" s="109">
        <f t="shared" ref="C148:C155" si="16">SUM(D148:H148)</f>
        <v>13807094.589999998</v>
      </c>
      <c r="D148" s="109">
        <f>D126</f>
        <v>13807094.589999998</v>
      </c>
      <c r="E148" s="110"/>
      <c r="F148" s="110"/>
      <c r="G148" s="110"/>
      <c r="H148" s="110"/>
      <c r="I148" s="110"/>
      <c r="J148" s="110"/>
    </row>
    <row r="149" spans="1:10" ht="12.75" customHeight="1" x14ac:dyDescent="0.35">
      <c r="A149" s="67" t="s">
        <v>546</v>
      </c>
      <c r="B149" s="67"/>
      <c r="C149" s="109">
        <f t="shared" si="16"/>
        <v>0</v>
      </c>
      <c r="D149" s="109">
        <f>D146</f>
        <v>0</v>
      </c>
      <c r="E149" s="110"/>
      <c r="F149" s="110"/>
      <c r="G149" s="110"/>
      <c r="H149" s="110"/>
      <c r="I149" s="110"/>
      <c r="J149" s="110"/>
    </row>
    <row r="150" spans="1:10" ht="12.75" customHeight="1" x14ac:dyDescent="0.35">
      <c r="A150" s="67" t="s">
        <v>547</v>
      </c>
      <c r="B150" s="67"/>
      <c r="C150" s="109">
        <f t="shared" si="16"/>
        <v>6848017.5900000008</v>
      </c>
      <c r="D150" s="110"/>
      <c r="E150" s="109">
        <f>E116+E120+E123</f>
        <v>6848017.5900000008</v>
      </c>
      <c r="F150" s="110"/>
      <c r="G150" s="83"/>
      <c r="H150" s="109"/>
      <c r="I150" s="110"/>
      <c r="J150" s="110"/>
    </row>
    <row r="151" spans="1:10" ht="12.75" customHeight="1" x14ac:dyDescent="0.35">
      <c r="A151" s="67" t="s">
        <v>548</v>
      </c>
      <c r="B151" s="67"/>
      <c r="C151" s="109">
        <f t="shared" si="16"/>
        <v>0</v>
      </c>
      <c r="D151" s="110"/>
      <c r="E151" s="109">
        <f>E128+E133</f>
        <v>0</v>
      </c>
      <c r="F151" s="110"/>
      <c r="G151" s="83"/>
      <c r="H151" s="109">
        <f>H130+H136+H138</f>
        <v>0</v>
      </c>
      <c r="I151" s="110"/>
      <c r="J151" s="110"/>
    </row>
    <row r="152" spans="1:10" ht="12.75" customHeight="1" x14ac:dyDescent="0.35">
      <c r="A152" s="67" t="s">
        <v>549</v>
      </c>
      <c r="B152" s="67"/>
      <c r="C152" s="109">
        <f t="shared" si="16"/>
        <v>820837.92999999993</v>
      </c>
      <c r="D152" s="110"/>
      <c r="E152" s="109">
        <f>E124</f>
        <v>795829.36999999988</v>
      </c>
      <c r="F152" s="109">
        <f>F147</f>
        <v>25008.560000000001</v>
      </c>
      <c r="G152" s="83"/>
      <c r="H152" s="109"/>
      <c r="I152" s="110"/>
      <c r="J152" s="110"/>
    </row>
    <row r="153" spans="1:10" ht="12.75" customHeight="1" x14ac:dyDescent="0.35">
      <c r="A153" s="67" t="s">
        <v>550</v>
      </c>
      <c r="B153" s="67"/>
      <c r="C153" s="109">
        <f t="shared" si="16"/>
        <v>0</v>
      </c>
      <c r="D153" s="110"/>
      <c r="E153" s="109">
        <f>E129+E134</f>
        <v>0</v>
      </c>
      <c r="F153" s="110"/>
      <c r="G153" s="109">
        <f>G135+G140+G141+G142+G143</f>
        <v>0</v>
      </c>
      <c r="H153" s="109">
        <f>H131+H132+H137+H139+H144+H145</f>
        <v>0</v>
      </c>
      <c r="I153" s="110"/>
      <c r="J153" s="110"/>
    </row>
    <row r="154" spans="1:10" ht="12.75" customHeight="1" x14ac:dyDescent="0.35">
      <c r="A154" s="67" t="s">
        <v>544</v>
      </c>
      <c r="B154" s="67"/>
      <c r="C154" s="110">
        <f t="shared" si="16"/>
        <v>0</v>
      </c>
      <c r="D154" s="110">
        <v>0</v>
      </c>
      <c r="E154" s="110">
        <v>0</v>
      </c>
      <c r="F154" s="80">
        <v>0</v>
      </c>
      <c r="G154" s="110">
        <v>0</v>
      </c>
      <c r="H154" s="110">
        <v>0</v>
      </c>
      <c r="I154" s="110"/>
      <c r="J154" s="110"/>
    </row>
    <row r="155" spans="1:10" ht="12.75" customHeight="1" x14ac:dyDescent="0.35">
      <c r="A155" s="57" t="s">
        <v>12</v>
      </c>
      <c r="B155" s="67"/>
      <c r="C155" s="108">
        <f t="shared" si="16"/>
        <v>21475950.109999996</v>
      </c>
      <c r="D155" s="108">
        <f>SUM(D148:D154)</f>
        <v>13807094.589999998</v>
      </c>
      <c r="E155" s="108">
        <f>SUM(E150:E154)</f>
        <v>7643846.9600000009</v>
      </c>
      <c r="F155" s="108">
        <f>SUM(F150:F153)</f>
        <v>25008.560000000001</v>
      </c>
      <c r="G155" s="108">
        <f>SUM(G150:G154)</f>
        <v>0</v>
      </c>
      <c r="H155" s="108">
        <f>SUM(H150:H154)</f>
        <v>0</v>
      </c>
      <c r="I155" s="110"/>
      <c r="J155" s="110"/>
    </row>
  </sheetData>
  <phoneticPr fontId="3" type="noConversion"/>
  <pageMargins left="0" right="0" top="1" bottom="1" header="0.5" footer="0.5"/>
  <pageSetup orientation="landscape" r:id="rId1"/>
  <headerFooter alignWithMargins="0"/>
  <rowBreaks count="2" manualBreakCount="2">
    <brk id="51" max="11" man="1"/>
    <brk id="10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107</vt:i4>
      </vt:variant>
    </vt:vector>
  </HeadingPairs>
  <TitlesOfParts>
    <vt:vector size="136" baseType="lpstr">
      <vt:lpstr>Title</vt:lpstr>
      <vt:lpstr>Total Co</vt:lpstr>
      <vt:lpstr>Classification</vt:lpstr>
      <vt:lpstr>Customer</vt:lpstr>
      <vt:lpstr>Commodity</vt:lpstr>
      <vt:lpstr>Demand</vt:lpstr>
      <vt:lpstr>Input</vt:lpstr>
      <vt:lpstr>Customers</vt:lpstr>
      <vt:lpstr>Sales &amp; Rev</vt:lpstr>
      <vt:lpstr>Acct 487</vt:lpstr>
      <vt:lpstr>Prop Rev.</vt:lpstr>
      <vt:lpstr>Design Day</vt:lpstr>
      <vt:lpstr>Meters</vt:lpstr>
      <vt:lpstr>Reg. Station</vt:lpstr>
      <vt:lpstr>Services-Size Index</vt:lpstr>
      <vt:lpstr>Services-Plant Records</vt:lpstr>
      <vt:lpstr>Services-AUC</vt:lpstr>
      <vt:lpstr>Services&amp;MT</vt:lpstr>
      <vt:lpstr>Min Syst - Mains</vt:lpstr>
      <vt:lpstr>Uncollectibles</vt:lpstr>
      <vt:lpstr>Classification Table</vt:lpstr>
      <vt:lpstr>Alloc Table Cust</vt:lpstr>
      <vt:lpstr>Alloc Table Dem</vt:lpstr>
      <vt:lpstr>Alloc Table Comm</vt:lpstr>
      <vt:lpstr>Revenue Req</vt:lpstr>
      <vt:lpstr>Alloc Table</vt:lpstr>
      <vt:lpstr>Return</vt:lpstr>
      <vt:lpstr>Capital Structure</vt:lpstr>
      <vt:lpstr>Gross Revenue Conversion Factor</vt:lpstr>
      <vt:lpstr>ADM</vt:lpstr>
      <vt:lpstr>'Alloc Table Cust'!ALLOC</vt:lpstr>
      <vt:lpstr>ALLOC</vt:lpstr>
      <vt:lpstr>COLUMN1</vt:lpstr>
      <vt:lpstr>COLUMN2</vt:lpstr>
      <vt:lpstr>INPUT</vt:lpstr>
      <vt:lpstr>PAGE_1</vt:lpstr>
      <vt:lpstr>Classification!PAGE_10</vt:lpstr>
      <vt:lpstr>Commodity!PAGE_10</vt:lpstr>
      <vt:lpstr>Customer!PAGE_10</vt:lpstr>
      <vt:lpstr>Demand!PAGE_10</vt:lpstr>
      <vt:lpstr>PAGE_10</vt:lpstr>
      <vt:lpstr>Classification!PAGE_11</vt:lpstr>
      <vt:lpstr>Commodity!PAGE_11</vt:lpstr>
      <vt:lpstr>Customer!PAGE_11</vt:lpstr>
      <vt:lpstr>Demand!PAGE_11</vt:lpstr>
      <vt:lpstr>PAGE_11</vt:lpstr>
      <vt:lpstr>Classification!PAGE_12</vt:lpstr>
      <vt:lpstr>Commodity!PAGE_12</vt:lpstr>
      <vt:lpstr>Customer!PAGE_12</vt:lpstr>
      <vt:lpstr>Demand!PAGE_12</vt:lpstr>
      <vt:lpstr>PAGE_12</vt:lpstr>
      <vt:lpstr>Classification!PAGE_13</vt:lpstr>
      <vt:lpstr>Commodity!PAGE_13</vt:lpstr>
      <vt:lpstr>Customer!PAGE_13</vt:lpstr>
      <vt:lpstr>Demand!PAGE_13</vt:lpstr>
      <vt:lpstr>PAGE_13</vt:lpstr>
      <vt:lpstr>PAGE_14</vt:lpstr>
      <vt:lpstr>PAGE_15</vt:lpstr>
      <vt:lpstr>PAGE_16</vt:lpstr>
      <vt:lpstr>PAGE_17</vt:lpstr>
      <vt:lpstr>PAGE_18</vt:lpstr>
      <vt:lpstr>PAGE_19</vt:lpstr>
      <vt:lpstr>PAGE_2</vt:lpstr>
      <vt:lpstr>PAGE_20</vt:lpstr>
      <vt:lpstr>PAGE_21</vt:lpstr>
      <vt:lpstr>Classification!PAGE_22</vt:lpstr>
      <vt:lpstr>Commodity!PAGE_22</vt:lpstr>
      <vt:lpstr>Customer!PAGE_22</vt:lpstr>
      <vt:lpstr>Demand!PAGE_22</vt:lpstr>
      <vt:lpstr>PAGE_22</vt:lpstr>
      <vt:lpstr>PAGE_23</vt:lpstr>
      <vt:lpstr>Classification!PAGE_24</vt:lpstr>
      <vt:lpstr>Commodity!PAGE_24</vt:lpstr>
      <vt:lpstr>Customer!PAGE_24</vt:lpstr>
      <vt:lpstr>Demand!PAGE_24</vt:lpstr>
      <vt:lpstr>PAGE_24</vt:lpstr>
      <vt:lpstr>Classification!PAGE_25</vt:lpstr>
      <vt:lpstr>Commodity!PAGE_25</vt:lpstr>
      <vt:lpstr>Customer!PAGE_25</vt:lpstr>
      <vt:lpstr>Demand!PAGE_25</vt:lpstr>
      <vt:lpstr>PAGE_25</vt:lpstr>
      <vt:lpstr>Classification!PAGE_26</vt:lpstr>
      <vt:lpstr>Commodity!PAGE_26</vt:lpstr>
      <vt:lpstr>Customer!PAGE_26</vt:lpstr>
      <vt:lpstr>Demand!PAGE_26</vt:lpstr>
      <vt:lpstr>PAGE_26</vt:lpstr>
      <vt:lpstr>PAGE_27</vt:lpstr>
      <vt:lpstr>PAGE_28</vt:lpstr>
      <vt:lpstr>PAGE_2F</vt:lpstr>
      <vt:lpstr>Classification!PAGE_3</vt:lpstr>
      <vt:lpstr>Commodity!PAGE_3</vt:lpstr>
      <vt:lpstr>Customer!PAGE_3</vt:lpstr>
      <vt:lpstr>Demand!PAGE_3</vt:lpstr>
      <vt:lpstr>PAGE_3</vt:lpstr>
      <vt:lpstr>PAGE_30A</vt:lpstr>
      <vt:lpstr>PAGE_35</vt:lpstr>
      <vt:lpstr>PAGE_3F</vt:lpstr>
      <vt:lpstr>PAGE_4</vt:lpstr>
      <vt:lpstr>PAGE_5</vt:lpstr>
      <vt:lpstr>PAGE_6</vt:lpstr>
      <vt:lpstr>Classification!PAGE_8</vt:lpstr>
      <vt:lpstr>Commodity!PAGE_8</vt:lpstr>
      <vt:lpstr>Customer!PAGE_8</vt:lpstr>
      <vt:lpstr>Demand!PAGE_8</vt:lpstr>
      <vt:lpstr>PAGE_8</vt:lpstr>
      <vt:lpstr>Classification!PAGE_9</vt:lpstr>
      <vt:lpstr>Commodity!PAGE_9</vt:lpstr>
      <vt:lpstr>Customer!PAGE_9</vt:lpstr>
      <vt:lpstr>Demand!PAGE_9</vt:lpstr>
      <vt:lpstr>PAGE_9</vt:lpstr>
      <vt:lpstr>'Acct 487'!Print_Area</vt:lpstr>
      <vt:lpstr>'Alloc Table'!Print_Area</vt:lpstr>
      <vt:lpstr>'Alloc Table Cust'!Print_Area</vt:lpstr>
      <vt:lpstr>'Capital Structure'!Print_Area</vt:lpstr>
      <vt:lpstr>Classification!Print_Area</vt:lpstr>
      <vt:lpstr>'Classification Table'!Print_Area</vt:lpstr>
      <vt:lpstr>Commodity!Print_Area</vt:lpstr>
      <vt:lpstr>Customer!Print_Area</vt:lpstr>
      <vt:lpstr>Customers!Print_Area</vt:lpstr>
      <vt:lpstr>Demand!Print_Area</vt:lpstr>
      <vt:lpstr>'Design Day'!Print_Area</vt:lpstr>
      <vt:lpstr>'Gross Revenue Conversion Factor'!Print_Area</vt:lpstr>
      <vt:lpstr>Input!Print_Area</vt:lpstr>
      <vt:lpstr>Meters!Print_Area</vt:lpstr>
      <vt:lpstr>'Min Syst - Mains'!Print_Area</vt:lpstr>
      <vt:lpstr>'Prop Rev.'!Print_Area</vt:lpstr>
      <vt:lpstr>'Reg. Station'!Print_Area</vt:lpstr>
      <vt:lpstr>Return!Print_Area</vt:lpstr>
      <vt:lpstr>'Revenue Req'!Print_Area</vt:lpstr>
      <vt:lpstr>'Sales &amp; Rev'!Print_Area</vt:lpstr>
      <vt:lpstr>'Services&amp;MT'!Print_Area</vt:lpstr>
      <vt:lpstr>'Services-AUC'!Print_Area</vt:lpstr>
      <vt:lpstr>Title!Print_Area</vt:lpstr>
      <vt:lpstr>'Total Co'!Print_Area</vt:lpstr>
      <vt:lpstr>'Services&amp;MT'!Print_Titles</vt:lpstr>
      <vt:lpstr>'Services-Plant Records'!Print_Titles</vt:lpstr>
    </vt:vector>
  </TitlesOfParts>
  <Company>Columbia Gas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Columbia Gas</dc:creator>
  <cp:lastModifiedBy>MacDonald \ Cheryl \ Ann</cp:lastModifiedBy>
  <cp:lastPrinted>2016-05-12T20:13:08Z</cp:lastPrinted>
  <dcterms:created xsi:type="dcterms:W3CDTF">2002-01-23T18:08:44Z</dcterms:created>
  <dcterms:modified xsi:type="dcterms:W3CDTF">2016-06-08T11:17:24Z</dcterms:modified>
</cp:coreProperties>
</file>