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1"/>
  </bookViews>
  <sheets>
    <sheet name="NPV @ 4%" sheetId="1" r:id="rId1"/>
    <sheet name="NPV @ 3.82% w Legal Fees" sheetId="2" r:id="rId2"/>
    <sheet name="NPV @ 3.82%" sheetId="3" r:id="rId3"/>
  </sheets>
  <externalReferences>
    <externalReference r:id="rId6"/>
  </externalReferences>
  <definedNames>
    <definedName name="DBA">'[1]OAP Data'!$C$3</definedName>
    <definedName name="ID">'[1]OAP Data'!$C$4</definedName>
    <definedName name="PDA">'[1]Loan Info'!$B$8</definedName>
    <definedName name="_xlnm.Print_Area" localSheetId="2">'NPV @ 3.82%'!$A$2:$AB$82</definedName>
    <definedName name="_xlnm.Print_Area" localSheetId="1">'NPV @ 3.82% w Legal Fees'!$A$2:$AB$82</definedName>
    <definedName name="_xlnm.Print_Area" localSheetId="0">'NPV @ 4%'!$A$2:$AB$82</definedName>
  </definedNames>
  <calcPr calcMode="manual" fullCalcOnLoad="1"/>
</workbook>
</file>

<file path=xl/sharedStrings.xml><?xml version="1.0" encoding="utf-8"?>
<sst xmlns="http://schemas.openxmlformats.org/spreadsheetml/2006/main" count="162" uniqueCount="37">
  <si>
    <t>Co-op Name:</t>
  </si>
  <si>
    <t>Interest Rate Comparison*</t>
  </si>
  <si>
    <t>Co-op ID:</t>
  </si>
  <si>
    <t>CFC</t>
  </si>
  <si>
    <t>RUS</t>
  </si>
  <si>
    <t>Date Prepared:</t>
  </si>
  <si>
    <t>Interest Rate</t>
  </si>
  <si>
    <t>Interest Rates as of:</t>
  </si>
  <si>
    <t>Discounts &amp; Fees</t>
  </si>
  <si>
    <t>Advance Date:</t>
  </si>
  <si>
    <t>Int Rate Prior to Pat Cap</t>
  </si>
  <si>
    <t>Scenario Name:</t>
  </si>
  <si>
    <t>Patronage **</t>
  </si>
  <si>
    <t>Effective Int Rate</t>
  </si>
  <si>
    <t>ANNUAL CASH FLOW SUMMARY</t>
  </si>
  <si>
    <t>Interest</t>
  </si>
  <si>
    <t>Patronage</t>
  </si>
  <si>
    <t>Total</t>
  </si>
  <si>
    <t>Net</t>
  </si>
  <si>
    <t>Ending</t>
  </si>
  <si>
    <t>Principal</t>
  </si>
  <si>
    <t>Cash</t>
  </si>
  <si>
    <t>Section 9</t>
  </si>
  <si>
    <t>Expense</t>
  </si>
  <si>
    <t>Capital</t>
  </si>
  <si>
    <t>Cash Flow</t>
  </si>
  <si>
    <t>Present</t>
  </si>
  <si>
    <t>Balance</t>
  </si>
  <si>
    <t>Payments</t>
  </si>
  <si>
    <t>Discounts</t>
  </si>
  <si>
    <t>Flows</t>
  </si>
  <si>
    <t>Difference</t>
  </si>
  <si>
    <t>Retirement</t>
  </si>
  <si>
    <t>Value</t>
  </si>
  <si>
    <t xml:space="preserve">* Interest rates are calculated as a monthly internal rate of return. </t>
  </si>
  <si>
    <t>** The estimated impact of Pat. Cap. is based on CFC's historical patronage allocation level and CFC's current retirement policy. CFC's patronage allocation &amp; retirement are subject to approval by CFC's Board of Directors</t>
  </si>
  <si>
    <t>*** This information is confidential and is not to be disclosed to third parties without prior CFC consent. This presentation reflects CFC's programs and policies in effect at the time this presentation was created. No future representation of interest rates is implied; Rates are subject to change daily.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</si>
</sst>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409]d\-mmm;@"/>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9"/>
      <name val="Calibri"/>
      <family val="2"/>
    </font>
    <font>
      <b/>
      <sz val="10"/>
      <name val="Calibri"/>
      <family val="2"/>
    </font>
    <font>
      <b/>
      <sz val="9"/>
      <name val="Calibri"/>
      <family val="2"/>
    </font>
    <font>
      <b/>
      <sz val="8"/>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6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ashed"/>
    </border>
    <border>
      <left>
        <color indexed="63"/>
      </left>
      <right>
        <color indexed="63"/>
      </right>
      <top>
        <color indexed="63"/>
      </top>
      <bottom style="medium"/>
    </border>
    <border>
      <left>
        <color indexed="63"/>
      </left>
      <right style="dotted"/>
      <top style="medium"/>
      <bottom style="medium"/>
    </border>
    <border>
      <left>
        <color indexed="63"/>
      </left>
      <right style="dotted"/>
      <top>
        <color indexed="63"/>
      </top>
      <bottom>
        <color indexed="63"/>
      </bottom>
    </border>
    <border>
      <left>
        <color indexed="63"/>
      </left>
      <right style="dotted"/>
      <top>
        <color indexed="63"/>
      </top>
      <bottom style="thin"/>
    </border>
    <border>
      <left style="dotted"/>
      <right style="dotted"/>
      <top style="thin"/>
      <bottom>
        <color indexed="63"/>
      </bottom>
    </border>
    <border>
      <left>
        <color indexed="63"/>
      </left>
      <right>
        <color indexed="63"/>
      </right>
      <top style="thin"/>
      <bottom>
        <color indexed="63"/>
      </bottom>
    </border>
    <border>
      <left>
        <color indexed="63"/>
      </left>
      <right style="dotted"/>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8">
    <xf numFmtId="0" fontId="0" fillId="0" borderId="0" xfId="0" applyFont="1" applyAlignment="1">
      <alignment/>
    </xf>
    <xf numFmtId="0" fontId="18" fillId="33" borderId="0" xfId="0" applyFont="1" applyFill="1" applyAlignment="1">
      <alignment/>
    </xf>
    <xf numFmtId="0" fontId="18" fillId="33" borderId="10" xfId="0" applyFont="1" applyFill="1" applyBorder="1" applyAlignment="1">
      <alignment/>
    </xf>
    <xf numFmtId="0" fontId="19" fillId="33" borderId="0" xfId="0" applyFont="1" applyFill="1" applyBorder="1" applyAlignment="1">
      <alignment/>
    </xf>
    <xf numFmtId="10" fontId="20" fillId="33" borderId="0" xfId="0" applyNumberFormat="1" applyFont="1" applyFill="1" applyBorder="1" applyAlignment="1">
      <alignment horizontal="center" vertical="center"/>
    </xf>
    <xf numFmtId="0" fontId="20" fillId="33" borderId="0" xfId="0" applyFont="1" applyFill="1" applyAlignment="1">
      <alignment horizontal="right"/>
    </xf>
    <xf numFmtId="0" fontId="18" fillId="33" borderId="0" xfId="0" applyFont="1" applyFill="1" applyAlignment="1">
      <alignment horizontal="left"/>
    </xf>
    <xf numFmtId="10" fontId="20" fillId="33" borderId="11" xfId="0" applyNumberFormat="1" applyFont="1" applyFill="1" applyBorder="1" applyAlignment="1">
      <alignment horizontal="center" vertical="center"/>
    </xf>
    <xf numFmtId="0" fontId="20" fillId="33" borderId="0" xfId="0" applyFont="1" applyFill="1" applyAlignment="1">
      <alignment/>
    </xf>
    <xf numFmtId="0" fontId="18" fillId="33" borderId="0" xfId="0" applyFont="1" applyFill="1" applyBorder="1" applyAlignment="1">
      <alignment horizontal="left"/>
    </xf>
    <xf numFmtId="0" fontId="21" fillId="33" borderId="0" xfId="0" applyFont="1" applyFill="1" applyBorder="1" applyAlignment="1">
      <alignment vertical="center"/>
    </xf>
    <xf numFmtId="0" fontId="18" fillId="33" borderId="0" xfId="0" applyFont="1" applyFill="1" applyAlignment="1">
      <alignment vertical="center"/>
    </xf>
    <xf numFmtId="10" fontId="20" fillId="33" borderId="12" xfId="0" applyNumberFormat="1" applyFont="1" applyFill="1" applyBorder="1" applyAlignment="1">
      <alignment horizontal="center" vertical="center"/>
    </xf>
    <xf numFmtId="0" fontId="20" fillId="33" borderId="12" xfId="0" applyFont="1" applyFill="1" applyBorder="1" applyAlignment="1">
      <alignment horizontal="center"/>
    </xf>
    <xf numFmtId="0" fontId="20" fillId="33" borderId="11" xfId="0" applyFont="1" applyFill="1" applyBorder="1" applyAlignment="1">
      <alignment horizontal="center"/>
    </xf>
    <xf numFmtId="14" fontId="18" fillId="33" borderId="0" xfId="0" applyNumberFormat="1" applyFont="1" applyFill="1" applyBorder="1" applyAlignment="1">
      <alignment horizontal="left"/>
    </xf>
    <xf numFmtId="0" fontId="18" fillId="33" borderId="13" xfId="0" applyFont="1" applyFill="1" applyBorder="1" applyAlignment="1">
      <alignment horizontal="right"/>
    </xf>
    <xf numFmtId="10" fontId="18" fillId="33" borderId="13" xfId="57" applyNumberFormat="1" applyFont="1" applyFill="1" applyBorder="1" applyAlignment="1">
      <alignment horizontal="center" vertical="center"/>
    </xf>
    <xf numFmtId="10" fontId="18" fillId="33" borderId="0" xfId="57" applyNumberFormat="1" applyFont="1" applyFill="1" applyBorder="1" applyAlignment="1">
      <alignment horizontal="center" vertical="center"/>
    </xf>
    <xf numFmtId="0" fontId="21" fillId="33" borderId="0" xfId="0" applyFont="1" applyFill="1" applyBorder="1" applyAlignment="1">
      <alignment/>
    </xf>
    <xf numFmtId="0" fontId="18" fillId="33" borderId="14" xfId="0" applyFont="1" applyFill="1" applyBorder="1" applyAlignment="1">
      <alignment horizontal="right"/>
    </xf>
    <xf numFmtId="10" fontId="18" fillId="33" borderId="13" xfId="57" applyNumberFormat="1" applyFont="1" applyFill="1" applyBorder="1" applyAlignment="1">
      <alignment horizontal="center"/>
    </xf>
    <xf numFmtId="10" fontId="18" fillId="0" borderId="0" xfId="57" applyNumberFormat="1" applyFont="1" applyFill="1" applyBorder="1" applyAlignment="1">
      <alignment horizontal="center"/>
    </xf>
    <xf numFmtId="14" fontId="18" fillId="33" borderId="0" xfId="0" applyNumberFormat="1" applyFont="1" applyFill="1" applyAlignment="1">
      <alignment horizontal="left"/>
    </xf>
    <xf numFmtId="10" fontId="18" fillId="33" borderId="15" xfId="0" applyNumberFormat="1" applyFont="1" applyFill="1" applyBorder="1" applyAlignment="1">
      <alignment horizontal="center" vertical="center"/>
    </xf>
    <xf numFmtId="10" fontId="18" fillId="33" borderId="16" xfId="0" applyNumberFormat="1" applyFont="1" applyFill="1" applyBorder="1" applyAlignment="1">
      <alignment horizontal="center" vertical="center"/>
    </xf>
    <xf numFmtId="164" fontId="18" fillId="33" borderId="0" xfId="44" applyNumberFormat="1" applyFont="1" applyFill="1" applyAlignment="1">
      <alignment horizontal="center"/>
    </xf>
    <xf numFmtId="0" fontId="21" fillId="33" borderId="0" xfId="0" applyFont="1" applyFill="1" applyAlignment="1">
      <alignment/>
    </xf>
    <xf numFmtId="10" fontId="18" fillId="33" borderId="0" xfId="57" applyNumberFormat="1" applyFont="1" applyFill="1" applyBorder="1" applyAlignment="1">
      <alignment horizontal="center"/>
    </xf>
    <xf numFmtId="165" fontId="18" fillId="33" borderId="0" xfId="44" applyNumberFormat="1" applyFont="1" applyFill="1" applyAlignment="1">
      <alignment/>
    </xf>
    <xf numFmtId="0" fontId="18" fillId="33" borderId="17" xfId="0" applyFont="1" applyFill="1" applyBorder="1" applyAlignment="1">
      <alignment horizontal="right"/>
    </xf>
    <xf numFmtId="10" fontId="20" fillId="33" borderId="17" xfId="57" applyNumberFormat="1" applyFont="1" applyFill="1" applyBorder="1" applyAlignment="1">
      <alignment horizontal="center"/>
    </xf>
    <xf numFmtId="10" fontId="20" fillId="33" borderId="18" xfId="57" applyNumberFormat="1" applyFont="1" applyFill="1" applyBorder="1" applyAlignment="1">
      <alignment horizontal="center"/>
    </xf>
    <xf numFmtId="37" fontId="18" fillId="33" borderId="0" xfId="0" applyNumberFormat="1" applyFont="1" applyFill="1" applyAlignment="1">
      <alignment/>
    </xf>
    <xf numFmtId="0" fontId="18" fillId="34" borderId="19" xfId="0" applyFont="1" applyFill="1" applyBorder="1" applyAlignment="1">
      <alignment/>
    </xf>
    <xf numFmtId="0" fontId="18" fillId="34" borderId="20" xfId="0" applyFont="1" applyFill="1" applyBorder="1" applyAlignment="1">
      <alignment/>
    </xf>
    <xf numFmtId="0" fontId="18" fillId="34" borderId="21" xfId="0" applyFont="1" applyFill="1" applyBorder="1" applyAlignment="1">
      <alignment/>
    </xf>
    <xf numFmtId="0" fontId="18" fillId="35" borderId="19" xfId="0" applyFont="1" applyFill="1" applyBorder="1" applyAlignment="1">
      <alignment/>
    </xf>
    <xf numFmtId="0" fontId="18" fillId="35" borderId="20" xfId="0" applyFont="1" applyFill="1" applyBorder="1" applyAlignment="1">
      <alignment/>
    </xf>
    <xf numFmtId="0" fontId="18" fillId="35" borderId="21" xfId="0" applyFont="1" applyFill="1" applyBorder="1" applyAlignment="1">
      <alignment/>
    </xf>
    <xf numFmtId="0" fontId="18" fillId="36" borderId="19" xfId="0" applyFont="1" applyFill="1" applyBorder="1" applyAlignment="1">
      <alignment/>
    </xf>
    <xf numFmtId="0" fontId="18" fillId="36" borderId="20" xfId="0" applyFont="1" applyFill="1" applyBorder="1" applyAlignment="1">
      <alignment/>
    </xf>
    <xf numFmtId="0" fontId="18" fillId="36" borderId="21" xfId="0" applyFont="1" applyFill="1" applyBorder="1" applyAlignment="1">
      <alignment/>
    </xf>
    <xf numFmtId="0" fontId="18" fillId="34" borderId="22" xfId="0" applyFont="1" applyFill="1" applyBorder="1" applyAlignment="1">
      <alignment/>
    </xf>
    <xf numFmtId="0" fontId="18" fillId="34" borderId="23" xfId="0" applyFont="1" applyFill="1" applyBorder="1" applyAlignment="1">
      <alignment horizontal="center" vertical="center"/>
    </xf>
    <xf numFmtId="0" fontId="18" fillId="33" borderId="0" xfId="0" applyFont="1" applyFill="1" applyAlignment="1">
      <alignment horizontal="center" vertical="center"/>
    </xf>
    <xf numFmtId="0" fontId="18" fillId="35" borderId="22" xfId="0" applyFont="1" applyFill="1" applyBorder="1" applyAlignment="1">
      <alignment horizontal="center" vertical="center"/>
    </xf>
    <xf numFmtId="0" fontId="18" fillId="35" borderId="23" xfId="0" applyFont="1" applyFill="1" applyBorder="1" applyAlignment="1">
      <alignment/>
    </xf>
    <xf numFmtId="0" fontId="18" fillId="36" borderId="22" xfId="0" applyFont="1" applyFill="1" applyBorder="1" applyAlignment="1">
      <alignment/>
    </xf>
    <xf numFmtId="0" fontId="20" fillId="33" borderId="24" xfId="0" applyFont="1" applyFill="1" applyBorder="1" applyAlignment="1">
      <alignment horizontal="center" vertical="center"/>
    </xf>
    <xf numFmtId="0" fontId="20" fillId="33" borderId="21" xfId="0" applyFont="1" applyFill="1" applyBorder="1" applyAlignment="1">
      <alignment horizontal="center" vertical="center"/>
    </xf>
    <xf numFmtId="0" fontId="20" fillId="33" borderId="23" xfId="0" applyFont="1" applyFill="1" applyBorder="1" applyAlignment="1">
      <alignment horizontal="center" vertical="center"/>
    </xf>
    <xf numFmtId="0" fontId="18" fillId="36" borderId="23" xfId="0" applyFont="1" applyFill="1" applyBorder="1" applyAlignment="1">
      <alignment/>
    </xf>
    <xf numFmtId="0" fontId="20" fillId="33" borderId="0" xfId="0" applyFont="1" applyFill="1" applyBorder="1" applyAlignment="1">
      <alignment horizontal="center"/>
    </xf>
    <xf numFmtId="0" fontId="20" fillId="33" borderId="22"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25" xfId="0" applyFont="1" applyFill="1" applyBorder="1" applyAlignment="1">
      <alignment horizontal="center" vertical="center"/>
    </xf>
    <xf numFmtId="0" fontId="20" fillId="33" borderId="26"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27" xfId="0" applyFont="1" applyFill="1" applyBorder="1" applyAlignment="1">
      <alignment horizontal="center" vertical="center"/>
    </xf>
    <xf numFmtId="0" fontId="20" fillId="33" borderId="28" xfId="0" applyFont="1" applyFill="1" applyBorder="1" applyAlignment="1">
      <alignment horizontal="center" vertical="center"/>
    </xf>
    <xf numFmtId="0" fontId="18" fillId="36" borderId="0" xfId="0" applyFont="1" applyFill="1" applyBorder="1" applyAlignment="1">
      <alignment/>
    </xf>
    <xf numFmtId="37" fontId="20" fillId="34" borderId="0" xfId="0" applyNumberFormat="1" applyFont="1" applyFill="1" applyBorder="1" applyAlignment="1">
      <alignment horizontal="center" vertical="center"/>
    </xf>
    <xf numFmtId="37" fontId="18" fillId="34" borderId="23" xfId="0" applyNumberFormat="1" applyFont="1" applyFill="1" applyBorder="1" applyAlignment="1">
      <alignment horizontal="center" vertical="center"/>
    </xf>
    <xf numFmtId="37" fontId="18" fillId="33" borderId="0" xfId="0" applyNumberFormat="1" applyFont="1" applyFill="1" applyAlignment="1">
      <alignment horizontal="center" vertical="center"/>
    </xf>
    <xf numFmtId="37" fontId="18" fillId="35" borderId="22" xfId="0" applyNumberFormat="1" applyFont="1" applyFill="1" applyBorder="1" applyAlignment="1">
      <alignment horizontal="center" vertical="center"/>
    </xf>
    <xf numFmtId="37" fontId="20" fillId="35" borderId="0" xfId="0" applyNumberFormat="1" applyFont="1" applyFill="1" applyBorder="1" applyAlignment="1">
      <alignment horizontal="center" vertical="center"/>
    </xf>
    <xf numFmtId="37" fontId="18" fillId="35" borderId="23" xfId="0" applyNumberFormat="1" applyFont="1" applyFill="1" applyBorder="1" applyAlignment="1">
      <alignment horizontal="right"/>
    </xf>
    <xf numFmtId="37" fontId="18" fillId="33" borderId="0" xfId="0" applyNumberFormat="1" applyFont="1" applyFill="1" applyAlignment="1">
      <alignment horizontal="right"/>
    </xf>
    <xf numFmtId="37" fontId="18" fillId="36" borderId="22" xfId="0" applyNumberFormat="1" applyFont="1" applyFill="1" applyBorder="1" applyAlignment="1">
      <alignment horizontal="right"/>
    </xf>
    <xf numFmtId="37" fontId="20" fillId="36" borderId="0" xfId="0" applyNumberFormat="1" applyFont="1" applyFill="1" applyBorder="1" applyAlignment="1">
      <alignment horizontal="center" vertical="center"/>
    </xf>
    <xf numFmtId="37" fontId="20" fillId="36" borderId="29" xfId="0" applyNumberFormat="1" applyFont="1" applyFill="1" applyBorder="1" applyAlignment="1">
      <alignment horizontal="center" vertical="center"/>
    </xf>
    <xf numFmtId="166" fontId="22" fillId="33" borderId="30" xfId="0" applyNumberFormat="1" applyFont="1" applyFill="1" applyBorder="1" applyAlignment="1">
      <alignment horizontal="center"/>
    </xf>
    <xf numFmtId="37" fontId="20" fillId="33" borderId="31" xfId="0" applyNumberFormat="1" applyFont="1" applyFill="1" applyBorder="1" applyAlignment="1">
      <alignment horizontal="center" vertical="center"/>
    </xf>
    <xf numFmtId="37" fontId="20" fillId="33" borderId="29" xfId="0" applyNumberFormat="1" applyFont="1" applyFill="1" applyBorder="1" applyAlignment="1">
      <alignment horizontal="center" vertical="center"/>
    </xf>
    <xf numFmtId="37" fontId="20" fillId="33" borderId="32" xfId="0" applyNumberFormat="1" applyFont="1" applyFill="1" applyBorder="1" applyAlignment="1">
      <alignment horizontal="center" vertical="center"/>
    </xf>
    <xf numFmtId="37" fontId="20" fillId="0" borderId="30" xfId="0" applyNumberFormat="1" applyFont="1" applyFill="1" applyBorder="1" applyAlignment="1">
      <alignment horizontal="center" vertical="center"/>
    </xf>
    <xf numFmtId="37" fontId="20" fillId="0" borderId="32" xfId="0" applyNumberFormat="1" applyFont="1" applyFill="1" applyBorder="1" applyAlignment="1">
      <alignment horizontal="center" vertical="center"/>
    </xf>
    <xf numFmtId="37" fontId="20" fillId="34" borderId="0" xfId="0" applyNumberFormat="1" applyFont="1" applyFill="1" applyBorder="1" applyAlignment="1">
      <alignment horizontal="right"/>
    </xf>
    <xf numFmtId="37" fontId="18" fillId="34" borderId="23" xfId="0" applyNumberFormat="1" applyFont="1" applyFill="1" applyBorder="1" applyAlignment="1">
      <alignment horizontal="right"/>
    </xf>
    <xf numFmtId="37" fontId="18" fillId="35" borderId="22" xfId="0" applyNumberFormat="1" applyFont="1" applyFill="1" applyBorder="1" applyAlignment="1">
      <alignment horizontal="right"/>
    </xf>
    <xf numFmtId="37" fontId="20" fillId="35" borderId="0" xfId="0" applyNumberFormat="1" applyFont="1" applyFill="1" applyBorder="1" applyAlignment="1">
      <alignment horizontal="right"/>
    </xf>
    <xf numFmtId="37" fontId="20" fillId="36" borderId="0" xfId="0" applyNumberFormat="1" applyFont="1" applyFill="1" applyBorder="1" applyAlignment="1">
      <alignment horizontal="right"/>
    </xf>
    <xf numFmtId="37" fontId="20" fillId="36" borderId="29" xfId="0" applyNumberFormat="1" applyFont="1" applyFill="1" applyBorder="1" applyAlignment="1">
      <alignment horizontal="right"/>
    </xf>
    <xf numFmtId="0" fontId="20" fillId="33" borderId="25" xfId="0" applyFont="1" applyFill="1" applyBorder="1" applyAlignment="1">
      <alignment horizontal="center"/>
    </xf>
    <xf numFmtId="37" fontId="18" fillId="33" borderId="19" xfId="0" applyNumberFormat="1" applyFont="1" applyFill="1" applyBorder="1" applyAlignment="1">
      <alignment horizontal="right"/>
    </xf>
    <xf numFmtId="37" fontId="18" fillId="33" borderId="20" xfId="0" applyNumberFormat="1" applyFont="1" applyFill="1" applyBorder="1" applyAlignment="1">
      <alignment horizontal="right"/>
    </xf>
    <xf numFmtId="37" fontId="18" fillId="33" borderId="21" xfId="0" applyNumberFormat="1" applyFont="1" applyFill="1" applyBorder="1" applyAlignment="1">
      <alignment horizontal="right"/>
    </xf>
    <xf numFmtId="37" fontId="18" fillId="33" borderId="24" xfId="0" applyNumberFormat="1" applyFont="1" applyFill="1" applyBorder="1" applyAlignment="1">
      <alignment horizontal="right"/>
    </xf>
    <xf numFmtId="37" fontId="18" fillId="33" borderId="23" xfId="0" applyNumberFormat="1" applyFont="1" applyFill="1" applyBorder="1" applyAlignment="1">
      <alignment horizontal="right"/>
    </xf>
    <xf numFmtId="37" fontId="18" fillId="33" borderId="22" xfId="0" applyNumberFormat="1" applyFont="1" applyFill="1" applyBorder="1" applyAlignment="1">
      <alignment horizontal="right"/>
    </xf>
    <xf numFmtId="37" fontId="18" fillId="33" borderId="0" xfId="0" applyNumberFormat="1" applyFont="1" applyFill="1" applyBorder="1" applyAlignment="1">
      <alignment horizontal="right"/>
    </xf>
    <xf numFmtId="37" fontId="18" fillId="33" borderId="25" xfId="0" applyNumberFormat="1" applyFont="1" applyFill="1" applyBorder="1" applyAlignment="1">
      <alignment horizontal="right"/>
    </xf>
    <xf numFmtId="37" fontId="18" fillId="33" borderId="26" xfId="0" applyNumberFormat="1" applyFont="1" applyFill="1" applyBorder="1" applyAlignment="1">
      <alignment horizontal="right"/>
    </xf>
    <xf numFmtId="37" fontId="18" fillId="33" borderId="11" xfId="0" applyNumberFormat="1" applyFont="1" applyFill="1" applyBorder="1" applyAlignment="1">
      <alignment horizontal="right"/>
    </xf>
    <xf numFmtId="0" fontId="18" fillId="36" borderId="26" xfId="0" applyFont="1" applyFill="1" applyBorder="1" applyAlignment="1">
      <alignment/>
    </xf>
    <xf numFmtId="0" fontId="18" fillId="36" borderId="29" xfId="0" applyFont="1" applyFill="1" applyBorder="1" applyAlignment="1">
      <alignment/>
    </xf>
    <xf numFmtId="0" fontId="18" fillId="36" borderId="27" xfId="0" applyFont="1" applyFill="1" applyBorder="1" applyAlignment="1">
      <alignment/>
    </xf>
    <xf numFmtId="0" fontId="18" fillId="34" borderId="26" xfId="0" applyFont="1" applyFill="1" applyBorder="1" applyAlignment="1">
      <alignment/>
    </xf>
    <xf numFmtId="0" fontId="18" fillId="34" borderId="29" xfId="0" applyFont="1" applyFill="1" applyBorder="1" applyAlignment="1">
      <alignment/>
    </xf>
    <xf numFmtId="0" fontId="18" fillId="34" borderId="27" xfId="0" applyFont="1" applyFill="1" applyBorder="1" applyAlignment="1">
      <alignment/>
    </xf>
    <xf numFmtId="0" fontId="18" fillId="35" borderId="26" xfId="0" applyFont="1" applyFill="1" applyBorder="1" applyAlignment="1">
      <alignment/>
    </xf>
    <xf numFmtId="0" fontId="18" fillId="35" borderId="29" xfId="0" applyFont="1" applyFill="1" applyBorder="1" applyAlignment="1">
      <alignment/>
    </xf>
    <xf numFmtId="0" fontId="18" fillId="35" borderId="27" xfId="0" applyFont="1" applyFill="1" applyBorder="1" applyAlignment="1">
      <alignment/>
    </xf>
    <xf numFmtId="0" fontId="18" fillId="36" borderId="11" xfId="0" applyFont="1" applyFill="1" applyBorder="1" applyAlignment="1">
      <alignment/>
    </xf>
    <xf numFmtId="0" fontId="18" fillId="33" borderId="0" xfId="0" applyFont="1" applyFill="1" applyAlignment="1">
      <alignment wrapText="1"/>
    </xf>
    <xf numFmtId="0" fontId="19" fillId="33" borderId="0" xfId="0" applyFont="1" applyFill="1" applyAlignment="1">
      <alignment/>
    </xf>
    <xf numFmtId="0" fontId="19" fillId="0" borderId="0" xfId="0" applyFont="1" applyAlignment="1">
      <alignment/>
    </xf>
    <xf numFmtId="0" fontId="20" fillId="33" borderId="11" xfId="0" applyFont="1" applyFill="1" applyBorder="1" applyAlignment="1">
      <alignment horizontal="center"/>
    </xf>
    <xf numFmtId="0" fontId="19" fillId="33" borderId="0" xfId="0" applyFont="1" applyFill="1" applyAlignment="1">
      <alignment horizontal="left" wrapText="1"/>
    </xf>
    <xf numFmtId="0" fontId="18" fillId="0" borderId="0" xfId="0" applyFont="1" applyAlignment="1">
      <alignment wrapText="1"/>
    </xf>
    <xf numFmtId="0" fontId="21" fillId="33" borderId="0" xfId="0" applyFont="1" applyFill="1" applyBorder="1" applyAlignment="1">
      <alignment horizontal="center"/>
    </xf>
    <xf numFmtId="0" fontId="20" fillId="33" borderId="11" xfId="0" applyFont="1" applyFill="1" applyBorder="1" applyAlignment="1">
      <alignment horizontal="center"/>
    </xf>
    <xf numFmtId="0" fontId="23" fillId="33" borderId="0" xfId="0" applyFont="1" applyFill="1" applyAlignment="1">
      <alignment horizontal="center" vertical="center"/>
    </xf>
    <xf numFmtId="0" fontId="18" fillId="0" borderId="0" xfId="0" applyFont="1" applyAlignment="1">
      <alignment/>
    </xf>
    <xf numFmtId="0" fontId="20" fillId="33" borderId="31" xfId="0" applyFont="1" applyFill="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104775</xdr:colOff>
      <xdr:row>1</xdr:row>
      <xdr:rowOff>104775</xdr:rowOff>
    </xdr:from>
    <xdr:to>
      <xdr:col>25</xdr:col>
      <xdr:colOff>457200</xdr:colOff>
      <xdr:row>6</xdr:row>
      <xdr:rowOff>47625</xdr:rowOff>
    </xdr:to>
    <xdr:pic>
      <xdr:nvPicPr>
        <xdr:cNvPr id="1" name="Picture 9" descr="Logo"/>
        <xdr:cNvPicPr preferRelativeResize="1">
          <a:picLocks noChangeAspect="1"/>
        </xdr:cNvPicPr>
      </xdr:nvPicPr>
      <xdr:blipFill>
        <a:blip r:embed="rId1"/>
        <a:stretch>
          <a:fillRect/>
        </a:stretch>
      </xdr:blipFill>
      <xdr:spPr>
        <a:xfrm>
          <a:off x="11744325" y="295275"/>
          <a:ext cx="1095375" cy="914400"/>
        </a:xfrm>
        <a:prstGeom prst="rect">
          <a:avLst/>
        </a:prstGeom>
        <a:noFill/>
        <a:ln w="9525" cmpd="sng">
          <a:noFill/>
        </a:ln>
      </xdr:spPr>
    </xdr:pic>
    <xdr:clientData/>
  </xdr:twoCellAnchor>
  <xdr:twoCellAnchor editAs="oneCell">
    <xdr:from>
      <xdr:col>8</xdr:col>
      <xdr:colOff>533400</xdr:colOff>
      <xdr:row>80</xdr:row>
      <xdr:rowOff>76200</xdr:rowOff>
    </xdr:from>
    <xdr:to>
      <xdr:col>19</xdr:col>
      <xdr:colOff>152400</xdr:colOff>
      <xdr:row>82</xdr:row>
      <xdr:rowOff>19050</xdr:rowOff>
    </xdr:to>
    <xdr:pic>
      <xdr:nvPicPr>
        <xdr:cNvPr id="2" name="Picture 17" descr="Capture"/>
        <xdr:cNvPicPr preferRelativeResize="1">
          <a:picLocks noChangeAspect="1"/>
        </xdr:cNvPicPr>
      </xdr:nvPicPr>
      <xdr:blipFill>
        <a:blip r:embed="rId2"/>
        <a:stretch>
          <a:fillRect/>
        </a:stretch>
      </xdr:blipFill>
      <xdr:spPr>
        <a:xfrm>
          <a:off x="4067175" y="15478125"/>
          <a:ext cx="58007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104775</xdr:colOff>
      <xdr:row>1</xdr:row>
      <xdr:rowOff>104775</xdr:rowOff>
    </xdr:from>
    <xdr:to>
      <xdr:col>25</xdr:col>
      <xdr:colOff>457200</xdr:colOff>
      <xdr:row>6</xdr:row>
      <xdr:rowOff>47625</xdr:rowOff>
    </xdr:to>
    <xdr:pic>
      <xdr:nvPicPr>
        <xdr:cNvPr id="1" name="Picture 9" descr="Logo"/>
        <xdr:cNvPicPr preferRelativeResize="1">
          <a:picLocks noChangeAspect="1"/>
        </xdr:cNvPicPr>
      </xdr:nvPicPr>
      <xdr:blipFill>
        <a:blip r:embed="rId1"/>
        <a:stretch>
          <a:fillRect/>
        </a:stretch>
      </xdr:blipFill>
      <xdr:spPr>
        <a:xfrm>
          <a:off x="11744325" y="295275"/>
          <a:ext cx="1095375" cy="914400"/>
        </a:xfrm>
        <a:prstGeom prst="rect">
          <a:avLst/>
        </a:prstGeom>
        <a:noFill/>
        <a:ln w="9525" cmpd="sng">
          <a:noFill/>
        </a:ln>
      </xdr:spPr>
    </xdr:pic>
    <xdr:clientData/>
  </xdr:twoCellAnchor>
  <xdr:twoCellAnchor editAs="oneCell">
    <xdr:from>
      <xdr:col>8</xdr:col>
      <xdr:colOff>533400</xdr:colOff>
      <xdr:row>80</xdr:row>
      <xdr:rowOff>76200</xdr:rowOff>
    </xdr:from>
    <xdr:to>
      <xdr:col>19</xdr:col>
      <xdr:colOff>152400</xdr:colOff>
      <xdr:row>82</xdr:row>
      <xdr:rowOff>19050</xdr:rowOff>
    </xdr:to>
    <xdr:pic>
      <xdr:nvPicPr>
        <xdr:cNvPr id="2" name="Picture 17" descr="Capture"/>
        <xdr:cNvPicPr preferRelativeResize="1">
          <a:picLocks noChangeAspect="1"/>
        </xdr:cNvPicPr>
      </xdr:nvPicPr>
      <xdr:blipFill>
        <a:blip r:embed="rId2"/>
        <a:stretch>
          <a:fillRect/>
        </a:stretch>
      </xdr:blipFill>
      <xdr:spPr>
        <a:xfrm>
          <a:off x="4067175" y="15478125"/>
          <a:ext cx="580072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104775</xdr:colOff>
      <xdr:row>1</xdr:row>
      <xdr:rowOff>104775</xdr:rowOff>
    </xdr:from>
    <xdr:to>
      <xdr:col>25</xdr:col>
      <xdr:colOff>457200</xdr:colOff>
      <xdr:row>6</xdr:row>
      <xdr:rowOff>47625</xdr:rowOff>
    </xdr:to>
    <xdr:pic>
      <xdr:nvPicPr>
        <xdr:cNvPr id="1" name="Picture 9" descr="Logo"/>
        <xdr:cNvPicPr preferRelativeResize="1">
          <a:picLocks noChangeAspect="1"/>
        </xdr:cNvPicPr>
      </xdr:nvPicPr>
      <xdr:blipFill>
        <a:blip r:embed="rId1"/>
        <a:stretch>
          <a:fillRect/>
        </a:stretch>
      </xdr:blipFill>
      <xdr:spPr>
        <a:xfrm>
          <a:off x="11744325" y="295275"/>
          <a:ext cx="1095375" cy="914400"/>
        </a:xfrm>
        <a:prstGeom prst="rect">
          <a:avLst/>
        </a:prstGeom>
        <a:noFill/>
        <a:ln w="9525" cmpd="sng">
          <a:noFill/>
        </a:ln>
      </xdr:spPr>
    </xdr:pic>
    <xdr:clientData/>
  </xdr:twoCellAnchor>
  <xdr:twoCellAnchor editAs="oneCell">
    <xdr:from>
      <xdr:col>8</xdr:col>
      <xdr:colOff>533400</xdr:colOff>
      <xdr:row>80</xdr:row>
      <xdr:rowOff>76200</xdr:rowOff>
    </xdr:from>
    <xdr:to>
      <xdr:col>19</xdr:col>
      <xdr:colOff>152400</xdr:colOff>
      <xdr:row>82</xdr:row>
      <xdr:rowOff>19050</xdr:rowOff>
    </xdr:to>
    <xdr:pic>
      <xdr:nvPicPr>
        <xdr:cNvPr id="2" name="Picture 17" descr="Capture"/>
        <xdr:cNvPicPr preferRelativeResize="1">
          <a:picLocks noChangeAspect="1"/>
        </xdr:cNvPicPr>
      </xdr:nvPicPr>
      <xdr:blipFill>
        <a:blip r:embed="rId2"/>
        <a:stretch>
          <a:fillRect/>
        </a:stretch>
      </xdr:blipFill>
      <xdr:spPr>
        <a:xfrm>
          <a:off x="4067175" y="15478125"/>
          <a:ext cx="5800725"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ula\Downloads\RUS%20Refi%20CFN%20w%20all%20RUS%20Loans%20FTM%20w%20NP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OAP Data"/>
      <sheetName val="Am. Table"/>
      <sheetName val="OAP Portfolio"/>
      <sheetName val="OAP LCTC"/>
      <sheetName val="Loan Info"/>
      <sheetName val="RUS Loan Input2"/>
      <sheetName val="RUS Loan Input"/>
      <sheetName val="RUS Cash Flow Summary2"/>
      <sheetName val="RUS Cash Flow Summary"/>
      <sheetName val="CFC Loan Input"/>
      <sheetName val="CFC Loan Template"/>
      <sheetName val="CFC Amortization"/>
      <sheetName val="Cash Flow Summary"/>
      <sheetName val="Cash Flow Neutral"/>
      <sheetName val="Lock.Advance"/>
      <sheetName val="CFC Scenario"/>
      <sheetName val="Compare - Summary1"/>
      <sheetName val="CFC Loans for report"/>
      <sheetName val="WAL Check"/>
      <sheetName val="CFC Cash Flows1"/>
      <sheetName val="Comparison - Detail"/>
      <sheetName val="Discount Gain on Revenue1"/>
      <sheetName val="RUS TIER and CFC MDSC compare1"/>
      <sheetName val="CFC Monthly Amortization"/>
      <sheetName val="CFC Cash Flows2"/>
      <sheetName val="Summary"/>
      <sheetName val="CFC Cash Flow - Totals"/>
      <sheetName val="RUS Rule of Thumb1"/>
      <sheetName val="CFC Summary Report"/>
      <sheetName val="CFC Summary Report 2"/>
      <sheetName val="Report Format1"/>
      <sheetName val="RUS Summary Report"/>
      <sheetName val="RUS Payoff"/>
      <sheetName val="CFC Database Link1"/>
      <sheetName val="RUS Cash Flows2"/>
      <sheetName val="RUS Cash Flows"/>
      <sheetName val="CFC Loan Template Totals"/>
      <sheetName val="CFC Cash Flow - Yearly Totals"/>
      <sheetName val="Calculations"/>
      <sheetName val="Link"/>
      <sheetName val="Coll. Disc. (Existing Debt)"/>
      <sheetName val="RandomFunctions"/>
      <sheetName val="Loan List"/>
      <sheetName val="RUS Loans for report2"/>
      <sheetName val="RUS Loans for report"/>
      <sheetName val="ROT Treasury Rates"/>
      <sheetName val="Totals"/>
      <sheetName val="Totals2"/>
      <sheetName val="RUS Loan Template2"/>
      <sheetName val="RUS Loan Template"/>
      <sheetName val="amort"/>
      <sheetName val="non-amort"/>
      <sheetName val="RUS Summary Report2"/>
      <sheetName val="CoopData"/>
    </sheetNames>
    <sheetDataSet>
      <sheetData sheetId="1">
        <row r="3">
          <cell r="C3" t="str">
            <v>Shelby Energy Co-op</v>
          </cell>
        </row>
        <row r="4">
          <cell r="C4" t="str">
            <v>KY030</v>
          </cell>
        </row>
      </sheetData>
      <sheetData sheetId="5">
        <row r="8">
          <cell r="B8">
            <v>42546</v>
          </cell>
        </row>
        <row r="9">
          <cell r="B9" t="str">
            <v>RUS Refi - Cash Flow Neutral </v>
          </cell>
        </row>
        <row r="21">
          <cell r="B21">
            <v>42425</v>
          </cell>
        </row>
      </sheetData>
      <sheetData sheetId="7">
        <row r="6">
          <cell r="B6">
            <v>42338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83"/>
  <sheetViews>
    <sheetView workbookViewId="0" topLeftCell="A3">
      <selection activeCell="H18" sqref="H18"/>
    </sheetView>
  </sheetViews>
  <sheetFormatPr defaultColWidth="9.140625" defaultRowHeight="15"/>
  <cols>
    <col min="2" max="2" width="2.7109375" style="0" customWidth="1"/>
    <col min="3" max="3" width="10.57421875" style="0" customWidth="1"/>
    <col min="4" max="4" width="2.140625" style="0" customWidth="1"/>
    <col min="5" max="5" width="3.421875" style="0" customWidth="1"/>
    <col min="6" max="6" width="2.7109375" style="0" customWidth="1"/>
    <col min="7" max="7" width="11.421875" style="0" customWidth="1"/>
    <col min="8" max="8" width="10.8515625" style="0" customWidth="1"/>
    <col min="9" max="9" width="10.57421875" style="0" customWidth="1"/>
    <col min="10" max="10" width="11.140625" style="0" bestFit="1" customWidth="1"/>
    <col min="11" max="11" width="9.28125" style="0" bestFit="1" customWidth="1"/>
    <col min="12" max="12" width="11.00390625" style="0" customWidth="1"/>
    <col min="13" max="13" width="1.1484375" style="0" customWidth="1"/>
    <col min="14" max="14" width="3.00390625" style="0" customWidth="1"/>
    <col min="15" max="15" width="1.7109375" style="0" customWidth="1"/>
    <col min="16" max="16" width="10.57421875" style="0" customWidth="1"/>
    <col min="17" max="17" width="11.140625" style="0" customWidth="1"/>
    <col min="18" max="18" width="10.421875" style="0" customWidth="1"/>
    <col min="19" max="19" width="12.7109375" style="0" customWidth="1"/>
    <col min="20" max="20" width="11.421875" style="0" customWidth="1"/>
    <col min="21" max="21" width="1.421875" style="0" customWidth="1"/>
    <col min="22" max="22" width="2.00390625" style="0" customWidth="1"/>
    <col min="23" max="23" width="1.7109375" style="0" customWidth="1"/>
    <col min="24" max="24" width="12.28125" style="0" bestFit="1" customWidth="1"/>
    <col min="25" max="25" width="11.140625" style="0" bestFit="1" customWidth="1"/>
    <col min="26" max="26" width="10.28125" style="0" customWidth="1"/>
    <col min="27" max="27" width="12.140625" style="0" customWidth="1"/>
    <col min="28" max="28" width="0.5625" style="0" customWidth="1"/>
  </cols>
  <sheetData>
    <row r="1" spans="1:28" ht="15">
      <c r="A1" s="1"/>
      <c r="B1" s="1"/>
      <c r="C1" s="1"/>
      <c r="D1" s="1"/>
      <c r="E1" s="1"/>
      <c r="F1" s="1"/>
      <c r="G1" s="1"/>
      <c r="H1" s="1"/>
      <c r="I1" s="1"/>
      <c r="J1" s="1"/>
      <c r="K1" s="1"/>
      <c r="L1" s="1"/>
      <c r="M1" s="1"/>
      <c r="N1" s="1"/>
      <c r="O1" s="1"/>
      <c r="P1" s="1"/>
      <c r="Q1" s="1"/>
      <c r="R1" s="1"/>
      <c r="S1" s="1"/>
      <c r="T1" s="1"/>
      <c r="U1" s="1"/>
      <c r="V1" s="1"/>
      <c r="W1" s="1"/>
      <c r="X1" s="1"/>
      <c r="Y1" s="1"/>
      <c r="Z1" s="2"/>
      <c r="AA1" s="2"/>
      <c r="AB1" s="2"/>
    </row>
    <row r="2" spans="1:28" ht="15">
      <c r="A2" s="1"/>
      <c r="B2" s="1"/>
      <c r="C2" s="1"/>
      <c r="D2" s="1"/>
      <c r="E2" s="1"/>
      <c r="F2" s="1"/>
      <c r="G2" s="1"/>
      <c r="H2" s="1"/>
      <c r="I2" s="1"/>
      <c r="J2" s="3"/>
      <c r="K2" s="1"/>
      <c r="L2" s="1"/>
      <c r="M2" s="1"/>
      <c r="N2" s="1"/>
      <c r="O2" s="1"/>
      <c r="P2" s="1"/>
      <c r="Q2" s="1"/>
      <c r="R2" s="4"/>
      <c r="S2" s="111"/>
      <c r="T2" s="111"/>
      <c r="U2" s="1"/>
      <c r="V2" s="1"/>
      <c r="W2" s="1"/>
      <c r="X2" s="1"/>
      <c r="Y2" s="1"/>
      <c r="Z2" s="1"/>
      <c r="AA2" s="1"/>
      <c r="AB2" s="1"/>
    </row>
    <row r="3" spans="1:28" ht="15.75" thickBot="1">
      <c r="A3" s="1"/>
      <c r="B3" s="1"/>
      <c r="C3" s="1"/>
      <c r="D3" s="1"/>
      <c r="E3" s="1"/>
      <c r="F3" s="1"/>
      <c r="G3" s="1"/>
      <c r="H3" s="1"/>
      <c r="I3" s="5" t="s">
        <v>0</v>
      </c>
      <c r="J3" s="6" t="str">
        <f>DBA</f>
        <v>Shelby Energy Co-op</v>
      </c>
      <c r="K3" s="1"/>
      <c r="L3" s="1"/>
      <c r="M3" s="1"/>
      <c r="N3" s="1"/>
      <c r="O3" s="1"/>
      <c r="P3" s="1"/>
      <c r="Q3" s="1"/>
      <c r="R3" s="7"/>
      <c r="S3" s="112" t="s">
        <v>1</v>
      </c>
      <c r="T3" s="112"/>
      <c r="U3" s="1"/>
      <c r="V3" s="1"/>
      <c r="W3" s="1"/>
      <c r="X3" s="1"/>
      <c r="Y3" s="1"/>
      <c r="Z3" s="1"/>
      <c r="AA3" s="1"/>
      <c r="AB3" s="1"/>
    </row>
    <row r="4" spans="1:28" ht="15.75" thickBot="1">
      <c r="A4" s="1"/>
      <c r="B4" s="1"/>
      <c r="C4" s="1"/>
      <c r="D4" s="8"/>
      <c r="E4" s="8"/>
      <c r="F4" s="1"/>
      <c r="G4" s="1"/>
      <c r="H4" s="1"/>
      <c r="I4" s="5" t="s">
        <v>2</v>
      </c>
      <c r="J4" s="9" t="str">
        <f>ID</f>
        <v>KY030</v>
      </c>
      <c r="K4" s="1"/>
      <c r="L4" s="1"/>
      <c r="M4" s="1"/>
      <c r="N4" s="1"/>
      <c r="O4" s="1"/>
      <c r="P4" s="10"/>
      <c r="Q4" s="11"/>
      <c r="R4" s="12"/>
      <c r="S4" s="13" t="s">
        <v>3</v>
      </c>
      <c r="T4" s="14" t="s">
        <v>4</v>
      </c>
      <c r="U4" s="1"/>
      <c r="V4" s="1"/>
      <c r="W4" s="1"/>
      <c r="X4" s="1"/>
      <c r="Y4" s="1"/>
      <c r="Z4" s="1"/>
      <c r="AA4" s="1"/>
      <c r="AB4" s="1"/>
    </row>
    <row r="5" spans="1:28" ht="15">
      <c r="A5" s="1"/>
      <c r="B5" s="1"/>
      <c r="C5" s="1"/>
      <c r="D5" s="8"/>
      <c r="E5" s="8"/>
      <c r="F5" s="1"/>
      <c r="G5" s="1"/>
      <c r="H5" s="1"/>
      <c r="I5" s="5" t="s">
        <v>5</v>
      </c>
      <c r="J5" s="15">
        <f ca="1">TODAY()</f>
        <v>42507</v>
      </c>
      <c r="K5" s="1"/>
      <c r="L5" s="1"/>
      <c r="M5" s="8"/>
      <c r="N5" s="1"/>
      <c r="O5" s="1"/>
      <c r="P5" s="10"/>
      <c r="Q5" s="11"/>
      <c r="R5" s="16" t="s">
        <v>6</v>
      </c>
      <c r="S5" s="17">
        <v>0.038232133888048914</v>
      </c>
      <c r="T5" s="18">
        <v>0.03977572323043965</v>
      </c>
      <c r="U5" s="1"/>
      <c r="V5" s="1"/>
      <c r="W5" s="1"/>
      <c r="X5" s="1"/>
      <c r="Y5" s="1"/>
      <c r="Z5" s="1"/>
      <c r="AA5" s="1"/>
      <c r="AB5" s="1"/>
    </row>
    <row r="6" spans="1:28" ht="15">
      <c r="A6" s="1"/>
      <c r="B6" s="1"/>
      <c r="C6" s="1"/>
      <c r="D6" s="8"/>
      <c r="E6" s="8"/>
      <c r="F6" s="1"/>
      <c r="G6" s="1"/>
      <c r="H6" s="1"/>
      <c r="I6" s="5" t="s">
        <v>7</v>
      </c>
      <c r="J6" s="15">
        <f>'[1]Loan Info'!B21</f>
        <v>42425</v>
      </c>
      <c r="K6" s="1"/>
      <c r="L6" s="1"/>
      <c r="M6" s="8"/>
      <c r="N6" s="1"/>
      <c r="O6" s="1"/>
      <c r="P6" s="19"/>
      <c r="Q6" s="1"/>
      <c r="R6" s="20" t="s">
        <v>8</v>
      </c>
      <c r="S6" s="21">
        <v>0</v>
      </c>
      <c r="T6" s="22">
        <v>0</v>
      </c>
      <c r="U6" s="1"/>
      <c r="V6" s="1"/>
      <c r="W6" s="1"/>
      <c r="X6" s="1"/>
      <c r="Y6" s="1"/>
      <c r="Z6" s="1"/>
      <c r="AA6" s="1"/>
      <c r="AB6" s="1"/>
    </row>
    <row r="7" spans="1:28" ht="15">
      <c r="A7" s="1"/>
      <c r="B7" s="1"/>
      <c r="C7" s="1"/>
      <c r="D7" s="8"/>
      <c r="E7" s="8"/>
      <c r="F7" s="1"/>
      <c r="G7" s="1"/>
      <c r="H7" s="1"/>
      <c r="I7" s="5" t="s">
        <v>9</v>
      </c>
      <c r="J7" s="23">
        <f>+PDA</f>
        <v>42546</v>
      </c>
      <c r="K7" s="1"/>
      <c r="L7" s="1"/>
      <c r="M7" s="8"/>
      <c r="N7" s="1"/>
      <c r="O7" s="1"/>
      <c r="P7" s="19"/>
      <c r="Q7" s="1"/>
      <c r="R7" s="16" t="s">
        <v>10</v>
      </c>
      <c r="S7" s="24">
        <v>0.038232133888048914</v>
      </c>
      <c r="T7" s="25">
        <v>0.03977572323043965</v>
      </c>
      <c r="U7" s="1"/>
      <c r="V7" s="26"/>
      <c r="W7" s="1"/>
      <c r="X7" s="1"/>
      <c r="Y7" s="1"/>
      <c r="Z7" s="1"/>
      <c r="AA7" s="1"/>
      <c r="AB7" s="1"/>
    </row>
    <row r="8" spans="1:28" ht="15">
      <c r="A8" s="1"/>
      <c r="B8" s="1"/>
      <c r="C8" s="1"/>
      <c r="D8" s="8"/>
      <c r="E8" s="8"/>
      <c r="F8" s="1"/>
      <c r="G8" s="1"/>
      <c r="H8" s="1"/>
      <c r="I8" s="5" t="s">
        <v>11</v>
      </c>
      <c r="J8" s="6" t="str">
        <f>'[1]Loan Info'!B9</f>
        <v>RUS Refi - Cash Flow Neutral </v>
      </c>
      <c r="K8" s="1"/>
      <c r="L8" s="1"/>
      <c r="M8" s="8"/>
      <c r="N8" s="1"/>
      <c r="O8" s="1"/>
      <c r="P8" s="27"/>
      <c r="Q8" s="1"/>
      <c r="R8" s="16" t="s">
        <v>12</v>
      </c>
      <c r="S8" s="21">
        <v>-0.002455199930149199</v>
      </c>
      <c r="T8" s="28">
        <v>0</v>
      </c>
      <c r="U8" s="1"/>
      <c r="V8" s="1"/>
      <c r="W8" s="1"/>
      <c r="X8" s="1"/>
      <c r="Y8" s="1"/>
      <c r="Z8" s="1"/>
      <c r="AA8" s="1"/>
      <c r="AB8" s="1"/>
    </row>
    <row r="9" spans="1:28" ht="15.75" thickBot="1">
      <c r="A9" s="1"/>
      <c r="B9" s="1"/>
      <c r="C9" s="1"/>
      <c r="D9" s="8"/>
      <c r="E9" s="8"/>
      <c r="F9" s="1"/>
      <c r="G9" s="1"/>
      <c r="H9" s="1"/>
      <c r="I9" s="5"/>
      <c r="J9" s="29"/>
      <c r="K9" s="1"/>
      <c r="L9" s="1"/>
      <c r="M9" s="8"/>
      <c r="N9" s="1"/>
      <c r="O9" s="1"/>
      <c r="P9" s="19"/>
      <c r="Q9" s="1"/>
      <c r="R9" s="30" t="s">
        <v>13</v>
      </c>
      <c r="S9" s="31">
        <v>0.035776933957899715</v>
      </c>
      <c r="T9" s="32">
        <v>0.03977572323043965</v>
      </c>
      <c r="U9" s="1"/>
      <c r="V9" s="1"/>
      <c r="W9" s="1"/>
      <c r="X9" s="33"/>
      <c r="Y9" s="1"/>
      <c r="Z9" s="1"/>
      <c r="AA9" s="1"/>
      <c r="AB9" s="1"/>
    </row>
    <row r="10" spans="1:28" ht="15">
      <c r="A10" s="1"/>
      <c r="B10" s="1"/>
      <c r="C10" s="1"/>
      <c r="D10" s="1"/>
      <c r="E10" s="1"/>
      <c r="F10" s="1"/>
      <c r="G10" s="1"/>
      <c r="H10" s="1"/>
      <c r="I10" s="1"/>
      <c r="J10" s="1"/>
      <c r="K10" s="1"/>
      <c r="L10" s="1"/>
      <c r="M10" s="1"/>
      <c r="N10" s="1"/>
      <c r="O10" s="1"/>
      <c r="P10" s="1"/>
      <c r="Q10" s="1"/>
      <c r="R10" s="1"/>
      <c r="S10" s="1"/>
      <c r="T10" s="33"/>
      <c r="U10" s="1"/>
      <c r="V10" s="1"/>
      <c r="W10" s="1"/>
      <c r="X10" s="33"/>
      <c r="Y10" s="1"/>
      <c r="Z10" s="1"/>
      <c r="AA10" s="1"/>
      <c r="AB10" s="1"/>
    </row>
    <row r="11" spans="1:28" ht="18.75">
      <c r="A11" s="1"/>
      <c r="B11" s="113" t="s">
        <v>14</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row>
    <row r="12" spans="1:28" ht="15.75"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5.75" thickBot="1">
      <c r="A13" s="1"/>
      <c r="B13" s="1"/>
      <c r="C13" s="1"/>
      <c r="D13" s="1"/>
      <c r="E13" s="1"/>
      <c r="F13" s="34"/>
      <c r="G13" s="35"/>
      <c r="H13" s="35"/>
      <c r="I13" s="35"/>
      <c r="J13" s="35"/>
      <c r="K13" s="35"/>
      <c r="L13" s="35"/>
      <c r="M13" s="36"/>
      <c r="N13" s="1"/>
      <c r="O13" s="37"/>
      <c r="P13" s="38"/>
      <c r="Q13" s="38"/>
      <c r="R13" s="38"/>
      <c r="S13" s="38"/>
      <c r="T13" s="38"/>
      <c r="U13" s="39"/>
      <c r="V13" s="1"/>
      <c r="W13" s="40"/>
      <c r="X13" s="41"/>
      <c r="Y13" s="41"/>
      <c r="Z13" s="41"/>
      <c r="AA13" s="41"/>
      <c r="AB13" s="42"/>
    </row>
    <row r="14" spans="1:28" ht="15.75" thickBot="1">
      <c r="A14" s="1"/>
      <c r="B14" s="1"/>
      <c r="C14" s="1"/>
      <c r="D14" s="1"/>
      <c r="E14" s="1"/>
      <c r="F14" s="43"/>
      <c r="G14" s="115" t="s">
        <v>3</v>
      </c>
      <c r="H14" s="116"/>
      <c r="I14" s="116"/>
      <c r="J14" s="116"/>
      <c r="K14" s="116"/>
      <c r="L14" s="117"/>
      <c r="M14" s="44"/>
      <c r="N14" s="45"/>
      <c r="O14" s="46"/>
      <c r="P14" s="115" t="s">
        <v>4</v>
      </c>
      <c r="Q14" s="116"/>
      <c r="R14" s="116"/>
      <c r="S14" s="116"/>
      <c r="T14" s="117"/>
      <c r="U14" s="47"/>
      <c r="V14" s="1"/>
      <c r="W14" s="48"/>
      <c r="X14" s="49" t="s">
        <v>15</v>
      </c>
      <c r="Y14" s="50" t="s">
        <v>16</v>
      </c>
      <c r="Z14" s="49" t="s">
        <v>17</v>
      </c>
      <c r="AA14" s="51" t="s">
        <v>18</v>
      </c>
      <c r="AB14" s="52"/>
    </row>
    <row r="15" spans="1:28" ht="15">
      <c r="A15" s="1"/>
      <c r="B15" s="1"/>
      <c r="C15" s="53"/>
      <c r="D15" s="1"/>
      <c r="E15" s="1"/>
      <c r="F15" s="43"/>
      <c r="G15" s="54" t="s">
        <v>19</v>
      </c>
      <c r="H15" s="55" t="s">
        <v>20</v>
      </c>
      <c r="I15" s="55" t="s">
        <v>15</v>
      </c>
      <c r="J15" s="55" t="s">
        <v>21</v>
      </c>
      <c r="K15" s="55" t="s">
        <v>21</v>
      </c>
      <c r="L15" s="51" t="s">
        <v>21</v>
      </c>
      <c r="M15" s="44"/>
      <c r="N15" s="45"/>
      <c r="O15" s="46"/>
      <c r="P15" s="54" t="s">
        <v>19</v>
      </c>
      <c r="Q15" s="55" t="s">
        <v>20</v>
      </c>
      <c r="R15" s="55" t="s">
        <v>15</v>
      </c>
      <c r="S15" s="55" t="s">
        <v>22</v>
      </c>
      <c r="T15" s="51" t="s">
        <v>21</v>
      </c>
      <c r="U15" s="47"/>
      <c r="V15" s="1"/>
      <c r="W15" s="48"/>
      <c r="X15" s="56" t="s">
        <v>23</v>
      </c>
      <c r="Y15" s="51" t="s">
        <v>24</v>
      </c>
      <c r="Z15" s="56" t="s">
        <v>25</v>
      </c>
      <c r="AA15" s="51" t="s">
        <v>26</v>
      </c>
      <c r="AB15" s="52"/>
    </row>
    <row r="16" spans="1:28" ht="15.75" thickBot="1">
      <c r="A16" s="1"/>
      <c r="B16" s="1"/>
      <c r="C16" s="14"/>
      <c r="D16" s="1"/>
      <c r="E16" s="1"/>
      <c r="F16" s="43"/>
      <c r="G16" s="57" t="s">
        <v>27</v>
      </c>
      <c r="H16" s="58" t="s">
        <v>28</v>
      </c>
      <c r="I16" s="58" t="s">
        <v>23</v>
      </c>
      <c r="J16" s="58" t="s">
        <v>16</v>
      </c>
      <c r="K16" s="58" t="s">
        <v>29</v>
      </c>
      <c r="L16" s="59" t="s">
        <v>30</v>
      </c>
      <c r="M16" s="44"/>
      <c r="N16" s="45"/>
      <c r="O16" s="46"/>
      <c r="P16" s="57" t="s">
        <v>27</v>
      </c>
      <c r="Q16" s="58" t="s">
        <v>28</v>
      </c>
      <c r="R16" s="58" t="s">
        <v>23</v>
      </c>
      <c r="S16" s="58" t="s">
        <v>15</v>
      </c>
      <c r="T16" s="59" t="s">
        <v>30</v>
      </c>
      <c r="U16" s="47"/>
      <c r="V16" s="1"/>
      <c r="W16" s="48"/>
      <c r="X16" s="60" t="s">
        <v>31</v>
      </c>
      <c r="Y16" s="59" t="s">
        <v>32</v>
      </c>
      <c r="Z16" s="60" t="s">
        <v>31</v>
      </c>
      <c r="AA16" s="51" t="s">
        <v>33</v>
      </c>
      <c r="AB16" s="52"/>
    </row>
    <row r="17" spans="1:28" ht="15.75" thickBot="1">
      <c r="A17" s="1"/>
      <c r="B17" s="40"/>
      <c r="C17" s="61"/>
      <c r="D17" s="42"/>
      <c r="E17" s="1"/>
      <c r="F17" s="43"/>
      <c r="G17" s="62"/>
      <c r="H17" s="62"/>
      <c r="I17" s="62"/>
      <c r="J17" s="62"/>
      <c r="K17" s="62"/>
      <c r="L17" s="62"/>
      <c r="M17" s="63"/>
      <c r="N17" s="64"/>
      <c r="O17" s="65"/>
      <c r="P17" s="66"/>
      <c r="Q17" s="66"/>
      <c r="R17" s="66"/>
      <c r="S17" s="66"/>
      <c r="T17" s="66"/>
      <c r="U17" s="67"/>
      <c r="V17" s="68"/>
      <c r="W17" s="69"/>
      <c r="X17" s="70"/>
      <c r="Y17" s="71"/>
      <c r="Z17" s="71"/>
      <c r="AA17" s="70"/>
      <c r="AB17" s="52"/>
    </row>
    <row r="18" spans="1:28" ht="15.75" thickBot="1">
      <c r="A18" s="1"/>
      <c r="B18" s="48"/>
      <c r="C18" s="72">
        <f>'[1]RUS Loan Input'!B6</f>
        <v>42338</v>
      </c>
      <c r="D18" s="52"/>
      <c r="E18" s="1"/>
      <c r="F18" s="43"/>
      <c r="G18" s="73"/>
      <c r="H18" s="74">
        <f>SUM(H21:H52)</f>
        <v>-15691827.150000002</v>
      </c>
      <c r="I18" s="74">
        <f>SUM(I20:I79)</f>
        <v>-7648316.199999998</v>
      </c>
      <c r="J18" s="74">
        <f>SUM(J20:J79)</f>
        <v>717974.1200000002</v>
      </c>
      <c r="K18" s="74">
        <f>SUM(K20:K79)</f>
        <v>0</v>
      </c>
      <c r="L18" s="75">
        <f>SUM(L20:L79)</f>
        <v>-22622169.229999997</v>
      </c>
      <c r="M18" s="63">
        <f>SUM(M21:M79)</f>
        <v>-45962312.579999976</v>
      </c>
      <c r="N18" s="64"/>
      <c r="O18" s="65"/>
      <c r="P18" s="73"/>
      <c r="Q18" s="74">
        <f>SUM(Q20:Q77)</f>
        <v>-15691827.150000002</v>
      </c>
      <c r="R18" s="74">
        <f>SUM(R20:R77)</f>
        <v>-8528625.499999998</v>
      </c>
      <c r="S18" s="74">
        <f>SUM(S20:S77)</f>
        <v>0</v>
      </c>
      <c r="T18" s="75">
        <f>SUM(T20:T77)</f>
        <v>-24220452.649999995</v>
      </c>
      <c r="U18" s="67">
        <f>SUM(U20:U77)</f>
        <v>-32749078.150000002</v>
      </c>
      <c r="V18" s="68"/>
      <c r="W18" s="69"/>
      <c r="X18" s="76">
        <f>SUM(X20:X76)</f>
        <v>880309.2999999998</v>
      </c>
      <c r="Y18" s="77">
        <f>SUM(Y21:Y76)</f>
        <v>717974.1200000002</v>
      </c>
      <c r="Z18" s="76">
        <f>SUM(Z21:Z79)</f>
        <v>1598283.4199999992</v>
      </c>
      <c r="AA18" s="76">
        <f>SUM(AA21:AA79)</f>
        <v>545108.3085739006</v>
      </c>
      <c r="AB18" s="52"/>
    </row>
    <row r="19" spans="1:28" ht="15.75" thickBot="1">
      <c r="A19" s="1"/>
      <c r="B19" s="48"/>
      <c r="C19" s="61"/>
      <c r="D19" s="52"/>
      <c r="E19" s="1"/>
      <c r="F19" s="43"/>
      <c r="G19" s="78"/>
      <c r="H19" s="78"/>
      <c r="I19" s="78"/>
      <c r="J19" s="78"/>
      <c r="K19" s="78"/>
      <c r="L19" s="78"/>
      <c r="M19" s="79"/>
      <c r="N19" s="68"/>
      <c r="O19" s="80"/>
      <c r="P19" s="81"/>
      <c r="Q19" s="81"/>
      <c r="R19" s="81"/>
      <c r="S19" s="81"/>
      <c r="T19" s="81"/>
      <c r="U19" s="67"/>
      <c r="V19" s="68"/>
      <c r="W19" s="69"/>
      <c r="X19" s="82"/>
      <c r="Y19" s="83"/>
      <c r="Z19" s="83"/>
      <c r="AA19" s="82"/>
      <c r="AB19" s="52"/>
    </row>
    <row r="20" spans="1:28" ht="15">
      <c r="A20" s="1"/>
      <c r="B20" s="48"/>
      <c r="C20" s="84">
        <f>YEAR(C18)</f>
        <v>2015</v>
      </c>
      <c r="D20" s="52"/>
      <c r="E20" s="1"/>
      <c r="F20" s="43"/>
      <c r="G20" s="85">
        <v>15691827.15</v>
      </c>
      <c r="H20" s="86">
        <v>0</v>
      </c>
      <c r="I20" s="86">
        <v>0</v>
      </c>
      <c r="J20" s="86">
        <v>0</v>
      </c>
      <c r="K20" s="86">
        <v>0</v>
      </c>
      <c r="L20" s="87">
        <v>0</v>
      </c>
      <c r="M20" s="79">
        <v>0</v>
      </c>
      <c r="N20" s="68"/>
      <c r="O20" s="80"/>
      <c r="P20" s="85">
        <v>15691827.179230109</v>
      </c>
      <c r="Q20" s="86">
        <v>0</v>
      </c>
      <c r="R20" s="86">
        <v>0</v>
      </c>
      <c r="S20" s="86"/>
      <c r="T20" s="87">
        <v>0</v>
      </c>
      <c r="U20" s="67">
        <f aca="true" t="shared" si="0" ref="U20:U76">+R20+T20</f>
        <v>0</v>
      </c>
      <c r="V20" s="68"/>
      <c r="W20" s="69"/>
      <c r="X20" s="88">
        <f>+I20-R20</f>
        <v>0</v>
      </c>
      <c r="Y20" s="88">
        <v>0</v>
      </c>
      <c r="Z20" s="88">
        <f>L20-T20</f>
        <v>0</v>
      </c>
      <c r="AA20" s="89">
        <v>0</v>
      </c>
      <c r="AB20" s="52"/>
    </row>
    <row r="21" spans="1:28" ht="15">
      <c r="A21" s="1"/>
      <c r="B21" s="48"/>
      <c r="C21" s="84">
        <f aca="true" t="shared" si="1" ref="C21:C54">+C20+1</f>
        <v>2016</v>
      </c>
      <c r="D21" s="52"/>
      <c r="E21" s="1"/>
      <c r="F21" s="43"/>
      <c r="G21" s="90">
        <v>15420391.83</v>
      </c>
      <c r="H21" s="91">
        <v>-271435.32</v>
      </c>
      <c r="I21" s="91">
        <v>-249791.99</v>
      </c>
      <c r="J21" s="91">
        <v>0</v>
      </c>
      <c r="K21" s="91">
        <v>0</v>
      </c>
      <c r="L21" s="89">
        <v>-521227.31</v>
      </c>
      <c r="M21" s="79">
        <f aca="true" t="shared" si="2" ref="M21:M76">+H21+I21+L21</f>
        <v>-1042454.62</v>
      </c>
      <c r="N21" s="68"/>
      <c r="O21" s="80"/>
      <c r="P21" s="90">
        <v>15479933.08</v>
      </c>
      <c r="Q21" s="91">
        <v>-211894.09</v>
      </c>
      <c r="R21" s="91">
        <v>-309358.74</v>
      </c>
      <c r="S21" s="91">
        <v>0</v>
      </c>
      <c r="T21" s="89">
        <v>-521252.82999999996</v>
      </c>
      <c r="U21" s="67">
        <f t="shared" si="0"/>
        <v>-830611.57</v>
      </c>
      <c r="V21" s="68"/>
      <c r="W21" s="69"/>
      <c r="X21" s="92">
        <f>+I21-R21+K21-S21</f>
        <v>59566.75</v>
      </c>
      <c r="Y21" s="92">
        <f aca="true" t="shared" si="3" ref="Y21:Y76">J21</f>
        <v>0</v>
      </c>
      <c r="Z21" s="92">
        <f>L21-T21</f>
        <v>25.51999999996042</v>
      </c>
      <c r="AA21" s="89">
        <f>Z21/(1+0.04)^2</f>
        <v>23.59467455617642</v>
      </c>
      <c r="AB21" s="52"/>
    </row>
    <row r="22" spans="1:28" ht="15">
      <c r="A22" s="1"/>
      <c r="B22" s="48"/>
      <c r="C22" s="84">
        <f t="shared" si="1"/>
        <v>2017</v>
      </c>
      <c r="D22" s="52"/>
      <c r="E22" s="1"/>
      <c r="F22" s="43"/>
      <c r="G22" s="90">
        <v>14914197.9</v>
      </c>
      <c r="H22" s="91">
        <v>-506193.93</v>
      </c>
      <c r="I22" s="91">
        <v>-561257</v>
      </c>
      <c r="J22" s="91">
        <v>25007</v>
      </c>
      <c r="K22" s="91">
        <v>0</v>
      </c>
      <c r="L22" s="89">
        <v>-1042443.9299999999</v>
      </c>
      <c r="M22" s="79">
        <f t="shared" si="2"/>
        <v>-2109894.86</v>
      </c>
      <c r="N22" s="68"/>
      <c r="O22" s="80"/>
      <c r="P22" s="90">
        <v>15043476.69</v>
      </c>
      <c r="Q22" s="91">
        <v>-436456.41</v>
      </c>
      <c r="R22" s="91">
        <v>-606049.23</v>
      </c>
      <c r="S22" s="91">
        <v>0</v>
      </c>
      <c r="T22" s="89">
        <v>-1042505.6399999999</v>
      </c>
      <c r="U22" s="67">
        <f t="shared" si="0"/>
        <v>-1648554.8699999999</v>
      </c>
      <c r="V22" s="68"/>
      <c r="W22" s="69"/>
      <c r="X22" s="92">
        <f aca="true" t="shared" si="4" ref="X22:X76">+I22-R22+K22-S22</f>
        <v>44792.22999999998</v>
      </c>
      <c r="Y22" s="92">
        <f t="shared" si="3"/>
        <v>25007</v>
      </c>
      <c r="Z22" s="92">
        <f aca="true" t="shared" si="5" ref="Z22:Z76">L22-T22</f>
        <v>61.70999999996275</v>
      </c>
      <c r="AA22" s="89">
        <f>Z22/(1+0.04)^3</f>
        <v>54.85996529354904</v>
      </c>
      <c r="AB22" s="52"/>
    </row>
    <row r="23" spans="1:28" ht="15">
      <c r="A23" s="1"/>
      <c r="B23" s="48"/>
      <c r="C23" s="84">
        <f t="shared" si="1"/>
        <v>2018</v>
      </c>
      <c r="D23" s="52"/>
      <c r="E23" s="1"/>
      <c r="F23" s="43"/>
      <c r="G23" s="90">
        <v>14393070.05</v>
      </c>
      <c r="H23" s="91">
        <v>-521127.85</v>
      </c>
      <c r="I23" s="91">
        <v>-547342.8</v>
      </c>
      <c r="J23" s="91">
        <v>26034.1</v>
      </c>
      <c r="K23" s="91">
        <v>0</v>
      </c>
      <c r="L23" s="89">
        <v>-1042436.5499999999</v>
      </c>
      <c r="M23" s="79">
        <f t="shared" si="2"/>
        <v>-2110907.1999999997</v>
      </c>
      <c r="N23" s="68"/>
      <c r="O23" s="80"/>
      <c r="P23" s="90">
        <v>14589924.29</v>
      </c>
      <c r="Q23" s="91">
        <v>-453552.37</v>
      </c>
      <c r="R23" s="91">
        <v>-588953.27</v>
      </c>
      <c r="S23" s="91">
        <v>0</v>
      </c>
      <c r="T23" s="89">
        <v>-1042505.64</v>
      </c>
      <c r="U23" s="67">
        <f t="shared" si="0"/>
        <v>-1631458.9100000001</v>
      </c>
      <c r="V23" s="68"/>
      <c r="W23" s="69"/>
      <c r="X23" s="92">
        <f t="shared" si="4"/>
        <v>41610.46999999997</v>
      </c>
      <c r="Y23" s="92">
        <f t="shared" si="3"/>
        <v>26034.1</v>
      </c>
      <c r="Z23" s="92">
        <f t="shared" si="5"/>
        <v>69.09000000008382</v>
      </c>
      <c r="AA23" s="89">
        <f>Z23/(1+0.04)^3</f>
        <v>61.42075842064802</v>
      </c>
      <c r="AB23" s="52"/>
    </row>
    <row r="24" spans="1:28" ht="15">
      <c r="A24" s="1"/>
      <c r="B24" s="48"/>
      <c r="C24" s="84">
        <f t="shared" si="1"/>
        <v>2019</v>
      </c>
      <c r="D24" s="52"/>
      <c r="E24" s="1"/>
      <c r="F24" s="43"/>
      <c r="G24" s="90">
        <v>13857848.44</v>
      </c>
      <c r="H24" s="91">
        <v>-535221.61</v>
      </c>
      <c r="I24" s="91">
        <v>-532569.73</v>
      </c>
      <c r="J24" s="91">
        <v>25363.59</v>
      </c>
      <c r="K24" s="91">
        <v>0</v>
      </c>
      <c r="L24" s="89">
        <v>-1042427.7499999999</v>
      </c>
      <c r="M24" s="79">
        <f t="shared" si="2"/>
        <v>-2110219.09</v>
      </c>
      <c r="N24" s="68"/>
      <c r="O24" s="80"/>
      <c r="P24" s="90">
        <v>14118399.37</v>
      </c>
      <c r="Q24" s="91">
        <v>-471524.93</v>
      </c>
      <c r="R24" s="91">
        <v>-570980.71</v>
      </c>
      <c r="S24" s="91">
        <v>0</v>
      </c>
      <c r="T24" s="89">
        <v>-1042505.6399999999</v>
      </c>
      <c r="U24" s="67">
        <f t="shared" si="0"/>
        <v>-1613486.3499999999</v>
      </c>
      <c r="V24" s="68"/>
      <c r="W24" s="69"/>
      <c r="X24" s="92">
        <f t="shared" si="4"/>
        <v>38410.97999999998</v>
      </c>
      <c r="Y24" s="92">
        <f t="shared" si="3"/>
        <v>25363.59</v>
      </c>
      <c r="Z24" s="92">
        <f t="shared" si="5"/>
        <v>77.89000000001397</v>
      </c>
      <c r="AA24" s="89">
        <f>Z24/(1+0.04)^5</f>
        <v>64.01990234549737</v>
      </c>
      <c r="AB24" s="52"/>
    </row>
    <row r="25" spans="1:28" ht="15">
      <c r="A25" s="1"/>
      <c r="B25" s="48"/>
      <c r="C25" s="84">
        <f t="shared" si="1"/>
        <v>2020</v>
      </c>
      <c r="D25" s="52"/>
      <c r="E25" s="1"/>
      <c r="F25" s="43"/>
      <c r="G25" s="90">
        <v>13308461.51</v>
      </c>
      <c r="H25" s="91">
        <v>-549386.93</v>
      </c>
      <c r="I25" s="91">
        <v>-517669.2</v>
      </c>
      <c r="J25" s="91">
        <v>24639.4</v>
      </c>
      <c r="K25" s="91">
        <v>0</v>
      </c>
      <c r="L25" s="89">
        <v>-1042416.7300000001</v>
      </c>
      <c r="M25" s="79">
        <f t="shared" si="2"/>
        <v>-2109472.8600000003</v>
      </c>
      <c r="N25" s="68"/>
      <c r="O25" s="80"/>
      <c r="P25" s="90">
        <v>13628303.95</v>
      </c>
      <c r="Q25" s="91">
        <v>-490095.41</v>
      </c>
      <c r="R25" s="91">
        <v>-552410.23</v>
      </c>
      <c r="S25" s="91">
        <v>0</v>
      </c>
      <c r="T25" s="89">
        <v>-1042505.6399999999</v>
      </c>
      <c r="U25" s="67">
        <f t="shared" si="0"/>
        <v>-1594915.8699999999</v>
      </c>
      <c r="V25" s="68"/>
      <c r="W25" s="69"/>
      <c r="X25" s="92">
        <f t="shared" si="4"/>
        <v>34741.02999999997</v>
      </c>
      <c r="Y25" s="92">
        <f t="shared" si="3"/>
        <v>24639.4</v>
      </c>
      <c r="Z25" s="92">
        <f t="shared" si="5"/>
        <v>88.90999999979977</v>
      </c>
      <c r="AA25" s="89">
        <f>Z25/(1+0.04)^6</f>
        <v>70.266864482509</v>
      </c>
      <c r="AB25" s="52"/>
    </row>
    <row r="26" spans="1:28" ht="15">
      <c r="A26" s="1"/>
      <c r="B26" s="48"/>
      <c r="C26" s="84">
        <f t="shared" si="1"/>
        <v>2021</v>
      </c>
      <c r="D26" s="52"/>
      <c r="E26" s="1"/>
      <c r="F26" s="43"/>
      <c r="G26" s="90">
        <v>12740502.05</v>
      </c>
      <c r="H26" s="91">
        <v>-567959.46</v>
      </c>
      <c r="I26" s="91">
        <v>-498273.05</v>
      </c>
      <c r="J26" s="91">
        <v>23828.88</v>
      </c>
      <c r="K26" s="91">
        <v>0</v>
      </c>
      <c r="L26" s="89">
        <v>-1042403.63</v>
      </c>
      <c r="M26" s="79">
        <f t="shared" si="2"/>
        <v>-2108636.14</v>
      </c>
      <c r="N26" s="68"/>
      <c r="O26" s="80"/>
      <c r="P26" s="90">
        <v>13118372.11</v>
      </c>
      <c r="Q26" s="91">
        <v>-509931.84</v>
      </c>
      <c r="R26" s="91">
        <v>-532573.81</v>
      </c>
      <c r="S26" s="91">
        <v>0</v>
      </c>
      <c r="T26" s="89">
        <v>-1042505.6500000001</v>
      </c>
      <c r="U26" s="67">
        <f t="shared" si="0"/>
        <v>-1575079.4600000002</v>
      </c>
      <c r="V26" s="68"/>
      <c r="W26" s="69"/>
      <c r="X26" s="92">
        <f t="shared" si="4"/>
        <v>34300.76000000007</v>
      </c>
      <c r="Y26" s="92">
        <f t="shared" si="3"/>
        <v>23828.88</v>
      </c>
      <c r="Z26" s="92">
        <f t="shared" si="5"/>
        <v>102.02000000013504</v>
      </c>
      <c r="AA26" s="89">
        <f>Z26/(1+0.04)^7</f>
        <v>77.52681530297711</v>
      </c>
      <c r="AB26" s="52"/>
    </row>
    <row r="27" spans="1:28" ht="15">
      <c r="A27" s="1"/>
      <c r="B27" s="48"/>
      <c r="C27" s="84">
        <f t="shared" si="1"/>
        <v>2022</v>
      </c>
      <c r="D27" s="52"/>
      <c r="E27" s="1"/>
      <c r="F27" s="43"/>
      <c r="G27" s="90">
        <v>12154247.5</v>
      </c>
      <c r="H27" s="91">
        <v>-586254.55</v>
      </c>
      <c r="I27" s="91">
        <v>-479088.74</v>
      </c>
      <c r="J27" s="91">
        <v>22955.66</v>
      </c>
      <c r="K27" s="91">
        <v>0</v>
      </c>
      <c r="L27" s="89">
        <v>-1042387.63</v>
      </c>
      <c r="M27" s="79">
        <f t="shared" si="2"/>
        <v>-2107730.92</v>
      </c>
      <c r="N27" s="68"/>
      <c r="O27" s="80"/>
      <c r="P27" s="90">
        <v>12588183.38</v>
      </c>
      <c r="Q27" s="91">
        <v>-530188.72</v>
      </c>
      <c r="R27" s="91">
        <v>-512316.93</v>
      </c>
      <c r="S27" s="91">
        <v>0</v>
      </c>
      <c r="T27" s="89">
        <v>-1042505.6499999999</v>
      </c>
      <c r="U27" s="67">
        <f t="shared" si="0"/>
        <v>-1554822.5799999998</v>
      </c>
      <c r="V27" s="68"/>
      <c r="W27" s="69"/>
      <c r="X27" s="92">
        <f t="shared" si="4"/>
        <v>33228.19</v>
      </c>
      <c r="Y27" s="92">
        <f t="shared" si="3"/>
        <v>22955.66</v>
      </c>
      <c r="Z27" s="92">
        <f t="shared" si="5"/>
        <v>118.01999999990221</v>
      </c>
      <c r="AA27" s="89">
        <f>Z27/(1+0.04)^8</f>
        <v>86.23605799426267</v>
      </c>
      <c r="AB27" s="52"/>
    </row>
    <row r="28" spans="1:28" ht="15">
      <c r="A28" s="1"/>
      <c r="B28" s="48"/>
      <c r="C28" s="84">
        <f t="shared" si="1"/>
        <v>2023</v>
      </c>
      <c r="D28" s="52"/>
      <c r="E28" s="1"/>
      <c r="F28" s="43"/>
      <c r="G28" s="90">
        <v>11548650.87</v>
      </c>
      <c r="H28" s="91">
        <v>-605596.63</v>
      </c>
      <c r="I28" s="91">
        <v>-458799.28</v>
      </c>
      <c r="J28" s="91">
        <v>22027.47</v>
      </c>
      <c r="K28" s="91">
        <v>0</v>
      </c>
      <c r="L28" s="89">
        <v>-1042368.4400000002</v>
      </c>
      <c r="M28" s="79">
        <f t="shared" si="2"/>
        <v>-2106764.3500000006</v>
      </c>
      <c r="N28" s="68"/>
      <c r="O28" s="80"/>
      <c r="P28" s="90">
        <v>12036735.2</v>
      </c>
      <c r="Q28" s="91">
        <v>-551448.19</v>
      </c>
      <c r="R28" s="91">
        <v>-491057.45</v>
      </c>
      <c r="S28" s="91">
        <v>0</v>
      </c>
      <c r="T28" s="89">
        <v>-1042505.6399999999</v>
      </c>
      <c r="U28" s="67">
        <f t="shared" si="0"/>
        <v>-1533563.0899999999</v>
      </c>
      <c r="V28" s="68"/>
      <c r="W28" s="69"/>
      <c r="X28" s="92">
        <f t="shared" si="4"/>
        <v>32258.169999999984</v>
      </c>
      <c r="Y28" s="92">
        <f t="shared" si="3"/>
        <v>22027.47</v>
      </c>
      <c r="Z28" s="92">
        <f t="shared" si="5"/>
        <v>137.1999999997206</v>
      </c>
      <c r="AA28" s="89">
        <f>Z28/(1.04)^9</f>
        <v>96.39490012121924</v>
      </c>
      <c r="AB28" s="52"/>
    </row>
    <row r="29" spans="1:28" ht="15">
      <c r="A29" s="1"/>
      <c r="B29" s="48"/>
      <c r="C29" s="84">
        <f t="shared" si="1"/>
        <v>2024</v>
      </c>
      <c r="D29" s="52"/>
      <c r="E29" s="1"/>
      <c r="F29" s="43"/>
      <c r="G29" s="90">
        <v>10923843.6</v>
      </c>
      <c r="H29" s="91">
        <v>-624807.27</v>
      </c>
      <c r="I29" s="91">
        <v>-438588.82</v>
      </c>
      <c r="J29" s="91">
        <v>21051.17</v>
      </c>
      <c r="K29" s="91">
        <v>0</v>
      </c>
      <c r="L29" s="89">
        <v>-1042344.92</v>
      </c>
      <c r="M29" s="79">
        <f t="shared" si="2"/>
        <v>-2105741.0100000002</v>
      </c>
      <c r="N29" s="68"/>
      <c r="O29" s="80"/>
      <c r="P29" s="90">
        <v>11463260.41</v>
      </c>
      <c r="Q29" s="91">
        <v>-573474.77</v>
      </c>
      <c r="R29" s="91">
        <v>-469030.87</v>
      </c>
      <c r="S29" s="91">
        <v>0</v>
      </c>
      <c r="T29" s="89">
        <v>-1042505.64</v>
      </c>
      <c r="U29" s="67">
        <f t="shared" si="0"/>
        <v>-1511536.51</v>
      </c>
      <c r="V29" s="68"/>
      <c r="W29" s="69"/>
      <c r="X29" s="92">
        <f t="shared" si="4"/>
        <v>30442.04999999999</v>
      </c>
      <c r="Y29" s="92">
        <f t="shared" si="3"/>
        <v>21051.17</v>
      </c>
      <c r="Z29" s="92">
        <f t="shared" si="5"/>
        <v>160.71999999997206</v>
      </c>
      <c r="AA29" s="89">
        <f>Z29/(1.04)^10</f>
        <v>108.57667321366347</v>
      </c>
      <c r="AB29" s="52"/>
    </row>
    <row r="30" spans="1:28" ht="15">
      <c r="A30" s="1"/>
      <c r="B30" s="48"/>
      <c r="C30" s="84">
        <f t="shared" si="1"/>
        <v>2025</v>
      </c>
      <c r="D30" s="52"/>
      <c r="E30" s="1"/>
      <c r="F30" s="43"/>
      <c r="G30" s="90">
        <v>10276336.44</v>
      </c>
      <c r="H30" s="91">
        <v>-647507.16</v>
      </c>
      <c r="I30" s="91">
        <v>-414828.29</v>
      </c>
      <c r="J30" s="91">
        <v>20017.81</v>
      </c>
      <c r="K30" s="91">
        <v>0</v>
      </c>
      <c r="L30" s="89">
        <v>-1042317.6399999999</v>
      </c>
      <c r="M30" s="79">
        <f t="shared" si="2"/>
        <v>-2104653.09</v>
      </c>
      <c r="N30" s="68"/>
      <c r="O30" s="80"/>
      <c r="P30" s="90">
        <v>10866395.8</v>
      </c>
      <c r="Q30" s="91">
        <v>-596864.62</v>
      </c>
      <c r="R30" s="91">
        <v>-445641.02</v>
      </c>
      <c r="S30" s="91">
        <v>0</v>
      </c>
      <c r="T30" s="89">
        <v>-1042505.64</v>
      </c>
      <c r="U30" s="67">
        <f t="shared" si="0"/>
        <v>-1488146.6600000001</v>
      </c>
      <c r="V30" s="68"/>
      <c r="W30" s="69"/>
      <c r="X30" s="92">
        <f t="shared" si="4"/>
        <v>30812.73000000004</v>
      </c>
      <c r="Y30" s="92">
        <f t="shared" si="3"/>
        <v>20017.81</v>
      </c>
      <c r="Z30" s="92">
        <f t="shared" si="5"/>
        <v>188.00000000011642</v>
      </c>
      <c r="AA30" s="89">
        <f>Z30/(1.04)^11</f>
        <v>122.12121513396998</v>
      </c>
      <c r="AB30" s="52"/>
    </row>
    <row r="31" spans="1:28" ht="15">
      <c r="A31" s="1"/>
      <c r="B31" s="48"/>
      <c r="C31" s="84">
        <f t="shared" si="1"/>
        <v>2026</v>
      </c>
      <c r="D31" s="52"/>
      <c r="E31" s="1"/>
      <c r="F31" s="43"/>
      <c r="G31" s="90">
        <v>9606213.14</v>
      </c>
      <c r="H31" s="91">
        <v>-670123.3</v>
      </c>
      <c r="I31" s="91">
        <v>-391091.23</v>
      </c>
      <c r="J31" s="91">
        <v>18929.92</v>
      </c>
      <c r="K31" s="91">
        <v>0</v>
      </c>
      <c r="L31" s="89">
        <v>-1042284.61</v>
      </c>
      <c r="M31" s="79">
        <f t="shared" si="2"/>
        <v>-2103499.14</v>
      </c>
      <c r="N31" s="68"/>
      <c r="O31" s="80"/>
      <c r="P31" s="90">
        <v>10245497.68</v>
      </c>
      <c r="Q31" s="91">
        <v>-620898.12</v>
      </c>
      <c r="R31" s="91">
        <v>-421607.52</v>
      </c>
      <c r="S31" s="91">
        <v>0</v>
      </c>
      <c r="T31" s="89">
        <v>-1042505.64</v>
      </c>
      <c r="U31" s="67">
        <f t="shared" si="0"/>
        <v>-1464113.1600000001</v>
      </c>
      <c r="V31" s="68"/>
      <c r="W31" s="69"/>
      <c r="X31" s="92">
        <f t="shared" si="4"/>
        <v>30516.290000000037</v>
      </c>
      <c r="Y31" s="92">
        <f t="shared" si="3"/>
        <v>18929.92</v>
      </c>
      <c r="Z31" s="92">
        <f t="shared" si="5"/>
        <v>221.03000000002794</v>
      </c>
      <c r="AA31" s="89">
        <f>Z31/(1+0.04)^12</f>
        <v>138.05468586869924</v>
      </c>
      <c r="AB31" s="52"/>
    </row>
    <row r="32" spans="1:28" ht="15">
      <c r="A32" s="1"/>
      <c r="B32" s="48"/>
      <c r="C32" s="84">
        <f t="shared" si="1"/>
        <v>2027</v>
      </c>
      <c r="D32" s="52"/>
      <c r="E32" s="1"/>
      <c r="F32" s="43"/>
      <c r="G32" s="90">
        <v>8912361.06</v>
      </c>
      <c r="H32" s="91">
        <v>-693852.08</v>
      </c>
      <c r="I32" s="91">
        <v>-366181.28</v>
      </c>
      <c r="J32" s="91">
        <v>17788.03</v>
      </c>
      <c r="K32" s="91">
        <v>0</v>
      </c>
      <c r="L32" s="89">
        <v>-1042245.3299999998</v>
      </c>
      <c r="M32" s="79">
        <f t="shared" si="2"/>
        <v>-2102278.6899999995</v>
      </c>
      <c r="N32" s="68"/>
      <c r="O32" s="80"/>
      <c r="P32" s="90">
        <v>9599411.34</v>
      </c>
      <c r="Q32" s="91">
        <v>-646086.36</v>
      </c>
      <c r="R32" s="91">
        <v>-396419.29</v>
      </c>
      <c r="S32" s="91">
        <v>0</v>
      </c>
      <c r="T32" s="89">
        <v>-1042505.6499999999</v>
      </c>
      <c r="U32" s="67">
        <f t="shared" si="0"/>
        <v>-1438924.94</v>
      </c>
      <c r="V32" s="68"/>
      <c r="W32" s="69"/>
      <c r="X32" s="92">
        <f t="shared" si="4"/>
        <v>30238.00999999995</v>
      </c>
      <c r="Y32" s="92">
        <f t="shared" si="3"/>
        <v>17788.03</v>
      </c>
      <c r="Z32" s="92">
        <f t="shared" si="5"/>
        <v>260.3200000000652</v>
      </c>
      <c r="AA32" s="89">
        <f>Z32/(1+0.04)^13</f>
        <v>156.34144610261853</v>
      </c>
      <c r="AB32" s="52"/>
    </row>
    <row r="33" spans="1:28" ht="15">
      <c r="A33" s="1"/>
      <c r="B33" s="48"/>
      <c r="C33" s="84">
        <f t="shared" si="1"/>
        <v>2028</v>
      </c>
      <c r="D33" s="52"/>
      <c r="E33" s="1"/>
      <c r="F33" s="43"/>
      <c r="G33" s="90">
        <v>8194504.71</v>
      </c>
      <c r="H33" s="91">
        <v>-717856.35</v>
      </c>
      <c r="I33" s="91">
        <v>-340931.05</v>
      </c>
      <c r="J33" s="91">
        <v>16589.67</v>
      </c>
      <c r="K33" s="91">
        <v>0</v>
      </c>
      <c r="L33" s="89">
        <v>-1042197.7299999999</v>
      </c>
      <c r="M33" s="79">
        <f t="shared" si="2"/>
        <v>-2100985.13</v>
      </c>
      <c r="N33" s="68"/>
      <c r="O33" s="80"/>
      <c r="P33" s="90">
        <v>8927166.14</v>
      </c>
      <c r="Q33" s="91">
        <v>-672245.19</v>
      </c>
      <c r="R33" s="91">
        <v>-370260.45</v>
      </c>
      <c r="S33" s="91">
        <v>0</v>
      </c>
      <c r="T33" s="89">
        <v>-1042505.6399999999</v>
      </c>
      <c r="U33" s="67">
        <f t="shared" si="0"/>
        <v>-1412766.0899999999</v>
      </c>
      <c r="V33" s="68"/>
      <c r="W33" s="69"/>
      <c r="X33" s="92">
        <f t="shared" si="4"/>
        <v>29329.400000000023</v>
      </c>
      <c r="Y33" s="92">
        <f t="shared" si="3"/>
        <v>16589.67</v>
      </c>
      <c r="Z33" s="92">
        <f t="shared" si="5"/>
        <v>307.9100000000326</v>
      </c>
      <c r="AA33" s="89">
        <f>Z33/(1+0.04)^14</f>
        <v>177.81035275168105</v>
      </c>
      <c r="AB33" s="52"/>
    </row>
    <row r="34" spans="1:28" ht="15">
      <c r="A34" s="1"/>
      <c r="B34" s="48"/>
      <c r="C34" s="84">
        <f t="shared" si="1"/>
        <v>2029</v>
      </c>
      <c r="D34" s="52"/>
      <c r="E34" s="1"/>
      <c r="F34" s="43"/>
      <c r="G34" s="90">
        <v>7456431.16</v>
      </c>
      <c r="H34" s="91">
        <v>-738073.55</v>
      </c>
      <c r="I34" s="91">
        <v>-312707.8</v>
      </c>
      <c r="J34" s="91">
        <v>15333.4</v>
      </c>
      <c r="K34" s="91">
        <v>0</v>
      </c>
      <c r="L34" s="89">
        <v>-1035447.9500000001</v>
      </c>
      <c r="M34" s="79">
        <f t="shared" si="2"/>
        <v>-2086229.3000000003</v>
      </c>
      <c r="N34" s="68"/>
      <c r="O34" s="80"/>
      <c r="P34" s="90">
        <v>8233983.14</v>
      </c>
      <c r="Q34" s="91">
        <v>-693182.99</v>
      </c>
      <c r="R34" s="91">
        <v>-342627.04</v>
      </c>
      <c r="S34" s="91">
        <v>0</v>
      </c>
      <c r="T34" s="89">
        <v>-1035810.03</v>
      </c>
      <c r="U34" s="67">
        <f t="shared" si="0"/>
        <v>-1378437.07</v>
      </c>
      <c r="V34" s="68"/>
      <c r="W34" s="69"/>
      <c r="X34" s="92">
        <f t="shared" si="4"/>
        <v>29919.23999999999</v>
      </c>
      <c r="Y34" s="92">
        <f t="shared" si="3"/>
        <v>15333.4</v>
      </c>
      <c r="Z34" s="92">
        <f t="shared" si="5"/>
        <v>362.0799999999581</v>
      </c>
      <c r="AA34" s="89">
        <f>Z34/(1+0.04)^15</f>
        <v>201.05017114239928</v>
      </c>
      <c r="AB34" s="52"/>
    </row>
    <row r="35" spans="1:28" ht="15">
      <c r="A35" s="1"/>
      <c r="B35" s="48"/>
      <c r="C35" s="84">
        <f t="shared" si="1"/>
        <v>2030</v>
      </c>
      <c r="D35" s="52"/>
      <c r="E35" s="1"/>
      <c r="F35" s="43"/>
      <c r="G35" s="90">
        <v>6790948.78</v>
      </c>
      <c r="H35" s="91">
        <v>-665482.38</v>
      </c>
      <c r="I35" s="91">
        <v>-285564.47</v>
      </c>
      <c r="J35" s="91">
        <v>14033.41</v>
      </c>
      <c r="K35" s="91">
        <v>0</v>
      </c>
      <c r="L35" s="89">
        <v>-937013.44</v>
      </c>
      <c r="M35" s="79">
        <f t="shared" si="2"/>
        <v>-1888060.29</v>
      </c>
      <c r="N35" s="68"/>
      <c r="O35" s="80"/>
      <c r="P35" s="90">
        <v>7613181.27</v>
      </c>
      <c r="Q35" s="91">
        <v>-620801.87</v>
      </c>
      <c r="R35" s="91">
        <v>-316638.35</v>
      </c>
      <c r="S35" s="91">
        <v>0</v>
      </c>
      <c r="T35" s="89">
        <v>-937440.22</v>
      </c>
      <c r="U35" s="67">
        <f t="shared" si="0"/>
        <v>-1254078.5699999998</v>
      </c>
      <c r="V35" s="68"/>
      <c r="W35" s="69"/>
      <c r="X35" s="92">
        <f t="shared" si="4"/>
        <v>31073.880000000005</v>
      </c>
      <c r="Y35" s="92">
        <f t="shared" si="3"/>
        <v>14033.41</v>
      </c>
      <c r="Z35" s="92">
        <f t="shared" si="5"/>
        <v>426.78000000002794</v>
      </c>
      <c r="AA35" s="89">
        <f>Z35/(1+0.04)^16</f>
        <v>227.86133121921816</v>
      </c>
      <c r="AB35" s="52"/>
    </row>
    <row r="36" spans="1:28" ht="15">
      <c r="A36" s="1"/>
      <c r="B36" s="48"/>
      <c r="C36" s="84">
        <f t="shared" si="1"/>
        <v>2031</v>
      </c>
      <c r="D36" s="52"/>
      <c r="E36" s="1"/>
      <c r="F36" s="43"/>
      <c r="G36" s="90">
        <v>6100663.1</v>
      </c>
      <c r="H36" s="91">
        <v>-690285.68</v>
      </c>
      <c r="I36" s="91">
        <v>-259460.81</v>
      </c>
      <c r="J36" s="91">
        <v>12804.92</v>
      </c>
      <c r="K36" s="91">
        <v>0</v>
      </c>
      <c r="L36" s="89">
        <v>-936941.57</v>
      </c>
      <c r="M36" s="79">
        <f t="shared" si="2"/>
        <v>-1886688.06</v>
      </c>
      <c r="N36" s="68"/>
      <c r="O36" s="80"/>
      <c r="P36" s="90">
        <v>6967372.84</v>
      </c>
      <c r="Q36" s="91">
        <v>-645808.42</v>
      </c>
      <c r="R36" s="91">
        <v>-291635.64</v>
      </c>
      <c r="S36" s="91">
        <v>0</v>
      </c>
      <c r="T36" s="89">
        <v>-937444.06</v>
      </c>
      <c r="U36" s="67">
        <f t="shared" si="0"/>
        <v>-1229079.7000000002</v>
      </c>
      <c r="V36" s="68"/>
      <c r="W36" s="69"/>
      <c r="X36" s="92">
        <f t="shared" si="4"/>
        <v>32174.830000000016</v>
      </c>
      <c r="Y36" s="92">
        <f t="shared" si="3"/>
        <v>12804.92</v>
      </c>
      <c r="Z36" s="92">
        <f t="shared" si="5"/>
        <v>502.4900000001071</v>
      </c>
      <c r="AA36" s="89">
        <f>Z36/(1+0.04)^17</f>
        <v>257.964922308111</v>
      </c>
      <c r="AB36" s="52">
        <v>18</v>
      </c>
    </row>
    <row r="37" spans="1:28" ht="15">
      <c r="A37" s="1"/>
      <c r="B37" s="48"/>
      <c r="C37" s="84">
        <f t="shared" si="1"/>
        <v>2032</v>
      </c>
      <c r="D37" s="52"/>
      <c r="E37" s="1"/>
      <c r="F37" s="43"/>
      <c r="G37" s="90">
        <v>5385021.67</v>
      </c>
      <c r="H37" s="91">
        <v>-715641.43</v>
      </c>
      <c r="I37" s="91">
        <v>-232759.89</v>
      </c>
      <c r="J37" s="91">
        <v>11549.44</v>
      </c>
      <c r="K37" s="91">
        <v>0</v>
      </c>
      <c r="L37" s="89">
        <v>-936851.8800000001</v>
      </c>
      <c r="M37" s="79">
        <f t="shared" si="2"/>
        <v>-1885253.2000000002</v>
      </c>
      <c r="N37" s="68"/>
      <c r="O37" s="80"/>
      <c r="P37" s="90">
        <v>6295610.34</v>
      </c>
      <c r="Q37" s="91">
        <v>-671762.5</v>
      </c>
      <c r="R37" s="91">
        <v>-265681.56</v>
      </c>
      <c r="S37" s="91">
        <v>0</v>
      </c>
      <c r="T37" s="89">
        <v>-937444.06</v>
      </c>
      <c r="U37" s="67">
        <f t="shared" si="0"/>
        <v>-1203125.62</v>
      </c>
      <c r="V37" s="68"/>
      <c r="W37" s="69"/>
      <c r="X37" s="92">
        <f t="shared" si="4"/>
        <v>32921.669999999984</v>
      </c>
      <c r="Y37" s="92">
        <f t="shared" si="3"/>
        <v>11549.44</v>
      </c>
      <c r="Z37" s="92">
        <f t="shared" si="5"/>
        <v>592.1799999999348</v>
      </c>
      <c r="AA37" s="89">
        <f>Z37/(1+0.04)^18</f>
        <v>292.3167007004498</v>
      </c>
      <c r="AB37" s="52"/>
    </row>
    <row r="38" spans="1:28" ht="15">
      <c r="A38" s="1"/>
      <c r="B38" s="48"/>
      <c r="C38" s="84">
        <f t="shared" si="1"/>
        <v>2033</v>
      </c>
      <c r="D38" s="52"/>
      <c r="E38" s="1"/>
      <c r="F38" s="43"/>
      <c r="G38" s="90">
        <v>4641749.44</v>
      </c>
      <c r="H38" s="91">
        <v>-743272.23</v>
      </c>
      <c r="I38" s="91">
        <v>-203723.89</v>
      </c>
      <c r="J38" s="91">
        <v>10243.4</v>
      </c>
      <c r="K38" s="91">
        <v>0</v>
      </c>
      <c r="L38" s="89">
        <v>-936752.72</v>
      </c>
      <c r="M38" s="79">
        <f t="shared" si="2"/>
        <v>-1883748.8399999999</v>
      </c>
      <c r="N38" s="68"/>
      <c r="O38" s="80"/>
      <c r="P38" s="90">
        <v>5596547.62</v>
      </c>
      <c r="Q38" s="91">
        <v>-699062.73</v>
      </c>
      <c r="R38" s="91">
        <v>-238381.33</v>
      </c>
      <c r="S38" s="91">
        <v>0</v>
      </c>
      <c r="T38" s="89">
        <v>-937444.0599999999</v>
      </c>
      <c r="U38" s="67">
        <f t="shared" si="0"/>
        <v>-1175825.39</v>
      </c>
      <c r="V38" s="68"/>
      <c r="W38" s="69"/>
      <c r="X38" s="92">
        <f t="shared" si="4"/>
        <v>34657.43999999997</v>
      </c>
      <c r="Y38" s="92">
        <f t="shared" si="3"/>
        <v>10243.4</v>
      </c>
      <c r="Z38" s="92">
        <f t="shared" si="5"/>
        <v>691.3399999999674</v>
      </c>
      <c r="AA38" s="89">
        <f>Z38/(1+0.04)^19</f>
        <v>328.13929344225784</v>
      </c>
      <c r="AB38" s="52"/>
    </row>
    <row r="39" spans="1:28" ht="15">
      <c r="A39" s="1"/>
      <c r="B39" s="48"/>
      <c r="C39" s="84">
        <f t="shared" si="1"/>
        <v>2034</v>
      </c>
      <c r="D39" s="52"/>
      <c r="E39" s="1"/>
      <c r="F39" s="43"/>
      <c r="G39" s="90">
        <v>3870186.96</v>
      </c>
      <c r="H39" s="91">
        <v>-771562.48</v>
      </c>
      <c r="I39" s="91">
        <v>-173949.01</v>
      </c>
      <c r="J39" s="91">
        <v>8874.39</v>
      </c>
      <c r="K39" s="91">
        <v>0</v>
      </c>
      <c r="L39" s="89">
        <v>-936637.1</v>
      </c>
      <c r="M39" s="79">
        <f t="shared" si="2"/>
        <v>-1882148.5899999999</v>
      </c>
      <c r="N39" s="68"/>
      <c r="O39" s="80"/>
      <c r="P39" s="90">
        <v>4869255.04</v>
      </c>
      <c r="Q39" s="91">
        <v>-727292.58</v>
      </c>
      <c r="R39" s="91">
        <v>-210151.49</v>
      </c>
      <c r="S39" s="91">
        <v>0</v>
      </c>
      <c r="T39" s="89">
        <v>-937444.07</v>
      </c>
      <c r="U39" s="67">
        <f t="shared" si="0"/>
        <v>-1147595.56</v>
      </c>
      <c r="V39" s="68"/>
      <c r="W39" s="69"/>
      <c r="X39" s="92">
        <f t="shared" si="4"/>
        <v>36202.47999999998</v>
      </c>
      <c r="Y39" s="92">
        <f t="shared" si="3"/>
        <v>8874.39</v>
      </c>
      <c r="Z39" s="92">
        <f t="shared" si="5"/>
        <v>806.9699999999721</v>
      </c>
      <c r="AA39" s="89">
        <f>Z39/(1+0.04)^20</f>
        <v>368.2905739760439</v>
      </c>
      <c r="AB39" s="52"/>
    </row>
    <row r="40" spans="1:28" ht="15">
      <c r="A40" s="1"/>
      <c r="B40" s="48"/>
      <c r="C40" s="84">
        <f t="shared" si="1"/>
        <v>2035</v>
      </c>
      <c r="D40" s="52"/>
      <c r="E40" s="1"/>
      <c r="F40" s="43"/>
      <c r="G40" s="90">
        <v>3069123.9</v>
      </c>
      <c r="H40" s="91">
        <v>-801063.06</v>
      </c>
      <c r="I40" s="91">
        <v>-142891.17</v>
      </c>
      <c r="J40" s="91">
        <v>7448.63</v>
      </c>
      <c r="K40" s="91">
        <v>0</v>
      </c>
      <c r="L40" s="89">
        <v>-936505.6000000001</v>
      </c>
      <c r="M40" s="79">
        <f t="shared" si="2"/>
        <v>-1880459.83</v>
      </c>
      <c r="N40" s="68"/>
      <c r="O40" s="80"/>
      <c r="P40" s="90">
        <v>4112483.27</v>
      </c>
      <c r="Q40" s="91">
        <v>-756771.77</v>
      </c>
      <c r="R40" s="91">
        <v>-180672.3</v>
      </c>
      <c r="S40" s="91">
        <v>0</v>
      </c>
      <c r="T40" s="89">
        <v>-937444.0700000001</v>
      </c>
      <c r="U40" s="67">
        <f t="shared" si="0"/>
        <v>-1118116.37</v>
      </c>
      <c r="V40" s="68"/>
      <c r="W40" s="69"/>
      <c r="X40" s="92">
        <f t="shared" si="4"/>
        <v>37781.129999999976</v>
      </c>
      <c r="Y40" s="92">
        <f t="shared" si="3"/>
        <v>7448.63</v>
      </c>
      <c r="Z40" s="92">
        <f t="shared" si="5"/>
        <v>938.4699999999721</v>
      </c>
      <c r="AA40" s="89">
        <f>Z40/(1+0.04)^21</f>
        <v>411.83217057837857</v>
      </c>
      <c r="AB40" s="52"/>
    </row>
    <row r="41" spans="1:28" ht="15">
      <c r="A41" s="1"/>
      <c r="B41" s="48"/>
      <c r="C41" s="84">
        <f t="shared" si="1"/>
        <v>2036</v>
      </c>
      <c r="D41" s="52"/>
      <c r="E41" s="1"/>
      <c r="F41" s="43"/>
      <c r="G41" s="90">
        <v>2237455.42</v>
      </c>
      <c r="H41" s="91">
        <v>-831668.48</v>
      </c>
      <c r="I41" s="91">
        <v>-110638.56</v>
      </c>
      <c r="J41" s="91">
        <v>5954.35</v>
      </c>
      <c r="K41" s="91">
        <v>0</v>
      </c>
      <c r="L41" s="89">
        <v>-936352.6900000001</v>
      </c>
      <c r="M41" s="79">
        <f t="shared" si="2"/>
        <v>-1878659.73</v>
      </c>
      <c r="N41" s="68"/>
      <c r="O41" s="80"/>
      <c r="P41" s="90">
        <v>3325059.62</v>
      </c>
      <c r="Q41" s="91">
        <v>-787423.64</v>
      </c>
      <c r="R41" s="91">
        <v>-150020.43</v>
      </c>
      <c r="S41" s="91">
        <v>0</v>
      </c>
      <c r="T41" s="89">
        <v>-937444.0700000001</v>
      </c>
      <c r="U41" s="67">
        <f t="shared" si="0"/>
        <v>-1087464.5</v>
      </c>
      <c r="V41" s="68"/>
      <c r="W41" s="69"/>
      <c r="X41" s="92">
        <f t="shared" si="4"/>
        <v>39381.869999999995</v>
      </c>
      <c r="Y41" s="92">
        <f t="shared" si="3"/>
        <v>5954.35</v>
      </c>
      <c r="Z41" s="92">
        <f t="shared" si="5"/>
        <v>1091.3800000000047</v>
      </c>
      <c r="AA41" s="89">
        <f>Z41/(1+0.04)^22</f>
        <v>460.51366988273685</v>
      </c>
      <c r="AB41" s="52"/>
    </row>
    <row r="42" spans="1:28" ht="15">
      <c r="A42" s="1"/>
      <c r="B42" s="48"/>
      <c r="C42" s="84">
        <f t="shared" si="1"/>
        <v>2037</v>
      </c>
      <c r="D42" s="52"/>
      <c r="E42" s="1"/>
      <c r="F42" s="43"/>
      <c r="G42" s="90">
        <v>1373514.29</v>
      </c>
      <c r="H42" s="91">
        <v>-863941.13</v>
      </c>
      <c r="I42" s="91">
        <v>-76646.55</v>
      </c>
      <c r="J42" s="91">
        <v>4399.29</v>
      </c>
      <c r="K42" s="91">
        <v>0</v>
      </c>
      <c r="L42" s="89">
        <v>-936188.39</v>
      </c>
      <c r="M42" s="79">
        <f t="shared" si="2"/>
        <v>-1876776.07</v>
      </c>
      <c r="N42" s="68"/>
      <c r="O42" s="80"/>
      <c r="P42" s="90">
        <v>2505517.57</v>
      </c>
      <c r="Q42" s="91">
        <v>-819542.06</v>
      </c>
      <c r="R42" s="91">
        <v>-117902</v>
      </c>
      <c r="S42" s="91">
        <v>0</v>
      </c>
      <c r="T42" s="89">
        <v>-937444.06</v>
      </c>
      <c r="U42" s="67">
        <f t="shared" si="0"/>
        <v>-1055346.06</v>
      </c>
      <c r="V42" s="68"/>
      <c r="W42" s="69"/>
      <c r="X42" s="92">
        <f t="shared" si="4"/>
        <v>41255.45</v>
      </c>
      <c r="Y42" s="92">
        <f t="shared" si="3"/>
        <v>4399.29</v>
      </c>
      <c r="Z42" s="92">
        <f t="shared" si="5"/>
        <v>1255.670000000042</v>
      </c>
      <c r="AA42" s="89">
        <f>Z42/(1+0.04)^23</f>
        <v>509.4583849572886</v>
      </c>
      <c r="AB42" s="52"/>
    </row>
    <row r="43" spans="1:28" ht="15">
      <c r="A43" s="1"/>
      <c r="B43" s="48"/>
      <c r="C43" s="84">
        <f t="shared" si="1"/>
        <v>2038</v>
      </c>
      <c r="D43" s="52"/>
      <c r="E43" s="1"/>
      <c r="F43" s="43"/>
      <c r="G43" s="90">
        <v>476322.87</v>
      </c>
      <c r="H43" s="91">
        <v>-897191.42</v>
      </c>
      <c r="I43" s="91">
        <v>-41594.28</v>
      </c>
      <c r="J43" s="91">
        <v>2784.1</v>
      </c>
      <c r="K43" s="91">
        <v>0</v>
      </c>
      <c r="L43" s="89">
        <v>-936001.6000000001</v>
      </c>
      <c r="M43" s="79">
        <f t="shared" si="2"/>
        <v>-1874787.3000000003</v>
      </c>
      <c r="N43" s="68"/>
      <c r="O43" s="80"/>
      <c r="P43" s="90">
        <v>1652633.91</v>
      </c>
      <c r="Q43" s="91">
        <v>-852883.66</v>
      </c>
      <c r="R43" s="91">
        <v>-84560.4</v>
      </c>
      <c r="S43" s="91">
        <v>0</v>
      </c>
      <c r="T43" s="89">
        <v>-937444.06</v>
      </c>
      <c r="U43" s="67">
        <f t="shared" si="0"/>
        <v>-1022004.4600000001</v>
      </c>
      <c r="V43" s="68"/>
      <c r="W43" s="69"/>
      <c r="X43" s="92">
        <f t="shared" si="4"/>
        <v>42966.119999999995</v>
      </c>
      <c r="Y43" s="92">
        <f t="shared" si="3"/>
        <v>2784.1</v>
      </c>
      <c r="Z43" s="92">
        <f t="shared" si="5"/>
        <v>1442.4599999999627</v>
      </c>
      <c r="AA43" s="89">
        <f>Z43/(1+0.04)^24</f>
        <v>562.7346218824083</v>
      </c>
      <c r="AB43" s="52"/>
    </row>
    <row r="44" spans="1:28" ht="15">
      <c r="A44" s="1"/>
      <c r="B44" s="48"/>
      <c r="C44" s="84">
        <f t="shared" si="1"/>
        <v>2039</v>
      </c>
      <c r="D44" s="52"/>
      <c r="E44" s="1"/>
      <c r="F44" s="43"/>
      <c r="G44" s="90">
        <v>0</v>
      </c>
      <c r="H44" s="91">
        <v>-476322.87</v>
      </c>
      <c r="I44" s="91">
        <v>-11967.31</v>
      </c>
      <c r="J44" s="91">
        <v>1159.32</v>
      </c>
      <c r="K44" s="91">
        <v>0</v>
      </c>
      <c r="L44" s="89">
        <v>-487130.86</v>
      </c>
      <c r="M44" s="79">
        <f t="shared" si="2"/>
        <v>-975421.04</v>
      </c>
      <c r="N44" s="68"/>
      <c r="O44" s="80"/>
      <c r="P44" s="90">
        <v>764965.77</v>
      </c>
      <c r="Q44" s="91">
        <v>-887668.14</v>
      </c>
      <c r="R44" s="91">
        <v>-49775.92</v>
      </c>
      <c r="S44" s="91">
        <v>0</v>
      </c>
      <c r="T44" s="89">
        <v>-937444.06</v>
      </c>
      <c r="U44" s="67">
        <f t="shared" si="0"/>
        <v>-987219.9800000001</v>
      </c>
      <c r="V44" s="68"/>
      <c r="W44" s="69"/>
      <c r="X44" s="92">
        <f t="shared" si="4"/>
        <v>37808.61</v>
      </c>
      <c r="Y44" s="92">
        <f t="shared" si="3"/>
        <v>1159.32</v>
      </c>
      <c r="Z44" s="92">
        <f t="shared" si="5"/>
        <v>450313.20000000007</v>
      </c>
      <c r="AA44" s="89">
        <f>Z44/(1+0.04)^25</f>
        <v>168920.04759674967</v>
      </c>
      <c r="AB44" s="52"/>
    </row>
    <row r="45" spans="1:28" ht="15">
      <c r="A45" s="1"/>
      <c r="B45" s="48"/>
      <c r="C45" s="84">
        <f t="shared" si="1"/>
        <v>2040</v>
      </c>
      <c r="D45" s="52"/>
      <c r="E45" s="1"/>
      <c r="F45" s="43"/>
      <c r="G45" s="90">
        <v>0</v>
      </c>
      <c r="H45" s="91">
        <v>0</v>
      </c>
      <c r="I45" s="91">
        <v>0</v>
      </c>
      <c r="J45" s="91">
        <v>169.71</v>
      </c>
      <c r="K45" s="91">
        <v>0</v>
      </c>
      <c r="L45" s="89">
        <v>169.71</v>
      </c>
      <c r="M45" s="79">
        <f t="shared" si="2"/>
        <v>169.71</v>
      </c>
      <c r="N45" s="68"/>
      <c r="O45" s="80"/>
      <c r="P45" s="90">
        <v>0</v>
      </c>
      <c r="Q45" s="91">
        <v>-764965.77</v>
      </c>
      <c r="R45" s="91">
        <v>-13919.52</v>
      </c>
      <c r="S45" s="91">
        <v>0</v>
      </c>
      <c r="T45" s="89">
        <v>-778885.29</v>
      </c>
      <c r="U45" s="67">
        <f t="shared" si="0"/>
        <v>-792804.81</v>
      </c>
      <c r="V45" s="68"/>
      <c r="W45" s="69"/>
      <c r="X45" s="92">
        <f t="shared" si="4"/>
        <v>13919.52</v>
      </c>
      <c r="Y45" s="92">
        <f t="shared" si="3"/>
        <v>169.71</v>
      </c>
      <c r="Z45" s="92">
        <f t="shared" si="5"/>
        <v>779055</v>
      </c>
      <c r="AA45" s="89">
        <f>Z45/(1+0.04)^26</f>
        <v>280996.7503653479</v>
      </c>
      <c r="AB45" s="52"/>
    </row>
    <row r="46" spans="1:28" ht="15">
      <c r="A46" s="1"/>
      <c r="B46" s="48"/>
      <c r="C46" s="84">
        <f t="shared" si="1"/>
        <v>2041</v>
      </c>
      <c r="D46" s="52"/>
      <c r="E46" s="1"/>
      <c r="F46" s="43"/>
      <c r="G46" s="90">
        <v>0</v>
      </c>
      <c r="H46" s="91">
        <v>0</v>
      </c>
      <c r="I46" s="91">
        <v>0</v>
      </c>
      <c r="J46" s="91">
        <v>0</v>
      </c>
      <c r="K46" s="91">
        <v>0</v>
      </c>
      <c r="L46" s="89">
        <v>0</v>
      </c>
      <c r="M46" s="79">
        <f t="shared" si="2"/>
        <v>0</v>
      </c>
      <c r="N46" s="68"/>
      <c r="O46" s="80"/>
      <c r="P46" s="90">
        <v>0</v>
      </c>
      <c r="Q46" s="91">
        <v>0</v>
      </c>
      <c r="R46" s="91">
        <v>0</v>
      </c>
      <c r="S46" s="91">
        <v>0</v>
      </c>
      <c r="T46" s="89">
        <v>0</v>
      </c>
      <c r="U46" s="67">
        <f t="shared" si="0"/>
        <v>0</v>
      </c>
      <c r="V46" s="68"/>
      <c r="W46" s="69"/>
      <c r="X46" s="92">
        <f t="shared" si="4"/>
        <v>0</v>
      </c>
      <c r="Y46" s="92">
        <f t="shared" si="3"/>
        <v>0</v>
      </c>
      <c r="Z46" s="92">
        <f t="shared" si="5"/>
        <v>0</v>
      </c>
      <c r="AA46" s="89">
        <f>Z46/(1+0.04)^26</f>
        <v>0</v>
      </c>
      <c r="AB46" s="52"/>
    </row>
    <row r="47" spans="1:28" ht="15">
      <c r="A47" s="1"/>
      <c r="B47" s="48"/>
      <c r="C47" s="84">
        <f t="shared" si="1"/>
        <v>2042</v>
      </c>
      <c r="D47" s="52"/>
      <c r="E47" s="1"/>
      <c r="F47" s="43"/>
      <c r="G47" s="90">
        <v>0</v>
      </c>
      <c r="H47" s="91">
        <v>0</v>
      </c>
      <c r="I47" s="91">
        <v>0</v>
      </c>
      <c r="J47" s="91">
        <v>25007</v>
      </c>
      <c r="K47" s="91">
        <v>0</v>
      </c>
      <c r="L47" s="89">
        <v>25007</v>
      </c>
      <c r="M47" s="79">
        <f t="shared" si="2"/>
        <v>25007</v>
      </c>
      <c r="N47" s="68"/>
      <c r="O47" s="80"/>
      <c r="P47" s="90">
        <v>0</v>
      </c>
      <c r="Q47" s="91">
        <v>0</v>
      </c>
      <c r="R47" s="91">
        <v>0</v>
      </c>
      <c r="S47" s="91">
        <v>0</v>
      </c>
      <c r="T47" s="89">
        <v>0</v>
      </c>
      <c r="U47" s="67">
        <f t="shared" si="0"/>
        <v>0</v>
      </c>
      <c r="V47" s="68"/>
      <c r="W47" s="69"/>
      <c r="X47" s="92">
        <f t="shared" si="4"/>
        <v>0</v>
      </c>
      <c r="Y47" s="92">
        <f t="shared" si="3"/>
        <v>25007</v>
      </c>
      <c r="Z47" s="92">
        <f t="shared" si="5"/>
        <v>25007</v>
      </c>
      <c r="AA47" s="89">
        <f>Z47/(1+0.04)^28</f>
        <v>8339.271124300245</v>
      </c>
      <c r="AB47" s="52"/>
    </row>
    <row r="48" spans="1:28" ht="15">
      <c r="A48" s="1"/>
      <c r="B48" s="48"/>
      <c r="C48" s="84">
        <f t="shared" si="1"/>
        <v>2043</v>
      </c>
      <c r="D48" s="52"/>
      <c r="E48" s="1"/>
      <c r="F48" s="43"/>
      <c r="G48" s="90">
        <v>0</v>
      </c>
      <c r="H48" s="91">
        <v>0</v>
      </c>
      <c r="I48" s="91">
        <v>0</v>
      </c>
      <c r="J48" s="91">
        <v>26034.1</v>
      </c>
      <c r="K48" s="91">
        <v>0</v>
      </c>
      <c r="L48" s="89">
        <v>26034.1</v>
      </c>
      <c r="M48" s="79">
        <f t="shared" si="2"/>
        <v>26034.1</v>
      </c>
      <c r="N48" s="68"/>
      <c r="O48" s="80"/>
      <c r="P48" s="90">
        <v>0</v>
      </c>
      <c r="Q48" s="91">
        <v>0</v>
      </c>
      <c r="R48" s="91">
        <v>0</v>
      </c>
      <c r="S48" s="91">
        <v>0</v>
      </c>
      <c r="T48" s="89">
        <v>0</v>
      </c>
      <c r="U48" s="67">
        <f t="shared" si="0"/>
        <v>0</v>
      </c>
      <c r="V48" s="68"/>
      <c r="W48" s="69"/>
      <c r="X48" s="92">
        <f t="shared" si="4"/>
        <v>0</v>
      </c>
      <c r="Y48" s="92">
        <f t="shared" si="3"/>
        <v>26034.1</v>
      </c>
      <c r="Z48" s="92">
        <f t="shared" si="5"/>
        <v>26034.1</v>
      </c>
      <c r="AA48" s="89">
        <f>Z48/(1+0.04)^29</f>
        <v>8347.870995242292</v>
      </c>
      <c r="AB48" s="52"/>
    </row>
    <row r="49" spans="1:28" ht="15">
      <c r="A49" s="1"/>
      <c r="B49" s="48"/>
      <c r="C49" s="84">
        <f t="shared" si="1"/>
        <v>2044</v>
      </c>
      <c r="D49" s="52"/>
      <c r="E49" s="1"/>
      <c r="F49" s="43"/>
      <c r="G49" s="90">
        <v>0</v>
      </c>
      <c r="H49" s="91">
        <v>0</v>
      </c>
      <c r="I49" s="91">
        <v>0</v>
      </c>
      <c r="J49" s="91">
        <v>25363.59</v>
      </c>
      <c r="K49" s="91">
        <v>0</v>
      </c>
      <c r="L49" s="89">
        <v>25363.59</v>
      </c>
      <c r="M49" s="79">
        <f t="shared" si="2"/>
        <v>25363.59</v>
      </c>
      <c r="N49" s="68"/>
      <c r="O49" s="80"/>
      <c r="P49" s="90">
        <v>0</v>
      </c>
      <c r="Q49" s="91">
        <v>0</v>
      </c>
      <c r="R49" s="91">
        <v>0</v>
      </c>
      <c r="S49" s="91">
        <v>0</v>
      </c>
      <c r="T49" s="89">
        <v>0</v>
      </c>
      <c r="U49" s="67">
        <f t="shared" si="0"/>
        <v>0</v>
      </c>
      <c r="V49" s="68"/>
      <c r="W49" s="69"/>
      <c r="X49" s="92">
        <f t="shared" si="4"/>
        <v>0</v>
      </c>
      <c r="Y49" s="92">
        <f t="shared" si="3"/>
        <v>25363.59</v>
      </c>
      <c r="Z49" s="92">
        <f t="shared" si="5"/>
        <v>25363.59</v>
      </c>
      <c r="AA49" s="89">
        <f>Z49/(1+0.04)^30</f>
        <v>7820.068283823964</v>
      </c>
      <c r="AB49" s="52"/>
    </row>
    <row r="50" spans="1:28" ht="15">
      <c r="A50" s="1"/>
      <c r="B50" s="48"/>
      <c r="C50" s="84">
        <f t="shared" si="1"/>
        <v>2045</v>
      </c>
      <c r="D50" s="52"/>
      <c r="E50" s="1"/>
      <c r="F50" s="43"/>
      <c r="G50" s="90">
        <v>0</v>
      </c>
      <c r="H50" s="91">
        <v>0</v>
      </c>
      <c r="I50" s="91">
        <v>0</v>
      </c>
      <c r="J50" s="91">
        <v>24639.4</v>
      </c>
      <c r="K50" s="91">
        <v>0</v>
      </c>
      <c r="L50" s="89">
        <v>24639.4</v>
      </c>
      <c r="M50" s="79">
        <f t="shared" si="2"/>
        <v>24639.4</v>
      </c>
      <c r="N50" s="68"/>
      <c r="O50" s="80"/>
      <c r="P50" s="90">
        <v>0</v>
      </c>
      <c r="Q50" s="91">
        <v>0</v>
      </c>
      <c r="R50" s="91">
        <v>0</v>
      </c>
      <c r="S50" s="91">
        <v>0</v>
      </c>
      <c r="T50" s="89">
        <v>0</v>
      </c>
      <c r="U50" s="67">
        <f t="shared" si="0"/>
        <v>0</v>
      </c>
      <c r="V50" s="68"/>
      <c r="W50" s="69"/>
      <c r="X50" s="92">
        <f t="shared" si="4"/>
        <v>0</v>
      </c>
      <c r="Y50" s="92">
        <f t="shared" si="3"/>
        <v>24639.4</v>
      </c>
      <c r="Z50" s="92">
        <f t="shared" si="5"/>
        <v>24639.4</v>
      </c>
      <c r="AA50" s="89">
        <f>Z50/(1+0.04)^31</f>
        <v>7304.602872754128</v>
      </c>
      <c r="AB50" s="52"/>
    </row>
    <row r="51" spans="1:28" ht="15">
      <c r="A51" s="1"/>
      <c r="B51" s="48"/>
      <c r="C51" s="84">
        <f t="shared" si="1"/>
        <v>2046</v>
      </c>
      <c r="D51" s="52"/>
      <c r="E51" s="1"/>
      <c r="F51" s="43"/>
      <c r="G51" s="90">
        <v>0</v>
      </c>
      <c r="H51" s="91">
        <v>0</v>
      </c>
      <c r="I51" s="91">
        <v>0</v>
      </c>
      <c r="J51" s="91">
        <v>23828.88</v>
      </c>
      <c r="K51" s="91">
        <v>0</v>
      </c>
      <c r="L51" s="89">
        <v>23828.88</v>
      </c>
      <c r="M51" s="79">
        <f t="shared" si="2"/>
        <v>23828.88</v>
      </c>
      <c r="N51" s="68"/>
      <c r="O51" s="80"/>
      <c r="P51" s="90">
        <v>0</v>
      </c>
      <c r="Q51" s="91">
        <v>0</v>
      </c>
      <c r="R51" s="91">
        <v>0</v>
      </c>
      <c r="S51" s="91">
        <v>0</v>
      </c>
      <c r="T51" s="89">
        <v>0</v>
      </c>
      <c r="U51" s="67">
        <f t="shared" si="0"/>
        <v>0</v>
      </c>
      <c r="V51" s="68"/>
      <c r="W51" s="69"/>
      <c r="X51" s="92">
        <f t="shared" si="4"/>
        <v>0</v>
      </c>
      <c r="Y51" s="92">
        <f t="shared" si="3"/>
        <v>23828.88</v>
      </c>
      <c r="Z51" s="92">
        <f t="shared" si="5"/>
        <v>23828.88</v>
      </c>
      <c r="AA51" s="89">
        <f>Z51/(1+0.04)^32</f>
        <v>6792.611446836608</v>
      </c>
      <c r="AB51" s="52"/>
    </row>
    <row r="52" spans="1:28" ht="15">
      <c r="A52" s="1"/>
      <c r="B52" s="48"/>
      <c r="C52" s="84">
        <f t="shared" si="1"/>
        <v>2047</v>
      </c>
      <c r="D52" s="52"/>
      <c r="E52" s="1"/>
      <c r="F52" s="43"/>
      <c r="G52" s="90">
        <v>0</v>
      </c>
      <c r="H52" s="91">
        <v>0</v>
      </c>
      <c r="I52" s="91">
        <v>0</v>
      </c>
      <c r="J52" s="91">
        <v>22955.66</v>
      </c>
      <c r="K52" s="91">
        <v>0</v>
      </c>
      <c r="L52" s="89">
        <v>22955.66</v>
      </c>
      <c r="M52" s="79">
        <f t="shared" si="2"/>
        <v>22955.66</v>
      </c>
      <c r="N52" s="68"/>
      <c r="O52" s="80"/>
      <c r="P52" s="90">
        <v>0</v>
      </c>
      <c r="Q52" s="91">
        <v>0</v>
      </c>
      <c r="R52" s="91">
        <v>0</v>
      </c>
      <c r="S52" s="91">
        <v>0</v>
      </c>
      <c r="T52" s="89">
        <v>0</v>
      </c>
      <c r="U52" s="67">
        <f t="shared" si="0"/>
        <v>0</v>
      </c>
      <c r="V52" s="68"/>
      <c r="W52" s="69"/>
      <c r="X52" s="92">
        <f t="shared" si="4"/>
        <v>0</v>
      </c>
      <c r="Y52" s="92">
        <f t="shared" si="3"/>
        <v>22955.66</v>
      </c>
      <c r="Z52" s="92">
        <f t="shared" si="5"/>
        <v>22955.66</v>
      </c>
      <c r="AA52" s="89">
        <f>Z52/(1+0.04)^33</f>
        <v>6292.012646551694</v>
      </c>
      <c r="AB52" s="52"/>
    </row>
    <row r="53" spans="1:28" ht="15">
      <c r="A53" s="1"/>
      <c r="B53" s="48"/>
      <c r="C53" s="84">
        <f t="shared" si="1"/>
        <v>2048</v>
      </c>
      <c r="D53" s="52"/>
      <c r="E53" s="1"/>
      <c r="F53" s="43"/>
      <c r="G53" s="90">
        <v>0</v>
      </c>
      <c r="H53" s="91">
        <v>0</v>
      </c>
      <c r="I53" s="91">
        <v>0</v>
      </c>
      <c r="J53" s="91">
        <v>22027.47</v>
      </c>
      <c r="K53" s="91">
        <v>0</v>
      </c>
      <c r="L53" s="89">
        <v>22027.47</v>
      </c>
      <c r="M53" s="79">
        <f t="shared" si="2"/>
        <v>22027.47</v>
      </c>
      <c r="N53" s="68"/>
      <c r="O53" s="80"/>
      <c r="P53" s="90">
        <v>0</v>
      </c>
      <c r="Q53" s="91">
        <v>0</v>
      </c>
      <c r="R53" s="91">
        <v>0</v>
      </c>
      <c r="S53" s="91">
        <v>0</v>
      </c>
      <c r="T53" s="89">
        <v>0</v>
      </c>
      <c r="U53" s="67">
        <f t="shared" si="0"/>
        <v>0</v>
      </c>
      <c r="V53" s="68"/>
      <c r="W53" s="69"/>
      <c r="X53" s="92">
        <f t="shared" si="4"/>
        <v>0</v>
      </c>
      <c r="Y53" s="92">
        <f t="shared" si="3"/>
        <v>22027.47</v>
      </c>
      <c r="Z53" s="92">
        <f t="shared" si="5"/>
        <v>22027.47</v>
      </c>
      <c r="AA53" s="89">
        <f>Z53/(1+0.04)^34</f>
        <v>5805.385746140521</v>
      </c>
      <c r="AB53" s="52"/>
    </row>
    <row r="54" spans="1:28" ht="15">
      <c r="A54" s="1"/>
      <c r="B54" s="48"/>
      <c r="C54" s="84">
        <f t="shared" si="1"/>
        <v>2049</v>
      </c>
      <c r="D54" s="52"/>
      <c r="E54" s="1"/>
      <c r="F54" s="43"/>
      <c r="G54" s="90">
        <v>0</v>
      </c>
      <c r="H54" s="91">
        <v>0</v>
      </c>
      <c r="I54" s="91">
        <v>0</v>
      </c>
      <c r="J54" s="91">
        <v>21051.17</v>
      </c>
      <c r="K54" s="91">
        <v>0</v>
      </c>
      <c r="L54" s="89">
        <v>21051.17</v>
      </c>
      <c r="M54" s="79">
        <f t="shared" si="2"/>
        <v>21051.17</v>
      </c>
      <c r="N54" s="68"/>
      <c r="O54" s="80"/>
      <c r="P54" s="90">
        <v>0</v>
      </c>
      <c r="Q54" s="91">
        <v>0</v>
      </c>
      <c r="R54" s="91">
        <v>0</v>
      </c>
      <c r="S54" s="91">
        <v>0</v>
      </c>
      <c r="T54" s="89">
        <v>0</v>
      </c>
      <c r="U54" s="67">
        <f t="shared" si="0"/>
        <v>0</v>
      </c>
      <c r="V54" s="68"/>
      <c r="W54" s="69"/>
      <c r="X54" s="92">
        <f t="shared" si="4"/>
        <v>0</v>
      </c>
      <c r="Y54" s="92">
        <f t="shared" si="3"/>
        <v>21051.17</v>
      </c>
      <c r="Z54" s="92">
        <f t="shared" si="5"/>
        <v>21051.17</v>
      </c>
      <c r="AA54" s="89">
        <f>Z54/(1+0.04)^35</f>
        <v>5334.692154910215</v>
      </c>
      <c r="AB54" s="52"/>
    </row>
    <row r="55" spans="1:28" ht="15">
      <c r="A55" s="1"/>
      <c r="B55" s="48"/>
      <c r="C55" s="84">
        <f>+C54+1</f>
        <v>2050</v>
      </c>
      <c r="D55" s="52"/>
      <c r="E55" s="1"/>
      <c r="F55" s="43"/>
      <c r="G55" s="90">
        <v>0</v>
      </c>
      <c r="H55" s="91">
        <v>0</v>
      </c>
      <c r="I55" s="91">
        <v>0</v>
      </c>
      <c r="J55" s="91">
        <v>20017.81</v>
      </c>
      <c r="K55" s="91">
        <v>0</v>
      </c>
      <c r="L55" s="89">
        <v>20017.81</v>
      </c>
      <c r="M55" s="79">
        <f t="shared" si="2"/>
        <v>20017.81</v>
      </c>
      <c r="N55" s="68"/>
      <c r="O55" s="80"/>
      <c r="P55" s="90">
        <v>0</v>
      </c>
      <c r="Q55" s="91">
        <v>0</v>
      </c>
      <c r="R55" s="91">
        <v>0</v>
      </c>
      <c r="S55" s="91">
        <v>0</v>
      </c>
      <c r="T55" s="89">
        <v>0</v>
      </c>
      <c r="U55" s="67">
        <f t="shared" si="0"/>
        <v>0</v>
      </c>
      <c r="V55" s="68"/>
      <c r="W55" s="69"/>
      <c r="X55" s="92">
        <f t="shared" si="4"/>
        <v>0</v>
      </c>
      <c r="Y55" s="92">
        <f t="shared" si="3"/>
        <v>20017.81</v>
      </c>
      <c r="Z55" s="92">
        <f t="shared" si="5"/>
        <v>20017.81</v>
      </c>
      <c r="AA55" s="89">
        <f>Z55/(1+0.04)^36</f>
        <v>4877.714176999484</v>
      </c>
      <c r="AB55" s="52"/>
    </row>
    <row r="56" spans="1:28" ht="15">
      <c r="A56" s="1"/>
      <c r="B56" s="48"/>
      <c r="C56" s="84">
        <f>+C55+1</f>
        <v>2051</v>
      </c>
      <c r="D56" s="52"/>
      <c r="E56" s="1"/>
      <c r="F56" s="43"/>
      <c r="G56" s="90">
        <v>0</v>
      </c>
      <c r="H56" s="91">
        <v>0</v>
      </c>
      <c r="I56" s="91">
        <v>0</v>
      </c>
      <c r="J56" s="91">
        <v>18929.92</v>
      </c>
      <c r="K56" s="91">
        <v>0</v>
      </c>
      <c r="L56" s="89">
        <v>18929.92</v>
      </c>
      <c r="M56" s="79">
        <f t="shared" si="2"/>
        <v>18929.92</v>
      </c>
      <c r="N56" s="68"/>
      <c r="O56" s="80"/>
      <c r="P56" s="90">
        <v>0</v>
      </c>
      <c r="Q56" s="91">
        <v>0</v>
      </c>
      <c r="R56" s="91">
        <v>0</v>
      </c>
      <c r="S56" s="91">
        <v>0</v>
      </c>
      <c r="T56" s="89">
        <v>0</v>
      </c>
      <c r="U56" s="67">
        <f t="shared" si="0"/>
        <v>0</v>
      </c>
      <c r="V56" s="68"/>
      <c r="W56" s="69"/>
      <c r="X56" s="92">
        <f t="shared" si="4"/>
        <v>0</v>
      </c>
      <c r="Y56" s="92">
        <f t="shared" si="3"/>
        <v>18929.92</v>
      </c>
      <c r="Z56" s="92">
        <f t="shared" si="5"/>
        <v>18929.92</v>
      </c>
      <c r="AA56" s="89">
        <f>Z56/(1+0.04)^37</f>
        <v>4435.220587675619</v>
      </c>
      <c r="AB56" s="52"/>
    </row>
    <row r="57" spans="1:28" ht="15">
      <c r="A57" s="1"/>
      <c r="B57" s="48"/>
      <c r="C57" s="84">
        <f>+C56+1</f>
        <v>2052</v>
      </c>
      <c r="D57" s="52"/>
      <c r="E57" s="1"/>
      <c r="F57" s="43"/>
      <c r="G57" s="90">
        <v>0</v>
      </c>
      <c r="H57" s="91">
        <v>0</v>
      </c>
      <c r="I57" s="91">
        <v>0</v>
      </c>
      <c r="J57" s="91">
        <v>17788.03</v>
      </c>
      <c r="K57" s="91">
        <v>0</v>
      </c>
      <c r="L57" s="89">
        <v>17788.03</v>
      </c>
      <c r="M57" s="79">
        <f t="shared" si="2"/>
        <v>17788.03</v>
      </c>
      <c r="N57" s="68"/>
      <c r="O57" s="80"/>
      <c r="P57" s="90">
        <v>0</v>
      </c>
      <c r="Q57" s="91">
        <v>0</v>
      </c>
      <c r="R57" s="91">
        <v>0</v>
      </c>
      <c r="S57" s="91">
        <v>0</v>
      </c>
      <c r="T57" s="89">
        <v>0</v>
      </c>
      <c r="U57" s="67">
        <f t="shared" si="0"/>
        <v>0</v>
      </c>
      <c r="V57" s="68"/>
      <c r="W57" s="69"/>
      <c r="X57" s="92">
        <f t="shared" si="4"/>
        <v>0</v>
      </c>
      <c r="Y57" s="92">
        <f t="shared" si="3"/>
        <v>17788.03</v>
      </c>
      <c r="Z57" s="92">
        <f t="shared" si="5"/>
        <v>17788.03</v>
      </c>
      <c r="AA57" s="89">
        <f>Z57/(1+0.04)^38</f>
        <v>4007.3839999868114</v>
      </c>
      <c r="AB57" s="52"/>
    </row>
    <row r="58" spans="1:28" ht="15">
      <c r="A58" s="1"/>
      <c r="B58" s="48"/>
      <c r="C58" s="84">
        <f aca="true" t="shared" si="6" ref="C58:C76">+C57+1</f>
        <v>2053</v>
      </c>
      <c r="D58" s="52"/>
      <c r="E58" s="1"/>
      <c r="F58" s="43"/>
      <c r="G58" s="90">
        <v>0</v>
      </c>
      <c r="H58" s="91">
        <v>0</v>
      </c>
      <c r="I58" s="91">
        <v>0</v>
      </c>
      <c r="J58" s="91">
        <v>16589.67</v>
      </c>
      <c r="K58" s="91">
        <v>0</v>
      </c>
      <c r="L58" s="89">
        <v>16589.67</v>
      </c>
      <c r="M58" s="79">
        <f t="shared" si="2"/>
        <v>16589.67</v>
      </c>
      <c r="N58" s="68"/>
      <c r="O58" s="80"/>
      <c r="P58" s="90">
        <v>0</v>
      </c>
      <c r="Q58" s="91">
        <v>0</v>
      </c>
      <c r="R58" s="91">
        <v>0</v>
      </c>
      <c r="S58" s="91">
        <v>0</v>
      </c>
      <c r="T58" s="89">
        <v>0</v>
      </c>
      <c r="U58" s="67">
        <f t="shared" si="0"/>
        <v>0</v>
      </c>
      <c r="V58" s="68"/>
      <c r="W58" s="69"/>
      <c r="X58" s="92">
        <f t="shared" si="4"/>
        <v>0</v>
      </c>
      <c r="Y58" s="92">
        <f t="shared" si="3"/>
        <v>16589.67</v>
      </c>
      <c r="Z58" s="92">
        <f t="shared" si="5"/>
        <v>16589.67</v>
      </c>
      <c r="AA58" s="89">
        <f>Z58/(1+0.04)^39</f>
        <v>3593.664376196392</v>
      </c>
      <c r="AB58" s="52"/>
    </row>
    <row r="59" spans="1:28" ht="15">
      <c r="A59" s="1"/>
      <c r="B59" s="48"/>
      <c r="C59" s="84">
        <f t="shared" si="6"/>
        <v>2054</v>
      </c>
      <c r="D59" s="52"/>
      <c r="E59" s="1"/>
      <c r="F59" s="43"/>
      <c r="G59" s="90">
        <v>0</v>
      </c>
      <c r="H59" s="91">
        <v>0</v>
      </c>
      <c r="I59" s="91">
        <v>0</v>
      </c>
      <c r="J59" s="91">
        <v>15333.4</v>
      </c>
      <c r="K59" s="91">
        <v>0</v>
      </c>
      <c r="L59" s="89">
        <v>15333.4</v>
      </c>
      <c r="M59" s="79">
        <f t="shared" si="2"/>
        <v>15333.4</v>
      </c>
      <c r="N59" s="68"/>
      <c r="O59" s="80"/>
      <c r="P59" s="90">
        <v>0</v>
      </c>
      <c r="Q59" s="91">
        <v>0</v>
      </c>
      <c r="R59" s="91">
        <v>0</v>
      </c>
      <c r="S59" s="91">
        <v>0</v>
      </c>
      <c r="T59" s="89">
        <v>0</v>
      </c>
      <c r="U59" s="67">
        <f t="shared" si="0"/>
        <v>0</v>
      </c>
      <c r="V59" s="68"/>
      <c r="W59" s="69"/>
      <c r="X59" s="92">
        <f t="shared" si="4"/>
        <v>0</v>
      </c>
      <c r="Y59" s="92">
        <f t="shared" si="3"/>
        <v>15333.4</v>
      </c>
      <c r="Z59" s="92">
        <f t="shared" si="5"/>
        <v>15333.4</v>
      </c>
      <c r="AA59" s="89">
        <f>Z59/(1+0.04)^40</f>
        <v>3193.7792374347396</v>
      </c>
      <c r="AB59" s="52"/>
    </row>
    <row r="60" spans="1:28" ht="15">
      <c r="A60" s="1"/>
      <c r="B60" s="48"/>
      <c r="C60" s="84">
        <f t="shared" si="6"/>
        <v>2055</v>
      </c>
      <c r="D60" s="52"/>
      <c r="E60" s="1"/>
      <c r="F60" s="43"/>
      <c r="G60" s="90">
        <v>0</v>
      </c>
      <c r="H60" s="91">
        <v>0</v>
      </c>
      <c r="I60" s="91">
        <v>0</v>
      </c>
      <c r="J60" s="91">
        <v>14033.41</v>
      </c>
      <c r="K60" s="91">
        <v>0</v>
      </c>
      <c r="L60" s="89">
        <v>14033.41</v>
      </c>
      <c r="M60" s="79">
        <f t="shared" si="2"/>
        <v>14033.41</v>
      </c>
      <c r="N60" s="68"/>
      <c r="O60" s="80"/>
      <c r="P60" s="90">
        <v>0</v>
      </c>
      <c r="Q60" s="91">
        <v>0</v>
      </c>
      <c r="R60" s="91">
        <v>0</v>
      </c>
      <c r="S60" s="91">
        <v>0</v>
      </c>
      <c r="T60" s="89">
        <v>0</v>
      </c>
      <c r="U60" s="67">
        <f t="shared" si="0"/>
        <v>0</v>
      </c>
      <c r="V60" s="68"/>
      <c r="W60" s="69"/>
      <c r="X60" s="92">
        <f t="shared" si="4"/>
        <v>0</v>
      </c>
      <c r="Y60" s="92">
        <f t="shared" si="3"/>
        <v>14033.41</v>
      </c>
      <c r="Z60" s="92">
        <f t="shared" si="5"/>
        <v>14033.41</v>
      </c>
      <c r="AA60" s="89">
        <f>Z60/(1+0.04)^41</f>
        <v>2810.58227140708</v>
      </c>
      <c r="AB60" s="52"/>
    </row>
    <row r="61" spans="1:28" ht="15">
      <c r="A61" s="1"/>
      <c r="B61" s="48"/>
      <c r="C61" s="84">
        <f t="shared" si="6"/>
        <v>2056</v>
      </c>
      <c r="D61" s="52"/>
      <c r="E61" s="1"/>
      <c r="F61" s="43"/>
      <c r="G61" s="90">
        <v>0</v>
      </c>
      <c r="H61" s="91">
        <v>0</v>
      </c>
      <c r="I61" s="91">
        <v>0</v>
      </c>
      <c r="J61" s="91">
        <v>12804.92</v>
      </c>
      <c r="K61" s="91">
        <v>0</v>
      </c>
      <c r="L61" s="89">
        <v>12804.92</v>
      </c>
      <c r="M61" s="79">
        <f t="shared" si="2"/>
        <v>12804.92</v>
      </c>
      <c r="N61" s="68"/>
      <c r="O61" s="80"/>
      <c r="P61" s="90">
        <v>0</v>
      </c>
      <c r="Q61" s="91">
        <v>0</v>
      </c>
      <c r="R61" s="91">
        <v>0</v>
      </c>
      <c r="S61" s="91">
        <v>0</v>
      </c>
      <c r="T61" s="89">
        <v>0</v>
      </c>
      <c r="U61" s="67">
        <f t="shared" si="0"/>
        <v>0</v>
      </c>
      <c r="V61" s="68"/>
      <c r="W61" s="69"/>
      <c r="X61" s="92">
        <f t="shared" si="4"/>
        <v>0</v>
      </c>
      <c r="Y61" s="92">
        <f t="shared" si="3"/>
        <v>12804.92</v>
      </c>
      <c r="Z61" s="92">
        <f t="shared" si="5"/>
        <v>12804.92</v>
      </c>
      <c r="AA61" s="89">
        <f>Z61/(1+0.04)^42</f>
        <v>2465.9065770944776</v>
      </c>
      <c r="AB61" s="52"/>
    </row>
    <row r="62" spans="1:28" ht="15">
      <c r="A62" s="1"/>
      <c r="B62" s="48"/>
      <c r="C62" s="84">
        <f t="shared" si="6"/>
        <v>2057</v>
      </c>
      <c r="D62" s="52"/>
      <c r="E62" s="1"/>
      <c r="F62" s="43"/>
      <c r="G62" s="90">
        <v>0</v>
      </c>
      <c r="H62" s="91">
        <v>0</v>
      </c>
      <c r="I62" s="91">
        <v>0</v>
      </c>
      <c r="J62" s="91">
        <v>11549.44</v>
      </c>
      <c r="K62" s="91">
        <v>0</v>
      </c>
      <c r="L62" s="89">
        <v>11549.44</v>
      </c>
      <c r="M62" s="79">
        <f t="shared" si="2"/>
        <v>11549.44</v>
      </c>
      <c r="N62" s="68"/>
      <c r="O62" s="80"/>
      <c r="P62" s="90">
        <v>0</v>
      </c>
      <c r="Q62" s="91">
        <v>0</v>
      </c>
      <c r="R62" s="91">
        <v>0</v>
      </c>
      <c r="S62" s="91">
        <v>0</v>
      </c>
      <c r="T62" s="89">
        <v>0</v>
      </c>
      <c r="U62" s="67">
        <f t="shared" si="0"/>
        <v>0</v>
      </c>
      <c r="V62" s="68"/>
      <c r="W62" s="69"/>
      <c r="X62" s="92">
        <f t="shared" si="4"/>
        <v>0</v>
      </c>
      <c r="Y62" s="92">
        <f t="shared" si="3"/>
        <v>11549.44</v>
      </c>
      <c r="Z62" s="92">
        <f t="shared" si="5"/>
        <v>11549.44</v>
      </c>
      <c r="AA62" s="89">
        <f>Z62/(1+0.04)^43</f>
        <v>2138.5890418681347</v>
      </c>
      <c r="AB62" s="52"/>
    </row>
    <row r="63" spans="1:28" ht="15">
      <c r="A63" s="1"/>
      <c r="B63" s="48"/>
      <c r="C63" s="84">
        <f t="shared" si="6"/>
        <v>2058</v>
      </c>
      <c r="D63" s="52"/>
      <c r="E63" s="1"/>
      <c r="F63" s="43"/>
      <c r="G63" s="90">
        <v>0</v>
      </c>
      <c r="H63" s="91">
        <v>0</v>
      </c>
      <c r="I63" s="91">
        <v>0</v>
      </c>
      <c r="J63" s="91">
        <v>10243.4</v>
      </c>
      <c r="K63" s="91">
        <v>0</v>
      </c>
      <c r="L63" s="89">
        <v>10243.4</v>
      </c>
      <c r="M63" s="79">
        <f t="shared" si="2"/>
        <v>10243.4</v>
      </c>
      <c r="N63" s="68"/>
      <c r="O63" s="80"/>
      <c r="P63" s="90">
        <v>0</v>
      </c>
      <c r="Q63" s="91">
        <v>0</v>
      </c>
      <c r="R63" s="91">
        <v>0</v>
      </c>
      <c r="S63" s="91">
        <v>0</v>
      </c>
      <c r="T63" s="89">
        <v>0</v>
      </c>
      <c r="U63" s="67">
        <f t="shared" si="0"/>
        <v>0</v>
      </c>
      <c r="V63" s="68"/>
      <c r="W63" s="69"/>
      <c r="X63" s="92">
        <f t="shared" si="4"/>
        <v>0</v>
      </c>
      <c r="Y63" s="92">
        <f t="shared" si="3"/>
        <v>10243.4</v>
      </c>
      <c r="Z63" s="92">
        <f t="shared" si="5"/>
        <v>10243.4</v>
      </c>
      <c r="AA63" s="89">
        <f>Z63/(1+0.04)^44</f>
        <v>1823.7999644165272</v>
      </c>
      <c r="AB63" s="52"/>
    </row>
    <row r="64" spans="1:28" ht="15">
      <c r="A64" s="1"/>
      <c r="B64" s="48"/>
      <c r="C64" s="84">
        <f t="shared" si="6"/>
        <v>2059</v>
      </c>
      <c r="D64" s="52"/>
      <c r="E64" s="1"/>
      <c r="F64" s="43"/>
      <c r="G64" s="90">
        <v>0</v>
      </c>
      <c r="H64" s="91">
        <v>0</v>
      </c>
      <c r="I64" s="91">
        <v>0</v>
      </c>
      <c r="J64" s="91">
        <v>8874.39</v>
      </c>
      <c r="K64" s="91">
        <v>0</v>
      </c>
      <c r="L64" s="89">
        <v>8874.39</v>
      </c>
      <c r="M64" s="79">
        <f t="shared" si="2"/>
        <v>8874.39</v>
      </c>
      <c r="N64" s="68"/>
      <c r="O64" s="80"/>
      <c r="P64" s="90">
        <v>0</v>
      </c>
      <c r="Q64" s="91">
        <v>0</v>
      </c>
      <c r="R64" s="91">
        <v>0</v>
      </c>
      <c r="S64" s="91">
        <v>0</v>
      </c>
      <c r="T64" s="89">
        <v>0</v>
      </c>
      <c r="U64" s="67">
        <f t="shared" si="0"/>
        <v>0</v>
      </c>
      <c r="V64" s="68"/>
      <c r="W64" s="69"/>
      <c r="X64" s="92">
        <f t="shared" si="4"/>
        <v>0</v>
      </c>
      <c r="Y64" s="92">
        <f t="shared" si="3"/>
        <v>8874.39</v>
      </c>
      <c r="Z64" s="92">
        <f t="shared" si="5"/>
        <v>8874.39</v>
      </c>
      <c r="AA64" s="89">
        <f>Z64/(1+0.04)^45</f>
        <v>1519.2814741329112</v>
      </c>
      <c r="AB64" s="52"/>
    </row>
    <row r="65" spans="1:28" ht="15">
      <c r="A65" s="1"/>
      <c r="B65" s="48"/>
      <c r="C65" s="84">
        <f t="shared" si="6"/>
        <v>2060</v>
      </c>
      <c r="D65" s="52"/>
      <c r="E65" s="1"/>
      <c r="F65" s="43"/>
      <c r="G65" s="90">
        <v>0</v>
      </c>
      <c r="H65" s="91">
        <v>0</v>
      </c>
      <c r="I65" s="91">
        <v>0</v>
      </c>
      <c r="J65" s="91">
        <v>7448.63</v>
      </c>
      <c r="K65" s="91">
        <v>0</v>
      </c>
      <c r="L65" s="89">
        <v>7448.63</v>
      </c>
      <c r="M65" s="79">
        <f t="shared" si="2"/>
        <v>7448.63</v>
      </c>
      <c r="N65" s="68"/>
      <c r="O65" s="80"/>
      <c r="P65" s="90">
        <v>0</v>
      </c>
      <c r="Q65" s="91">
        <v>0</v>
      </c>
      <c r="R65" s="91">
        <v>0</v>
      </c>
      <c r="S65" s="91">
        <v>0</v>
      </c>
      <c r="T65" s="89">
        <v>0</v>
      </c>
      <c r="U65" s="67">
        <f t="shared" si="0"/>
        <v>0</v>
      </c>
      <c r="V65" s="68"/>
      <c r="W65" s="69"/>
      <c r="X65" s="92">
        <f t="shared" si="4"/>
        <v>0</v>
      </c>
      <c r="Y65" s="92">
        <f t="shared" si="3"/>
        <v>7448.63</v>
      </c>
      <c r="Z65" s="92">
        <f t="shared" si="5"/>
        <v>7448.63</v>
      </c>
      <c r="AA65" s="89">
        <f>Z65/(1+0.04)^46</f>
        <v>1226.1477177446116</v>
      </c>
      <c r="AB65" s="52"/>
    </row>
    <row r="66" spans="1:28" ht="15">
      <c r="A66" s="1"/>
      <c r="B66" s="48"/>
      <c r="C66" s="84">
        <f t="shared" si="6"/>
        <v>2061</v>
      </c>
      <c r="D66" s="52"/>
      <c r="E66" s="1"/>
      <c r="F66" s="43"/>
      <c r="G66" s="90">
        <v>0</v>
      </c>
      <c r="H66" s="91">
        <v>0</v>
      </c>
      <c r="I66" s="91">
        <v>0</v>
      </c>
      <c r="J66" s="91">
        <v>5954.35</v>
      </c>
      <c r="K66" s="91">
        <v>0</v>
      </c>
      <c r="L66" s="89">
        <v>5954.35</v>
      </c>
      <c r="M66" s="79">
        <f t="shared" si="2"/>
        <v>5954.35</v>
      </c>
      <c r="N66" s="68"/>
      <c r="O66" s="80"/>
      <c r="P66" s="90">
        <v>0</v>
      </c>
      <c r="Q66" s="91">
        <v>0</v>
      </c>
      <c r="R66" s="91">
        <v>0</v>
      </c>
      <c r="S66" s="91">
        <v>0</v>
      </c>
      <c r="T66" s="89">
        <v>0</v>
      </c>
      <c r="U66" s="67">
        <f t="shared" si="0"/>
        <v>0</v>
      </c>
      <c r="V66" s="68"/>
      <c r="W66" s="69"/>
      <c r="X66" s="92">
        <f t="shared" si="4"/>
        <v>0</v>
      </c>
      <c r="Y66" s="92">
        <f t="shared" si="3"/>
        <v>5954.35</v>
      </c>
      <c r="Z66" s="92">
        <f t="shared" si="5"/>
        <v>5954.35</v>
      </c>
      <c r="AA66" s="89">
        <f>Z66/(1+0.04)^47</f>
        <v>942.4697333542476</v>
      </c>
      <c r="AB66" s="52"/>
    </row>
    <row r="67" spans="1:28" ht="15">
      <c r="A67" s="1"/>
      <c r="B67" s="48"/>
      <c r="C67" s="84">
        <f t="shared" si="6"/>
        <v>2062</v>
      </c>
      <c r="D67" s="52"/>
      <c r="E67" s="1"/>
      <c r="F67" s="43"/>
      <c r="G67" s="90">
        <v>0</v>
      </c>
      <c r="H67" s="91">
        <v>0</v>
      </c>
      <c r="I67" s="91">
        <v>0</v>
      </c>
      <c r="J67" s="91">
        <v>4399.29</v>
      </c>
      <c r="K67" s="91">
        <v>0</v>
      </c>
      <c r="L67" s="89">
        <v>4399.29</v>
      </c>
      <c r="M67" s="79">
        <f t="shared" si="2"/>
        <v>4399.29</v>
      </c>
      <c r="N67" s="68"/>
      <c r="O67" s="80"/>
      <c r="P67" s="90">
        <v>0</v>
      </c>
      <c r="Q67" s="91">
        <v>0</v>
      </c>
      <c r="R67" s="91">
        <v>0</v>
      </c>
      <c r="S67" s="91">
        <v>0</v>
      </c>
      <c r="T67" s="89">
        <v>0</v>
      </c>
      <c r="U67" s="67">
        <f t="shared" si="0"/>
        <v>0</v>
      </c>
      <c r="V67" s="68"/>
      <c r="W67" s="69"/>
      <c r="X67" s="92">
        <f t="shared" si="4"/>
        <v>0</v>
      </c>
      <c r="Y67" s="92">
        <f t="shared" si="3"/>
        <v>4399.29</v>
      </c>
      <c r="Z67" s="92">
        <f t="shared" si="5"/>
        <v>4399.29</v>
      </c>
      <c r="AA67" s="89">
        <f>Z67/(1+0.04)^48</f>
        <v>669.5489065925311</v>
      </c>
      <c r="AB67" s="52"/>
    </row>
    <row r="68" spans="1:28" ht="15">
      <c r="A68" s="1"/>
      <c r="B68" s="48"/>
      <c r="C68" s="84">
        <f t="shared" si="6"/>
        <v>2063</v>
      </c>
      <c r="D68" s="52"/>
      <c r="E68" s="1"/>
      <c r="F68" s="43"/>
      <c r="G68" s="90">
        <v>0</v>
      </c>
      <c r="H68" s="91">
        <v>0</v>
      </c>
      <c r="I68" s="91">
        <v>0</v>
      </c>
      <c r="J68" s="91">
        <v>2784.1</v>
      </c>
      <c r="K68" s="91">
        <v>0</v>
      </c>
      <c r="L68" s="89">
        <v>2784.1</v>
      </c>
      <c r="M68" s="79">
        <f t="shared" si="2"/>
        <v>2784.1</v>
      </c>
      <c r="N68" s="68"/>
      <c r="O68" s="80"/>
      <c r="P68" s="90">
        <v>0</v>
      </c>
      <c r="Q68" s="91">
        <v>0</v>
      </c>
      <c r="R68" s="91">
        <v>0</v>
      </c>
      <c r="S68" s="91">
        <v>0</v>
      </c>
      <c r="T68" s="89">
        <v>0</v>
      </c>
      <c r="U68" s="67">
        <f t="shared" si="0"/>
        <v>0</v>
      </c>
      <c r="V68" s="68"/>
      <c r="W68" s="69"/>
      <c r="X68" s="92">
        <f t="shared" si="4"/>
        <v>0</v>
      </c>
      <c r="Y68" s="92">
        <f t="shared" si="3"/>
        <v>2784.1</v>
      </c>
      <c r="Z68" s="92">
        <f t="shared" si="5"/>
        <v>2784.1</v>
      </c>
      <c r="AA68" s="89">
        <f>Z68/(1+0.04)^49</f>
        <v>407.42831204324267</v>
      </c>
      <c r="AB68" s="52"/>
    </row>
    <row r="69" spans="1:28" ht="15">
      <c r="A69" s="1"/>
      <c r="B69" s="48"/>
      <c r="C69" s="84">
        <f t="shared" si="6"/>
        <v>2064</v>
      </c>
      <c r="D69" s="52"/>
      <c r="E69" s="1"/>
      <c r="F69" s="43"/>
      <c r="G69" s="90">
        <v>0</v>
      </c>
      <c r="H69" s="91">
        <v>0</v>
      </c>
      <c r="I69" s="91">
        <v>0</v>
      </c>
      <c r="J69" s="91">
        <v>1159.32</v>
      </c>
      <c r="K69" s="91">
        <v>0</v>
      </c>
      <c r="L69" s="89">
        <v>1159.32</v>
      </c>
      <c r="M69" s="79">
        <f t="shared" si="2"/>
        <v>1159.32</v>
      </c>
      <c r="N69" s="68"/>
      <c r="O69" s="80"/>
      <c r="P69" s="90">
        <v>0</v>
      </c>
      <c r="Q69" s="91">
        <v>0</v>
      </c>
      <c r="R69" s="91">
        <v>0</v>
      </c>
      <c r="S69" s="91">
        <v>0</v>
      </c>
      <c r="T69" s="89">
        <v>0</v>
      </c>
      <c r="U69" s="67">
        <f t="shared" si="0"/>
        <v>0</v>
      </c>
      <c r="V69" s="68"/>
      <c r="W69" s="69"/>
      <c r="X69" s="92">
        <f t="shared" si="4"/>
        <v>0</v>
      </c>
      <c r="Y69" s="92">
        <f t="shared" si="3"/>
        <v>1159.32</v>
      </c>
      <c r="Z69" s="92">
        <f t="shared" si="5"/>
        <v>1159.32</v>
      </c>
      <c r="AA69" s="89">
        <f>Z69/(1+0.04)^50</f>
        <v>163.13094920813109</v>
      </c>
      <c r="AB69" s="52"/>
    </row>
    <row r="70" spans="1:28" ht="15">
      <c r="A70" s="1"/>
      <c r="B70" s="48"/>
      <c r="C70" s="84">
        <f t="shared" si="6"/>
        <v>2065</v>
      </c>
      <c r="D70" s="52"/>
      <c r="E70" s="1"/>
      <c r="F70" s="43"/>
      <c r="G70" s="90">
        <v>0</v>
      </c>
      <c r="H70" s="91">
        <v>0</v>
      </c>
      <c r="I70" s="91">
        <v>0</v>
      </c>
      <c r="J70" s="91">
        <v>169.71</v>
      </c>
      <c r="K70" s="91">
        <v>0</v>
      </c>
      <c r="L70" s="89">
        <v>169.71</v>
      </c>
      <c r="M70" s="79">
        <f t="shared" si="2"/>
        <v>169.71</v>
      </c>
      <c r="N70" s="68"/>
      <c r="O70" s="80"/>
      <c r="P70" s="90">
        <v>0</v>
      </c>
      <c r="Q70" s="91">
        <v>0</v>
      </c>
      <c r="R70" s="91">
        <v>0</v>
      </c>
      <c r="S70" s="91">
        <v>0</v>
      </c>
      <c r="T70" s="89">
        <v>0</v>
      </c>
      <c r="U70" s="67">
        <f t="shared" si="0"/>
        <v>0</v>
      </c>
      <c r="V70" s="68"/>
      <c r="W70" s="69"/>
      <c r="X70" s="92">
        <f t="shared" si="4"/>
        <v>0</v>
      </c>
      <c r="Y70" s="92">
        <f t="shared" si="3"/>
        <v>169.71</v>
      </c>
      <c r="Z70" s="92">
        <f t="shared" si="5"/>
        <v>169.71</v>
      </c>
      <c r="AA70" s="89">
        <f>Z70/(1+0.04)^51</f>
        <v>22.96186341173467</v>
      </c>
      <c r="AB70" s="52"/>
    </row>
    <row r="71" spans="1:28" ht="15">
      <c r="A71" s="1"/>
      <c r="B71" s="48"/>
      <c r="C71" s="84">
        <f t="shared" si="6"/>
        <v>2066</v>
      </c>
      <c r="D71" s="52"/>
      <c r="E71" s="1"/>
      <c r="F71" s="43"/>
      <c r="G71" s="90">
        <v>0</v>
      </c>
      <c r="H71" s="91">
        <v>0</v>
      </c>
      <c r="I71" s="91">
        <v>0</v>
      </c>
      <c r="J71" s="91">
        <v>0</v>
      </c>
      <c r="K71" s="91">
        <v>0</v>
      </c>
      <c r="L71" s="89">
        <v>0</v>
      </c>
      <c r="M71" s="79">
        <f t="shared" si="2"/>
        <v>0</v>
      </c>
      <c r="N71" s="68"/>
      <c r="O71" s="80"/>
      <c r="P71" s="90">
        <v>0</v>
      </c>
      <c r="Q71" s="91">
        <v>0</v>
      </c>
      <c r="R71" s="91">
        <v>0</v>
      </c>
      <c r="S71" s="91">
        <v>0</v>
      </c>
      <c r="T71" s="89">
        <v>0</v>
      </c>
      <c r="U71" s="67">
        <f t="shared" si="0"/>
        <v>0</v>
      </c>
      <c r="V71" s="68"/>
      <c r="W71" s="69"/>
      <c r="X71" s="92">
        <f t="shared" si="4"/>
        <v>0</v>
      </c>
      <c r="Y71" s="92">
        <f t="shared" si="3"/>
        <v>0</v>
      </c>
      <c r="Z71" s="92">
        <f t="shared" si="5"/>
        <v>0</v>
      </c>
      <c r="AA71" s="89">
        <f aca="true" t="shared" si="7" ref="AA71:AA76">Z71/(1.04^2)</f>
        <v>0</v>
      </c>
      <c r="AB71" s="52"/>
    </row>
    <row r="72" spans="1:28" ht="15">
      <c r="A72" s="1"/>
      <c r="B72" s="48"/>
      <c r="C72" s="84">
        <f t="shared" si="6"/>
        <v>2067</v>
      </c>
      <c r="D72" s="52"/>
      <c r="E72" s="1"/>
      <c r="F72" s="43"/>
      <c r="G72" s="90">
        <v>0</v>
      </c>
      <c r="H72" s="91">
        <v>0</v>
      </c>
      <c r="I72" s="91">
        <v>0</v>
      </c>
      <c r="J72" s="91">
        <v>0</v>
      </c>
      <c r="K72" s="91">
        <v>0</v>
      </c>
      <c r="L72" s="89">
        <v>0</v>
      </c>
      <c r="M72" s="79">
        <f t="shared" si="2"/>
        <v>0</v>
      </c>
      <c r="N72" s="68"/>
      <c r="O72" s="80"/>
      <c r="P72" s="90">
        <v>0</v>
      </c>
      <c r="Q72" s="91">
        <v>0</v>
      </c>
      <c r="R72" s="91">
        <v>0</v>
      </c>
      <c r="S72" s="91">
        <v>0</v>
      </c>
      <c r="T72" s="89">
        <v>0</v>
      </c>
      <c r="U72" s="67">
        <f t="shared" si="0"/>
        <v>0</v>
      </c>
      <c r="V72" s="68"/>
      <c r="W72" s="69"/>
      <c r="X72" s="92">
        <f t="shared" si="4"/>
        <v>0</v>
      </c>
      <c r="Y72" s="92">
        <f t="shared" si="3"/>
        <v>0</v>
      </c>
      <c r="Z72" s="92">
        <f t="shared" si="5"/>
        <v>0</v>
      </c>
      <c r="AA72" s="89">
        <f t="shared" si="7"/>
        <v>0</v>
      </c>
      <c r="AB72" s="52"/>
    </row>
    <row r="73" spans="1:28" ht="15">
      <c r="A73" s="1"/>
      <c r="B73" s="48"/>
      <c r="C73" s="84">
        <f t="shared" si="6"/>
        <v>2068</v>
      </c>
      <c r="D73" s="52"/>
      <c r="E73" s="1"/>
      <c r="F73" s="43"/>
      <c r="G73" s="90">
        <v>0</v>
      </c>
      <c r="H73" s="91">
        <v>0</v>
      </c>
      <c r="I73" s="91">
        <v>0</v>
      </c>
      <c r="J73" s="91">
        <v>0</v>
      </c>
      <c r="K73" s="91">
        <v>0</v>
      </c>
      <c r="L73" s="89">
        <v>0</v>
      </c>
      <c r="M73" s="79">
        <f t="shared" si="2"/>
        <v>0</v>
      </c>
      <c r="N73" s="68"/>
      <c r="O73" s="80"/>
      <c r="P73" s="90">
        <v>0</v>
      </c>
      <c r="Q73" s="91">
        <v>0</v>
      </c>
      <c r="R73" s="91">
        <v>0</v>
      </c>
      <c r="S73" s="91">
        <v>0</v>
      </c>
      <c r="T73" s="89">
        <v>0</v>
      </c>
      <c r="U73" s="67">
        <f t="shared" si="0"/>
        <v>0</v>
      </c>
      <c r="V73" s="68"/>
      <c r="W73" s="69"/>
      <c r="X73" s="92">
        <f t="shared" si="4"/>
        <v>0</v>
      </c>
      <c r="Y73" s="92">
        <f t="shared" si="3"/>
        <v>0</v>
      </c>
      <c r="Z73" s="92">
        <f t="shared" si="5"/>
        <v>0</v>
      </c>
      <c r="AA73" s="89">
        <f t="shared" si="7"/>
        <v>0</v>
      </c>
      <c r="AB73" s="52"/>
    </row>
    <row r="74" spans="1:28" ht="15">
      <c r="A74" s="1"/>
      <c r="B74" s="48"/>
      <c r="C74" s="84">
        <f t="shared" si="6"/>
        <v>2069</v>
      </c>
      <c r="D74" s="52"/>
      <c r="E74" s="1"/>
      <c r="F74" s="43"/>
      <c r="G74" s="90">
        <v>0</v>
      </c>
      <c r="H74" s="91">
        <v>0</v>
      </c>
      <c r="I74" s="91">
        <v>0</v>
      </c>
      <c r="J74" s="91">
        <v>0</v>
      </c>
      <c r="K74" s="91">
        <v>0</v>
      </c>
      <c r="L74" s="89">
        <v>0</v>
      </c>
      <c r="M74" s="79">
        <f t="shared" si="2"/>
        <v>0</v>
      </c>
      <c r="N74" s="68"/>
      <c r="O74" s="80"/>
      <c r="P74" s="90">
        <v>0</v>
      </c>
      <c r="Q74" s="91">
        <v>0</v>
      </c>
      <c r="R74" s="91">
        <v>0</v>
      </c>
      <c r="S74" s="91">
        <v>0</v>
      </c>
      <c r="T74" s="89">
        <v>0</v>
      </c>
      <c r="U74" s="67">
        <f t="shared" si="0"/>
        <v>0</v>
      </c>
      <c r="V74" s="68"/>
      <c r="W74" s="69"/>
      <c r="X74" s="92">
        <f t="shared" si="4"/>
        <v>0</v>
      </c>
      <c r="Y74" s="92">
        <f t="shared" si="3"/>
        <v>0</v>
      </c>
      <c r="Z74" s="92">
        <f t="shared" si="5"/>
        <v>0</v>
      </c>
      <c r="AA74" s="89">
        <f t="shared" si="7"/>
        <v>0</v>
      </c>
      <c r="AB74" s="52"/>
    </row>
    <row r="75" spans="1:28" ht="15">
      <c r="A75" s="1"/>
      <c r="B75" s="48"/>
      <c r="C75" s="84">
        <f t="shared" si="6"/>
        <v>2070</v>
      </c>
      <c r="D75" s="52"/>
      <c r="E75" s="1"/>
      <c r="F75" s="43"/>
      <c r="G75" s="90">
        <v>0</v>
      </c>
      <c r="H75" s="91">
        <v>0</v>
      </c>
      <c r="I75" s="91">
        <v>0</v>
      </c>
      <c r="J75" s="91">
        <v>0</v>
      </c>
      <c r="K75" s="91">
        <v>0</v>
      </c>
      <c r="L75" s="89">
        <v>0</v>
      </c>
      <c r="M75" s="79">
        <f t="shared" si="2"/>
        <v>0</v>
      </c>
      <c r="N75" s="68"/>
      <c r="O75" s="80"/>
      <c r="P75" s="90">
        <v>0</v>
      </c>
      <c r="Q75" s="91">
        <v>0</v>
      </c>
      <c r="R75" s="91">
        <v>0</v>
      </c>
      <c r="S75" s="91">
        <v>0</v>
      </c>
      <c r="T75" s="89">
        <v>0</v>
      </c>
      <c r="U75" s="67">
        <f t="shared" si="0"/>
        <v>0</v>
      </c>
      <c r="V75" s="68"/>
      <c r="W75" s="69"/>
      <c r="X75" s="92">
        <f t="shared" si="4"/>
        <v>0</v>
      </c>
      <c r="Y75" s="92">
        <f t="shared" si="3"/>
        <v>0</v>
      </c>
      <c r="Z75" s="92">
        <f t="shared" si="5"/>
        <v>0</v>
      </c>
      <c r="AA75" s="89">
        <f t="shared" si="7"/>
        <v>0</v>
      </c>
      <c r="AB75" s="52"/>
    </row>
    <row r="76" spans="1:28" ht="15.75" thickBot="1">
      <c r="A76" s="1"/>
      <c r="B76" s="48"/>
      <c r="C76" s="84">
        <f t="shared" si="6"/>
        <v>2071</v>
      </c>
      <c r="D76" s="52"/>
      <c r="E76" s="1"/>
      <c r="F76" s="43"/>
      <c r="G76" s="93">
        <v>0</v>
      </c>
      <c r="H76" s="94">
        <v>0</v>
      </c>
      <c r="I76" s="94">
        <v>0</v>
      </c>
      <c r="J76" s="91">
        <v>0</v>
      </c>
      <c r="K76" s="91">
        <v>0</v>
      </c>
      <c r="L76" s="89">
        <v>0</v>
      </c>
      <c r="M76" s="79">
        <f t="shared" si="2"/>
        <v>0</v>
      </c>
      <c r="N76" s="68"/>
      <c r="O76" s="80"/>
      <c r="P76" s="93">
        <v>0</v>
      </c>
      <c r="Q76" s="91">
        <v>0</v>
      </c>
      <c r="R76" s="91">
        <v>0</v>
      </c>
      <c r="S76" s="91">
        <v>0</v>
      </c>
      <c r="T76" s="89">
        <v>0</v>
      </c>
      <c r="U76" s="67">
        <f t="shared" si="0"/>
        <v>0</v>
      </c>
      <c r="V76" s="68"/>
      <c r="W76" s="69"/>
      <c r="X76" s="92">
        <f t="shared" si="4"/>
        <v>0</v>
      </c>
      <c r="Y76" s="92">
        <f t="shared" si="3"/>
        <v>0</v>
      </c>
      <c r="Z76" s="92">
        <f t="shared" si="5"/>
        <v>0</v>
      </c>
      <c r="AA76" s="89">
        <f t="shared" si="7"/>
        <v>0</v>
      </c>
      <c r="AB76" s="52"/>
    </row>
    <row r="77" spans="1:28" ht="15.75" thickBot="1">
      <c r="A77" s="1"/>
      <c r="B77" s="95"/>
      <c r="C77" s="96"/>
      <c r="D77" s="97"/>
      <c r="E77" s="1"/>
      <c r="F77" s="98"/>
      <c r="G77" s="99"/>
      <c r="H77" s="99"/>
      <c r="I77" s="99"/>
      <c r="J77" s="99"/>
      <c r="K77" s="99"/>
      <c r="L77" s="99"/>
      <c r="M77" s="100"/>
      <c r="N77" s="1"/>
      <c r="O77" s="101"/>
      <c r="P77" s="102"/>
      <c r="Q77" s="102"/>
      <c r="R77" s="102"/>
      <c r="S77" s="102"/>
      <c r="T77" s="102"/>
      <c r="U77" s="103"/>
      <c r="V77" s="1"/>
      <c r="W77" s="95"/>
      <c r="X77" s="96"/>
      <c r="Y77" s="96"/>
      <c r="Z77" s="96"/>
      <c r="AA77" s="104"/>
      <c r="AB77" s="97"/>
    </row>
    <row r="78" spans="1:28" ht="15">
      <c r="A78" s="1"/>
      <c r="B78" s="109" t="s">
        <v>34</v>
      </c>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row>
    <row r="79" spans="1:28" ht="15">
      <c r="A79" s="1"/>
      <c r="B79" s="109" t="s">
        <v>35</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row>
    <row r="80" spans="1:28" ht="15">
      <c r="A80" s="105"/>
      <c r="B80" s="109" t="s">
        <v>36</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row>
    <row r="81" spans="1:28"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
      <c r="A82" s="1"/>
      <c r="B82" s="1"/>
      <c r="C82" s="1"/>
      <c r="D82" s="106"/>
      <c r="E82" s="106"/>
      <c r="F82" s="106"/>
      <c r="G82" s="106"/>
      <c r="H82" s="106"/>
      <c r="I82" s="106"/>
      <c r="J82" s="106"/>
      <c r="K82" s="106"/>
      <c r="L82" s="1"/>
      <c r="M82" s="106"/>
      <c r="N82" s="106"/>
      <c r="O82" s="106"/>
      <c r="P82" s="106"/>
      <c r="Q82" s="106"/>
      <c r="R82" s="106"/>
      <c r="S82" s="106"/>
      <c r="T82" s="106"/>
      <c r="U82" s="1"/>
      <c r="V82" s="1"/>
      <c r="W82" s="1"/>
      <c r="X82" s="1"/>
      <c r="Y82" s="1"/>
      <c r="Z82" s="1"/>
      <c r="AA82" s="1"/>
      <c r="AB82" s="1"/>
    </row>
    <row r="83" spans="1:28" ht="15">
      <c r="A83" s="1"/>
      <c r="B83" s="1"/>
      <c r="C83" s="1"/>
      <c r="D83" s="106"/>
      <c r="E83" s="106"/>
      <c r="F83" s="106"/>
      <c r="G83" s="106"/>
      <c r="H83" s="106"/>
      <c r="I83" s="106"/>
      <c r="J83" s="106"/>
      <c r="K83" s="106"/>
      <c r="L83" s="1"/>
      <c r="M83" s="107"/>
      <c r="N83" s="106"/>
      <c r="O83" s="106"/>
      <c r="P83" s="106"/>
      <c r="Q83" s="106"/>
      <c r="R83" s="106"/>
      <c r="S83" s="106"/>
      <c r="T83" s="106"/>
      <c r="U83" s="1"/>
      <c r="V83" s="1"/>
      <c r="W83" s="1"/>
      <c r="X83" s="1"/>
      <c r="Y83" s="1"/>
      <c r="Z83" s="1"/>
      <c r="AA83" s="1"/>
      <c r="AB83" s="1"/>
    </row>
  </sheetData>
  <sheetProtection/>
  <mergeCells count="8">
    <mergeCell ref="B79:AB79"/>
    <mergeCell ref="B80:AB80"/>
    <mergeCell ref="S2:T2"/>
    <mergeCell ref="S3:T3"/>
    <mergeCell ref="B11:AB11"/>
    <mergeCell ref="G14:L14"/>
    <mergeCell ref="P14:T14"/>
    <mergeCell ref="B78:AB78"/>
  </mergeCells>
  <printOptions/>
  <pageMargins left="0.7" right="0.7" top="0.75" bottom="0.75" header="0.3" footer="0.3"/>
  <pageSetup horizontalDpi="600" verticalDpi="600" orientation="portrait" scale="41" r:id="rId2"/>
  <ignoredErrors>
    <ignoredError sqref="H18" formulaRange="1"/>
  </ignoredErrors>
  <drawing r:id="rId1"/>
</worksheet>
</file>

<file path=xl/worksheets/sheet2.xml><?xml version="1.0" encoding="utf-8"?>
<worksheet xmlns="http://schemas.openxmlformats.org/spreadsheetml/2006/main" xmlns:r="http://schemas.openxmlformats.org/officeDocument/2006/relationships">
  <dimension ref="A1:AB83"/>
  <sheetViews>
    <sheetView tabSelected="1" workbookViewId="0" topLeftCell="A3">
      <selection activeCell="F9" sqref="F9"/>
    </sheetView>
  </sheetViews>
  <sheetFormatPr defaultColWidth="9.140625" defaultRowHeight="15"/>
  <cols>
    <col min="2" max="2" width="2.7109375" style="0" customWidth="1"/>
    <col min="3" max="3" width="10.57421875" style="0" customWidth="1"/>
    <col min="4" max="4" width="2.140625" style="0" customWidth="1"/>
    <col min="5" max="5" width="3.421875" style="0" customWidth="1"/>
    <col min="6" max="6" width="2.7109375" style="0" customWidth="1"/>
    <col min="7" max="7" width="11.421875" style="0" customWidth="1"/>
    <col min="8" max="8" width="10.8515625" style="0" customWidth="1"/>
    <col min="9" max="9" width="10.57421875" style="0" customWidth="1"/>
    <col min="10" max="10" width="11.140625" style="0" bestFit="1" customWidth="1"/>
    <col min="11" max="11" width="9.28125" style="0" bestFit="1" customWidth="1"/>
    <col min="12" max="12" width="11.00390625" style="0" customWidth="1"/>
    <col min="13" max="13" width="1.1484375" style="0" customWidth="1"/>
    <col min="14" max="14" width="3.00390625" style="0" customWidth="1"/>
    <col min="15" max="15" width="1.7109375" style="0" customWidth="1"/>
    <col min="16" max="16" width="10.57421875" style="0" customWidth="1"/>
    <col min="17" max="17" width="11.140625" style="0" customWidth="1"/>
    <col min="18" max="18" width="10.421875" style="0" customWidth="1"/>
    <col min="19" max="19" width="12.7109375" style="0" customWidth="1"/>
    <col min="20" max="20" width="11.421875" style="0" customWidth="1"/>
    <col min="21" max="21" width="1.421875" style="0" customWidth="1"/>
    <col min="22" max="22" width="2.00390625" style="0" customWidth="1"/>
    <col min="23" max="23" width="1.7109375" style="0" customWidth="1"/>
    <col min="24" max="24" width="12.28125" style="0" bestFit="1" customWidth="1"/>
    <col min="25" max="25" width="11.140625" style="0" bestFit="1" customWidth="1"/>
    <col min="26" max="26" width="10.28125" style="0" customWidth="1"/>
    <col min="27" max="27" width="11.421875" style="0" customWidth="1"/>
    <col min="28" max="28" width="0.5625" style="0" customWidth="1"/>
  </cols>
  <sheetData>
    <row r="1" spans="1:28" ht="15">
      <c r="A1" s="1"/>
      <c r="B1" s="1"/>
      <c r="C1" s="1"/>
      <c r="D1" s="1"/>
      <c r="E1" s="1"/>
      <c r="F1" s="1"/>
      <c r="G1" s="1"/>
      <c r="H1" s="1"/>
      <c r="I1" s="1"/>
      <c r="J1" s="1"/>
      <c r="K1" s="1"/>
      <c r="L1" s="1"/>
      <c r="M1" s="1"/>
      <c r="N1" s="1"/>
      <c r="O1" s="1"/>
      <c r="P1" s="1"/>
      <c r="Q1" s="1"/>
      <c r="R1" s="1"/>
      <c r="S1" s="1"/>
      <c r="T1" s="1"/>
      <c r="U1" s="1"/>
      <c r="V1" s="1"/>
      <c r="W1" s="1"/>
      <c r="X1" s="1"/>
      <c r="Y1" s="1"/>
      <c r="Z1" s="2"/>
      <c r="AA1" s="2"/>
      <c r="AB1" s="2"/>
    </row>
    <row r="2" spans="1:28" ht="15">
      <c r="A2" s="1"/>
      <c r="B2" s="1"/>
      <c r="C2" s="1"/>
      <c r="D2" s="1"/>
      <c r="E2" s="1"/>
      <c r="F2" s="1"/>
      <c r="G2" s="1"/>
      <c r="H2" s="1"/>
      <c r="I2" s="1"/>
      <c r="J2" s="3"/>
      <c r="K2" s="1"/>
      <c r="L2" s="1"/>
      <c r="M2" s="1"/>
      <c r="N2" s="1"/>
      <c r="O2" s="1"/>
      <c r="P2" s="1"/>
      <c r="Q2" s="1"/>
      <c r="R2" s="4"/>
      <c r="S2" s="111"/>
      <c r="T2" s="111"/>
      <c r="U2" s="1"/>
      <c r="V2" s="1"/>
      <c r="W2" s="1"/>
      <c r="X2" s="1"/>
      <c r="Y2" s="1"/>
      <c r="Z2" s="1"/>
      <c r="AA2" s="1"/>
      <c r="AB2" s="1"/>
    </row>
    <row r="3" spans="1:28" ht="15.75" thickBot="1">
      <c r="A3" s="1"/>
      <c r="B3" s="1"/>
      <c r="C3" s="1"/>
      <c r="D3" s="1"/>
      <c r="E3" s="1"/>
      <c r="F3" s="1"/>
      <c r="G3" s="1"/>
      <c r="H3" s="1"/>
      <c r="I3" s="5" t="s">
        <v>0</v>
      </c>
      <c r="J3" s="6" t="str">
        <f>DBA</f>
        <v>Shelby Energy Co-op</v>
      </c>
      <c r="K3" s="1"/>
      <c r="L3" s="1"/>
      <c r="M3" s="1"/>
      <c r="N3" s="1"/>
      <c r="O3" s="1"/>
      <c r="P3" s="1"/>
      <c r="Q3" s="1"/>
      <c r="R3" s="7"/>
      <c r="S3" s="112" t="s">
        <v>1</v>
      </c>
      <c r="T3" s="112"/>
      <c r="U3" s="1"/>
      <c r="V3" s="1"/>
      <c r="W3" s="1"/>
      <c r="X3" s="1"/>
      <c r="Y3" s="1"/>
      <c r="Z3" s="1"/>
      <c r="AA3" s="1"/>
      <c r="AB3" s="1"/>
    </row>
    <row r="4" spans="1:28" ht="15.75" thickBot="1">
      <c r="A4" s="1"/>
      <c r="B4" s="1"/>
      <c r="C4" s="1"/>
      <c r="D4" s="8"/>
      <c r="E4" s="8"/>
      <c r="F4" s="1"/>
      <c r="G4" s="1"/>
      <c r="H4" s="1"/>
      <c r="I4" s="5" t="s">
        <v>2</v>
      </c>
      <c r="J4" s="9" t="str">
        <f>ID</f>
        <v>KY030</v>
      </c>
      <c r="K4" s="1"/>
      <c r="L4" s="1"/>
      <c r="M4" s="1"/>
      <c r="N4" s="1"/>
      <c r="O4" s="1"/>
      <c r="P4" s="10"/>
      <c r="Q4" s="11"/>
      <c r="R4" s="12"/>
      <c r="S4" s="13" t="s">
        <v>3</v>
      </c>
      <c r="T4" s="108" t="s">
        <v>4</v>
      </c>
      <c r="U4" s="1"/>
      <c r="V4" s="1"/>
      <c r="W4" s="1"/>
      <c r="X4" s="1"/>
      <c r="Y4" s="1"/>
      <c r="Z4" s="1"/>
      <c r="AA4" s="1"/>
      <c r="AB4" s="1"/>
    </row>
    <row r="5" spans="1:28" ht="15">
      <c r="A5" s="1"/>
      <c r="B5" s="1"/>
      <c r="C5" s="1"/>
      <c r="D5" s="8"/>
      <c r="E5" s="8"/>
      <c r="F5" s="1"/>
      <c r="G5" s="1"/>
      <c r="H5" s="1"/>
      <c r="I5" s="5" t="s">
        <v>5</v>
      </c>
      <c r="J5" s="15">
        <f ca="1">TODAY()</f>
        <v>42507</v>
      </c>
      <c r="K5" s="1"/>
      <c r="L5" s="1"/>
      <c r="M5" s="8"/>
      <c r="N5" s="1"/>
      <c r="O5" s="1"/>
      <c r="P5" s="10"/>
      <c r="Q5" s="11"/>
      <c r="R5" s="16" t="s">
        <v>6</v>
      </c>
      <c r="S5" s="17">
        <v>0.038232133888048914</v>
      </c>
      <c r="T5" s="18">
        <v>0.03977572323043965</v>
      </c>
      <c r="U5" s="1"/>
      <c r="V5" s="1"/>
      <c r="W5" s="1"/>
      <c r="X5" s="1"/>
      <c r="Y5" s="1"/>
      <c r="Z5" s="1"/>
      <c r="AA5" s="1"/>
      <c r="AB5" s="1"/>
    </row>
    <row r="6" spans="1:28" ht="15">
      <c r="A6" s="1"/>
      <c r="B6" s="1"/>
      <c r="C6" s="1"/>
      <c r="D6" s="8"/>
      <c r="E6" s="8"/>
      <c r="F6" s="1"/>
      <c r="G6" s="1"/>
      <c r="H6" s="1"/>
      <c r="I6" s="5" t="s">
        <v>7</v>
      </c>
      <c r="J6" s="15">
        <f>'[1]Loan Info'!B21</f>
        <v>42425</v>
      </c>
      <c r="K6" s="1"/>
      <c r="L6" s="1"/>
      <c r="M6" s="8"/>
      <c r="N6" s="1"/>
      <c r="O6" s="1"/>
      <c r="P6" s="19"/>
      <c r="Q6" s="1"/>
      <c r="R6" s="20" t="s">
        <v>8</v>
      </c>
      <c r="S6" s="21">
        <v>0</v>
      </c>
      <c r="T6" s="22">
        <v>0</v>
      </c>
      <c r="U6" s="1"/>
      <c r="V6" s="1"/>
      <c r="W6" s="1"/>
      <c r="X6" s="1"/>
      <c r="Y6" s="1"/>
      <c r="Z6" s="1"/>
      <c r="AA6" s="1"/>
      <c r="AB6" s="1"/>
    </row>
    <row r="7" spans="1:28" ht="15">
      <c r="A7" s="1"/>
      <c r="B7" s="1"/>
      <c r="C7" s="1"/>
      <c r="D7" s="8"/>
      <c r="E7" s="8"/>
      <c r="F7" s="1"/>
      <c r="G7" s="1"/>
      <c r="H7" s="1"/>
      <c r="I7" s="5" t="s">
        <v>9</v>
      </c>
      <c r="J7" s="23">
        <f>+PDA</f>
        <v>42546</v>
      </c>
      <c r="K7" s="1"/>
      <c r="L7" s="1"/>
      <c r="M7" s="8"/>
      <c r="N7" s="1"/>
      <c r="O7" s="1"/>
      <c r="P7" s="19"/>
      <c r="Q7" s="1"/>
      <c r="R7" s="16" t="s">
        <v>10</v>
      </c>
      <c r="S7" s="24">
        <v>0.038232133888048914</v>
      </c>
      <c r="T7" s="25">
        <v>0.03977572323043965</v>
      </c>
      <c r="U7" s="1"/>
      <c r="V7" s="26"/>
      <c r="W7" s="1"/>
      <c r="X7" s="1"/>
      <c r="Y7" s="1"/>
      <c r="Z7" s="1"/>
      <c r="AA7" s="1"/>
      <c r="AB7" s="1"/>
    </row>
    <row r="8" spans="1:28" ht="15">
      <c r="A8" s="1"/>
      <c r="B8" s="1"/>
      <c r="C8" s="1"/>
      <c r="D8" s="8"/>
      <c r="E8" s="8"/>
      <c r="F8" s="1"/>
      <c r="G8" s="1"/>
      <c r="H8" s="1"/>
      <c r="I8" s="5" t="s">
        <v>11</v>
      </c>
      <c r="J8" s="6" t="str">
        <f>'[1]Loan Info'!B9</f>
        <v>RUS Refi - Cash Flow Neutral </v>
      </c>
      <c r="K8" s="1"/>
      <c r="L8" s="1"/>
      <c r="M8" s="8"/>
      <c r="N8" s="1"/>
      <c r="O8" s="1"/>
      <c r="P8" s="27"/>
      <c r="Q8" s="1"/>
      <c r="R8" s="16" t="s">
        <v>12</v>
      </c>
      <c r="S8" s="21">
        <v>-0.002455199930149199</v>
      </c>
      <c r="T8" s="28">
        <v>0</v>
      </c>
      <c r="U8" s="1"/>
      <c r="V8" s="1"/>
      <c r="W8" s="1"/>
      <c r="X8" s="1"/>
      <c r="Y8" s="1"/>
      <c r="Z8" s="1"/>
      <c r="AA8" s="1"/>
      <c r="AB8" s="1"/>
    </row>
    <row r="9" spans="1:28" ht="15.75" thickBot="1">
      <c r="A9" s="1"/>
      <c r="B9" s="1"/>
      <c r="C9" s="1"/>
      <c r="D9" s="8"/>
      <c r="E9" s="8"/>
      <c r="F9" s="1"/>
      <c r="G9" s="1"/>
      <c r="H9" s="1"/>
      <c r="I9" s="5"/>
      <c r="J9" s="29"/>
      <c r="K9" s="1"/>
      <c r="L9" s="1"/>
      <c r="M9" s="8"/>
      <c r="N9" s="1"/>
      <c r="O9" s="1"/>
      <c r="P9" s="19"/>
      <c r="Q9" s="1"/>
      <c r="R9" s="30" t="s">
        <v>13</v>
      </c>
      <c r="S9" s="31">
        <v>0.035776933957899715</v>
      </c>
      <c r="T9" s="32">
        <v>0.03977572323043965</v>
      </c>
      <c r="U9" s="1"/>
      <c r="V9" s="1"/>
      <c r="W9" s="1"/>
      <c r="X9" s="33"/>
      <c r="Y9" s="1"/>
      <c r="Z9" s="1"/>
      <c r="AA9" s="1"/>
      <c r="AB9" s="1"/>
    </row>
    <row r="10" spans="1:28" ht="15">
      <c r="A10" s="1"/>
      <c r="B10" s="1"/>
      <c r="C10" s="1"/>
      <c r="D10" s="1"/>
      <c r="E10" s="1"/>
      <c r="F10" s="1"/>
      <c r="G10" s="1"/>
      <c r="H10" s="1"/>
      <c r="I10" s="1"/>
      <c r="J10" s="1"/>
      <c r="K10" s="1"/>
      <c r="L10" s="1"/>
      <c r="M10" s="1"/>
      <c r="N10" s="1"/>
      <c r="O10" s="1"/>
      <c r="P10" s="1"/>
      <c r="Q10" s="1"/>
      <c r="R10" s="1"/>
      <c r="S10" s="1"/>
      <c r="T10" s="33"/>
      <c r="U10" s="1"/>
      <c r="V10" s="1"/>
      <c r="W10" s="1"/>
      <c r="X10" s="33"/>
      <c r="Y10" s="1"/>
      <c r="Z10" s="1"/>
      <c r="AA10" s="1"/>
      <c r="AB10" s="1"/>
    </row>
    <row r="11" spans="1:28" ht="18.75">
      <c r="A11" s="1"/>
      <c r="B11" s="113" t="s">
        <v>14</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row>
    <row r="12" spans="1:28" ht="15.75"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5.75" thickBot="1">
      <c r="A13" s="1"/>
      <c r="B13" s="1"/>
      <c r="C13" s="1"/>
      <c r="D13" s="1"/>
      <c r="E13" s="1"/>
      <c r="F13" s="34"/>
      <c r="G13" s="35"/>
      <c r="H13" s="35"/>
      <c r="I13" s="35"/>
      <c r="J13" s="35"/>
      <c r="K13" s="35"/>
      <c r="L13" s="35"/>
      <c r="M13" s="36"/>
      <c r="N13" s="1"/>
      <c r="O13" s="37"/>
      <c r="P13" s="38"/>
      <c r="Q13" s="38"/>
      <c r="R13" s="38"/>
      <c r="S13" s="38"/>
      <c r="T13" s="38"/>
      <c r="U13" s="39"/>
      <c r="V13" s="1"/>
      <c r="W13" s="40"/>
      <c r="X13" s="41"/>
      <c r="Y13" s="41"/>
      <c r="Z13" s="41"/>
      <c r="AA13" s="41"/>
      <c r="AB13" s="42"/>
    </row>
    <row r="14" spans="1:28" ht="15.75" thickBot="1">
      <c r="A14" s="1"/>
      <c r="B14" s="1"/>
      <c r="C14" s="1"/>
      <c r="D14" s="1"/>
      <c r="E14" s="1"/>
      <c r="F14" s="43"/>
      <c r="G14" s="115" t="s">
        <v>3</v>
      </c>
      <c r="H14" s="116"/>
      <c r="I14" s="116"/>
      <c r="J14" s="116"/>
      <c r="K14" s="116"/>
      <c r="L14" s="117"/>
      <c r="M14" s="44"/>
      <c r="N14" s="45"/>
      <c r="O14" s="46"/>
      <c r="P14" s="115" t="s">
        <v>4</v>
      </c>
      <c r="Q14" s="116"/>
      <c r="R14" s="116"/>
      <c r="S14" s="116"/>
      <c r="T14" s="117"/>
      <c r="U14" s="47"/>
      <c r="V14" s="1"/>
      <c r="W14" s="48"/>
      <c r="X14" s="49" t="s">
        <v>15</v>
      </c>
      <c r="Y14" s="50" t="s">
        <v>16</v>
      </c>
      <c r="Z14" s="49" t="s">
        <v>17</v>
      </c>
      <c r="AA14" s="51" t="s">
        <v>18</v>
      </c>
      <c r="AB14" s="52"/>
    </row>
    <row r="15" spans="1:28" ht="15">
      <c r="A15" s="1"/>
      <c r="B15" s="1"/>
      <c r="C15" s="53"/>
      <c r="D15" s="1"/>
      <c r="E15" s="1"/>
      <c r="F15" s="43"/>
      <c r="G15" s="54" t="s">
        <v>19</v>
      </c>
      <c r="H15" s="55" t="s">
        <v>20</v>
      </c>
      <c r="I15" s="55" t="s">
        <v>15</v>
      </c>
      <c r="J15" s="55" t="s">
        <v>21</v>
      </c>
      <c r="K15" s="55" t="s">
        <v>21</v>
      </c>
      <c r="L15" s="51" t="s">
        <v>21</v>
      </c>
      <c r="M15" s="44"/>
      <c r="N15" s="45"/>
      <c r="O15" s="46"/>
      <c r="P15" s="54" t="s">
        <v>19</v>
      </c>
      <c r="Q15" s="55" t="s">
        <v>20</v>
      </c>
      <c r="R15" s="55" t="s">
        <v>15</v>
      </c>
      <c r="S15" s="55" t="s">
        <v>22</v>
      </c>
      <c r="T15" s="51" t="s">
        <v>21</v>
      </c>
      <c r="U15" s="47"/>
      <c r="V15" s="1"/>
      <c r="W15" s="48"/>
      <c r="X15" s="56" t="s">
        <v>23</v>
      </c>
      <c r="Y15" s="51" t="s">
        <v>24</v>
      </c>
      <c r="Z15" s="56" t="s">
        <v>25</v>
      </c>
      <c r="AA15" s="51" t="s">
        <v>26</v>
      </c>
      <c r="AB15" s="52"/>
    </row>
    <row r="16" spans="1:28" ht="15.75" thickBot="1">
      <c r="A16" s="1"/>
      <c r="B16" s="1"/>
      <c r="C16" s="108"/>
      <c r="D16" s="1"/>
      <c r="E16" s="1"/>
      <c r="F16" s="43"/>
      <c r="G16" s="57" t="s">
        <v>27</v>
      </c>
      <c r="H16" s="58" t="s">
        <v>28</v>
      </c>
      <c r="I16" s="58" t="s">
        <v>23</v>
      </c>
      <c r="J16" s="58" t="s">
        <v>16</v>
      </c>
      <c r="K16" s="58" t="s">
        <v>29</v>
      </c>
      <c r="L16" s="59" t="s">
        <v>30</v>
      </c>
      <c r="M16" s="44"/>
      <c r="N16" s="45"/>
      <c r="O16" s="46"/>
      <c r="P16" s="57" t="s">
        <v>27</v>
      </c>
      <c r="Q16" s="58" t="s">
        <v>28</v>
      </c>
      <c r="R16" s="58" t="s">
        <v>23</v>
      </c>
      <c r="S16" s="58" t="s">
        <v>15</v>
      </c>
      <c r="T16" s="59" t="s">
        <v>30</v>
      </c>
      <c r="U16" s="47"/>
      <c r="V16" s="1"/>
      <c r="W16" s="48"/>
      <c r="X16" s="60" t="s">
        <v>31</v>
      </c>
      <c r="Y16" s="59" t="s">
        <v>32</v>
      </c>
      <c r="Z16" s="60" t="s">
        <v>31</v>
      </c>
      <c r="AA16" s="51" t="s">
        <v>33</v>
      </c>
      <c r="AB16" s="52"/>
    </row>
    <row r="17" spans="1:28" ht="15.75" thickBot="1">
      <c r="A17" s="1"/>
      <c r="B17" s="40"/>
      <c r="C17" s="61"/>
      <c r="D17" s="42"/>
      <c r="E17" s="1"/>
      <c r="F17" s="43"/>
      <c r="G17" s="62"/>
      <c r="H17" s="62"/>
      <c r="I17" s="62"/>
      <c r="J17" s="62"/>
      <c r="K17" s="62"/>
      <c r="L17" s="62"/>
      <c r="M17" s="63"/>
      <c r="N17" s="64"/>
      <c r="O17" s="65"/>
      <c r="P17" s="66"/>
      <c r="Q17" s="66"/>
      <c r="R17" s="66"/>
      <c r="S17" s="66"/>
      <c r="T17" s="66"/>
      <c r="U17" s="67"/>
      <c r="V17" s="68"/>
      <c r="W17" s="69"/>
      <c r="X17" s="70"/>
      <c r="Y17" s="71"/>
      <c r="Z17" s="71"/>
      <c r="AA17" s="70"/>
      <c r="AB17" s="52"/>
    </row>
    <row r="18" spans="1:28" ht="15.75" thickBot="1">
      <c r="A18" s="1"/>
      <c r="B18" s="48"/>
      <c r="C18" s="72">
        <f>'[1]RUS Loan Input'!B6</f>
        <v>42338</v>
      </c>
      <c r="D18" s="52"/>
      <c r="E18" s="1"/>
      <c r="F18" s="43"/>
      <c r="G18" s="73"/>
      <c r="H18" s="74">
        <f>SUM(H21:H52)</f>
        <v>-15694827.150000002</v>
      </c>
      <c r="I18" s="74">
        <f>SUM(I20:I79)</f>
        <v>-7648350.229999998</v>
      </c>
      <c r="J18" s="74">
        <f>SUM(J20:J79)</f>
        <v>717977.3200000002</v>
      </c>
      <c r="K18" s="74">
        <f>SUM(K20:K79)</f>
        <v>0</v>
      </c>
      <c r="L18" s="75">
        <f>SUM(L20:L79)</f>
        <v>-22625200.059999995</v>
      </c>
      <c r="M18" s="63">
        <f>SUM(M21:M79)</f>
        <v>-45968377.43999998</v>
      </c>
      <c r="N18" s="64"/>
      <c r="O18" s="65"/>
      <c r="P18" s="73"/>
      <c r="Q18" s="74">
        <f>SUM(Q20:Q77)</f>
        <v>-15691827.150000002</v>
      </c>
      <c r="R18" s="74">
        <f>SUM(R20:R77)</f>
        <v>-8528625.499999998</v>
      </c>
      <c r="S18" s="74">
        <f>SUM(S20:S77)</f>
        <v>0</v>
      </c>
      <c r="T18" s="75">
        <f>SUM(T20:T77)</f>
        <v>-24220452.649999995</v>
      </c>
      <c r="U18" s="67">
        <f>SUM(U20:U77)</f>
        <v>-32749078.150000002</v>
      </c>
      <c r="V18" s="68"/>
      <c r="W18" s="69"/>
      <c r="X18" s="76">
        <f>SUM(X20:X76)</f>
        <v>880275.2699999998</v>
      </c>
      <c r="Y18" s="77">
        <f>SUM(Y21:Y76)</f>
        <v>717977.3200000002</v>
      </c>
      <c r="Z18" s="76">
        <f>SUM(Z21:Z79)</f>
        <v>1595252.5899999992</v>
      </c>
      <c r="AA18" s="76">
        <f>SUM(AA21:AA79)</f>
        <v>590304.4459275081</v>
      </c>
      <c r="AB18" s="52"/>
    </row>
    <row r="19" spans="1:28" ht="15.75" thickBot="1">
      <c r="A19" s="1"/>
      <c r="B19" s="48"/>
      <c r="C19" s="61"/>
      <c r="D19" s="52"/>
      <c r="E19" s="1"/>
      <c r="F19" s="43"/>
      <c r="G19" s="78"/>
      <c r="H19" s="78"/>
      <c r="I19" s="78"/>
      <c r="J19" s="78"/>
      <c r="K19" s="78"/>
      <c r="L19" s="78"/>
      <c r="M19" s="79"/>
      <c r="N19" s="68"/>
      <c r="O19" s="80"/>
      <c r="P19" s="81"/>
      <c r="Q19" s="81"/>
      <c r="R19" s="81"/>
      <c r="S19" s="81"/>
      <c r="T19" s="81"/>
      <c r="U19" s="67"/>
      <c r="V19" s="68"/>
      <c r="W19" s="69"/>
      <c r="X19" s="82"/>
      <c r="Y19" s="83"/>
      <c r="Z19" s="83"/>
      <c r="AA19" s="82"/>
      <c r="AB19" s="52"/>
    </row>
    <row r="20" spans="1:28" ht="15">
      <c r="A20" s="1"/>
      <c r="B20" s="48"/>
      <c r="C20" s="84">
        <f>YEAR(C18)</f>
        <v>2015</v>
      </c>
      <c r="D20" s="52"/>
      <c r="E20" s="1"/>
      <c r="F20" s="43"/>
      <c r="G20" s="85">
        <v>15694827.15</v>
      </c>
      <c r="H20" s="86">
        <v>0</v>
      </c>
      <c r="I20" s="86">
        <v>0</v>
      </c>
      <c r="J20" s="86">
        <v>0</v>
      </c>
      <c r="K20" s="86">
        <v>0</v>
      </c>
      <c r="L20" s="87">
        <v>0</v>
      </c>
      <c r="M20" s="79">
        <v>0</v>
      </c>
      <c r="N20" s="68"/>
      <c r="O20" s="80"/>
      <c r="P20" s="85">
        <v>15691827.179230109</v>
      </c>
      <c r="Q20" s="86">
        <v>0</v>
      </c>
      <c r="R20" s="86">
        <v>0</v>
      </c>
      <c r="S20" s="86"/>
      <c r="T20" s="87">
        <v>0</v>
      </c>
      <c r="U20" s="67">
        <f aca="true" t="shared" si="0" ref="U20:U76">+R20+T20</f>
        <v>0</v>
      </c>
      <c r="V20" s="68"/>
      <c r="W20" s="69"/>
      <c r="X20" s="88">
        <v>0</v>
      </c>
      <c r="Y20" s="88">
        <v>0</v>
      </c>
      <c r="Z20" s="88">
        <v>0</v>
      </c>
      <c r="AA20" s="89">
        <v>0</v>
      </c>
      <c r="AB20" s="52"/>
    </row>
    <row r="21" spans="1:28" ht="15">
      <c r="A21" s="1"/>
      <c r="B21" s="48"/>
      <c r="C21" s="84">
        <f aca="true" t="shared" si="1" ref="C21:C54">+C20+1</f>
        <v>2016</v>
      </c>
      <c r="D21" s="52"/>
      <c r="E21" s="1"/>
      <c r="F21" s="43"/>
      <c r="G21" s="90">
        <v>15420391.83</v>
      </c>
      <c r="H21" s="91">
        <v>-274435.32</v>
      </c>
      <c r="I21" s="91">
        <v>-249826.02</v>
      </c>
      <c r="J21" s="91">
        <v>0</v>
      </c>
      <c r="K21" s="91">
        <v>0</v>
      </c>
      <c r="L21" s="89">
        <v>-524261.33999999997</v>
      </c>
      <c r="M21" s="79">
        <f aca="true" t="shared" si="2" ref="M21:M76">+H21+I21+L21</f>
        <v>-1048522.6799999999</v>
      </c>
      <c r="N21" s="68"/>
      <c r="O21" s="80"/>
      <c r="P21" s="90">
        <v>15479933.08</v>
      </c>
      <c r="Q21" s="91">
        <v>-211894.09</v>
      </c>
      <c r="R21" s="91">
        <v>-309358.74</v>
      </c>
      <c r="S21" s="91">
        <v>0</v>
      </c>
      <c r="T21" s="89">
        <v>-521252.82999999996</v>
      </c>
      <c r="U21" s="67">
        <f t="shared" si="0"/>
        <v>-830611.57</v>
      </c>
      <c r="V21" s="68"/>
      <c r="W21" s="69"/>
      <c r="X21" s="92">
        <v>59532.72</v>
      </c>
      <c r="Y21" s="92">
        <v>0</v>
      </c>
      <c r="Z21" s="92">
        <v>-3008.5100000000093</v>
      </c>
      <c r="AA21" s="92">
        <f>Z21/(1+0.0382)^1</f>
        <v>-2897.8135234059037</v>
      </c>
      <c r="AB21" s="52"/>
    </row>
    <row r="22" spans="1:28" ht="15">
      <c r="A22" s="1"/>
      <c r="B22" s="48"/>
      <c r="C22" s="84">
        <f t="shared" si="1"/>
        <v>2017</v>
      </c>
      <c r="D22" s="52"/>
      <c r="E22" s="1"/>
      <c r="F22" s="43"/>
      <c r="G22" s="90">
        <v>14914197.9</v>
      </c>
      <c r="H22" s="91">
        <v>-506193.93</v>
      </c>
      <c r="I22" s="91">
        <v>-561257</v>
      </c>
      <c r="J22" s="91">
        <v>25008.6</v>
      </c>
      <c r="K22" s="91">
        <v>0</v>
      </c>
      <c r="L22" s="89">
        <v>-1042442.33</v>
      </c>
      <c r="M22" s="79">
        <f t="shared" si="2"/>
        <v>-2109893.26</v>
      </c>
      <c r="N22" s="68"/>
      <c r="O22" s="80"/>
      <c r="P22" s="90">
        <v>15043476.69</v>
      </c>
      <c r="Q22" s="91">
        <v>-436456.41</v>
      </c>
      <c r="R22" s="91">
        <v>-606049.23</v>
      </c>
      <c r="S22" s="91">
        <v>0</v>
      </c>
      <c r="T22" s="89">
        <v>-1042505.6399999999</v>
      </c>
      <c r="U22" s="67">
        <f t="shared" si="0"/>
        <v>-1648554.8699999999</v>
      </c>
      <c r="V22" s="68"/>
      <c r="W22" s="69"/>
      <c r="X22" s="92">
        <v>44792.22999999998</v>
      </c>
      <c r="Y22" s="92">
        <v>25008.6</v>
      </c>
      <c r="Z22" s="92">
        <v>63.309999999939464</v>
      </c>
      <c r="AA22" s="92">
        <f>Z22/(1.0382)^2</f>
        <v>58.73679758030322</v>
      </c>
      <c r="AB22" s="52"/>
    </row>
    <row r="23" spans="1:28" ht="15">
      <c r="A23" s="1"/>
      <c r="B23" s="48"/>
      <c r="C23" s="84">
        <f t="shared" si="1"/>
        <v>2018</v>
      </c>
      <c r="D23" s="52"/>
      <c r="E23" s="1"/>
      <c r="F23" s="43"/>
      <c r="G23" s="90">
        <v>14393070.05</v>
      </c>
      <c r="H23" s="91">
        <v>-521127.85</v>
      </c>
      <c r="I23" s="91">
        <v>-547342.8</v>
      </c>
      <c r="J23" s="91">
        <v>26034.1</v>
      </c>
      <c r="K23" s="91">
        <v>0</v>
      </c>
      <c r="L23" s="89">
        <v>-1042436.5499999999</v>
      </c>
      <c r="M23" s="79">
        <f t="shared" si="2"/>
        <v>-2110907.1999999997</v>
      </c>
      <c r="N23" s="68"/>
      <c r="O23" s="80"/>
      <c r="P23" s="90">
        <v>14589924.29</v>
      </c>
      <c r="Q23" s="91">
        <v>-453552.37</v>
      </c>
      <c r="R23" s="91">
        <v>-588953.27</v>
      </c>
      <c r="S23" s="91">
        <v>0</v>
      </c>
      <c r="T23" s="89">
        <v>-1042505.64</v>
      </c>
      <c r="U23" s="67">
        <f t="shared" si="0"/>
        <v>-1631458.9100000001</v>
      </c>
      <c r="V23" s="68"/>
      <c r="W23" s="69"/>
      <c r="X23" s="92">
        <v>41610.46999999997</v>
      </c>
      <c r="Y23" s="92">
        <v>26034.1</v>
      </c>
      <c r="Z23" s="92">
        <v>69.09000000008382</v>
      </c>
      <c r="AA23" s="92">
        <f>Z23/(1+0.0382)^3</f>
        <v>61.74078102797496</v>
      </c>
      <c r="AB23" s="52"/>
    </row>
    <row r="24" spans="1:28" ht="15">
      <c r="A24" s="1"/>
      <c r="B24" s="48"/>
      <c r="C24" s="84">
        <f t="shared" si="1"/>
        <v>2019</v>
      </c>
      <c r="D24" s="52"/>
      <c r="E24" s="1"/>
      <c r="F24" s="43"/>
      <c r="G24" s="90">
        <v>13857848.44</v>
      </c>
      <c r="H24" s="91">
        <v>-535221.61</v>
      </c>
      <c r="I24" s="91">
        <v>-532569.73</v>
      </c>
      <c r="J24" s="91">
        <v>25363.59</v>
      </c>
      <c r="K24" s="91">
        <v>0</v>
      </c>
      <c r="L24" s="89">
        <v>-1042427.7499999999</v>
      </c>
      <c r="M24" s="79">
        <f t="shared" si="2"/>
        <v>-2110219.09</v>
      </c>
      <c r="N24" s="68"/>
      <c r="O24" s="80"/>
      <c r="P24" s="90">
        <v>14118399.37</v>
      </c>
      <c r="Q24" s="91">
        <v>-471524.93</v>
      </c>
      <c r="R24" s="91">
        <v>-570980.71</v>
      </c>
      <c r="S24" s="91">
        <v>0</v>
      </c>
      <c r="T24" s="89">
        <v>-1042505.6399999999</v>
      </c>
      <c r="U24" s="67">
        <f t="shared" si="0"/>
        <v>-1613486.3499999999</v>
      </c>
      <c r="V24" s="68"/>
      <c r="W24" s="69"/>
      <c r="X24" s="92">
        <v>38410.97999999998</v>
      </c>
      <c r="Y24" s="92">
        <v>25363.59</v>
      </c>
      <c r="Z24" s="92">
        <v>77.89000000001397</v>
      </c>
      <c r="AA24" s="92">
        <f>Z24/(1+0.0382)^4</f>
        <v>67.04364312728373</v>
      </c>
      <c r="AB24" s="52"/>
    </row>
    <row r="25" spans="1:28" ht="15">
      <c r="A25" s="1"/>
      <c r="B25" s="48"/>
      <c r="C25" s="84">
        <f t="shared" si="1"/>
        <v>2020</v>
      </c>
      <c r="D25" s="52"/>
      <c r="E25" s="1"/>
      <c r="F25" s="43"/>
      <c r="G25" s="90">
        <v>13308461.51</v>
      </c>
      <c r="H25" s="91">
        <v>-549386.93</v>
      </c>
      <c r="I25" s="91">
        <v>-517669.2</v>
      </c>
      <c r="J25" s="91">
        <v>24639.4</v>
      </c>
      <c r="K25" s="91">
        <v>0</v>
      </c>
      <c r="L25" s="89">
        <v>-1042416.7300000001</v>
      </c>
      <c r="M25" s="79">
        <f t="shared" si="2"/>
        <v>-2109472.8600000003</v>
      </c>
      <c r="N25" s="68"/>
      <c r="O25" s="80"/>
      <c r="P25" s="90">
        <v>13628303.95</v>
      </c>
      <c r="Q25" s="91">
        <v>-490095.41</v>
      </c>
      <c r="R25" s="91">
        <v>-552410.23</v>
      </c>
      <c r="S25" s="91">
        <v>0</v>
      </c>
      <c r="T25" s="89">
        <v>-1042505.6399999999</v>
      </c>
      <c r="U25" s="67">
        <f t="shared" si="0"/>
        <v>-1594915.8699999999</v>
      </c>
      <c r="V25" s="68"/>
      <c r="W25" s="69"/>
      <c r="X25" s="92">
        <v>34741.02999999997</v>
      </c>
      <c r="Y25" s="92">
        <v>24639.4</v>
      </c>
      <c r="Z25" s="92">
        <v>88.90999999979977</v>
      </c>
      <c r="AA25" s="92">
        <f>Z25/(1+0.0382)^5</f>
        <v>73.71323777361862</v>
      </c>
      <c r="AB25" s="52"/>
    </row>
    <row r="26" spans="1:28" ht="15">
      <c r="A26" s="1"/>
      <c r="B26" s="48"/>
      <c r="C26" s="84">
        <f t="shared" si="1"/>
        <v>2021</v>
      </c>
      <c r="D26" s="52"/>
      <c r="E26" s="1"/>
      <c r="F26" s="43"/>
      <c r="G26" s="90">
        <v>12740502.05</v>
      </c>
      <c r="H26" s="91">
        <v>-567959.46</v>
      </c>
      <c r="I26" s="91">
        <v>-498273.05</v>
      </c>
      <c r="J26" s="91">
        <v>23828.88</v>
      </c>
      <c r="K26" s="91">
        <v>0</v>
      </c>
      <c r="L26" s="89">
        <v>-1042403.63</v>
      </c>
      <c r="M26" s="79">
        <f t="shared" si="2"/>
        <v>-2108636.14</v>
      </c>
      <c r="N26" s="68"/>
      <c r="O26" s="80"/>
      <c r="P26" s="90">
        <v>13118372.11</v>
      </c>
      <c r="Q26" s="91">
        <v>-509931.84</v>
      </c>
      <c r="R26" s="91">
        <v>-532573.81</v>
      </c>
      <c r="S26" s="91">
        <v>0</v>
      </c>
      <c r="T26" s="89">
        <v>-1042505.6500000001</v>
      </c>
      <c r="U26" s="67">
        <f t="shared" si="0"/>
        <v>-1575079.4600000002</v>
      </c>
      <c r="V26" s="68"/>
      <c r="W26" s="69"/>
      <c r="X26" s="92">
        <v>34300.76000000007</v>
      </c>
      <c r="Y26" s="92">
        <v>23828.88</v>
      </c>
      <c r="Z26" s="92">
        <v>102.02000000013504</v>
      </c>
      <c r="AA26" s="92">
        <f>Z26/(1+0.0382)^6</f>
        <v>81.47027306407614</v>
      </c>
      <c r="AB26" s="52"/>
    </row>
    <row r="27" spans="1:28" ht="15">
      <c r="A27" s="1"/>
      <c r="B27" s="48"/>
      <c r="C27" s="84">
        <f t="shared" si="1"/>
        <v>2022</v>
      </c>
      <c r="D27" s="52"/>
      <c r="E27" s="1"/>
      <c r="F27" s="43"/>
      <c r="G27" s="90">
        <v>12154247.5</v>
      </c>
      <c r="H27" s="91">
        <v>-586254.55</v>
      </c>
      <c r="I27" s="91">
        <v>-479088.74</v>
      </c>
      <c r="J27" s="91">
        <v>22955.66</v>
      </c>
      <c r="K27" s="91">
        <v>0</v>
      </c>
      <c r="L27" s="89">
        <v>-1042387.63</v>
      </c>
      <c r="M27" s="79">
        <f t="shared" si="2"/>
        <v>-2107730.92</v>
      </c>
      <c r="N27" s="68"/>
      <c r="O27" s="80"/>
      <c r="P27" s="90">
        <v>12588183.38</v>
      </c>
      <c r="Q27" s="91">
        <v>-530188.72</v>
      </c>
      <c r="R27" s="91">
        <v>-512316.93</v>
      </c>
      <c r="S27" s="91">
        <v>0</v>
      </c>
      <c r="T27" s="89">
        <v>-1042505.6499999999</v>
      </c>
      <c r="U27" s="67">
        <f t="shared" si="0"/>
        <v>-1554822.5799999998</v>
      </c>
      <c r="V27" s="68"/>
      <c r="W27" s="69"/>
      <c r="X27" s="92">
        <v>33228.19</v>
      </c>
      <c r="Y27" s="92">
        <v>22955.66</v>
      </c>
      <c r="Z27" s="92">
        <v>118.01999999990221</v>
      </c>
      <c r="AA27" s="92">
        <f>Z27/(1+0.0382)^7</f>
        <v>90.77963631089642</v>
      </c>
      <c r="AB27" s="52"/>
    </row>
    <row r="28" spans="1:28" ht="15">
      <c r="A28" s="1"/>
      <c r="B28" s="48"/>
      <c r="C28" s="84">
        <f t="shared" si="1"/>
        <v>2023</v>
      </c>
      <c r="D28" s="52"/>
      <c r="E28" s="1"/>
      <c r="F28" s="43"/>
      <c r="G28" s="90">
        <v>11548650.87</v>
      </c>
      <c r="H28" s="91">
        <v>-605596.63</v>
      </c>
      <c r="I28" s="91">
        <v>-458799.28</v>
      </c>
      <c r="J28" s="91">
        <v>22027.47</v>
      </c>
      <c r="K28" s="91">
        <v>0</v>
      </c>
      <c r="L28" s="89">
        <v>-1042368.4400000002</v>
      </c>
      <c r="M28" s="79">
        <f t="shared" si="2"/>
        <v>-2106764.3500000006</v>
      </c>
      <c r="N28" s="68"/>
      <c r="O28" s="80"/>
      <c r="P28" s="90">
        <v>12036735.2</v>
      </c>
      <c r="Q28" s="91">
        <v>-551448.19</v>
      </c>
      <c r="R28" s="91">
        <v>-491057.45</v>
      </c>
      <c r="S28" s="91">
        <v>0</v>
      </c>
      <c r="T28" s="89">
        <v>-1042505.6399999999</v>
      </c>
      <c r="U28" s="67">
        <f t="shared" si="0"/>
        <v>-1533563.0899999999</v>
      </c>
      <c r="V28" s="68"/>
      <c r="W28" s="69"/>
      <c r="X28" s="92">
        <v>32258.169999999984</v>
      </c>
      <c r="Y28" s="92">
        <v>22027.47</v>
      </c>
      <c r="Z28" s="92">
        <v>137.1999999997206</v>
      </c>
      <c r="AA28" s="92">
        <f>Z28/(1+0.0382)^8</f>
        <v>101.649656416207</v>
      </c>
      <c r="AB28" s="52"/>
    </row>
    <row r="29" spans="1:28" ht="15">
      <c r="A29" s="1"/>
      <c r="B29" s="48"/>
      <c r="C29" s="84">
        <f t="shared" si="1"/>
        <v>2024</v>
      </c>
      <c r="D29" s="52"/>
      <c r="E29" s="1"/>
      <c r="F29" s="43"/>
      <c r="G29" s="90">
        <v>10923843.6</v>
      </c>
      <c r="H29" s="91">
        <v>-624807.27</v>
      </c>
      <c r="I29" s="91">
        <v>-438588.82</v>
      </c>
      <c r="J29" s="91">
        <v>21051.17</v>
      </c>
      <c r="K29" s="91">
        <v>0</v>
      </c>
      <c r="L29" s="89">
        <v>-1042344.92</v>
      </c>
      <c r="M29" s="79">
        <f t="shared" si="2"/>
        <v>-2105741.0100000002</v>
      </c>
      <c r="N29" s="68"/>
      <c r="O29" s="80"/>
      <c r="P29" s="90">
        <v>11463260.41</v>
      </c>
      <c r="Q29" s="91">
        <v>-573474.77</v>
      </c>
      <c r="R29" s="91">
        <v>-469030.87</v>
      </c>
      <c r="S29" s="91">
        <v>0</v>
      </c>
      <c r="T29" s="89">
        <v>-1042505.64</v>
      </c>
      <c r="U29" s="67">
        <f t="shared" si="0"/>
        <v>-1511536.51</v>
      </c>
      <c r="V29" s="68"/>
      <c r="W29" s="69"/>
      <c r="X29" s="92">
        <v>30442.04999999999</v>
      </c>
      <c r="Y29" s="92">
        <v>21051.17</v>
      </c>
      <c r="Z29" s="92">
        <v>160.71999999997206</v>
      </c>
      <c r="AA29" s="92">
        <f>Z29/(1+0.0382)^9</f>
        <v>114.69400096519385</v>
      </c>
      <c r="AB29" s="52"/>
    </row>
    <row r="30" spans="1:28" ht="15">
      <c r="A30" s="1"/>
      <c r="B30" s="48"/>
      <c r="C30" s="84">
        <f t="shared" si="1"/>
        <v>2025</v>
      </c>
      <c r="D30" s="52"/>
      <c r="E30" s="1"/>
      <c r="F30" s="43"/>
      <c r="G30" s="90">
        <v>10276336.44</v>
      </c>
      <c r="H30" s="91">
        <v>-647507.16</v>
      </c>
      <c r="I30" s="91">
        <v>-414828.29</v>
      </c>
      <c r="J30" s="91">
        <v>20017.81</v>
      </c>
      <c r="K30" s="91">
        <v>0</v>
      </c>
      <c r="L30" s="89">
        <v>-1042317.6399999999</v>
      </c>
      <c r="M30" s="79">
        <f t="shared" si="2"/>
        <v>-2104653.09</v>
      </c>
      <c r="N30" s="68"/>
      <c r="O30" s="80"/>
      <c r="P30" s="90">
        <v>10866395.8</v>
      </c>
      <c r="Q30" s="91">
        <v>-596864.62</v>
      </c>
      <c r="R30" s="91">
        <v>-445641.02</v>
      </c>
      <c r="S30" s="91">
        <v>0</v>
      </c>
      <c r="T30" s="89">
        <v>-1042505.64</v>
      </c>
      <c r="U30" s="67">
        <f t="shared" si="0"/>
        <v>-1488146.6600000001</v>
      </c>
      <c r="V30" s="68"/>
      <c r="W30" s="69"/>
      <c r="X30" s="92">
        <v>30812.73000000004</v>
      </c>
      <c r="Y30" s="92">
        <v>20017.81</v>
      </c>
      <c r="Z30" s="92">
        <v>188.00000000011642</v>
      </c>
      <c r="AA30" s="92">
        <f>Z30/(1+0.0382)^10</f>
        <v>129.22531629647867</v>
      </c>
      <c r="AB30" s="52"/>
    </row>
    <row r="31" spans="1:28" ht="15">
      <c r="A31" s="1"/>
      <c r="B31" s="48"/>
      <c r="C31" s="84">
        <f t="shared" si="1"/>
        <v>2026</v>
      </c>
      <c r="D31" s="52"/>
      <c r="E31" s="1"/>
      <c r="F31" s="43"/>
      <c r="G31" s="90">
        <v>9606213.14</v>
      </c>
      <c r="H31" s="91">
        <v>-670123.3</v>
      </c>
      <c r="I31" s="91">
        <v>-391091.23</v>
      </c>
      <c r="J31" s="91">
        <v>18929.92</v>
      </c>
      <c r="K31" s="91">
        <v>0</v>
      </c>
      <c r="L31" s="89">
        <v>-1042284.61</v>
      </c>
      <c r="M31" s="79">
        <f t="shared" si="2"/>
        <v>-2103499.14</v>
      </c>
      <c r="N31" s="68"/>
      <c r="O31" s="80"/>
      <c r="P31" s="90">
        <v>10245497.68</v>
      </c>
      <c r="Q31" s="91">
        <v>-620898.12</v>
      </c>
      <c r="R31" s="91">
        <v>-421607.52</v>
      </c>
      <c r="S31" s="91">
        <v>0</v>
      </c>
      <c r="T31" s="89">
        <v>-1042505.64</v>
      </c>
      <c r="U31" s="67">
        <f t="shared" si="0"/>
        <v>-1464113.1600000001</v>
      </c>
      <c r="V31" s="68"/>
      <c r="W31" s="69"/>
      <c r="X31" s="92">
        <v>30516.290000000037</v>
      </c>
      <c r="Y31" s="92">
        <v>18929.92</v>
      </c>
      <c r="Z31" s="92">
        <v>221.03000000002794</v>
      </c>
      <c r="AA31" s="92">
        <f>Z31/(1+0.0382)^11</f>
        <v>146.33895644362275</v>
      </c>
      <c r="AB31" s="52"/>
    </row>
    <row r="32" spans="1:28" ht="15">
      <c r="A32" s="1"/>
      <c r="B32" s="48"/>
      <c r="C32" s="84">
        <f t="shared" si="1"/>
        <v>2027</v>
      </c>
      <c r="D32" s="52"/>
      <c r="E32" s="1"/>
      <c r="F32" s="43"/>
      <c r="G32" s="90">
        <v>8912361.06</v>
      </c>
      <c r="H32" s="91">
        <v>-693852.08</v>
      </c>
      <c r="I32" s="91">
        <v>-366181.28</v>
      </c>
      <c r="J32" s="91">
        <v>17788.03</v>
      </c>
      <c r="K32" s="91">
        <v>0</v>
      </c>
      <c r="L32" s="89">
        <v>-1042245.3299999998</v>
      </c>
      <c r="M32" s="79">
        <f t="shared" si="2"/>
        <v>-2102278.6899999995</v>
      </c>
      <c r="N32" s="68"/>
      <c r="O32" s="80"/>
      <c r="P32" s="90">
        <v>9599411.34</v>
      </c>
      <c r="Q32" s="91">
        <v>-646086.36</v>
      </c>
      <c r="R32" s="91">
        <v>-396419.29</v>
      </c>
      <c r="S32" s="91">
        <v>0</v>
      </c>
      <c r="T32" s="89">
        <v>-1042505.6499999999</v>
      </c>
      <c r="U32" s="67">
        <f t="shared" si="0"/>
        <v>-1438924.94</v>
      </c>
      <c r="V32" s="68"/>
      <c r="W32" s="69"/>
      <c r="X32" s="92">
        <v>30238.00999999995</v>
      </c>
      <c r="Y32" s="92">
        <v>17788.03</v>
      </c>
      <c r="Z32" s="92">
        <v>260.3200000000652</v>
      </c>
      <c r="AA32" s="92">
        <f>Z32/(1+0.0382)^12</f>
        <v>166.01037900675666</v>
      </c>
      <c r="AB32" s="52"/>
    </row>
    <row r="33" spans="1:28" ht="15">
      <c r="A33" s="1"/>
      <c r="B33" s="48"/>
      <c r="C33" s="84">
        <f t="shared" si="1"/>
        <v>2028</v>
      </c>
      <c r="D33" s="52"/>
      <c r="E33" s="1"/>
      <c r="F33" s="43"/>
      <c r="G33" s="90">
        <v>8194504.71</v>
      </c>
      <c r="H33" s="91">
        <v>-717856.35</v>
      </c>
      <c r="I33" s="91">
        <v>-340931.05</v>
      </c>
      <c r="J33" s="91">
        <v>16589.67</v>
      </c>
      <c r="K33" s="91">
        <v>0</v>
      </c>
      <c r="L33" s="89">
        <v>-1042197.7299999999</v>
      </c>
      <c r="M33" s="79">
        <f t="shared" si="2"/>
        <v>-2100985.13</v>
      </c>
      <c r="N33" s="68"/>
      <c r="O33" s="80"/>
      <c r="P33" s="90">
        <v>8927166.14</v>
      </c>
      <c r="Q33" s="91">
        <v>-672245.19</v>
      </c>
      <c r="R33" s="91">
        <v>-370260.45</v>
      </c>
      <c r="S33" s="91">
        <v>0</v>
      </c>
      <c r="T33" s="89">
        <v>-1042505.6399999999</v>
      </c>
      <c r="U33" s="67">
        <f t="shared" si="0"/>
        <v>-1412766.0899999999</v>
      </c>
      <c r="V33" s="68"/>
      <c r="W33" s="69"/>
      <c r="X33" s="92">
        <v>29329.400000000023</v>
      </c>
      <c r="Y33" s="92">
        <v>16589.67</v>
      </c>
      <c r="Z33" s="92">
        <v>307.9100000000326</v>
      </c>
      <c r="AA33" s="92">
        <f>Z33/(1+0.0382)^13</f>
        <v>189.13437762285199</v>
      </c>
      <c r="AB33" s="52"/>
    </row>
    <row r="34" spans="1:28" ht="15">
      <c r="A34" s="1"/>
      <c r="B34" s="48"/>
      <c r="C34" s="84">
        <f t="shared" si="1"/>
        <v>2029</v>
      </c>
      <c r="D34" s="52"/>
      <c r="E34" s="1"/>
      <c r="F34" s="43"/>
      <c r="G34" s="90">
        <v>7456431.16</v>
      </c>
      <c r="H34" s="91">
        <v>-738073.55</v>
      </c>
      <c r="I34" s="91">
        <v>-312707.8</v>
      </c>
      <c r="J34" s="91">
        <v>15333.4</v>
      </c>
      <c r="K34" s="91">
        <v>0</v>
      </c>
      <c r="L34" s="89">
        <v>-1035447.9500000001</v>
      </c>
      <c r="M34" s="79">
        <f t="shared" si="2"/>
        <v>-2086229.3000000003</v>
      </c>
      <c r="N34" s="68"/>
      <c r="O34" s="80"/>
      <c r="P34" s="90">
        <v>8233983.14</v>
      </c>
      <c r="Q34" s="91">
        <v>-693182.99</v>
      </c>
      <c r="R34" s="91">
        <v>-342627.04</v>
      </c>
      <c r="S34" s="91">
        <v>0</v>
      </c>
      <c r="T34" s="89">
        <v>-1035810.03</v>
      </c>
      <c r="U34" s="67">
        <f t="shared" si="0"/>
        <v>-1378437.07</v>
      </c>
      <c r="V34" s="68"/>
      <c r="W34" s="69"/>
      <c r="X34" s="92">
        <v>29919.23999999999</v>
      </c>
      <c r="Y34" s="92">
        <v>15333.4</v>
      </c>
      <c r="Z34" s="92">
        <v>362.0799999999581</v>
      </c>
      <c r="AA34" s="92">
        <f>Z34/(1+0.0382)^14</f>
        <v>214.22502047477963</v>
      </c>
      <c r="AB34" s="52"/>
    </row>
    <row r="35" spans="1:28" ht="15">
      <c r="A35" s="1"/>
      <c r="B35" s="48"/>
      <c r="C35" s="84">
        <f t="shared" si="1"/>
        <v>2030</v>
      </c>
      <c r="D35" s="52"/>
      <c r="E35" s="1"/>
      <c r="F35" s="43"/>
      <c r="G35" s="90">
        <v>6790948.78</v>
      </c>
      <c r="H35" s="91">
        <v>-665482.38</v>
      </c>
      <c r="I35" s="91">
        <v>-285564.47</v>
      </c>
      <c r="J35" s="91">
        <v>14033.41</v>
      </c>
      <c r="K35" s="91">
        <v>0</v>
      </c>
      <c r="L35" s="89">
        <v>-937013.44</v>
      </c>
      <c r="M35" s="79">
        <f t="shared" si="2"/>
        <v>-1888060.29</v>
      </c>
      <c r="N35" s="68"/>
      <c r="O35" s="80"/>
      <c r="P35" s="90">
        <v>7613181.27</v>
      </c>
      <c r="Q35" s="91">
        <v>-620801.87</v>
      </c>
      <c r="R35" s="91">
        <v>-316638.35</v>
      </c>
      <c r="S35" s="91">
        <v>0</v>
      </c>
      <c r="T35" s="89">
        <v>-937440.22</v>
      </c>
      <c r="U35" s="67">
        <f t="shared" si="0"/>
        <v>-1254078.5699999998</v>
      </c>
      <c r="V35" s="68"/>
      <c r="W35" s="69"/>
      <c r="X35" s="92">
        <v>31073.880000000005</v>
      </c>
      <c r="Y35" s="92">
        <v>14033.41</v>
      </c>
      <c r="Z35" s="92">
        <v>426.78000000002794</v>
      </c>
      <c r="AA35" s="92">
        <f>Z35/(1+0.0382)^15</f>
        <v>243.21406751233195</v>
      </c>
      <c r="AB35" s="52"/>
    </row>
    <row r="36" spans="1:28" ht="15">
      <c r="A36" s="1"/>
      <c r="B36" s="48"/>
      <c r="C36" s="84">
        <f t="shared" si="1"/>
        <v>2031</v>
      </c>
      <c r="D36" s="52"/>
      <c r="E36" s="1"/>
      <c r="F36" s="43"/>
      <c r="G36" s="90">
        <v>6100663.1</v>
      </c>
      <c r="H36" s="91">
        <v>-690285.68</v>
      </c>
      <c r="I36" s="91">
        <v>-259460.81</v>
      </c>
      <c r="J36" s="91">
        <v>12804.92</v>
      </c>
      <c r="K36" s="91">
        <v>0</v>
      </c>
      <c r="L36" s="89">
        <v>-936941.57</v>
      </c>
      <c r="M36" s="79">
        <f t="shared" si="2"/>
        <v>-1886688.06</v>
      </c>
      <c r="N36" s="68"/>
      <c r="O36" s="80"/>
      <c r="P36" s="90">
        <v>6967372.84</v>
      </c>
      <c r="Q36" s="91">
        <v>-645808.42</v>
      </c>
      <c r="R36" s="91">
        <v>-291635.64</v>
      </c>
      <c r="S36" s="91">
        <v>0</v>
      </c>
      <c r="T36" s="89">
        <v>-937444.06</v>
      </c>
      <c r="U36" s="67">
        <f t="shared" si="0"/>
        <v>-1229079.7000000002</v>
      </c>
      <c r="V36" s="68"/>
      <c r="W36" s="69"/>
      <c r="X36" s="92">
        <v>32174.830000000016</v>
      </c>
      <c r="Y36" s="92">
        <v>12804.92</v>
      </c>
      <c r="Z36" s="92">
        <v>502.4900000001071</v>
      </c>
      <c r="AA36" s="92">
        <f>Z36/(1+0.0382)^16</f>
        <v>275.8233511274031</v>
      </c>
      <c r="AB36" s="52">
        <v>18</v>
      </c>
    </row>
    <row r="37" spans="1:28" ht="15">
      <c r="A37" s="1"/>
      <c r="B37" s="48"/>
      <c r="C37" s="84">
        <f t="shared" si="1"/>
        <v>2032</v>
      </c>
      <c r="D37" s="52"/>
      <c r="E37" s="1"/>
      <c r="F37" s="43"/>
      <c r="G37" s="90">
        <v>5385021.67</v>
      </c>
      <c r="H37" s="91">
        <v>-715641.43</v>
      </c>
      <c r="I37" s="91">
        <v>-232759.89</v>
      </c>
      <c r="J37" s="91">
        <v>11549.44</v>
      </c>
      <c r="K37" s="91">
        <v>0</v>
      </c>
      <c r="L37" s="89">
        <v>-936851.8800000001</v>
      </c>
      <c r="M37" s="79">
        <f t="shared" si="2"/>
        <v>-1885253.2000000002</v>
      </c>
      <c r="N37" s="68"/>
      <c r="O37" s="80"/>
      <c r="P37" s="90">
        <v>6295610.34</v>
      </c>
      <c r="Q37" s="91">
        <v>-671762.5</v>
      </c>
      <c r="R37" s="91">
        <v>-265681.56</v>
      </c>
      <c r="S37" s="91">
        <v>0</v>
      </c>
      <c r="T37" s="89">
        <v>-937444.06</v>
      </c>
      <c r="U37" s="67">
        <f t="shared" si="0"/>
        <v>-1203125.62</v>
      </c>
      <c r="V37" s="68"/>
      <c r="W37" s="69"/>
      <c r="X37" s="92">
        <v>32921.669999999984</v>
      </c>
      <c r="Y37" s="92">
        <v>11549.44</v>
      </c>
      <c r="Z37" s="92">
        <v>592.1799999999348</v>
      </c>
      <c r="AA37" s="92">
        <f>Z37/(1+0.0382)^17</f>
        <v>313.0951342770962</v>
      </c>
      <c r="AB37" s="52"/>
    </row>
    <row r="38" spans="1:28" ht="15">
      <c r="A38" s="1"/>
      <c r="B38" s="48"/>
      <c r="C38" s="84">
        <f t="shared" si="1"/>
        <v>2033</v>
      </c>
      <c r="D38" s="52"/>
      <c r="E38" s="1"/>
      <c r="F38" s="43"/>
      <c r="G38" s="90">
        <v>4641749.44</v>
      </c>
      <c r="H38" s="91">
        <v>-743272.23</v>
      </c>
      <c r="I38" s="91">
        <v>-203723.89</v>
      </c>
      <c r="J38" s="91">
        <v>10243.4</v>
      </c>
      <c r="K38" s="91">
        <v>0</v>
      </c>
      <c r="L38" s="89">
        <v>-936752.72</v>
      </c>
      <c r="M38" s="79">
        <f t="shared" si="2"/>
        <v>-1883748.8399999999</v>
      </c>
      <c r="N38" s="68"/>
      <c r="O38" s="80"/>
      <c r="P38" s="90">
        <v>5596547.62</v>
      </c>
      <c r="Q38" s="91">
        <v>-699062.73</v>
      </c>
      <c r="R38" s="91">
        <v>-238381.33</v>
      </c>
      <c r="S38" s="91">
        <v>0</v>
      </c>
      <c r="T38" s="89">
        <v>-937444.0599999999</v>
      </c>
      <c r="U38" s="67">
        <f t="shared" si="0"/>
        <v>-1175825.39</v>
      </c>
      <c r="V38" s="68"/>
      <c r="W38" s="69"/>
      <c r="X38" s="92">
        <v>34657.43999999997</v>
      </c>
      <c r="Y38" s="92">
        <v>10243.4</v>
      </c>
      <c r="Z38" s="92">
        <v>691.3399999999674</v>
      </c>
      <c r="AA38" s="92">
        <f>Z38/(1+0.0382)^18</f>
        <v>352.0734236913674</v>
      </c>
      <c r="AB38" s="52"/>
    </row>
    <row r="39" spans="1:28" ht="15">
      <c r="A39" s="1"/>
      <c r="B39" s="48"/>
      <c r="C39" s="84">
        <f t="shared" si="1"/>
        <v>2034</v>
      </c>
      <c r="D39" s="52"/>
      <c r="E39" s="1"/>
      <c r="F39" s="43"/>
      <c r="G39" s="90">
        <v>3870186.96</v>
      </c>
      <c r="H39" s="91">
        <v>-771562.48</v>
      </c>
      <c r="I39" s="91">
        <v>-173949.01</v>
      </c>
      <c r="J39" s="91">
        <v>8874.39</v>
      </c>
      <c r="K39" s="91">
        <v>0</v>
      </c>
      <c r="L39" s="89">
        <v>-936637.1</v>
      </c>
      <c r="M39" s="79">
        <f t="shared" si="2"/>
        <v>-1882148.5899999999</v>
      </c>
      <c r="N39" s="68"/>
      <c r="O39" s="80"/>
      <c r="P39" s="90">
        <v>4869255.04</v>
      </c>
      <c r="Q39" s="91">
        <v>-727292.58</v>
      </c>
      <c r="R39" s="91">
        <v>-210151.49</v>
      </c>
      <c r="S39" s="91">
        <v>0</v>
      </c>
      <c r="T39" s="89">
        <v>-937444.07</v>
      </c>
      <c r="U39" s="67">
        <f t="shared" si="0"/>
        <v>-1147595.56</v>
      </c>
      <c r="V39" s="68"/>
      <c r="W39" s="69"/>
      <c r="X39" s="92">
        <v>36202.47999999998</v>
      </c>
      <c r="Y39" s="92">
        <v>8874.39</v>
      </c>
      <c r="Z39" s="92">
        <v>806.9699999999721</v>
      </c>
      <c r="AA39" s="92">
        <f>Z39/(1+0.0382)^19</f>
        <v>395.8384007481821</v>
      </c>
      <c r="AB39" s="52"/>
    </row>
    <row r="40" spans="1:28" ht="15">
      <c r="A40" s="1"/>
      <c r="B40" s="48"/>
      <c r="C40" s="84">
        <f t="shared" si="1"/>
        <v>2035</v>
      </c>
      <c r="D40" s="52"/>
      <c r="E40" s="1"/>
      <c r="F40" s="43"/>
      <c r="G40" s="90">
        <v>3069123.9</v>
      </c>
      <c r="H40" s="91">
        <v>-801063.06</v>
      </c>
      <c r="I40" s="91">
        <v>-142891.17</v>
      </c>
      <c r="J40" s="91">
        <v>7448.63</v>
      </c>
      <c r="K40" s="91">
        <v>0</v>
      </c>
      <c r="L40" s="89">
        <v>-936505.6000000001</v>
      </c>
      <c r="M40" s="79">
        <f t="shared" si="2"/>
        <v>-1880459.83</v>
      </c>
      <c r="N40" s="68"/>
      <c r="O40" s="80"/>
      <c r="P40" s="90">
        <v>4112483.27</v>
      </c>
      <c r="Q40" s="91">
        <v>-756771.77</v>
      </c>
      <c r="R40" s="91">
        <v>-180672.3</v>
      </c>
      <c r="S40" s="91">
        <v>0</v>
      </c>
      <c r="T40" s="89">
        <v>-937444.0700000001</v>
      </c>
      <c r="U40" s="67">
        <f t="shared" si="0"/>
        <v>-1118116.37</v>
      </c>
      <c r="V40" s="68"/>
      <c r="W40" s="69"/>
      <c r="X40" s="92">
        <v>37781.129999999976</v>
      </c>
      <c r="Y40" s="92">
        <v>7448.63</v>
      </c>
      <c r="Z40" s="92">
        <v>938.4699999999721</v>
      </c>
      <c r="AA40" s="92">
        <f>Z40/(1+0.0382)^20</f>
        <v>443.40430286782873</v>
      </c>
      <c r="AB40" s="52"/>
    </row>
    <row r="41" spans="1:28" ht="15">
      <c r="A41" s="1"/>
      <c r="B41" s="48"/>
      <c r="C41" s="84">
        <f t="shared" si="1"/>
        <v>2036</v>
      </c>
      <c r="D41" s="52"/>
      <c r="E41" s="1"/>
      <c r="F41" s="43"/>
      <c r="G41" s="90">
        <v>2237455.42</v>
      </c>
      <c r="H41" s="91">
        <v>-831668.48</v>
      </c>
      <c r="I41" s="91">
        <v>-110638.56</v>
      </c>
      <c r="J41" s="91">
        <v>5954.35</v>
      </c>
      <c r="K41" s="91">
        <v>0</v>
      </c>
      <c r="L41" s="89">
        <v>-936352.6900000001</v>
      </c>
      <c r="M41" s="79">
        <f t="shared" si="2"/>
        <v>-1878659.73</v>
      </c>
      <c r="N41" s="68"/>
      <c r="O41" s="80"/>
      <c r="P41" s="90">
        <v>3325059.62</v>
      </c>
      <c r="Q41" s="91">
        <v>-787423.64</v>
      </c>
      <c r="R41" s="91">
        <v>-150020.43</v>
      </c>
      <c r="S41" s="91">
        <v>0</v>
      </c>
      <c r="T41" s="89">
        <v>-937444.0700000001</v>
      </c>
      <c r="U41" s="67">
        <f t="shared" si="0"/>
        <v>-1087464.5</v>
      </c>
      <c r="V41" s="68"/>
      <c r="W41" s="69"/>
      <c r="X41" s="92">
        <v>39381.869999999995</v>
      </c>
      <c r="Y41" s="92">
        <v>5954.35</v>
      </c>
      <c r="Z41" s="92">
        <v>1091.3800000000047</v>
      </c>
      <c r="AA41" s="92">
        <f>Z41/(1+0.0382)^21</f>
        <v>496.67748746004054</v>
      </c>
      <c r="AB41" s="52"/>
    </row>
    <row r="42" spans="1:28" ht="15">
      <c r="A42" s="1"/>
      <c r="B42" s="48"/>
      <c r="C42" s="84">
        <f t="shared" si="1"/>
        <v>2037</v>
      </c>
      <c r="D42" s="52"/>
      <c r="E42" s="1"/>
      <c r="F42" s="43"/>
      <c r="G42" s="90">
        <v>1373514.29</v>
      </c>
      <c r="H42" s="91">
        <v>-863941.13</v>
      </c>
      <c r="I42" s="91">
        <v>-76646.55</v>
      </c>
      <c r="J42" s="91">
        <v>4399.29</v>
      </c>
      <c r="K42" s="91">
        <v>0</v>
      </c>
      <c r="L42" s="89">
        <v>-936188.39</v>
      </c>
      <c r="M42" s="79">
        <f t="shared" si="2"/>
        <v>-1876776.07</v>
      </c>
      <c r="N42" s="68"/>
      <c r="O42" s="80"/>
      <c r="P42" s="90">
        <v>2505517.57</v>
      </c>
      <c r="Q42" s="91">
        <v>-819542.06</v>
      </c>
      <c r="R42" s="91">
        <v>-117902</v>
      </c>
      <c r="S42" s="91">
        <v>0</v>
      </c>
      <c r="T42" s="89">
        <v>-937444.06</v>
      </c>
      <c r="U42" s="67">
        <f t="shared" si="0"/>
        <v>-1055346.06</v>
      </c>
      <c r="V42" s="68"/>
      <c r="W42" s="69"/>
      <c r="X42" s="92">
        <v>41255.45</v>
      </c>
      <c r="Y42" s="92">
        <v>4399.29</v>
      </c>
      <c r="Z42" s="92">
        <v>1255.670000000042</v>
      </c>
      <c r="AA42" s="92">
        <f>Z42/(1+0.0382)^22</f>
        <v>550.4184442085319</v>
      </c>
      <c r="AB42" s="52"/>
    </row>
    <row r="43" spans="1:28" ht="15">
      <c r="A43" s="1"/>
      <c r="B43" s="48"/>
      <c r="C43" s="84">
        <f t="shared" si="1"/>
        <v>2038</v>
      </c>
      <c r="D43" s="52"/>
      <c r="E43" s="1"/>
      <c r="F43" s="43"/>
      <c r="G43" s="90">
        <v>476322.87</v>
      </c>
      <c r="H43" s="91">
        <v>-897191.42</v>
      </c>
      <c r="I43" s="91">
        <v>-41594.28</v>
      </c>
      <c r="J43" s="91">
        <v>2784.1</v>
      </c>
      <c r="K43" s="91">
        <v>0</v>
      </c>
      <c r="L43" s="89">
        <v>-936001.6000000001</v>
      </c>
      <c r="M43" s="79">
        <f t="shared" si="2"/>
        <v>-1874787.3000000003</v>
      </c>
      <c r="N43" s="68"/>
      <c r="O43" s="80"/>
      <c r="P43" s="90">
        <v>1652633.91</v>
      </c>
      <c r="Q43" s="91">
        <v>-852883.66</v>
      </c>
      <c r="R43" s="91">
        <v>-84560.4</v>
      </c>
      <c r="S43" s="91">
        <v>0</v>
      </c>
      <c r="T43" s="89">
        <v>-937444.06</v>
      </c>
      <c r="U43" s="67">
        <f t="shared" si="0"/>
        <v>-1022004.4600000001</v>
      </c>
      <c r="V43" s="68"/>
      <c r="W43" s="69"/>
      <c r="X43" s="92">
        <v>42966.119999999995</v>
      </c>
      <c r="Y43" s="92">
        <v>2784.1</v>
      </c>
      <c r="Z43" s="92">
        <v>1442.4599999999627</v>
      </c>
      <c r="AA43" s="92">
        <f>Z43/(1+0.0382)^23</f>
        <v>609.0321433804365</v>
      </c>
      <c r="AB43" s="52"/>
    </row>
    <row r="44" spans="1:28" ht="15">
      <c r="A44" s="1"/>
      <c r="B44" s="48"/>
      <c r="C44" s="84">
        <f t="shared" si="1"/>
        <v>2039</v>
      </c>
      <c r="D44" s="52"/>
      <c r="E44" s="1"/>
      <c r="F44" s="43"/>
      <c r="G44" s="90">
        <v>0</v>
      </c>
      <c r="H44" s="91">
        <v>-476322.87</v>
      </c>
      <c r="I44" s="91">
        <v>-11967.31</v>
      </c>
      <c r="J44" s="91">
        <v>1159.32</v>
      </c>
      <c r="K44" s="91">
        <v>0</v>
      </c>
      <c r="L44" s="89">
        <v>-487130.86</v>
      </c>
      <c r="M44" s="79">
        <f t="shared" si="2"/>
        <v>-975421.04</v>
      </c>
      <c r="N44" s="68"/>
      <c r="O44" s="80"/>
      <c r="P44" s="90">
        <v>764965.77</v>
      </c>
      <c r="Q44" s="91">
        <v>-887668.14</v>
      </c>
      <c r="R44" s="91">
        <v>-49775.92</v>
      </c>
      <c r="S44" s="91">
        <v>0</v>
      </c>
      <c r="T44" s="89">
        <v>-937444.06</v>
      </c>
      <c r="U44" s="67">
        <f t="shared" si="0"/>
        <v>-987219.9800000001</v>
      </c>
      <c r="V44" s="68"/>
      <c r="W44" s="69"/>
      <c r="X44" s="92">
        <v>37808.61</v>
      </c>
      <c r="Y44" s="92">
        <v>1159.32</v>
      </c>
      <c r="Z44" s="92">
        <v>450313.20000000007</v>
      </c>
      <c r="AA44" s="92">
        <f>Z44/(1+0.0382)^24</f>
        <v>183134.46689771468</v>
      </c>
      <c r="AB44" s="52"/>
    </row>
    <row r="45" spans="1:28" ht="15">
      <c r="A45" s="1"/>
      <c r="B45" s="48"/>
      <c r="C45" s="84">
        <f t="shared" si="1"/>
        <v>2040</v>
      </c>
      <c r="D45" s="52"/>
      <c r="E45" s="1"/>
      <c r="F45" s="43"/>
      <c r="G45" s="90">
        <v>0</v>
      </c>
      <c r="H45" s="91">
        <v>0</v>
      </c>
      <c r="I45" s="91">
        <v>0</v>
      </c>
      <c r="J45" s="91">
        <v>169.71</v>
      </c>
      <c r="K45" s="91">
        <v>0</v>
      </c>
      <c r="L45" s="89">
        <v>169.71</v>
      </c>
      <c r="M45" s="79">
        <f t="shared" si="2"/>
        <v>169.71</v>
      </c>
      <c r="N45" s="68"/>
      <c r="O45" s="80"/>
      <c r="P45" s="90">
        <v>0</v>
      </c>
      <c r="Q45" s="91">
        <v>-764965.77</v>
      </c>
      <c r="R45" s="91">
        <v>-13919.52</v>
      </c>
      <c r="S45" s="91">
        <v>0</v>
      </c>
      <c r="T45" s="89">
        <v>-778885.29</v>
      </c>
      <c r="U45" s="67">
        <f t="shared" si="0"/>
        <v>-792804.81</v>
      </c>
      <c r="V45" s="68"/>
      <c r="W45" s="69"/>
      <c r="X45" s="92">
        <v>13919.52</v>
      </c>
      <c r="Y45" s="92">
        <v>169.71</v>
      </c>
      <c r="Z45" s="92">
        <v>779055</v>
      </c>
      <c r="AA45" s="92">
        <f>Z45/(1+0.0382)^25</f>
        <v>305170.469370611</v>
      </c>
      <c r="AB45" s="52"/>
    </row>
    <row r="46" spans="1:28" ht="15">
      <c r="A46" s="1"/>
      <c r="B46" s="48"/>
      <c r="C46" s="84">
        <f t="shared" si="1"/>
        <v>2041</v>
      </c>
      <c r="D46" s="52"/>
      <c r="E46" s="1"/>
      <c r="F46" s="43"/>
      <c r="G46" s="90">
        <v>0</v>
      </c>
      <c r="H46" s="91">
        <v>0</v>
      </c>
      <c r="I46" s="91">
        <v>0</v>
      </c>
      <c r="J46" s="91">
        <v>0</v>
      </c>
      <c r="K46" s="91">
        <v>0</v>
      </c>
      <c r="L46" s="89">
        <v>0</v>
      </c>
      <c r="M46" s="79">
        <f t="shared" si="2"/>
        <v>0</v>
      </c>
      <c r="N46" s="68"/>
      <c r="O46" s="80"/>
      <c r="P46" s="90">
        <v>0</v>
      </c>
      <c r="Q46" s="91">
        <v>0</v>
      </c>
      <c r="R46" s="91">
        <v>0</v>
      </c>
      <c r="S46" s="91">
        <v>0</v>
      </c>
      <c r="T46" s="89">
        <v>0</v>
      </c>
      <c r="U46" s="67">
        <f t="shared" si="0"/>
        <v>0</v>
      </c>
      <c r="V46" s="68"/>
      <c r="W46" s="69"/>
      <c r="X46" s="92">
        <v>0</v>
      </c>
      <c r="Y46" s="92">
        <v>0</v>
      </c>
      <c r="Z46" s="92">
        <v>0</v>
      </c>
      <c r="AA46" s="92">
        <f>Z46/(1+0.0382)^26</f>
        <v>0</v>
      </c>
      <c r="AB46" s="52"/>
    </row>
    <row r="47" spans="1:28" ht="15">
      <c r="A47" s="1"/>
      <c r="B47" s="48"/>
      <c r="C47" s="84">
        <f t="shared" si="1"/>
        <v>2042</v>
      </c>
      <c r="D47" s="52"/>
      <c r="E47" s="1"/>
      <c r="F47" s="43"/>
      <c r="G47" s="90">
        <v>0</v>
      </c>
      <c r="H47" s="91">
        <v>0</v>
      </c>
      <c r="I47" s="91">
        <v>0</v>
      </c>
      <c r="J47" s="91">
        <v>25008.6</v>
      </c>
      <c r="K47" s="91">
        <v>0</v>
      </c>
      <c r="L47" s="89">
        <v>25008.6</v>
      </c>
      <c r="M47" s="79">
        <f t="shared" si="2"/>
        <v>25008.6</v>
      </c>
      <c r="N47" s="68"/>
      <c r="O47" s="80"/>
      <c r="P47" s="90">
        <v>0</v>
      </c>
      <c r="Q47" s="91">
        <v>0</v>
      </c>
      <c r="R47" s="91">
        <v>0</v>
      </c>
      <c r="S47" s="91">
        <v>0</v>
      </c>
      <c r="T47" s="89">
        <v>0</v>
      </c>
      <c r="U47" s="67">
        <f t="shared" si="0"/>
        <v>0</v>
      </c>
      <c r="V47" s="68"/>
      <c r="W47" s="69"/>
      <c r="X47" s="92">
        <v>0</v>
      </c>
      <c r="Y47" s="92">
        <v>25008.6</v>
      </c>
      <c r="Z47" s="92">
        <v>25008.6</v>
      </c>
      <c r="AA47" s="92">
        <f>Z47/(1+0.0382)^27</f>
        <v>9088.698936227318</v>
      </c>
      <c r="AB47" s="52"/>
    </row>
    <row r="48" spans="1:28" ht="15">
      <c r="A48" s="1"/>
      <c r="B48" s="48"/>
      <c r="C48" s="84">
        <f t="shared" si="1"/>
        <v>2043</v>
      </c>
      <c r="D48" s="52"/>
      <c r="E48" s="1"/>
      <c r="F48" s="43"/>
      <c r="G48" s="90">
        <v>0</v>
      </c>
      <c r="H48" s="91">
        <v>0</v>
      </c>
      <c r="I48" s="91">
        <v>0</v>
      </c>
      <c r="J48" s="91">
        <v>26034.1</v>
      </c>
      <c r="K48" s="91">
        <v>0</v>
      </c>
      <c r="L48" s="89">
        <v>26034.1</v>
      </c>
      <c r="M48" s="79">
        <f t="shared" si="2"/>
        <v>26034.1</v>
      </c>
      <c r="N48" s="68"/>
      <c r="O48" s="80"/>
      <c r="P48" s="90">
        <v>0</v>
      </c>
      <c r="Q48" s="91">
        <v>0</v>
      </c>
      <c r="R48" s="91">
        <v>0</v>
      </c>
      <c r="S48" s="91">
        <v>0</v>
      </c>
      <c r="T48" s="89">
        <v>0</v>
      </c>
      <c r="U48" s="67">
        <f t="shared" si="0"/>
        <v>0</v>
      </c>
      <c r="V48" s="68"/>
      <c r="W48" s="69"/>
      <c r="X48" s="92">
        <v>0</v>
      </c>
      <c r="Y48" s="92">
        <v>26034.1</v>
      </c>
      <c r="Z48" s="92">
        <v>26034.1</v>
      </c>
      <c r="AA48" s="92">
        <f>Z48/(1+0.0382)^28</f>
        <v>9113.262532415709</v>
      </c>
      <c r="AB48" s="52"/>
    </row>
    <row r="49" spans="1:28" ht="15">
      <c r="A49" s="1"/>
      <c r="B49" s="48"/>
      <c r="C49" s="84">
        <f t="shared" si="1"/>
        <v>2044</v>
      </c>
      <c r="D49" s="52"/>
      <c r="E49" s="1"/>
      <c r="F49" s="43"/>
      <c r="G49" s="90">
        <v>0</v>
      </c>
      <c r="H49" s="91">
        <v>0</v>
      </c>
      <c r="I49" s="91">
        <v>0</v>
      </c>
      <c r="J49" s="91">
        <v>25363.59</v>
      </c>
      <c r="K49" s="91">
        <v>0</v>
      </c>
      <c r="L49" s="89">
        <v>25363.59</v>
      </c>
      <c r="M49" s="79">
        <f t="shared" si="2"/>
        <v>25363.59</v>
      </c>
      <c r="N49" s="68"/>
      <c r="O49" s="80"/>
      <c r="P49" s="90">
        <v>0</v>
      </c>
      <c r="Q49" s="91">
        <v>0</v>
      </c>
      <c r="R49" s="91">
        <v>0</v>
      </c>
      <c r="S49" s="91">
        <v>0</v>
      </c>
      <c r="T49" s="89">
        <v>0</v>
      </c>
      <c r="U49" s="67">
        <f t="shared" si="0"/>
        <v>0</v>
      </c>
      <c r="V49" s="68"/>
      <c r="W49" s="69"/>
      <c r="X49" s="92">
        <v>0</v>
      </c>
      <c r="Y49" s="92">
        <v>25363.59</v>
      </c>
      <c r="Z49" s="92">
        <v>25363.59</v>
      </c>
      <c r="AA49" s="92">
        <f>Z49/(1+0.0382)^29</f>
        <v>8551.868466315622</v>
      </c>
      <c r="AB49" s="52"/>
    </row>
    <row r="50" spans="1:28" ht="15">
      <c r="A50" s="1"/>
      <c r="B50" s="48"/>
      <c r="C50" s="84">
        <f t="shared" si="1"/>
        <v>2045</v>
      </c>
      <c r="D50" s="52"/>
      <c r="E50" s="1"/>
      <c r="F50" s="43"/>
      <c r="G50" s="90">
        <v>0</v>
      </c>
      <c r="H50" s="91">
        <v>0</v>
      </c>
      <c r="I50" s="91">
        <v>0</v>
      </c>
      <c r="J50" s="91">
        <v>24639.4</v>
      </c>
      <c r="K50" s="91">
        <v>0</v>
      </c>
      <c r="L50" s="89">
        <v>24639.4</v>
      </c>
      <c r="M50" s="79">
        <f t="shared" si="2"/>
        <v>24639.4</v>
      </c>
      <c r="N50" s="68"/>
      <c r="O50" s="80"/>
      <c r="P50" s="90">
        <v>0</v>
      </c>
      <c r="Q50" s="91">
        <v>0</v>
      </c>
      <c r="R50" s="91">
        <v>0</v>
      </c>
      <c r="S50" s="91">
        <v>0</v>
      </c>
      <c r="T50" s="89">
        <v>0</v>
      </c>
      <c r="U50" s="67">
        <f t="shared" si="0"/>
        <v>0</v>
      </c>
      <c r="V50" s="68"/>
      <c r="W50" s="69"/>
      <c r="X50" s="92">
        <v>0</v>
      </c>
      <c r="Y50" s="92">
        <v>24639.4</v>
      </c>
      <c r="Z50" s="92">
        <v>24639.4</v>
      </c>
      <c r="AA50" s="92">
        <f>Z50/(1+0.0382)^30</f>
        <v>8002.015563542612</v>
      </c>
      <c r="AB50" s="52"/>
    </row>
    <row r="51" spans="1:28" ht="15">
      <c r="A51" s="1"/>
      <c r="B51" s="48"/>
      <c r="C51" s="84">
        <f t="shared" si="1"/>
        <v>2046</v>
      </c>
      <c r="D51" s="52"/>
      <c r="E51" s="1"/>
      <c r="F51" s="43"/>
      <c r="G51" s="90">
        <v>0</v>
      </c>
      <c r="H51" s="91">
        <v>0</v>
      </c>
      <c r="I51" s="91">
        <v>0</v>
      </c>
      <c r="J51" s="91">
        <v>23828.88</v>
      </c>
      <c r="K51" s="91">
        <v>0</v>
      </c>
      <c r="L51" s="89">
        <v>23828.88</v>
      </c>
      <c r="M51" s="79">
        <f t="shared" si="2"/>
        <v>23828.88</v>
      </c>
      <c r="N51" s="68"/>
      <c r="O51" s="80"/>
      <c r="P51" s="90">
        <v>0</v>
      </c>
      <c r="Q51" s="91">
        <v>0</v>
      </c>
      <c r="R51" s="91">
        <v>0</v>
      </c>
      <c r="S51" s="91">
        <v>0</v>
      </c>
      <c r="T51" s="89">
        <v>0</v>
      </c>
      <c r="U51" s="67">
        <f t="shared" si="0"/>
        <v>0</v>
      </c>
      <c r="V51" s="68"/>
      <c r="W51" s="69"/>
      <c r="X51" s="92">
        <v>0</v>
      </c>
      <c r="Y51" s="92">
        <v>23828.88</v>
      </c>
      <c r="Z51" s="92">
        <v>23828.88</v>
      </c>
      <c r="AA51" s="92">
        <f>Z51/(1+0.0382)^31</f>
        <v>7454.042582050511</v>
      </c>
      <c r="AB51" s="52"/>
    </row>
    <row r="52" spans="1:28" ht="15">
      <c r="A52" s="1"/>
      <c r="B52" s="48"/>
      <c r="C52" s="84">
        <f t="shared" si="1"/>
        <v>2047</v>
      </c>
      <c r="D52" s="52"/>
      <c r="E52" s="1"/>
      <c r="F52" s="43"/>
      <c r="G52" s="90">
        <v>0</v>
      </c>
      <c r="H52" s="91">
        <v>0</v>
      </c>
      <c r="I52" s="91">
        <v>0</v>
      </c>
      <c r="J52" s="91">
        <v>22955.66</v>
      </c>
      <c r="K52" s="91">
        <v>0</v>
      </c>
      <c r="L52" s="89">
        <v>22955.66</v>
      </c>
      <c r="M52" s="79">
        <f t="shared" si="2"/>
        <v>22955.66</v>
      </c>
      <c r="N52" s="68"/>
      <c r="O52" s="80"/>
      <c r="P52" s="90">
        <v>0</v>
      </c>
      <c r="Q52" s="91">
        <v>0</v>
      </c>
      <c r="R52" s="91">
        <v>0</v>
      </c>
      <c r="S52" s="91">
        <v>0</v>
      </c>
      <c r="T52" s="89">
        <v>0</v>
      </c>
      <c r="U52" s="67">
        <f t="shared" si="0"/>
        <v>0</v>
      </c>
      <c r="V52" s="68"/>
      <c r="W52" s="69"/>
      <c r="X52" s="92">
        <v>0</v>
      </c>
      <c r="Y52" s="92">
        <v>22955.66</v>
      </c>
      <c r="Z52" s="92">
        <v>22955.66</v>
      </c>
      <c r="AA52" s="92">
        <f>Z52/(1+0.0382)^32</f>
        <v>6916.6690877316605</v>
      </c>
      <c r="AB52" s="52"/>
    </row>
    <row r="53" spans="1:28" ht="15">
      <c r="A53" s="1"/>
      <c r="B53" s="48"/>
      <c r="C53" s="84">
        <f t="shared" si="1"/>
        <v>2048</v>
      </c>
      <c r="D53" s="52"/>
      <c r="E53" s="1"/>
      <c r="F53" s="43"/>
      <c r="G53" s="90">
        <v>0</v>
      </c>
      <c r="H53" s="91">
        <v>0</v>
      </c>
      <c r="I53" s="91">
        <v>0</v>
      </c>
      <c r="J53" s="91">
        <v>22027.47</v>
      </c>
      <c r="K53" s="91">
        <v>0</v>
      </c>
      <c r="L53" s="89">
        <v>22027.47</v>
      </c>
      <c r="M53" s="79">
        <f t="shared" si="2"/>
        <v>22027.47</v>
      </c>
      <c r="N53" s="68"/>
      <c r="O53" s="80"/>
      <c r="P53" s="90">
        <v>0</v>
      </c>
      <c r="Q53" s="91">
        <v>0</v>
      </c>
      <c r="R53" s="91">
        <v>0</v>
      </c>
      <c r="S53" s="91">
        <v>0</v>
      </c>
      <c r="T53" s="89">
        <v>0</v>
      </c>
      <c r="U53" s="67">
        <f t="shared" si="0"/>
        <v>0</v>
      </c>
      <c r="V53" s="68"/>
      <c r="W53" s="69"/>
      <c r="X53" s="92">
        <v>0</v>
      </c>
      <c r="Y53" s="92">
        <v>22027.47</v>
      </c>
      <c r="Z53" s="92">
        <v>22027.47</v>
      </c>
      <c r="AA53" s="92">
        <f>Z53/(1+0.0382)^33</f>
        <v>6392.795449498132</v>
      </c>
      <c r="AB53" s="52"/>
    </row>
    <row r="54" spans="1:28" ht="15">
      <c r="A54" s="1"/>
      <c r="B54" s="48"/>
      <c r="C54" s="84">
        <f t="shared" si="1"/>
        <v>2049</v>
      </c>
      <c r="D54" s="52"/>
      <c r="E54" s="1"/>
      <c r="F54" s="43"/>
      <c r="G54" s="90">
        <v>0</v>
      </c>
      <c r="H54" s="91">
        <v>0</v>
      </c>
      <c r="I54" s="91">
        <v>0</v>
      </c>
      <c r="J54" s="91">
        <v>21051.17</v>
      </c>
      <c r="K54" s="91">
        <v>0</v>
      </c>
      <c r="L54" s="89">
        <v>21051.17</v>
      </c>
      <c r="M54" s="79">
        <f t="shared" si="2"/>
        <v>21051.17</v>
      </c>
      <c r="N54" s="68"/>
      <c r="O54" s="80"/>
      <c r="P54" s="90">
        <v>0</v>
      </c>
      <c r="Q54" s="91">
        <v>0</v>
      </c>
      <c r="R54" s="91">
        <v>0</v>
      </c>
      <c r="S54" s="91">
        <v>0</v>
      </c>
      <c r="T54" s="89">
        <v>0</v>
      </c>
      <c r="U54" s="67">
        <f t="shared" si="0"/>
        <v>0</v>
      </c>
      <c r="V54" s="68"/>
      <c r="W54" s="69"/>
      <c r="X54" s="92">
        <v>0</v>
      </c>
      <c r="Y54" s="92">
        <v>21051.17</v>
      </c>
      <c r="Z54" s="92">
        <v>21051.17</v>
      </c>
      <c r="AA54" s="92">
        <f>Z54/(1+0.0382)^34</f>
        <v>5884.66038554082</v>
      </c>
      <c r="AB54" s="52"/>
    </row>
    <row r="55" spans="1:28" ht="15">
      <c r="A55" s="1"/>
      <c r="B55" s="48"/>
      <c r="C55" s="84">
        <f>+C54+1</f>
        <v>2050</v>
      </c>
      <c r="D55" s="52"/>
      <c r="E55" s="1"/>
      <c r="F55" s="43"/>
      <c r="G55" s="90">
        <v>0</v>
      </c>
      <c r="H55" s="91">
        <v>0</v>
      </c>
      <c r="I55" s="91">
        <v>0</v>
      </c>
      <c r="J55" s="91">
        <v>20017.81</v>
      </c>
      <c r="K55" s="91">
        <v>0</v>
      </c>
      <c r="L55" s="89">
        <v>20017.81</v>
      </c>
      <c r="M55" s="79">
        <f t="shared" si="2"/>
        <v>20017.81</v>
      </c>
      <c r="N55" s="68"/>
      <c r="O55" s="80"/>
      <c r="P55" s="90">
        <v>0</v>
      </c>
      <c r="Q55" s="91">
        <v>0</v>
      </c>
      <c r="R55" s="91">
        <v>0</v>
      </c>
      <c r="S55" s="91">
        <v>0</v>
      </c>
      <c r="T55" s="89">
        <v>0</v>
      </c>
      <c r="U55" s="67">
        <f t="shared" si="0"/>
        <v>0</v>
      </c>
      <c r="V55" s="68"/>
      <c r="W55" s="69"/>
      <c r="X55" s="92">
        <v>0</v>
      </c>
      <c r="Y55" s="92">
        <v>20017.81</v>
      </c>
      <c r="Z55" s="92">
        <v>20017.81</v>
      </c>
      <c r="AA55" s="92">
        <f>Z55/(1+0.0382)^35</f>
        <v>5389.899951686479</v>
      </c>
      <c r="AB55" s="52"/>
    </row>
    <row r="56" spans="1:28" ht="15">
      <c r="A56" s="1"/>
      <c r="B56" s="48"/>
      <c r="C56" s="84">
        <f>+C55+1</f>
        <v>2051</v>
      </c>
      <c r="D56" s="52"/>
      <c r="E56" s="1"/>
      <c r="F56" s="43"/>
      <c r="G56" s="90">
        <v>0</v>
      </c>
      <c r="H56" s="91">
        <v>0</v>
      </c>
      <c r="I56" s="91">
        <v>0</v>
      </c>
      <c r="J56" s="91">
        <v>18929.92</v>
      </c>
      <c r="K56" s="91">
        <v>0</v>
      </c>
      <c r="L56" s="89">
        <v>18929.92</v>
      </c>
      <c r="M56" s="79">
        <f t="shared" si="2"/>
        <v>18929.92</v>
      </c>
      <c r="N56" s="68"/>
      <c r="O56" s="80"/>
      <c r="P56" s="90">
        <v>0</v>
      </c>
      <c r="Q56" s="91">
        <v>0</v>
      </c>
      <c r="R56" s="91">
        <v>0</v>
      </c>
      <c r="S56" s="91">
        <v>0</v>
      </c>
      <c r="T56" s="89">
        <v>0</v>
      </c>
      <c r="U56" s="67">
        <f t="shared" si="0"/>
        <v>0</v>
      </c>
      <c r="V56" s="68"/>
      <c r="W56" s="69"/>
      <c r="X56" s="92">
        <v>0</v>
      </c>
      <c r="Y56" s="92">
        <v>18929.92</v>
      </c>
      <c r="Z56" s="92">
        <v>18929.92</v>
      </c>
      <c r="AA56" s="92">
        <f>Z56/(1+0.0382)^36</f>
        <v>4909.439302720736</v>
      </c>
      <c r="AB56" s="52"/>
    </row>
    <row r="57" spans="1:28" ht="15">
      <c r="A57" s="1"/>
      <c r="B57" s="48"/>
      <c r="C57" s="84">
        <f>+C56+1</f>
        <v>2052</v>
      </c>
      <c r="D57" s="52"/>
      <c r="E57" s="1"/>
      <c r="F57" s="43"/>
      <c r="G57" s="90">
        <v>0</v>
      </c>
      <c r="H57" s="91">
        <v>0</v>
      </c>
      <c r="I57" s="91">
        <v>0</v>
      </c>
      <c r="J57" s="91">
        <v>17788.03</v>
      </c>
      <c r="K57" s="91">
        <v>0</v>
      </c>
      <c r="L57" s="89">
        <v>17788.03</v>
      </c>
      <c r="M57" s="79">
        <f t="shared" si="2"/>
        <v>17788.03</v>
      </c>
      <c r="N57" s="68"/>
      <c r="O57" s="80"/>
      <c r="P57" s="90">
        <v>0</v>
      </c>
      <c r="Q57" s="91">
        <v>0</v>
      </c>
      <c r="R57" s="91">
        <v>0</v>
      </c>
      <c r="S57" s="91">
        <v>0</v>
      </c>
      <c r="T57" s="89">
        <v>0</v>
      </c>
      <c r="U57" s="67">
        <f t="shared" si="0"/>
        <v>0</v>
      </c>
      <c r="V57" s="68"/>
      <c r="W57" s="69"/>
      <c r="X57" s="92">
        <v>0</v>
      </c>
      <c r="Y57" s="92">
        <v>17788.03</v>
      </c>
      <c r="Z57" s="92">
        <v>17788.03</v>
      </c>
      <c r="AA57" s="92">
        <f>Z57/(1+0.0382)^37</f>
        <v>4443.548708910588</v>
      </c>
      <c r="AB57" s="52"/>
    </row>
    <row r="58" spans="1:28" ht="15">
      <c r="A58" s="1"/>
      <c r="B58" s="48"/>
      <c r="C58" s="84">
        <f aca="true" t="shared" si="3" ref="C58:C76">+C57+1</f>
        <v>2053</v>
      </c>
      <c r="D58" s="52"/>
      <c r="E58" s="1"/>
      <c r="F58" s="43"/>
      <c r="G58" s="90">
        <v>0</v>
      </c>
      <c r="H58" s="91">
        <v>0</v>
      </c>
      <c r="I58" s="91">
        <v>0</v>
      </c>
      <c r="J58" s="91">
        <v>16589.67</v>
      </c>
      <c r="K58" s="91">
        <v>0</v>
      </c>
      <c r="L58" s="89">
        <v>16589.67</v>
      </c>
      <c r="M58" s="79">
        <f t="shared" si="2"/>
        <v>16589.67</v>
      </c>
      <c r="N58" s="68"/>
      <c r="O58" s="80"/>
      <c r="P58" s="90">
        <v>0</v>
      </c>
      <c r="Q58" s="91">
        <v>0</v>
      </c>
      <c r="R58" s="91">
        <v>0</v>
      </c>
      <c r="S58" s="91">
        <v>0</v>
      </c>
      <c r="T58" s="89">
        <v>0</v>
      </c>
      <c r="U58" s="67">
        <f t="shared" si="0"/>
        <v>0</v>
      </c>
      <c r="V58" s="68"/>
      <c r="W58" s="69"/>
      <c r="X58" s="92">
        <v>0</v>
      </c>
      <c r="Y58" s="92">
        <v>16589.67</v>
      </c>
      <c r="Z58" s="92">
        <v>16589.67</v>
      </c>
      <c r="AA58" s="92">
        <f>Z58/(1+0.0382)^38</f>
        <v>3991.7084606615654</v>
      </c>
      <c r="AB58" s="52"/>
    </row>
    <row r="59" spans="1:28" ht="15">
      <c r="A59" s="1"/>
      <c r="B59" s="48"/>
      <c r="C59" s="84">
        <f t="shared" si="3"/>
        <v>2054</v>
      </c>
      <c r="D59" s="52"/>
      <c r="E59" s="1"/>
      <c r="F59" s="43"/>
      <c r="G59" s="90">
        <v>0</v>
      </c>
      <c r="H59" s="91">
        <v>0</v>
      </c>
      <c r="I59" s="91">
        <v>0</v>
      </c>
      <c r="J59" s="91">
        <v>15333.4</v>
      </c>
      <c r="K59" s="91">
        <v>0</v>
      </c>
      <c r="L59" s="89">
        <v>15333.4</v>
      </c>
      <c r="M59" s="79">
        <f t="shared" si="2"/>
        <v>15333.4</v>
      </c>
      <c r="N59" s="68"/>
      <c r="O59" s="80"/>
      <c r="P59" s="90">
        <v>0</v>
      </c>
      <c r="Q59" s="91">
        <v>0</v>
      </c>
      <c r="R59" s="91">
        <v>0</v>
      </c>
      <c r="S59" s="91">
        <v>0</v>
      </c>
      <c r="T59" s="89">
        <v>0</v>
      </c>
      <c r="U59" s="67">
        <f t="shared" si="0"/>
        <v>0</v>
      </c>
      <c r="V59" s="68"/>
      <c r="W59" s="69"/>
      <c r="X59" s="92">
        <v>0</v>
      </c>
      <c r="Y59" s="92">
        <v>15333.4</v>
      </c>
      <c r="Z59" s="92">
        <v>15333.4</v>
      </c>
      <c r="AA59" s="92">
        <f>Z59/(1+0.0382)^39</f>
        <v>3553.6815541046067</v>
      </c>
      <c r="AB59" s="52"/>
    </row>
    <row r="60" spans="1:28" ht="15">
      <c r="A60" s="1"/>
      <c r="B60" s="48"/>
      <c r="C60" s="84">
        <f t="shared" si="3"/>
        <v>2055</v>
      </c>
      <c r="D60" s="52"/>
      <c r="E60" s="1"/>
      <c r="F60" s="43"/>
      <c r="G60" s="90">
        <v>0</v>
      </c>
      <c r="H60" s="91">
        <v>0</v>
      </c>
      <c r="I60" s="91">
        <v>0</v>
      </c>
      <c r="J60" s="91">
        <v>14033.41</v>
      </c>
      <c r="K60" s="91">
        <v>0</v>
      </c>
      <c r="L60" s="89">
        <v>14033.41</v>
      </c>
      <c r="M60" s="79">
        <f t="shared" si="2"/>
        <v>14033.41</v>
      </c>
      <c r="N60" s="68"/>
      <c r="O60" s="80"/>
      <c r="P60" s="90">
        <v>0</v>
      </c>
      <c r="Q60" s="91">
        <v>0</v>
      </c>
      <c r="R60" s="91">
        <v>0</v>
      </c>
      <c r="S60" s="91">
        <v>0</v>
      </c>
      <c r="T60" s="89">
        <v>0</v>
      </c>
      <c r="U60" s="67">
        <f t="shared" si="0"/>
        <v>0</v>
      </c>
      <c r="V60" s="68"/>
      <c r="W60" s="69"/>
      <c r="X60" s="92">
        <v>0</v>
      </c>
      <c r="Y60" s="92">
        <v>14033.41</v>
      </c>
      <c r="Z60" s="92">
        <v>14033.41</v>
      </c>
      <c r="AA60" s="92">
        <f>Z60/(1+0.0382)^40</f>
        <v>3132.72470529268</v>
      </c>
      <c r="AB60" s="52"/>
    </row>
    <row r="61" spans="1:28" ht="15">
      <c r="A61" s="1"/>
      <c r="B61" s="48"/>
      <c r="C61" s="84">
        <f t="shared" si="3"/>
        <v>2056</v>
      </c>
      <c r="D61" s="52"/>
      <c r="E61" s="1"/>
      <c r="F61" s="43"/>
      <c r="G61" s="90">
        <v>0</v>
      </c>
      <c r="H61" s="91">
        <v>0</v>
      </c>
      <c r="I61" s="91">
        <v>0</v>
      </c>
      <c r="J61" s="91">
        <v>12804.92</v>
      </c>
      <c r="K61" s="91">
        <v>0</v>
      </c>
      <c r="L61" s="89">
        <v>12804.92</v>
      </c>
      <c r="M61" s="79">
        <f t="shared" si="2"/>
        <v>12804.92</v>
      </c>
      <c r="N61" s="68"/>
      <c r="O61" s="80"/>
      <c r="P61" s="90">
        <v>0</v>
      </c>
      <c r="Q61" s="91">
        <v>0</v>
      </c>
      <c r="R61" s="91">
        <v>0</v>
      </c>
      <c r="S61" s="91">
        <v>0</v>
      </c>
      <c r="T61" s="89">
        <v>0</v>
      </c>
      <c r="U61" s="67">
        <f t="shared" si="0"/>
        <v>0</v>
      </c>
      <c r="V61" s="68"/>
      <c r="W61" s="69"/>
      <c r="X61" s="92">
        <v>0</v>
      </c>
      <c r="Y61" s="92">
        <v>12804.92</v>
      </c>
      <c r="Z61" s="92">
        <v>12804.92</v>
      </c>
      <c r="AA61" s="92">
        <f>Z61/(1+0.0382)^41</f>
        <v>2753.308422268949</v>
      </c>
      <c r="AB61" s="52"/>
    </row>
    <row r="62" spans="1:28" ht="15">
      <c r="A62" s="1"/>
      <c r="B62" s="48"/>
      <c r="C62" s="84">
        <f t="shared" si="3"/>
        <v>2057</v>
      </c>
      <c r="D62" s="52"/>
      <c r="E62" s="1"/>
      <c r="F62" s="43"/>
      <c r="G62" s="90">
        <v>0</v>
      </c>
      <c r="H62" s="91">
        <v>0</v>
      </c>
      <c r="I62" s="91">
        <v>0</v>
      </c>
      <c r="J62" s="91">
        <v>11549.44</v>
      </c>
      <c r="K62" s="91">
        <v>0</v>
      </c>
      <c r="L62" s="89">
        <v>11549.44</v>
      </c>
      <c r="M62" s="79">
        <f t="shared" si="2"/>
        <v>11549.44</v>
      </c>
      <c r="N62" s="68"/>
      <c r="O62" s="80"/>
      <c r="P62" s="90">
        <v>0</v>
      </c>
      <c r="Q62" s="91">
        <v>0</v>
      </c>
      <c r="R62" s="91">
        <v>0</v>
      </c>
      <c r="S62" s="91">
        <v>0</v>
      </c>
      <c r="T62" s="89">
        <v>0</v>
      </c>
      <c r="U62" s="67">
        <f t="shared" si="0"/>
        <v>0</v>
      </c>
      <c r="V62" s="68"/>
      <c r="W62" s="69"/>
      <c r="X62" s="92">
        <v>0</v>
      </c>
      <c r="Y62" s="92">
        <v>11549.44</v>
      </c>
      <c r="Z62" s="92">
        <v>11549.44</v>
      </c>
      <c r="AA62" s="92">
        <f>Z62/(1+0.0382)^42</f>
        <v>2391.98193949669</v>
      </c>
      <c r="AB62" s="52"/>
    </row>
    <row r="63" spans="1:28" ht="15">
      <c r="A63" s="1"/>
      <c r="B63" s="48"/>
      <c r="C63" s="84">
        <f t="shared" si="3"/>
        <v>2058</v>
      </c>
      <c r="D63" s="52"/>
      <c r="E63" s="1"/>
      <c r="F63" s="43"/>
      <c r="G63" s="90">
        <v>0</v>
      </c>
      <c r="H63" s="91">
        <v>0</v>
      </c>
      <c r="I63" s="91">
        <v>0</v>
      </c>
      <c r="J63" s="91">
        <v>10243.4</v>
      </c>
      <c r="K63" s="91">
        <v>0</v>
      </c>
      <c r="L63" s="89">
        <v>10243.4</v>
      </c>
      <c r="M63" s="79">
        <f t="shared" si="2"/>
        <v>10243.4</v>
      </c>
      <c r="N63" s="68"/>
      <c r="O63" s="80"/>
      <c r="P63" s="90">
        <v>0</v>
      </c>
      <c r="Q63" s="91">
        <v>0</v>
      </c>
      <c r="R63" s="91">
        <v>0</v>
      </c>
      <c r="S63" s="91">
        <v>0</v>
      </c>
      <c r="T63" s="89">
        <v>0</v>
      </c>
      <c r="U63" s="67">
        <f t="shared" si="0"/>
        <v>0</v>
      </c>
      <c r="V63" s="68"/>
      <c r="W63" s="69"/>
      <c r="X63" s="92">
        <v>0</v>
      </c>
      <c r="Y63" s="92">
        <v>10243.4</v>
      </c>
      <c r="Z63" s="92">
        <v>10243.4</v>
      </c>
      <c r="AA63" s="92">
        <f>Z63/(1+0.0382)^43</f>
        <v>2043.4314663613995</v>
      </c>
      <c r="AB63" s="52"/>
    </row>
    <row r="64" spans="1:28" ht="15">
      <c r="A64" s="1"/>
      <c r="B64" s="48"/>
      <c r="C64" s="84">
        <f t="shared" si="3"/>
        <v>2059</v>
      </c>
      <c r="D64" s="52"/>
      <c r="E64" s="1"/>
      <c r="F64" s="43"/>
      <c r="G64" s="90">
        <v>0</v>
      </c>
      <c r="H64" s="91">
        <v>0</v>
      </c>
      <c r="I64" s="91">
        <v>0</v>
      </c>
      <c r="J64" s="91">
        <v>8874.39</v>
      </c>
      <c r="K64" s="91">
        <v>0</v>
      </c>
      <c r="L64" s="89">
        <v>8874.39</v>
      </c>
      <c r="M64" s="79">
        <f t="shared" si="2"/>
        <v>8874.39</v>
      </c>
      <c r="N64" s="68"/>
      <c r="O64" s="80"/>
      <c r="P64" s="90">
        <v>0</v>
      </c>
      <c r="Q64" s="91">
        <v>0</v>
      </c>
      <c r="R64" s="91">
        <v>0</v>
      </c>
      <c r="S64" s="91">
        <v>0</v>
      </c>
      <c r="T64" s="89">
        <v>0</v>
      </c>
      <c r="U64" s="67">
        <f t="shared" si="0"/>
        <v>0</v>
      </c>
      <c r="V64" s="68"/>
      <c r="W64" s="69"/>
      <c r="X64" s="92">
        <v>0</v>
      </c>
      <c r="Y64" s="92">
        <v>8874.39</v>
      </c>
      <c r="Z64" s="92">
        <v>8874.39</v>
      </c>
      <c r="AA64" s="92">
        <f>Z64/(1+0.0382)^44</f>
        <v>1705.1925663884442</v>
      </c>
      <c r="AB64" s="52"/>
    </row>
    <row r="65" spans="1:28" ht="15">
      <c r="A65" s="1"/>
      <c r="B65" s="48"/>
      <c r="C65" s="84">
        <f t="shared" si="3"/>
        <v>2060</v>
      </c>
      <c r="D65" s="52"/>
      <c r="E65" s="1"/>
      <c r="F65" s="43"/>
      <c r="G65" s="90">
        <v>0</v>
      </c>
      <c r="H65" s="91">
        <v>0</v>
      </c>
      <c r="I65" s="91">
        <v>0</v>
      </c>
      <c r="J65" s="91">
        <v>7448.63</v>
      </c>
      <c r="K65" s="91">
        <v>0</v>
      </c>
      <c r="L65" s="89">
        <v>7448.63</v>
      </c>
      <c r="M65" s="79">
        <f t="shared" si="2"/>
        <v>7448.63</v>
      </c>
      <c r="N65" s="68"/>
      <c r="O65" s="80"/>
      <c r="P65" s="90">
        <v>0</v>
      </c>
      <c r="Q65" s="91">
        <v>0</v>
      </c>
      <c r="R65" s="91">
        <v>0</v>
      </c>
      <c r="S65" s="91">
        <v>0</v>
      </c>
      <c r="T65" s="89">
        <v>0</v>
      </c>
      <c r="U65" s="67">
        <f t="shared" si="0"/>
        <v>0</v>
      </c>
      <c r="V65" s="68"/>
      <c r="W65" s="69"/>
      <c r="X65" s="92">
        <v>0</v>
      </c>
      <c r="Y65" s="92">
        <v>7448.63</v>
      </c>
      <c r="Z65" s="92">
        <v>7448.63</v>
      </c>
      <c r="AA65" s="92">
        <f>Z65/(1+0.0382)^45</f>
        <v>1378.574679348009</v>
      </c>
      <c r="AB65" s="52"/>
    </row>
    <row r="66" spans="1:28" ht="15">
      <c r="A66" s="1"/>
      <c r="B66" s="48"/>
      <c r="C66" s="84">
        <f t="shared" si="3"/>
        <v>2061</v>
      </c>
      <c r="D66" s="52"/>
      <c r="E66" s="1"/>
      <c r="F66" s="43"/>
      <c r="G66" s="90">
        <v>0</v>
      </c>
      <c r="H66" s="91">
        <v>0</v>
      </c>
      <c r="I66" s="91">
        <v>0</v>
      </c>
      <c r="J66" s="91">
        <v>5954.35</v>
      </c>
      <c r="K66" s="91">
        <v>0</v>
      </c>
      <c r="L66" s="89">
        <v>5954.35</v>
      </c>
      <c r="M66" s="79">
        <f t="shared" si="2"/>
        <v>5954.35</v>
      </c>
      <c r="N66" s="68"/>
      <c r="O66" s="80"/>
      <c r="P66" s="90">
        <v>0</v>
      </c>
      <c r="Q66" s="91">
        <v>0</v>
      </c>
      <c r="R66" s="91">
        <v>0</v>
      </c>
      <c r="S66" s="91">
        <v>0</v>
      </c>
      <c r="T66" s="89">
        <v>0</v>
      </c>
      <c r="U66" s="67">
        <f t="shared" si="0"/>
        <v>0</v>
      </c>
      <c r="V66" s="68"/>
      <c r="W66" s="69"/>
      <c r="X66" s="92">
        <v>0</v>
      </c>
      <c r="Y66" s="92">
        <v>5954.35</v>
      </c>
      <c r="Z66" s="92">
        <v>5954.35</v>
      </c>
      <c r="AA66" s="92">
        <f>Z66/(1+0.0382)^46</f>
        <v>1061.4687921569005</v>
      </c>
      <c r="AB66" s="52"/>
    </row>
    <row r="67" spans="1:28" ht="15">
      <c r="A67" s="1"/>
      <c r="B67" s="48"/>
      <c r="C67" s="84">
        <f t="shared" si="3"/>
        <v>2062</v>
      </c>
      <c r="D67" s="52"/>
      <c r="E67" s="1"/>
      <c r="F67" s="43"/>
      <c r="G67" s="90">
        <v>0</v>
      </c>
      <c r="H67" s="91">
        <v>0</v>
      </c>
      <c r="I67" s="91">
        <v>0</v>
      </c>
      <c r="J67" s="91">
        <v>4399.29</v>
      </c>
      <c r="K67" s="91">
        <v>0</v>
      </c>
      <c r="L67" s="89">
        <v>4399.29</v>
      </c>
      <c r="M67" s="79">
        <f t="shared" si="2"/>
        <v>4399.29</v>
      </c>
      <c r="N67" s="68"/>
      <c r="O67" s="80"/>
      <c r="P67" s="90">
        <v>0</v>
      </c>
      <c r="Q67" s="91">
        <v>0</v>
      </c>
      <c r="R67" s="91">
        <v>0</v>
      </c>
      <c r="S67" s="91">
        <v>0</v>
      </c>
      <c r="T67" s="89">
        <v>0</v>
      </c>
      <c r="U67" s="67">
        <f t="shared" si="0"/>
        <v>0</v>
      </c>
      <c r="V67" s="68"/>
      <c r="W67" s="69"/>
      <c r="X67" s="92">
        <v>0</v>
      </c>
      <c r="Y67" s="92">
        <v>4399.29</v>
      </c>
      <c r="Z67" s="92">
        <v>4399.29</v>
      </c>
      <c r="AA67" s="92">
        <f>Z67/(1+0.0382)^47</f>
        <v>755.3955776403661</v>
      </c>
      <c r="AB67" s="52"/>
    </row>
    <row r="68" spans="1:28" ht="15">
      <c r="A68" s="1"/>
      <c r="B68" s="48"/>
      <c r="C68" s="84">
        <f t="shared" si="3"/>
        <v>2063</v>
      </c>
      <c r="D68" s="52"/>
      <c r="E68" s="1"/>
      <c r="F68" s="43"/>
      <c r="G68" s="90">
        <v>0</v>
      </c>
      <c r="H68" s="91">
        <v>0</v>
      </c>
      <c r="I68" s="91">
        <v>0</v>
      </c>
      <c r="J68" s="91">
        <v>2784.1</v>
      </c>
      <c r="K68" s="91">
        <v>0</v>
      </c>
      <c r="L68" s="89">
        <v>2784.1</v>
      </c>
      <c r="M68" s="79">
        <f t="shared" si="2"/>
        <v>2784.1</v>
      </c>
      <c r="N68" s="68"/>
      <c r="O68" s="80"/>
      <c r="P68" s="90">
        <v>0</v>
      </c>
      <c r="Q68" s="91">
        <v>0</v>
      </c>
      <c r="R68" s="91">
        <v>0</v>
      </c>
      <c r="S68" s="91">
        <v>0</v>
      </c>
      <c r="T68" s="89">
        <v>0</v>
      </c>
      <c r="U68" s="67">
        <f t="shared" si="0"/>
        <v>0</v>
      </c>
      <c r="V68" s="68"/>
      <c r="W68" s="69"/>
      <c r="X68" s="92">
        <v>0</v>
      </c>
      <c r="Y68" s="92">
        <v>2784.1</v>
      </c>
      <c r="Z68" s="92">
        <v>2784.1</v>
      </c>
      <c r="AA68" s="92">
        <f>Z68/(1+0.0382)^48</f>
        <v>460.46396863234224</v>
      </c>
      <c r="AB68" s="52"/>
    </row>
    <row r="69" spans="1:28" ht="15">
      <c r="A69" s="1"/>
      <c r="B69" s="48"/>
      <c r="C69" s="84">
        <f t="shared" si="3"/>
        <v>2064</v>
      </c>
      <c r="D69" s="52"/>
      <c r="E69" s="1"/>
      <c r="F69" s="43"/>
      <c r="G69" s="90">
        <v>0</v>
      </c>
      <c r="H69" s="91">
        <v>0</v>
      </c>
      <c r="I69" s="91">
        <v>0</v>
      </c>
      <c r="J69" s="91">
        <v>1159.32</v>
      </c>
      <c r="K69" s="91">
        <v>0</v>
      </c>
      <c r="L69" s="89">
        <v>1159.32</v>
      </c>
      <c r="M69" s="79">
        <f t="shared" si="2"/>
        <v>1159.32</v>
      </c>
      <c r="N69" s="68"/>
      <c r="O69" s="80"/>
      <c r="P69" s="90">
        <v>0</v>
      </c>
      <c r="Q69" s="91">
        <v>0</v>
      </c>
      <c r="R69" s="91">
        <v>0</v>
      </c>
      <c r="S69" s="91">
        <v>0</v>
      </c>
      <c r="T69" s="89">
        <v>0</v>
      </c>
      <c r="U69" s="67">
        <f t="shared" si="0"/>
        <v>0</v>
      </c>
      <c r="V69" s="68"/>
      <c r="W69" s="69"/>
      <c r="X69" s="92">
        <v>0</v>
      </c>
      <c r="Y69" s="92">
        <v>1159.32</v>
      </c>
      <c r="Z69" s="92">
        <v>1159.32</v>
      </c>
      <c r="AA69" s="92">
        <f>Z69/(1+0.0382)^49</f>
        <v>184.68563865089303</v>
      </c>
      <c r="AB69" s="52"/>
    </row>
    <row r="70" spans="1:28" ht="15">
      <c r="A70" s="1"/>
      <c r="B70" s="48"/>
      <c r="C70" s="84">
        <f t="shared" si="3"/>
        <v>2065</v>
      </c>
      <c r="D70" s="52"/>
      <c r="E70" s="1"/>
      <c r="F70" s="43"/>
      <c r="G70" s="90">
        <v>0</v>
      </c>
      <c r="H70" s="91">
        <v>0</v>
      </c>
      <c r="I70" s="91">
        <v>0</v>
      </c>
      <c r="J70" s="91">
        <v>169.71</v>
      </c>
      <c r="K70" s="91">
        <v>0</v>
      </c>
      <c r="L70" s="89">
        <v>169.71</v>
      </c>
      <c r="M70" s="79">
        <f t="shared" si="2"/>
        <v>169.71</v>
      </c>
      <c r="N70" s="68"/>
      <c r="O70" s="80"/>
      <c r="P70" s="90">
        <v>0</v>
      </c>
      <c r="Q70" s="91">
        <v>0</v>
      </c>
      <c r="R70" s="91">
        <v>0</v>
      </c>
      <c r="S70" s="91">
        <v>0</v>
      </c>
      <c r="T70" s="89">
        <v>0</v>
      </c>
      <c r="U70" s="67">
        <f t="shared" si="0"/>
        <v>0</v>
      </c>
      <c r="V70" s="68"/>
      <c r="W70" s="69"/>
      <c r="X70" s="92">
        <v>0</v>
      </c>
      <c r="Y70" s="92">
        <v>169.71</v>
      </c>
      <c r="Z70" s="92">
        <v>169.71</v>
      </c>
      <c r="AA70" s="92">
        <f>Z70/(1+0.0382)^1</f>
        <v>163.46561356193413</v>
      </c>
      <c r="AB70" s="52"/>
    </row>
    <row r="71" spans="1:28" ht="15">
      <c r="A71" s="1"/>
      <c r="B71" s="48"/>
      <c r="C71" s="84">
        <f t="shared" si="3"/>
        <v>2066</v>
      </c>
      <c r="D71" s="52"/>
      <c r="E71" s="1"/>
      <c r="F71" s="43"/>
      <c r="G71" s="90">
        <v>0</v>
      </c>
      <c r="H71" s="91">
        <v>0</v>
      </c>
      <c r="I71" s="91">
        <v>0</v>
      </c>
      <c r="J71" s="91">
        <v>0</v>
      </c>
      <c r="K71" s="91">
        <v>0</v>
      </c>
      <c r="L71" s="89">
        <v>0</v>
      </c>
      <c r="M71" s="79">
        <f t="shared" si="2"/>
        <v>0</v>
      </c>
      <c r="N71" s="68"/>
      <c r="O71" s="80"/>
      <c r="P71" s="90">
        <v>0</v>
      </c>
      <c r="Q71" s="91">
        <v>0</v>
      </c>
      <c r="R71" s="91">
        <v>0</v>
      </c>
      <c r="S71" s="91">
        <v>0</v>
      </c>
      <c r="T71" s="89">
        <v>0</v>
      </c>
      <c r="U71" s="67">
        <f t="shared" si="0"/>
        <v>0</v>
      </c>
      <c r="V71" s="68"/>
      <c r="W71" s="69"/>
      <c r="X71" s="92">
        <v>0</v>
      </c>
      <c r="Y71" s="92">
        <v>0</v>
      </c>
      <c r="Z71" s="92">
        <v>0</v>
      </c>
      <c r="AA71" s="92">
        <f aca="true" t="shared" si="4" ref="AA71:AA76">Z71/(1+0.05)^1</f>
        <v>0</v>
      </c>
      <c r="AB71" s="52"/>
    </row>
    <row r="72" spans="1:28" ht="15">
      <c r="A72" s="1"/>
      <c r="B72" s="48"/>
      <c r="C72" s="84">
        <f t="shared" si="3"/>
        <v>2067</v>
      </c>
      <c r="D72" s="52"/>
      <c r="E72" s="1"/>
      <c r="F72" s="43"/>
      <c r="G72" s="90">
        <v>0</v>
      </c>
      <c r="H72" s="91">
        <v>0</v>
      </c>
      <c r="I72" s="91">
        <v>0</v>
      </c>
      <c r="J72" s="91">
        <v>0</v>
      </c>
      <c r="K72" s="91">
        <v>0</v>
      </c>
      <c r="L72" s="89">
        <v>0</v>
      </c>
      <c r="M72" s="79">
        <f t="shared" si="2"/>
        <v>0</v>
      </c>
      <c r="N72" s="68"/>
      <c r="O72" s="80"/>
      <c r="P72" s="90">
        <v>0</v>
      </c>
      <c r="Q72" s="91">
        <v>0</v>
      </c>
      <c r="R72" s="91">
        <v>0</v>
      </c>
      <c r="S72" s="91">
        <v>0</v>
      </c>
      <c r="T72" s="89">
        <v>0</v>
      </c>
      <c r="U72" s="67">
        <f t="shared" si="0"/>
        <v>0</v>
      </c>
      <c r="V72" s="68"/>
      <c r="W72" s="69"/>
      <c r="X72" s="92">
        <v>0</v>
      </c>
      <c r="Y72" s="92">
        <v>0</v>
      </c>
      <c r="Z72" s="92">
        <v>0</v>
      </c>
      <c r="AA72" s="92">
        <f t="shared" si="4"/>
        <v>0</v>
      </c>
      <c r="AB72" s="52"/>
    </row>
    <row r="73" spans="1:28" ht="15">
      <c r="A73" s="1"/>
      <c r="B73" s="48"/>
      <c r="C73" s="84">
        <f t="shared" si="3"/>
        <v>2068</v>
      </c>
      <c r="D73" s="52"/>
      <c r="E73" s="1"/>
      <c r="F73" s="43"/>
      <c r="G73" s="90">
        <v>0</v>
      </c>
      <c r="H73" s="91">
        <v>0</v>
      </c>
      <c r="I73" s="91">
        <v>0</v>
      </c>
      <c r="J73" s="91">
        <v>0</v>
      </c>
      <c r="K73" s="91">
        <v>0</v>
      </c>
      <c r="L73" s="89">
        <v>0</v>
      </c>
      <c r="M73" s="79">
        <f t="shared" si="2"/>
        <v>0</v>
      </c>
      <c r="N73" s="68"/>
      <c r="O73" s="80"/>
      <c r="P73" s="90">
        <v>0</v>
      </c>
      <c r="Q73" s="91">
        <v>0</v>
      </c>
      <c r="R73" s="91">
        <v>0</v>
      </c>
      <c r="S73" s="91">
        <v>0</v>
      </c>
      <c r="T73" s="89">
        <v>0</v>
      </c>
      <c r="U73" s="67">
        <f t="shared" si="0"/>
        <v>0</v>
      </c>
      <c r="V73" s="68"/>
      <c r="W73" s="69"/>
      <c r="X73" s="92">
        <v>0</v>
      </c>
      <c r="Y73" s="92">
        <v>0</v>
      </c>
      <c r="Z73" s="92">
        <v>0</v>
      </c>
      <c r="AA73" s="92">
        <f t="shared" si="4"/>
        <v>0</v>
      </c>
      <c r="AB73" s="52"/>
    </row>
    <row r="74" spans="1:28" ht="15">
      <c r="A74" s="1"/>
      <c r="B74" s="48"/>
      <c r="C74" s="84">
        <f t="shared" si="3"/>
        <v>2069</v>
      </c>
      <c r="D74" s="52"/>
      <c r="E74" s="1"/>
      <c r="F74" s="43"/>
      <c r="G74" s="90">
        <v>0</v>
      </c>
      <c r="H74" s="91">
        <v>0</v>
      </c>
      <c r="I74" s="91">
        <v>0</v>
      </c>
      <c r="J74" s="91">
        <v>0</v>
      </c>
      <c r="K74" s="91">
        <v>0</v>
      </c>
      <c r="L74" s="89">
        <v>0</v>
      </c>
      <c r="M74" s="79">
        <f t="shared" si="2"/>
        <v>0</v>
      </c>
      <c r="N74" s="68"/>
      <c r="O74" s="80"/>
      <c r="P74" s="90">
        <v>0</v>
      </c>
      <c r="Q74" s="91">
        <v>0</v>
      </c>
      <c r="R74" s="91">
        <v>0</v>
      </c>
      <c r="S74" s="91">
        <v>0</v>
      </c>
      <c r="T74" s="89">
        <v>0</v>
      </c>
      <c r="U74" s="67">
        <f t="shared" si="0"/>
        <v>0</v>
      </c>
      <c r="V74" s="68"/>
      <c r="W74" s="69"/>
      <c r="X74" s="92">
        <v>0</v>
      </c>
      <c r="Y74" s="92">
        <v>0</v>
      </c>
      <c r="Z74" s="92">
        <v>0</v>
      </c>
      <c r="AA74" s="92">
        <f t="shared" si="4"/>
        <v>0</v>
      </c>
      <c r="AB74" s="52"/>
    </row>
    <row r="75" spans="1:28" ht="15">
      <c r="A75" s="1"/>
      <c r="B75" s="48"/>
      <c r="C75" s="84">
        <f t="shared" si="3"/>
        <v>2070</v>
      </c>
      <c r="D75" s="52"/>
      <c r="E75" s="1"/>
      <c r="F75" s="43"/>
      <c r="G75" s="90">
        <v>0</v>
      </c>
      <c r="H75" s="91">
        <v>0</v>
      </c>
      <c r="I75" s="91">
        <v>0</v>
      </c>
      <c r="J75" s="91">
        <v>0</v>
      </c>
      <c r="K75" s="91">
        <v>0</v>
      </c>
      <c r="L75" s="89">
        <v>0</v>
      </c>
      <c r="M75" s="79">
        <f t="shared" si="2"/>
        <v>0</v>
      </c>
      <c r="N75" s="68"/>
      <c r="O75" s="80"/>
      <c r="P75" s="90">
        <v>0</v>
      </c>
      <c r="Q75" s="91">
        <v>0</v>
      </c>
      <c r="R75" s="91">
        <v>0</v>
      </c>
      <c r="S75" s="91">
        <v>0</v>
      </c>
      <c r="T75" s="89">
        <v>0</v>
      </c>
      <c r="U75" s="67">
        <f t="shared" si="0"/>
        <v>0</v>
      </c>
      <c r="V75" s="68"/>
      <c r="W75" s="69"/>
      <c r="X75" s="92">
        <v>0</v>
      </c>
      <c r="Y75" s="92">
        <v>0</v>
      </c>
      <c r="Z75" s="92">
        <v>0</v>
      </c>
      <c r="AA75" s="92">
        <f t="shared" si="4"/>
        <v>0</v>
      </c>
      <c r="AB75" s="52"/>
    </row>
    <row r="76" spans="1:28" ht="15.75" thickBot="1">
      <c r="A76" s="1"/>
      <c r="B76" s="48"/>
      <c r="C76" s="84">
        <f t="shared" si="3"/>
        <v>2071</v>
      </c>
      <c r="D76" s="52"/>
      <c r="E76" s="1"/>
      <c r="F76" s="43"/>
      <c r="G76" s="93">
        <v>0</v>
      </c>
      <c r="H76" s="94">
        <v>0</v>
      </c>
      <c r="I76" s="94">
        <v>0</v>
      </c>
      <c r="J76" s="91">
        <v>0</v>
      </c>
      <c r="K76" s="91">
        <v>0</v>
      </c>
      <c r="L76" s="89">
        <v>0</v>
      </c>
      <c r="M76" s="79">
        <f t="shared" si="2"/>
        <v>0</v>
      </c>
      <c r="N76" s="68"/>
      <c r="O76" s="80"/>
      <c r="P76" s="93">
        <v>0</v>
      </c>
      <c r="Q76" s="91">
        <v>0</v>
      </c>
      <c r="R76" s="91">
        <v>0</v>
      </c>
      <c r="S76" s="91">
        <v>0</v>
      </c>
      <c r="T76" s="89">
        <v>0</v>
      </c>
      <c r="U76" s="67">
        <f t="shared" si="0"/>
        <v>0</v>
      </c>
      <c r="V76" s="68"/>
      <c r="W76" s="69"/>
      <c r="X76" s="92">
        <v>0</v>
      </c>
      <c r="Y76" s="92">
        <v>0</v>
      </c>
      <c r="Z76" s="92">
        <v>0</v>
      </c>
      <c r="AA76" s="92">
        <f t="shared" si="4"/>
        <v>0</v>
      </c>
      <c r="AB76" s="52"/>
    </row>
    <row r="77" spans="1:28" ht="15.75" thickBot="1">
      <c r="A77" s="1"/>
      <c r="B77" s="95"/>
      <c r="C77" s="96"/>
      <c r="D77" s="97"/>
      <c r="E77" s="1"/>
      <c r="F77" s="98"/>
      <c r="G77" s="99"/>
      <c r="H77" s="99"/>
      <c r="I77" s="99"/>
      <c r="J77" s="99"/>
      <c r="K77" s="99"/>
      <c r="L77" s="99"/>
      <c r="M77" s="100"/>
      <c r="N77" s="1"/>
      <c r="O77" s="101"/>
      <c r="P77" s="102"/>
      <c r="Q77" s="102"/>
      <c r="R77" s="102"/>
      <c r="S77" s="102"/>
      <c r="T77" s="102"/>
      <c r="U77" s="103"/>
      <c r="V77" s="1"/>
      <c r="W77" s="95"/>
      <c r="X77" s="96"/>
      <c r="Y77" s="96"/>
      <c r="Z77" s="96"/>
      <c r="AA77" s="104"/>
      <c r="AB77" s="97"/>
    </row>
    <row r="78" spans="1:28" ht="15">
      <c r="A78" s="1"/>
      <c r="B78" s="109" t="s">
        <v>34</v>
      </c>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row>
    <row r="79" spans="1:28" ht="15">
      <c r="A79" s="1"/>
      <c r="B79" s="109" t="s">
        <v>35</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row>
    <row r="80" spans="1:28" ht="15">
      <c r="A80" s="105"/>
      <c r="B80" s="109" t="s">
        <v>36</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row>
    <row r="81" spans="1:28"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
      <c r="A82" s="1"/>
      <c r="B82" s="1"/>
      <c r="C82" s="1"/>
      <c r="D82" s="106"/>
      <c r="E82" s="106"/>
      <c r="F82" s="106"/>
      <c r="G82" s="106"/>
      <c r="H82" s="106"/>
      <c r="I82" s="106"/>
      <c r="J82" s="106"/>
      <c r="K82" s="106"/>
      <c r="L82" s="1"/>
      <c r="M82" s="106"/>
      <c r="N82" s="106"/>
      <c r="O82" s="106"/>
      <c r="P82" s="106"/>
      <c r="Q82" s="106"/>
      <c r="R82" s="106"/>
      <c r="S82" s="106"/>
      <c r="T82" s="106"/>
      <c r="U82" s="1"/>
      <c r="V82" s="1"/>
      <c r="W82" s="1"/>
      <c r="X82" s="1"/>
      <c r="Y82" s="1"/>
      <c r="Z82" s="1"/>
      <c r="AA82" s="1"/>
      <c r="AB82" s="1"/>
    </row>
    <row r="83" spans="1:28" ht="15">
      <c r="A83" s="1"/>
      <c r="B83" s="1"/>
      <c r="C83" s="1"/>
      <c r="D83" s="106"/>
      <c r="E83" s="106"/>
      <c r="F83" s="106"/>
      <c r="G83" s="106"/>
      <c r="H83" s="106"/>
      <c r="I83" s="106"/>
      <c r="J83" s="106"/>
      <c r="K83" s="106"/>
      <c r="L83" s="1"/>
      <c r="M83" s="107"/>
      <c r="N83" s="106"/>
      <c r="O83" s="106"/>
      <c r="P83" s="106"/>
      <c r="Q83" s="106"/>
      <c r="R83" s="106"/>
      <c r="S83" s="106"/>
      <c r="T83" s="106"/>
      <c r="U83" s="1"/>
      <c r="V83" s="1"/>
      <c r="W83" s="1"/>
      <c r="X83" s="1"/>
      <c r="Y83" s="1"/>
      <c r="Z83" s="1"/>
      <c r="AA83" s="1"/>
      <c r="AB83" s="1"/>
    </row>
  </sheetData>
  <sheetProtection/>
  <mergeCells count="8">
    <mergeCell ref="B79:AB79"/>
    <mergeCell ref="B80:AB80"/>
    <mergeCell ref="S2:T2"/>
    <mergeCell ref="S3:T3"/>
    <mergeCell ref="B11:AB11"/>
    <mergeCell ref="G14:L14"/>
    <mergeCell ref="P14:T14"/>
    <mergeCell ref="B78:AB78"/>
  </mergeCells>
  <printOptions/>
  <pageMargins left="0.7" right="0.7" top="0.75" bottom="0.75" header="0.3" footer="0.3"/>
  <pageSetup horizontalDpi="600" verticalDpi="600" orientation="portrait" scale="41" r:id="rId2"/>
  <ignoredErrors>
    <ignoredError sqref="H18 Y18:Z18" formulaRange="1"/>
  </ignoredErrors>
  <drawing r:id="rId1"/>
</worksheet>
</file>

<file path=xl/worksheets/sheet3.xml><?xml version="1.0" encoding="utf-8"?>
<worksheet xmlns="http://schemas.openxmlformats.org/spreadsheetml/2006/main" xmlns:r="http://schemas.openxmlformats.org/officeDocument/2006/relationships">
  <dimension ref="A1:AB83"/>
  <sheetViews>
    <sheetView workbookViewId="0" topLeftCell="A3">
      <selection activeCell="AD25" sqref="AD25"/>
    </sheetView>
  </sheetViews>
  <sheetFormatPr defaultColWidth="9.140625" defaultRowHeight="15"/>
  <cols>
    <col min="2" max="2" width="2.7109375" style="0" customWidth="1"/>
    <col min="3" max="3" width="10.57421875" style="0" customWidth="1"/>
    <col min="4" max="4" width="2.140625" style="0" customWidth="1"/>
    <col min="5" max="5" width="3.421875" style="0" customWidth="1"/>
    <col min="6" max="6" width="2.7109375" style="0" customWidth="1"/>
    <col min="7" max="7" width="11.421875" style="0" customWidth="1"/>
    <col min="8" max="8" width="10.8515625" style="0" customWidth="1"/>
    <col min="9" max="9" width="10.57421875" style="0" customWidth="1"/>
    <col min="10" max="10" width="11.140625" style="0" bestFit="1" customWidth="1"/>
    <col min="11" max="11" width="9.28125" style="0" bestFit="1" customWidth="1"/>
    <col min="12" max="12" width="11.00390625" style="0" customWidth="1"/>
    <col min="13" max="13" width="1.1484375" style="0" customWidth="1"/>
    <col min="14" max="14" width="3.00390625" style="0" customWidth="1"/>
    <col min="15" max="15" width="1.7109375" style="0" customWidth="1"/>
    <col min="16" max="16" width="10.57421875" style="0" customWidth="1"/>
    <col min="17" max="17" width="11.140625" style="0" customWidth="1"/>
    <col min="18" max="18" width="10.421875" style="0" customWidth="1"/>
    <col min="19" max="19" width="12.7109375" style="0" customWidth="1"/>
    <col min="20" max="20" width="11.421875" style="0" customWidth="1"/>
    <col min="21" max="21" width="1.421875" style="0" customWidth="1"/>
    <col min="22" max="22" width="2.00390625" style="0" customWidth="1"/>
    <col min="23" max="23" width="1.7109375" style="0" customWidth="1"/>
    <col min="24" max="24" width="12.28125" style="0" bestFit="1" customWidth="1"/>
    <col min="25" max="25" width="11.140625" style="0" bestFit="1" customWidth="1"/>
    <col min="26" max="26" width="10.28125" style="0" customWidth="1"/>
    <col min="27" max="27" width="11.421875" style="0" customWidth="1"/>
    <col min="28" max="28" width="0.5625" style="0" customWidth="1"/>
  </cols>
  <sheetData>
    <row r="1" spans="1:28" ht="15">
      <c r="A1" s="1"/>
      <c r="B1" s="1"/>
      <c r="C1" s="1"/>
      <c r="D1" s="1"/>
      <c r="E1" s="1"/>
      <c r="F1" s="1"/>
      <c r="G1" s="1"/>
      <c r="H1" s="1"/>
      <c r="I1" s="1"/>
      <c r="J1" s="1"/>
      <c r="K1" s="1"/>
      <c r="L1" s="1"/>
      <c r="M1" s="1"/>
      <c r="N1" s="1"/>
      <c r="O1" s="1"/>
      <c r="P1" s="1"/>
      <c r="Q1" s="1"/>
      <c r="R1" s="1"/>
      <c r="S1" s="1"/>
      <c r="T1" s="1"/>
      <c r="U1" s="1"/>
      <c r="V1" s="1"/>
      <c r="W1" s="1"/>
      <c r="X1" s="1"/>
      <c r="Y1" s="1"/>
      <c r="Z1" s="2"/>
      <c r="AA1" s="2"/>
      <c r="AB1" s="2"/>
    </row>
    <row r="2" spans="1:28" ht="15">
      <c r="A2" s="1"/>
      <c r="B2" s="1"/>
      <c r="C2" s="1"/>
      <c r="D2" s="1"/>
      <c r="E2" s="1"/>
      <c r="F2" s="1"/>
      <c r="G2" s="1"/>
      <c r="H2" s="1"/>
      <c r="I2" s="1"/>
      <c r="J2" s="3"/>
      <c r="K2" s="1"/>
      <c r="L2" s="1"/>
      <c r="M2" s="1"/>
      <c r="N2" s="1"/>
      <c r="O2" s="1"/>
      <c r="P2" s="1"/>
      <c r="Q2" s="1"/>
      <c r="R2" s="4"/>
      <c r="S2" s="111"/>
      <c r="T2" s="111"/>
      <c r="U2" s="1"/>
      <c r="V2" s="1"/>
      <c r="W2" s="1"/>
      <c r="X2" s="1"/>
      <c r="Y2" s="1"/>
      <c r="Z2" s="1"/>
      <c r="AA2" s="1"/>
      <c r="AB2" s="1"/>
    </row>
    <row r="3" spans="1:28" ht="15.75" thickBot="1">
      <c r="A3" s="1"/>
      <c r="B3" s="1"/>
      <c r="C3" s="1"/>
      <c r="D3" s="1"/>
      <c r="E3" s="1"/>
      <c r="F3" s="1"/>
      <c r="G3" s="1"/>
      <c r="H3" s="1"/>
      <c r="I3" s="5" t="s">
        <v>0</v>
      </c>
      <c r="J3" s="6" t="str">
        <f>DBA</f>
        <v>Shelby Energy Co-op</v>
      </c>
      <c r="K3" s="1"/>
      <c r="L3" s="1"/>
      <c r="M3" s="1"/>
      <c r="N3" s="1"/>
      <c r="O3" s="1"/>
      <c r="P3" s="1"/>
      <c r="Q3" s="1"/>
      <c r="R3" s="7"/>
      <c r="S3" s="112" t="s">
        <v>1</v>
      </c>
      <c r="T3" s="112"/>
      <c r="U3" s="1"/>
      <c r="V3" s="1"/>
      <c r="W3" s="1"/>
      <c r="X3" s="1"/>
      <c r="Y3" s="1"/>
      <c r="Z3" s="1"/>
      <c r="AA3" s="1"/>
      <c r="AB3" s="1"/>
    </row>
    <row r="4" spans="1:28" ht="15.75" thickBot="1">
      <c r="A4" s="1"/>
      <c r="B4" s="1"/>
      <c r="C4" s="1"/>
      <c r="D4" s="8"/>
      <c r="E4" s="8"/>
      <c r="F4" s="1"/>
      <c r="G4" s="1"/>
      <c r="H4" s="1"/>
      <c r="I4" s="5" t="s">
        <v>2</v>
      </c>
      <c r="J4" s="9" t="str">
        <f>ID</f>
        <v>KY030</v>
      </c>
      <c r="K4" s="1"/>
      <c r="L4" s="1"/>
      <c r="M4" s="1"/>
      <c r="N4" s="1"/>
      <c r="O4" s="1"/>
      <c r="P4" s="10"/>
      <c r="Q4" s="11"/>
      <c r="R4" s="12"/>
      <c r="S4" s="13" t="s">
        <v>3</v>
      </c>
      <c r="T4" s="108" t="s">
        <v>4</v>
      </c>
      <c r="U4" s="1"/>
      <c r="V4" s="1"/>
      <c r="W4" s="1"/>
      <c r="X4" s="1"/>
      <c r="Y4" s="1"/>
      <c r="Z4" s="1"/>
      <c r="AA4" s="1"/>
      <c r="AB4" s="1"/>
    </row>
    <row r="5" spans="1:28" ht="15">
      <c r="A5" s="1"/>
      <c r="B5" s="1"/>
      <c r="C5" s="1"/>
      <c r="D5" s="8"/>
      <c r="E5" s="8"/>
      <c r="F5" s="1"/>
      <c r="G5" s="1"/>
      <c r="H5" s="1"/>
      <c r="I5" s="5" t="s">
        <v>5</v>
      </c>
      <c r="J5" s="15">
        <f ca="1">TODAY()</f>
        <v>42507</v>
      </c>
      <c r="K5" s="1"/>
      <c r="L5" s="1"/>
      <c r="M5" s="8"/>
      <c r="N5" s="1"/>
      <c r="O5" s="1"/>
      <c r="P5" s="10"/>
      <c r="Q5" s="11"/>
      <c r="R5" s="16" t="s">
        <v>6</v>
      </c>
      <c r="S5" s="17">
        <v>0.038232133888048914</v>
      </c>
      <c r="T5" s="18">
        <v>0.03977572323043965</v>
      </c>
      <c r="U5" s="1"/>
      <c r="V5" s="1"/>
      <c r="W5" s="1"/>
      <c r="X5" s="1"/>
      <c r="Y5" s="1"/>
      <c r="Z5" s="1"/>
      <c r="AA5" s="1"/>
      <c r="AB5" s="1"/>
    </row>
    <row r="6" spans="1:28" ht="15">
      <c r="A6" s="1"/>
      <c r="B6" s="1"/>
      <c r="C6" s="1"/>
      <c r="D6" s="8"/>
      <c r="E6" s="8"/>
      <c r="F6" s="1"/>
      <c r="G6" s="1"/>
      <c r="H6" s="1"/>
      <c r="I6" s="5" t="s">
        <v>7</v>
      </c>
      <c r="J6" s="15">
        <f>'[1]Loan Info'!B21</f>
        <v>42425</v>
      </c>
      <c r="K6" s="1"/>
      <c r="L6" s="1"/>
      <c r="M6" s="8"/>
      <c r="N6" s="1"/>
      <c r="O6" s="1"/>
      <c r="P6" s="19"/>
      <c r="Q6" s="1"/>
      <c r="R6" s="20" t="s">
        <v>8</v>
      </c>
      <c r="S6" s="21">
        <v>0</v>
      </c>
      <c r="T6" s="22">
        <v>0</v>
      </c>
      <c r="U6" s="1"/>
      <c r="V6" s="1"/>
      <c r="W6" s="1"/>
      <c r="X6" s="1"/>
      <c r="Y6" s="1"/>
      <c r="Z6" s="1"/>
      <c r="AA6" s="1"/>
      <c r="AB6" s="1"/>
    </row>
    <row r="7" spans="1:28" ht="15">
      <c r="A7" s="1"/>
      <c r="B7" s="1"/>
      <c r="C7" s="1"/>
      <c r="D7" s="8"/>
      <c r="E7" s="8"/>
      <c r="F7" s="1"/>
      <c r="G7" s="1"/>
      <c r="H7" s="1"/>
      <c r="I7" s="5" t="s">
        <v>9</v>
      </c>
      <c r="J7" s="23">
        <f>+PDA</f>
        <v>42546</v>
      </c>
      <c r="K7" s="1"/>
      <c r="L7" s="1"/>
      <c r="M7" s="8"/>
      <c r="N7" s="1"/>
      <c r="O7" s="1"/>
      <c r="P7" s="19"/>
      <c r="Q7" s="1"/>
      <c r="R7" s="16" t="s">
        <v>10</v>
      </c>
      <c r="S7" s="24">
        <v>0.038232133888048914</v>
      </c>
      <c r="T7" s="25">
        <v>0.03977572323043965</v>
      </c>
      <c r="U7" s="1"/>
      <c r="V7" s="26"/>
      <c r="W7" s="1"/>
      <c r="X7" s="1"/>
      <c r="Y7" s="1"/>
      <c r="Z7" s="1"/>
      <c r="AA7" s="1"/>
      <c r="AB7" s="1"/>
    </row>
    <row r="8" spans="1:28" ht="15">
      <c r="A8" s="1"/>
      <c r="B8" s="1"/>
      <c r="C8" s="1"/>
      <c r="D8" s="8"/>
      <c r="E8" s="8"/>
      <c r="F8" s="1"/>
      <c r="G8" s="1"/>
      <c r="H8" s="1"/>
      <c r="I8" s="5" t="s">
        <v>11</v>
      </c>
      <c r="J8" s="6" t="str">
        <f>'[1]Loan Info'!B9</f>
        <v>RUS Refi - Cash Flow Neutral </v>
      </c>
      <c r="K8" s="1"/>
      <c r="L8" s="1"/>
      <c r="M8" s="8"/>
      <c r="N8" s="1"/>
      <c r="O8" s="1"/>
      <c r="P8" s="27"/>
      <c r="Q8" s="1"/>
      <c r="R8" s="16" t="s">
        <v>12</v>
      </c>
      <c r="S8" s="21">
        <v>-0.002455199930149199</v>
      </c>
      <c r="T8" s="28">
        <v>0</v>
      </c>
      <c r="U8" s="1"/>
      <c r="V8" s="1"/>
      <c r="W8" s="1"/>
      <c r="X8" s="1"/>
      <c r="Y8" s="1"/>
      <c r="Z8" s="1"/>
      <c r="AA8" s="1"/>
      <c r="AB8" s="1"/>
    </row>
    <row r="9" spans="1:28" ht="15.75" thickBot="1">
      <c r="A9" s="1"/>
      <c r="B9" s="1"/>
      <c r="C9" s="1"/>
      <c r="D9" s="8"/>
      <c r="E9" s="8"/>
      <c r="F9" s="1"/>
      <c r="G9" s="1"/>
      <c r="H9" s="1"/>
      <c r="I9" s="5"/>
      <c r="J9" s="29"/>
      <c r="K9" s="1"/>
      <c r="L9" s="1"/>
      <c r="M9" s="8"/>
      <c r="N9" s="1"/>
      <c r="O9" s="1"/>
      <c r="P9" s="19"/>
      <c r="Q9" s="1"/>
      <c r="R9" s="30" t="s">
        <v>13</v>
      </c>
      <c r="S9" s="31">
        <v>0.035776933957899715</v>
      </c>
      <c r="T9" s="32">
        <v>0.03977572323043965</v>
      </c>
      <c r="U9" s="1"/>
      <c r="V9" s="1"/>
      <c r="W9" s="1"/>
      <c r="X9" s="33"/>
      <c r="Y9" s="1"/>
      <c r="Z9" s="1"/>
      <c r="AA9" s="1"/>
      <c r="AB9" s="1"/>
    </row>
    <row r="10" spans="1:28" ht="15">
      <c r="A10" s="1"/>
      <c r="B10" s="1"/>
      <c r="C10" s="1"/>
      <c r="D10" s="1"/>
      <c r="E10" s="1"/>
      <c r="F10" s="1"/>
      <c r="G10" s="1"/>
      <c r="H10" s="1"/>
      <c r="I10" s="1"/>
      <c r="J10" s="1"/>
      <c r="K10" s="1"/>
      <c r="L10" s="1"/>
      <c r="M10" s="1"/>
      <c r="N10" s="1"/>
      <c r="O10" s="1"/>
      <c r="P10" s="1"/>
      <c r="Q10" s="1"/>
      <c r="R10" s="1"/>
      <c r="S10" s="1"/>
      <c r="T10" s="33"/>
      <c r="U10" s="1"/>
      <c r="V10" s="1"/>
      <c r="W10" s="1"/>
      <c r="X10" s="33"/>
      <c r="Y10" s="1"/>
      <c r="Z10" s="1"/>
      <c r="AA10" s="1"/>
      <c r="AB10" s="1"/>
    </row>
    <row r="11" spans="1:28" ht="18.75">
      <c r="A11" s="1"/>
      <c r="B11" s="113" t="s">
        <v>14</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row>
    <row r="12" spans="1:28" ht="15.75"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5.75" thickBot="1">
      <c r="A13" s="1"/>
      <c r="B13" s="1"/>
      <c r="C13" s="1"/>
      <c r="D13" s="1"/>
      <c r="E13" s="1"/>
      <c r="F13" s="34"/>
      <c r="G13" s="35"/>
      <c r="H13" s="35"/>
      <c r="I13" s="35"/>
      <c r="J13" s="35"/>
      <c r="K13" s="35"/>
      <c r="L13" s="35"/>
      <c r="M13" s="36"/>
      <c r="N13" s="1"/>
      <c r="O13" s="37"/>
      <c r="P13" s="38"/>
      <c r="Q13" s="38"/>
      <c r="R13" s="38"/>
      <c r="S13" s="38"/>
      <c r="T13" s="38"/>
      <c r="U13" s="39"/>
      <c r="V13" s="1"/>
      <c r="W13" s="40"/>
      <c r="X13" s="41"/>
      <c r="Y13" s="41"/>
      <c r="Z13" s="41"/>
      <c r="AA13" s="41"/>
      <c r="AB13" s="42"/>
    </row>
    <row r="14" spans="1:28" ht="15.75" thickBot="1">
      <c r="A14" s="1"/>
      <c r="B14" s="1"/>
      <c r="C14" s="1"/>
      <c r="D14" s="1"/>
      <c r="E14" s="1"/>
      <c r="F14" s="43"/>
      <c r="G14" s="115" t="s">
        <v>3</v>
      </c>
      <c r="H14" s="116"/>
      <c r="I14" s="116"/>
      <c r="J14" s="116"/>
      <c r="K14" s="116"/>
      <c r="L14" s="117"/>
      <c r="M14" s="44"/>
      <c r="N14" s="45"/>
      <c r="O14" s="46"/>
      <c r="P14" s="115" t="s">
        <v>4</v>
      </c>
      <c r="Q14" s="116"/>
      <c r="R14" s="116"/>
      <c r="S14" s="116"/>
      <c r="T14" s="117"/>
      <c r="U14" s="47"/>
      <c r="V14" s="1"/>
      <c r="W14" s="48"/>
      <c r="X14" s="49" t="s">
        <v>15</v>
      </c>
      <c r="Y14" s="50" t="s">
        <v>16</v>
      </c>
      <c r="Z14" s="49" t="s">
        <v>17</v>
      </c>
      <c r="AA14" s="51" t="s">
        <v>18</v>
      </c>
      <c r="AB14" s="52"/>
    </row>
    <row r="15" spans="1:28" ht="15">
      <c r="A15" s="1"/>
      <c r="B15" s="1"/>
      <c r="C15" s="53"/>
      <c r="D15" s="1"/>
      <c r="E15" s="1"/>
      <c r="F15" s="43"/>
      <c r="G15" s="54" t="s">
        <v>19</v>
      </c>
      <c r="H15" s="55" t="s">
        <v>20</v>
      </c>
      <c r="I15" s="55" t="s">
        <v>15</v>
      </c>
      <c r="J15" s="55" t="s">
        <v>21</v>
      </c>
      <c r="K15" s="55" t="s">
        <v>21</v>
      </c>
      <c r="L15" s="51" t="s">
        <v>21</v>
      </c>
      <c r="M15" s="44"/>
      <c r="N15" s="45"/>
      <c r="O15" s="46"/>
      <c r="P15" s="54" t="s">
        <v>19</v>
      </c>
      <c r="Q15" s="55" t="s">
        <v>20</v>
      </c>
      <c r="R15" s="55" t="s">
        <v>15</v>
      </c>
      <c r="S15" s="55" t="s">
        <v>22</v>
      </c>
      <c r="T15" s="51" t="s">
        <v>21</v>
      </c>
      <c r="U15" s="47"/>
      <c r="V15" s="1"/>
      <c r="W15" s="48"/>
      <c r="X15" s="56" t="s">
        <v>23</v>
      </c>
      <c r="Y15" s="51" t="s">
        <v>24</v>
      </c>
      <c r="Z15" s="56" t="s">
        <v>25</v>
      </c>
      <c r="AA15" s="51" t="s">
        <v>26</v>
      </c>
      <c r="AB15" s="52"/>
    </row>
    <row r="16" spans="1:28" ht="15.75" thickBot="1">
      <c r="A16" s="1"/>
      <c r="B16" s="1"/>
      <c r="C16" s="108"/>
      <c r="D16" s="1"/>
      <c r="E16" s="1"/>
      <c r="F16" s="43"/>
      <c r="G16" s="57" t="s">
        <v>27</v>
      </c>
      <c r="H16" s="58" t="s">
        <v>28</v>
      </c>
      <c r="I16" s="58" t="s">
        <v>23</v>
      </c>
      <c r="J16" s="58" t="s">
        <v>16</v>
      </c>
      <c r="K16" s="58" t="s">
        <v>29</v>
      </c>
      <c r="L16" s="59" t="s">
        <v>30</v>
      </c>
      <c r="M16" s="44"/>
      <c r="N16" s="45"/>
      <c r="O16" s="46"/>
      <c r="P16" s="57" t="s">
        <v>27</v>
      </c>
      <c r="Q16" s="58" t="s">
        <v>28</v>
      </c>
      <c r="R16" s="58" t="s">
        <v>23</v>
      </c>
      <c r="S16" s="58" t="s">
        <v>15</v>
      </c>
      <c r="T16" s="59" t="s">
        <v>30</v>
      </c>
      <c r="U16" s="47"/>
      <c r="V16" s="1"/>
      <c r="W16" s="48"/>
      <c r="X16" s="60" t="s">
        <v>31</v>
      </c>
      <c r="Y16" s="59" t="s">
        <v>32</v>
      </c>
      <c r="Z16" s="60" t="s">
        <v>31</v>
      </c>
      <c r="AA16" s="51" t="s">
        <v>33</v>
      </c>
      <c r="AB16" s="52"/>
    </row>
    <row r="17" spans="1:28" ht="15.75" thickBot="1">
      <c r="A17" s="1"/>
      <c r="B17" s="40"/>
      <c r="C17" s="61"/>
      <c r="D17" s="42"/>
      <c r="E17" s="1"/>
      <c r="F17" s="43"/>
      <c r="G17" s="62"/>
      <c r="H17" s="62"/>
      <c r="I17" s="62"/>
      <c r="J17" s="62"/>
      <c r="K17" s="62"/>
      <c r="L17" s="62"/>
      <c r="M17" s="63"/>
      <c r="N17" s="64"/>
      <c r="O17" s="65"/>
      <c r="P17" s="66"/>
      <c r="Q17" s="66"/>
      <c r="R17" s="66"/>
      <c r="S17" s="66"/>
      <c r="T17" s="66"/>
      <c r="U17" s="67"/>
      <c r="V17" s="68"/>
      <c r="W17" s="69"/>
      <c r="X17" s="70"/>
      <c r="Y17" s="71"/>
      <c r="Z17" s="71"/>
      <c r="AA17" s="70"/>
      <c r="AB17" s="52"/>
    </row>
    <row r="18" spans="1:28" ht="15.75" thickBot="1">
      <c r="A18" s="1"/>
      <c r="B18" s="48"/>
      <c r="C18" s="72">
        <f>'[1]RUS Loan Input'!B6</f>
        <v>42338</v>
      </c>
      <c r="D18" s="52"/>
      <c r="E18" s="1"/>
      <c r="F18" s="43"/>
      <c r="G18" s="73"/>
      <c r="H18" s="74">
        <f>SUM(H21:H52)</f>
        <v>-15691827.150000002</v>
      </c>
      <c r="I18" s="74">
        <f>SUM(I20:I79)</f>
        <v>-7648316.199999998</v>
      </c>
      <c r="J18" s="74">
        <f>SUM(J20:J79)</f>
        <v>717974.1200000002</v>
      </c>
      <c r="K18" s="74">
        <f>SUM(K20:K79)</f>
        <v>0</v>
      </c>
      <c r="L18" s="75">
        <f>SUM(L20:L79)</f>
        <v>-22622169.229999997</v>
      </c>
      <c r="M18" s="63">
        <f>SUM(M21:M79)</f>
        <v>-45962312.579999976</v>
      </c>
      <c r="N18" s="64"/>
      <c r="O18" s="65"/>
      <c r="P18" s="73"/>
      <c r="Q18" s="74">
        <f>SUM(Q20:Q77)</f>
        <v>-15691827.150000002</v>
      </c>
      <c r="R18" s="74">
        <f>SUM(R20:R77)</f>
        <v>-8528625.499999998</v>
      </c>
      <c r="S18" s="74">
        <f>SUM(S20:S77)</f>
        <v>0</v>
      </c>
      <c r="T18" s="75">
        <f>SUM(T20:T77)</f>
        <v>-24220452.649999995</v>
      </c>
      <c r="U18" s="67">
        <f>SUM(U20:U77)</f>
        <v>-32749078.150000002</v>
      </c>
      <c r="V18" s="68"/>
      <c r="W18" s="69"/>
      <c r="X18" s="76">
        <f>SUM(X20:X76)</f>
        <v>880309.2999999998</v>
      </c>
      <c r="Y18" s="77">
        <f>SUM(Y21:Y76)</f>
        <v>717974.1200000002</v>
      </c>
      <c r="Z18" s="76">
        <f>SUM(Z21:Z79)</f>
        <v>1598283.4199999992</v>
      </c>
      <c r="AA18" s="76">
        <f>SUM(AA21:AA79)</f>
        <v>593224.7745559121</v>
      </c>
      <c r="AB18" s="52"/>
    </row>
    <row r="19" spans="1:28" ht="15.75" thickBot="1">
      <c r="A19" s="1"/>
      <c r="B19" s="48"/>
      <c r="C19" s="61"/>
      <c r="D19" s="52"/>
      <c r="E19" s="1"/>
      <c r="F19" s="43"/>
      <c r="G19" s="78"/>
      <c r="H19" s="78"/>
      <c r="I19" s="78"/>
      <c r="J19" s="78"/>
      <c r="K19" s="78"/>
      <c r="L19" s="78"/>
      <c r="M19" s="79"/>
      <c r="N19" s="68"/>
      <c r="O19" s="80"/>
      <c r="P19" s="81"/>
      <c r="Q19" s="81"/>
      <c r="R19" s="81"/>
      <c r="S19" s="81"/>
      <c r="T19" s="81"/>
      <c r="U19" s="67"/>
      <c r="V19" s="68"/>
      <c r="W19" s="69"/>
      <c r="X19" s="82"/>
      <c r="Y19" s="83"/>
      <c r="Z19" s="83"/>
      <c r="AA19" s="82"/>
      <c r="AB19" s="52"/>
    </row>
    <row r="20" spans="1:28" ht="15">
      <c r="A20" s="1"/>
      <c r="B20" s="48"/>
      <c r="C20" s="84">
        <f>YEAR(C18)</f>
        <v>2015</v>
      </c>
      <c r="D20" s="52"/>
      <c r="E20" s="1"/>
      <c r="F20" s="43"/>
      <c r="G20" s="85">
        <v>15691827.15</v>
      </c>
      <c r="H20" s="86">
        <v>0</v>
      </c>
      <c r="I20" s="86">
        <v>0</v>
      </c>
      <c r="J20" s="86">
        <v>0</v>
      </c>
      <c r="K20" s="86">
        <v>0</v>
      </c>
      <c r="L20" s="87">
        <v>0</v>
      </c>
      <c r="M20" s="79">
        <v>0</v>
      </c>
      <c r="N20" s="68"/>
      <c r="O20" s="80"/>
      <c r="P20" s="85">
        <v>15691827.179230109</v>
      </c>
      <c r="Q20" s="86">
        <v>0</v>
      </c>
      <c r="R20" s="86">
        <v>0</v>
      </c>
      <c r="S20" s="86"/>
      <c r="T20" s="87">
        <v>0</v>
      </c>
      <c r="U20" s="67">
        <f aca="true" t="shared" si="0" ref="U20:U76">+R20+T20</f>
        <v>0</v>
      </c>
      <c r="V20" s="68"/>
      <c r="W20" s="69"/>
      <c r="X20" s="88">
        <f>+I20-R20</f>
        <v>0</v>
      </c>
      <c r="Y20" s="88">
        <v>0</v>
      </c>
      <c r="Z20" s="88">
        <f>L20-T20</f>
        <v>0</v>
      </c>
      <c r="AA20" s="89">
        <v>0</v>
      </c>
      <c r="AB20" s="52"/>
    </row>
    <row r="21" spans="1:28" ht="15">
      <c r="A21" s="1"/>
      <c r="B21" s="48"/>
      <c r="C21" s="84">
        <f aca="true" t="shared" si="1" ref="C21:C54">+C20+1</f>
        <v>2016</v>
      </c>
      <c r="D21" s="52"/>
      <c r="E21" s="1"/>
      <c r="F21" s="43"/>
      <c r="G21" s="90">
        <v>15420391.83</v>
      </c>
      <c r="H21" s="91">
        <v>-271435.32</v>
      </c>
      <c r="I21" s="91">
        <v>-249791.99</v>
      </c>
      <c r="J21" s="91">
        <v>0</v>
      </c>
      <c r="K21" s="91">
        <v>0</v>
      </c>
      <c r="L21" s="89">
        <v>-521227.31</v>
      </c>
      <c r="M21" s="79">
        <f aca="true" t="shared" si="2" ref="M21:M76">+H21+I21+L21</f>
        <v>-1042454.62</v>
      </c>
      <c r="N21" s="68"/>
      <c r="O21" s="80"/>
      <c r="P21" s="90">
        <v>15479933.08</v>
      </c>
      <c r="Q21" s="91">
        <v>-211894.09</v>
      </c>
      <c r="R21" s="91">
        <v>-309358.74</v>
      </c>
      <c r="S21" s="91">
        <v>0</v>
      </c>
      <c r="T21" s="89">
        <v>-521252.82999999996</v>
      </c>
      <c r="U21" s="67">
        <f t="shared" si="0"/>
        <v>-830611.57</v>
      </c>
      <c r="V21" s="68"/>
      <c r="W21" s="69"/>
      <c r="X21" s="92">
        <f>+I21-R21+K21-S21</f>
        <v>59566.75</v>
      </c>
      <c r="Y21" s="92">
        <f aca="true" t="shared" si="3" ref="Y21:Y76">J21</f>
        <v>0</v>
      </c>
      <c r="Z21" s="92">
        <f>L21-T21</f>
        <v>25.51999999996042</v>
      </c>
      <c r="AA21" s="92">
        <f>Z21/(1+0.0382)^1</f>
        <v>24.581005586554053</v>
      </c>
      <c r="AB21" s="52"/>
    </row>
    <row r="22" spans="1:28" ht="15">
      <c r="A22" s="1"/>
      <c r="B22" s="48"/>
      <c r="C22" s="84">
        <f t="shared" si="1"/>
        <v>2017</v>
      </c>
      <c r="D22" s="52"/>
      <c r="E22" s="1"/>
      <c r="F22" s="43"/>
      <c r="G22" s="90">
        <v>14914197.9</v>
      </c>
      <c r="H22" s="91">
        <v>-506193.93</v>
      </c>
      <c r="I22" s="91">
        <v>-561257</v>
      </c>
      <c r="J22" s="91">
        <v>25007</v>
      </c>
      <c r="K22" s="91">
        <v>0</v>
      </c>
      <c r="L22" s="89">
        <v>-1042443.9299999999</v>
      </c>
      <c r="M22" s="79">
        <f t="shared" si="2"/>
        <v>-2109894.86</v>
      </c>
      <c r="N22" s="68"/>
      <c r="O22" s="80"/>
      <c r="P22" s="90">
        <v>15043476.69</v>
      </c>
      <c r="Q22" s="91">
        <v>-436456.41</v>
      </c>
      <c r="R22" s="91">
        <v>-606049.23</v>
      </c>
      <c r="S22" s="91">
        <v>0</v>
      </c>
      <c r="T22" s="89">
        <v>-1042505.6399999999</v>
      </c>
      <c r="U22" s="67">
        <f t="shared" si="0"/>
        <v>-1648554.8699999999</v>
      </c>
      <c r="V22" s="68"/>
      <c r="W22" s="69"/>
      <c r="X22" s="92">
        <f aca="true" t="shared" si="4" ref="X22:X76">+I22-R22+K22-S22</f>
        <v>44792.22999999998</v>
      </c>
      <c r="Y22" s="92">
        <f t="shared" si="3"/>
        <v>25007</v>
      </c>
      <c r="Z22" s="92">
        <f aca="true" t="shared" si="5" ref="Z22:Z76">L22-T22</f>
        <v>61.70999999996275</v>
      </c>
      <c r="AA22" s="92">
        <f>Z22/(1.0382)^2</f>
        <v>57.25237369581092</v>
      </c>
      <c r="AB22" s="52"/>
    </row>
    <row r="23" spans="1:28" ht="15">
      <c r="A23" s="1"/>
      <c r="B23" s="48"/>
      <c r="C23" s="84">
        <f t="shared" si="1"/>
        <v>2018</v>
      </c>
      <c r="D23" s="52"/>
      <c r="E23" s="1"/>
      <c r="F23" s="43"/>
      <c r="G23" s="90">
        <v>14393070.05</v>
      </c>
      <c r="H23" s="91">
        <v>-521127.85</v>
      </c>
      <c r="I23" s="91">
        <v>-547342.8</v>
      </c>
      <c r="J23" s="91">
        <v>26034.1</v>
      </c>
      <c r="K23" s="91">
        <v>0</v>
      </c>
      <c r="L23" s="89">
        <v>-1042436.5499999999</v>
      </c>
      <c r="M23" s="79">
        <f t="shared" si="2"/>
        <v>-2110907.1999999997</v>
      </c>
      <c r="N23" s="68"/>
      <c r="O23" s="80"/>
      <c r="P23" s="90">
        <v>14589924.29</v>
      </c>
      <c r="Q23" s="91">
        <v>-453552.37</v>
      </c>
      <c r="R23" s="91">
        <v>-588953.27</v>
      </c>
      <c r="S23" s="91">
        <v>0</v>
      </c>
      <c r="T23" s="89">
        <v>-1042505.64</v>
      </c>
      <c r="U23" s="67">
        <f t="shared" si="0"/>
        <v>-1631458.9100000001</v>
      </c>
      <c r="V23" s="68"/>
      <c r="W23" s="69"/>
      <c r="X23" s="92">
        <f t="shared" si="4"/>
        <v>41610.46999999997</v>
      </c>
      <c r="Y23" s="92">
        <f t="shared" si="3"/>
        <v>26034.1</v>
      </c>
      <c r="Z23" s="92">
        <f t="shared" si="5"/>
        <v>69.09000000008382</v>
      </c>
      <c r="AA23" s="92">
        <f>Z23/(1+0.0382)^3</f>
        <v>61.74078102797496</v>
      </c>
      <c r="AB23" s="52"/>
    </row>
    <row r="24" spans="1:28" ht="15">
      <c r="A24" s="1"/>
      <c r="B24" s="48"/>
      <c r="C24" s="84">
        <f t="shared" si="1"/>
        <v>2019</v>
      </c>
      <c r="D24" s="52"/>
      <c r="E24" s="1"/>
      <c r="F24" s="43"/>
      <c r="G24" s="90">
        <v>13857848.44</v>
      </c>
      <c r="H24" s="91">
        <v>-535221.61</v>
      </c>
      <c r="I24" s="91">
        <v>-532569.73</v>
      </c>
      <c r="J24" s="91">
        <v>25363.59</v>
      </c>
      <c r="K24" s="91">
        <v>0</v>
      </c>
      <c r="L24" s="89">
        <v>-1042427.7499999999</v>
      </c>
      <c r="M24" s="79">
        <f t="shared" si="2"/>
        <v>-2110219.09</v>
      </c>
      <c r="N24" s="68"/>
      <c r="O24" s="80"/>
      <c r="P24" s="90">
        <v>14118399.37</v>
      </c>
      <c r="Q24" s="91">
        <v>-471524.93</v>
      </c>
      <c r="R24" s="91">
        <v>-570980.71</v>
      </c>
      <c r="S24" s="91">
        <v>0</v>
      </c>
      <c r="T24" s="89">
        <v>-1042505.6399999999</v>
      </c>
      <c r="U24" s="67">
        <f t="shared" si="0"/>
        <v>-1613486.3499999999</v>
      </c>
      <c r="V24" s="68"/>
      <c r="W24" s="69"/>
      <c r="X24" s="92">
        <f t="shared" si="4"/>
        <v>38410.97999999998</v>
      </c>
      <c r="Y24" s="92">
        <f t="shared" si="3"/>
        <v>25363.59</v>
      </c>
      <c r="Z24" s="92">
        <f t="shared" si="5"/>
        <v>77.89000000001397</v>
      </c>
      <c r="AA24" s="92">
        <f>Z24/(1+0.0382)^4</f>
        <v>67.04364312728373</v>
      </c>
      <c r="AB24" s="52"/>
    </row>
    <row r="25" spans="1:28" ht="15">
      <c r="A25" s="1"/>
      <c r="B25" s="48"/>
      <c r="C25" s="84">
        <f t="shared" si="1"/>
        <v>2020</v>
      </c>
      <c r="D25" s="52"/>
      <c r="E25" s="1"/>
      <c r="F25" s="43"/>
      <c r="G25" s="90">
        <v>13308461.51</v>
      </c>
      <c r="H25" s="91">
        <v>-549386.93</v>
      </c>
      <c r="I25" s="91">
        <v>-517669.2</v>
      </c>
      <c r="J25" s="91">
        <v>24639.4</v>
      </c>
      <c r="K25" s="91">
        <v>0</v>
      </c>
      <c r="L25" s="89">
        <v>-1042416.7300000001</v>
      </c>
      <c r="M25" s="79">
        <f t="shared" si="2"/>
        <v>-2109472.8600000003</v>
      </c>
      <c r="N25" s="68"/>
      <c r="O25" s="80"/>
      <c r="P25" s="90">
        <v>13628303.95</v>
      </c>
      <c r="Q25" s="91">
        <v>-490095.41</v>
      </c>
      <c r="R25" s="91">
        <v>-552410.23</v>
      </c>
      <c r="S25" s="91">
        <v>0</v>
      </c>
      <c r="T25" s="89">
        <v>-1042505.6399999999</v>
      </c>
      <c r="U25" s="67">
        <f t="shared" si="0"/>
        <v>-1594915.8699999999</v>
      </c>
      <c r="V25" s="68"/>
      <c r="W25" s="69"/>
      <c r="X25" s="92">
        <f t="shared" si="4"/>
        <v>34741.02999999997</v>
      </c>
      <c r="Y25" s="92">
        <f t="shared" si="3"/>
        <v>24639.4</v>
      </c>
      <c r="Z25" s="92">
        <f t="shared" si="5"/>
        <v>88.90999999979977</v>
      </c>
      <c r="AA25" s="92">
        <f>Z25/(1+0.0382)^5</f>
        <v>73.71323777361862</v>
      </c>
      <c r="AB25" s="52"/>
    </row>
    <row r="26" spans="1:28" ht="15">
      <c r="A26" s="1"/>
      <c r="B26" s="48"/>
      <c r="C26" s="84">
        <f t="shared" si="1"/>
        <v>2021</v>
      </c>
      <c r="D26" s="52"/>
      <c r="E26" s="1"/>
      <c r="F26" s="43"/>
      <c r="G26" s="90">
        <v>12740502.05</v>
      </c>
      <c r="H26" s="91">
        <v>-567959.46</v>
      </c>
      <c r="I26" s="91">
        <v>-498273.05</v>
      </c>
      <c r="J26" s="91">
        <v>23828.88</v>
      </c>
      <c r="K26" s="91">
        <v>0</v>
      </c>
      <c r="L26" s="89">
        <v>-1042403.63</v>
      </c>
      <c r="M26" s="79">
        <f t="shared" si="2"/>
        <v>-2108636.14</v>
      </c>
      <c r="N26" s="68"/>
      <c r="O26" s="80"/>
      <c r="P26" s="90">
        <v>13118372.11</v>
      </c>
      <c r="Q26" s="91">
        <v>-509931.84</v>
      </c>
      <c r="R26" s="91">
        <v>-532573.81</v>
      </c>
      <c r="S26" s="91">
        <v>0</v>
      </c>
      <c r="T26" s="89">
        <v>-1042505.6500000001</v>
      </c>
      <c r="U26" s="67">
        <f t="shared" si="0"/>
        <v>-1575079.4600000002</v>
      </c>
      <c r="V26" s="68"/>
      <c r="W26" s="69"/>
      <c r="X26" s="92">
        <f t="shared" si="4"/>
        <v>34300.76000000007</v>
      </c>
      <c r="Y26" s="92">
        <f t="shared" si="3"/>
        <v>23828.88</v>
      </c>
      <c r="Z26" s="92">
        <f t="shared" si="5"/>
        <v>102.02000000013504</v>
      </c>
      <c r="AA26" s="92">
        <f>Z26/(1+0.0382)^6</f>
        <v>81.47027306407614</v>
      </c>
      <c r="AB26" s="52"/>
    </row>
    <row r="27" spans="1:28" ht="15">
      <c r="A27" s="1"/>
      <c r="B27" s="48"/>
      <c r="C27" s="84">
        <f t="shared" si="1"/>
        <v>2022</v>
      </c>
      <c r="D27" s="52"/>
      <c r="E27" s="1"/>
      <c r="F27" s="43"/>
      <c r="G27" s="90">
        <v>12154247.5</v>
      </c>
      <c r="H27" s="91">
        <v>-586254.55</v>
      </c>
      <c r="I27" s="91">
        <v>-479088.74</v>
      </c>
      <c r="J27" s="91">
        <v>22955.66</v>
      </c>
      <c r="K27" s="91">
        <v>0</v>
      </c>
      <c r="L27" s="89">
        <v>-1042387.63</v>
      </c>
      <c r="M27" s="79">
        <f t="shared" si="2"/>
        <v>-2107730.92</v>
      </c>
      <c r="N27" s="68"/>
      <c r="O27" s="80"/>
      <c r="P27" s="90">
        <v>12588183.38</v>
      </c>
      <c r="Q27" s="91">
        <v>-530188.72</v>
      </c>
      <c r="R27" s="91">
        <v>-512316.93</v>
      </c>
      <c r="S27" s="91">
        <v>0</v>
      </c>
      <c r="T27" s="89">
        <v>-1042505.6499999999</v>
      </c>
      <c r="U27" s="67">
        <f t="shared" si="0"/>
        <v>-1554822.5799999998</v>
      </c>
      <c r="V27" s="68"/>
      <c r="W27" s="69"/>
      <c r="X27" s="92">
        <f t="shared" si="4"/>
        <v>33228.19</v>
      </c>
      <c r="Y27" s="92">
        <f t="shared" si="3"/>
        <v>22955.66</v>
      </c>
      <c r="Z27" s="92">
        <f t="shared" si="5"/>
        <v>118.01999999990221</v>
      </c>
      <c r="AA27" s="92">
        <f>Z27/(1+0.0382)^7</f>
        <v>90.77963631089642</v>
      </c>
      <c r="AB27" s="52"/>
    </row>
    <row r="28" spans="1:28" ht="15">
      <c r="A28" s="1"/>
      <c r="B28" s="48"/>
      <c r="C28" s="84">
        <f t="shared" si="1"/>
        <v>2023</v>
      </c>
      <c r="D28" s="52"/>
      <c r="E28" s="1"/>
      <c r="F28" s="43"/>
      <c r="G28" s="90">
        <v>11548650.87</v>
      </c>
      <c r="H28" s="91">
        <v>-605596.63</v>
      </c>
      <c r="I28" s="91">
        <v>-458799.28</v>
      </c>
      <c r="J28" s="91">
        <v>22027.47</v>
      </c>
      <c r="K28" s="91">
        <v>0</v>
      </c>
      <c r="L28" s="89">
        <v>-1042368.4400000002</v>
      </c>
      <c r="M28" s="79">
        <f t="shared" si="2"/>
        <v>-2106764.3500000006</v>
      </c>
      <c r="N28" s="68"/>
      <c r="O28" s="80"/>
      <c r="P28" s="90">
        <v>12036735.2</v>
      </c>
      <c r="Q28" s="91">
        <v>-551448.19</v>
      </c>
      <c r="R28" s="91">
        <v>-491057.45</v>
      </c>
      <c r="S28" s="91">
        <v>0</v>
      </c>
      <c r="T28" s="89">
        <v>-1042505.6399999999</v>
      </c>
      <c r="U28" s="67">
        <f t="shared" si="0"/>
        <v>-1533563.0899999999</v>
      </c>
      <c r="V28" s="68"/>
      <c r="W28" s="69"/>
      <c r="X28" s="92">
        <f t="shared" si="4"/>
        <v>32258.169999999984</v>
      </c>
      <c r="Y28" s="92">
        <f t="shared" si="3"/>
        <v>22027.47</v>
      </c>
      <c r="Z28" s="92">
        <f t="shared" si="5"/>
        <v>137.1999999997206</v>
      </c>
      <c r="AA28" s="92">
        <f>Z28/(1+0.0382)^8</f>
        <v>101.649656416207</v>
      </c>
      <c r="AB28" s="52"/>
    </row>
    <row r="29" spans="1:28" ht="15">
      <c r="A29" s="1"/>
      <c r="B29" s="48"/>
      <c r="C29" s="84">
        <f t="shared" si="1"/>
        <v>2024</v>
      </c>
      <c r="D29" s="52"/>
      <c r="E29" s="1"/>
      <c r="F29" s="43"/>
      <c r="G29" s="90">
        <v>10923843.6</v>
      </c>
      <c r="H29" s="91">
        <v>-624807.27</v>
      </c>
      <c r="I29" s="91">
        <v>-438588.82</v>
      </c>
      <c r="J29" s="91">
        <v>21051.17</v>
      </c>
      <c r="K29" s="91">
        <v>0</v>
      </c>
      <c r="L29" s="89">
        <v>-1042344.92</v>
      </c>
      <c r="M29" s="79">
        <f t="shared" si="2"/>
        <v>-2105741.0100000002</v>
      </c>
      <c r="N29" s="68"/>
      <c r="O29" s="80"/>
      <c r="P29" s="90">
        <v>11463260.41</v>
      </c>
      <c r="Q29" s="91">
        <v>-573474.77</v>
      </c>
      <c r="R29" s="91">
        <v>-469030.87</v>
      </c>
      <c r="S29" s="91">
        <v>0</v>
      </c>
      <c r="T29" s="89">
        <v>-1042505.64</v>
      </c>
      <c r="U29" s="67">
        <f t="shared" si="0"/>
        <v>-1511536.51</v>
      </c>
      <c r="V29" s="68"/>
      <c r="W29" s="69"/>
      <c r="X29" s="92">
        <f t="shared" si="4"/>
        <v>30442.04999999999</v>
      </c>
      <c r="Y29" s="92">
        <f t="shared" si="3"/>
        <v>21051.17</v>
      </c>
      <c r="Z29" s="92">
        <f t="shared" si="5"/>
        <v>160.71999999997206</v>
      </c>
      <c r="AA29" s="92">
        <f>Z29/(1+0.0382)^9</f>
        <v>114.69400096519385</v>
      </c>
      <c r="AB29" s="52"/>
    </row>
    <row r="30" spans="1:28" ht="15">
      <c r="A30" s="1"/>
      <c r="B30" s="48"/>
      <c r="C30" s="84">
        <f t="shared" si="1"/>
        <v>2025</v>
      </c>
      <c r="D30" s="52"/>
      <c r="E30" s="1"/>
      <c r="F30" s="43"/>
      <c r="G30" s="90">
        <v>10276336.44</v>
      </c>
      <c r="H30" s="91">
        <v>-647507.16</v>
      </c>
      <c r="I30" s="91">
        <v>-414828.29</v>
      </c>
      <c r="J30" s="91">
        <v>20017.81</v>
      </c>
      <c r="K30" s="91">
        <v>0</v>
      </c>
      <c r="L30" s="89">
        <v>-1042317.6399999999</v>
      </c>
      <c r="M30" s="79">
        <f t="shared" si="2"/>
        <v>-2104653.09</v>
      </c>
      <c r="N30" s="68"/>
      <c r="O30" s="80"/>
      <c r="P30" s="90">
        <v>10866395.8</v>
      </c>
      <c r="Q30" s="91">
        <v>-596864.62</v>
      </c>
      <c r="R30" s="91">
        <v>-445641.02</v>
      </c>
      <c r="S30" s="91">
        <v>0</v>
      </c>
      <c r="T30" s="89">
        <v>-1042505.64</v>
      </c>
      <c r="U30" s="67">
        <f t="shared" si="0"/>
        <v>-1488146.6600000001</v>
      </c>
      <c r="V30" s="68"/>
      <c r="W30" s="69"/>
      <c r="X30" s="92">
        <f t="shared" si="4"/>
        <v>30812.73000000004</v>
      </c>
      <c r="Y30" s="92">
        <f t="shared" si="3"/>
        <v>20017.81</v>
      </c>
      <c r="Z30" s="92">
        <f t="shared" si="5"/>
        <v>188.00000000011642</v>
      </c>
      <c r="AA30" s="92">
        <f>Z30/(1+0.0382)^10</f>
        <v>129.22531629647867</v>
      </c>
      <c r="AB30" s="52"/>
    </row>
    <row r="31" spans="1:28" ht="15">
      <c r="A31" s="1"/>
      <c r="B31" s="48"/>
      <c r="C31" s="84">
        <f t="shared" si="1"/>
        <v>2026</v>
      </c>
      <c r="D31" s="52"/>
      <c r="E31" s="1"/>
      <c r="F31" s="43"/>
      <c r="G31" s="90">
        <v>9606213.14</v>
      </c>
      <c r="H31" s="91">
        <v>-670123.3</v>
      </c>
      <c r="I31" s="91">
        <v>-391091.23</v>
      </c>
      <c r="J31" s="91">
        <v>18929.92</v>
      </c>
      <c r="K31" s="91">
        <v>0</v>
      </c>
      <c r="L31" s="89">
        <v>-1042284.61</v>
      </c>
      <c r="M31" s="79">
        <f t="shared" si="2"/>
        <v>-2103499.14</v>
      </c>
      <c r="N31" s="68"/>
      <c r="O31" s="80"/>
      <c r="P31" s="90">
        <v>10245497.68</v>
      </c>
      <c r="Q31" s="91">
        <v>-620898.12</v>
      </c>
      <c r="R31" s="91">
        <v>-421607.52</v>
      </c>
      <c r="S31" s="91">
        <v>0</v>
      </c>
      <c r="T31" s="89">
        <v>-1042505.64</v>
      </c>
      <c r="U31" s="67">
        <f t="shared" si="0"/>
        <v>-1464113.1600000001</v>
      </c>
      <c r="V31" s="68"/>
      <c r="W31" s="69"/>
      <c r="X31" s="92">
        <f t="shared" si="4"/>
        <v>30516.290000000037</v>
      </c>
      <c r="Y31" s="92">
        <f t="shared" si="3"/>
        <v>18929.92</v>
      </c>
      <c r="Z31" s="92">
        <f t="shared" si="5"/>
        <v>221.03000000002794</v>
      </c>
      <c r="AA31" s="92">
        <f>Z31/(1+0.0382)^11</f>
        <v>146.33895644362275</v>
      </c>
      <c r="AB31" s="52"/>
    </row>
    <row r="32" spans="1:28" ht="15">
      <c r="A32" s="1"/>
      <c r="B32" s="48"/>
      <c r="C32" s="84">
        <f t="shared" si="1"/>
        <v>2027</v>
      </c>
      <c r="D32" s="52"/>
      <c r="E32" s="1"/>
      <c r="F32" s="43"/>
      <c r="G32" s="90">
        <v>8912361.06</v>
      </c>
      <c r="H32" s="91">
        <v>-693852.08</v>
      </c>
      <c r="I32" s="91">
        <v>-366181.28</v>
      </c>
      <c r="J32" s="91">
        <v>17788.03</v>
      </c>
      <c r="K32" s="91">
        <v>0</v>
      </c>
      <c r="L32" s="89">
        <v>-1042245.3299999998</v>
      </c>
      <c r="M32" s="79">
        <f t="shared" si="2"/>
        <v>-2102278.6899999995</v>
      </c>
      <c r="N32" s="68"/>
      <c r="O32" s="80"/>
      <c r="P32" s="90">
        <v>9599411.34</v>
      </c>
      <c r="Q32" s="91">
        <v>-646086.36</v>
      </c>
      <c r="R32" s="91">
        <v>-396419.29</v>
      </c>
      <c r="S32" s="91">
        <v>0</v>
      </c>
      <c r="T32" s="89">
        <v>-1042505.6499999999</v>
      </c>
      <c r="U32" s="67">
        <f t="shared" si="0"/>
        <v>-1438924.94</v>
      </c>
      <c r="V32" s="68"/>
      <c r="W32" s="69"/>
      <c r="X32" s="92">
        <f t="shared" si="4"/>
        <v>30238.00999999995</v>
      </c>
      <c r="Y32" s="92">
        <f t="shared" si="3"/>
        <v>17788.03</v>
      </c>
      <c r="Z32" s="92">
        <f t="shared" si="5"/>
        <v>260.3200000000652</v>
      </c>
      <c r="AA32" s="92">
        <f>Z32/(1+0.0382)^12</f>
        <v>166.01037900675666</v>
      </c>
      <c r="AB32" s="52"/>
    </row>
    <row r="33" spans="1:28" ht="15">
      <c r="A33" s="1"/>
      <c r="B33" s="48"/>
      <c r="C33" s="84">
        <f t="shared" si="1"/>
        <v>2028</v>
      </c>
      <c r="D33" s="52"/>
      <c r="E33" s="1"/>
      <c r="F33" s="43"/>
      <c r="G33" s="90">
        <v>8194504.71</v>
      </c>
      <c r="H33" s="91">
        <v>-717856.35</v>
      </c>
      <c r="I33" s="91">
        <v>-340931.05</v>
      </c>
      <c r="J33" s="91">
        <v>16589.67</v>
      </c>
      <c r="K33" s="91">
        <v>0</v>
      </c>
      <c r="L33" s="89">
        <v>-1042197.7299999999</v>
      </c>
      <c r="M33" s="79">
        <f t="shared" si="2"/>
        <v>-2100985.13</v>
      </c>
      <c r="N33" s="68"/>
      <c r="O33" s="80"/>
      <c r="P33" s="90">
        <v>8927166.14</v>
      </c>
      <c r="Q33" s="91">
        <v>-672245.19</v>
      </c>
      <c r="R33" s="91">
        <v>-370260.45</v>
      </c>
      <c r="S33" s="91">
        <v>0</v>
      </c>
      <c r="T33" s="89">
        <v>-1042505.6399999999</v>
      </c>
      <c r="U33" s="67">
        <f t="shared" si="0"/>
        <v>-1412766.0899999999</v>
      </c>
      <c r="V33" s="68"/>
      <c r="W33" s="69"/>
      <c r="X33" s="92">
        <f t="shared" si="4"/>
        <v>29329.400000000023</v>
      </c>
      <c r="Y33" s="92">
        <f t="shared" si="3"/>
        <v>16589.67</v>
      </c>
      <c r="Z33" s="92">
        <f t="shared" si="5"/>
        <v>307.9100000000326</v>
      </c>
      <c r="AA33" s="92">
        <f>Z33/(1+0.0382)^13</f>
        <v>189.13437762285199</v>
      </c>
      <c r="AB33" s="52"/>
    </row>
    <row r="34" spans="1:28" ht="15">
      <c r="A34" s="1"/>
      <c r="B34" s="48"/>
      <c r="C34" s="84">
        <f t="shared" si="1"/>
        <v>2029</v>
      </c>
      <c r="D34" s="52"/>
      <c r="E34" s="1"/>
      <c r="F34" s="43"/>
      <c r="G34" s="90">
        <v>7456431.16</v>
      </c>
      <c r="H34" s="91">
        <v>-738073.55</v>
      </c>
      <c r="I34" s="91">
        <v>-312707.8</v>
      </c>
      <c r="J34" s="91">
        <v>15333.4</v>
      </c>
      <c r="K34" s="91">
        <v>0</v>
      </c>
      <c r="L34" s="89">
        <v>-1035447.9500000001</v>
      </c>
      <c r="M34" s="79">
        <f t="shared" si="2"/>
        <v>-2086229.3000000003</v>
      </c>
      <c r="N34" s="68"/>
      <c r="O34" s="80"/>
      <c r="P34" s="90">
        <v>8233983.14</v>
      </c>
      <c r="Q34" s="91">
        <v>-693182.99</v>
      </c>
      <c r="R34" s="91">
        <v>-342627.04</v>
      </c>
      <c r="S34" s="91">
        <v>0</v>
      </c>
      <c r="T34" s="89">
        <v>-1035810.03</v>
      </c>
      <c r="U34" s="67">
        <f t="shared" si="0"/>
        <v>-1378437.07</v>
      </c>
      <c r="V34" s="68"/>
      <c r="W34" s="69"/>
      <c r="X34" s="92">
        <f t="shared" si="4"/>
        <v>29919.23999999999</v>
      </c>
      <c r="Y34" s="92">
        <f t="shared" si="3"/>
        <v>15333.4</v>
      </c>
      <c r="Z34" s="92">
        <f t="shared" si="5"/>
        <v>362.0799999999581</v>
      </c>
      <c r="AA34" s="92">
        <f>Z34/(1+0.0382)^14</f>
        <v>214.22502047477963</v>
      </c>
      <c r="AB34" s="52"/>
    </row>
    <row r="35" spans="1:28" ht="15">
      <c r="A35" s="1"/>
      <c r="B35" s="48"/>
      <c r="C35" s="84">
        <f t="shared" si="1"/>
        <v>2030</v>
      </c>
      <c r="D35" s="52"/>
      <c r="E35" s="1"/>
      <c r="F35" s="43"/>
      <c r="G35" s="90">
        <v>6790948.78</v>
      </c>
      <c r="H35" s="91">
        <v>-665482.38</v>
      </c>
      <c r="I35" s="91">
        <v>-285564.47</v>
      </c>
      <c r="J35" s="91">
        <v>14033.41</v>
      </c>
      <c r="K35" s="91">
        <v>0</v>
      </c>
      <c r="L35" s="89">
        <v>-937013.44</v>
      </c>
      <c r="M35" s="79">
        <f t="shared" si="2"/>
        <v>-1888060.29</v>
      </c>
      <c r="N35" s="68"/>
      <c r="O35" s="80"/>
      <c r="P35" s="90">
        <v>7613181.27</v>
      </c>
      <c r="Q35" s="91">
        <v>-620801.87</v>
      </c>
      <c r="R35" s="91">
        <v>-316638.35</v>
      </c>
      <c r="S35" s="91">
        <v>0</v>
      </c>
      <c r="T35" s="89">
        <v>-937440.22</v>
      </c>
      <c r="U35" s="67">
        <f t="shared" si="0"/>
        <v>-1254078.5699999998</v>
      </c>
      <c r="V35" s="68"/>
      <c r="W35" s="69"/>
      <c r="X35" s="92">
        <f t="shared" si="4"/>
        <v>31073.880000000005</v>
      </c>
      <c r="Y35" s="92">
        <f t="shared" si="3"/>
        <v>14033.41</v>
      </c>
      <c r="Z35" s="92">
        <f t="shared" si="5"/>
        <v>426.78000000002794</v>
      </c>
      <c r="AA35" s="92">
        <f>Z35/(1+0.0382)^15</f>
        <v>243.21406751233195</v>
      </c>
      <c r="AB35" s="52"/>
    </row>
    <row r="36" spans="1:28" ht="15">
      <c r="A36" s="1"/>
      <c r="B36" s="48"/>
      <c r="C36" s="84">
        <f t="shared" si="1"/>
        <v>2031</v>
      </c>
      <c r="D36" s="52"/>
      <c r="E36" s="1"/>
      <c r="F36" s="43"/>
      <c r="G36" s="90">
        <v>6100663.1</v>
      </c>
      <c r="H36" s="91">
        <v>-690285.68</v>
      </c>
      <c r="I36" s="91">
        <v>-259460.81</v>
      </c>
      <c r="J36" s="91">
        <v>12804.92</v>
      </c>
      <c r="K36" s="91">
        <v>0</v>
      </c>
      <c r="L36" s="89">
        <v>-936941.57</v>
      </c>
      <c r="M36" s="79">
        <f t="shared" si="2"/>
        <v>-1886688.06</v>
      </c>
      <c r="N36" s="68"/>
      <c r="O36" s="80"/>
      <c r="P36" s="90">
        <v>6967372.84</v>
      </c>
      <c r="Q36" s="91">
        <v>-645808.42</v>
      </c>
      <c r="R36" s="91">
        <v>-291635.64</v>
      </c>
      <c r="S36" s="91">
        <v>0</v>
      </c>
      <c r="T36" s="89">
        <v>-937444.06</v>
      </c>
      <c r="U36" s="67">
        <f t="shared" si="0"/>
        <v>-1229079.7000000002</v>
      </c>
      <c r="V36" s="68"/>
      <c r="W36" s="69"/>
      <c r="X36" s="92">
        <f t="shared" si="4"/>
        <v>32174.830000000016</v>
      </c>
      <c r="Y36" s="92">
        <f t="shared" si="3"/>
        <v>12804.92</v>
      </c>
      <c r="Z36" s="92">
        <f t="shared" si="5"/>
        <v>502.4900000001071</v>
      </c>
      <c r="AA36" s="92">
        <f>Z36/(1+0.0382)^16</f>
        <v>275.8233511274031</v>
      </c>
      <c r="AB36" s="52">
        <v>18</v>
      </c>
    </row>
    <row r="37" spans="1:28" ht="15">
      <c r="A37" s="1"/>
      <c r="B37" s="48"/>
      <c r="C37" s="84">
        <f t="shared" si="1"/>
        <v>2032</v>
      </c>
      <c r="D37" s="52"/>
      <c r="E37" s="1"/>
      <c r="F37" s="43"/>
      <c r="G37" s="90">
        <v>5385021.67</v>
      </c>
      <c r="H37" s="91">
        <v>-715641.43</v>
      </c>
      <c r="I37" s="91">
        <v>-232759.89</v>
      </c>
      <c r="J37" s="91">
        <v>11549.44</v>
      </c>
      <c r="K37" s="91">
        <v>0</v>
      </c>
      <c r="L37" s="89">
        <v>-936851.8800000001</v>
      </c>
      <c r="M37" s="79">
        <f t="shared" si="2"/>
        <v>-1885253.2000000002</v>
      </c>
      <c r="N37" s="68"/>
      <c r="O37" s="80"/>
      <c r="P37" s="90">
        <v>6295610.34</v>
      </c>
      <c r="Q37" s="91">
        <v>-671762.5</v>
      </c>
      <c r="R37" s="91">
        <v>-265681.56</v>
      </c>
      <c r="S37" s="91">
        <v>0</v>
      </c>
      <c r="T37" s="89">
        <v>-937444.06</v>
      </c>
      <c r="U37" s="67">
        <f t="shared" si="0"/>
        <v>-1203125.62</v>
      </c>
      <c r="V37" s="68"/>
      <c r="W37" s="69"/>
      <c r="X37" s="92">
        <f t="shared" si="4"/>
        <v>32921.669999999984</v>
      </c>
      <c r="Y37" s="92">
        <f t="shared" si="3"/>
        <v>11549.44</v>
      </c>
      <c r="Z37" s="92">
        <f t="shared" si="5"/>
        <v>592.1799999999348</v>
      </c>
      <c r="AA37" s="92">
        <f>Z37/(1+0.0382)^17</f>
        <v>313.0951342770962</v>
      </c>
      <c r="AB37" s="52"/>
    </row>
    <row r="38" spans="1:28" ht="15">
      <c r="A38" s="1"/>
      <c r="B38" s="48"/>
      <c r="C38" s="84">
        <f t="shared" si="1"/>
        <v>2033</v>
      </c>
      <c r="D38" s="52"/>
      <c r="E38" s="1"/>
      <c r="F38" s="43"/>
      <c r="G38" s="90">
        <v>4641749.44</v>
      </c>
      <c r="H38" s="91">
        <v>-743272.23</v>
      </c>
      <c r="I38" s="91">
        <v>-203723.89</v>
      </c>
      <c r="J38" s="91">
        <v>10243.4</v>
      </c>
      <c r="K38" s="91">
        <v>0</v>
      </c>
      <c r="L38" s="89">
        <v>-936752.72</v>
      </c>
      <c r="M38" s="79">
        <f t="shared" si="2"/>
        <v>-1883748.8399999999</v>
      </c>
      <c r="N38" s="68"/>
      <c r="O38" s="80"/>
      <c r="P38" s="90">
        <v>5596547.62</v>
      </c>
      <c r="Q38" s="91">
        <v>-699062.73</v>
      </c>
      <c r="R38" s="91">
        <v>-238381.33</v>
      </c>
      <c r="S38" s="91">
        <v>0</v>
      </c>
      <c r="T38" s="89">
        <v>-937444.0599999999</v>
      </c>
      <c r="U38" s="67">
        <f t="shared" si="0"/>
        <v>-1175825.39</v>
      </c>
      <c r="V38" s="68"/>
      <c r="W38" s="69"/>
      <c r="X38" s="92">
        <f t="shared" si="4"/>
        <v>34657.43999999997</v>
      </c>
      <c r="Y38" s="92">
        <f t="shared" si="3"/>
        <v>10243.4</v>
      </c>
      <c r="Z38" s="92">
        <f t="shared" si="5"/>
        <v>691.3399999999674</v>
      </c>
      <c r="AA38" s="92">
        <f>Z38/(1+0.0382)^18</f>
        <v>352.0734236913674</v>
      </c>
      <c r="AB38" s="52"/>
    </row>
    <row r="39" spans="1:28" ht="15">
      <c r="A39" s="1"/>
      <c r="B39" s="48"/>
      <c r="C39" s="84">
        <f t="shared" si="1"/>
        <v>2034</v>
      </c>
      <c r="D39" s="52"/>
      <c r="E39" s="1"/>
      <c r="F39" s="43"/>
      <c r="G39" s="90">
        <v>3870186.96</v>
      </c>
      <c r="H39" s="91">
        <v>-771562.48</v>
      </c>
      <c r="I39" s="91">
        <v>-173949.01</v>
      </c>
      <c r="J39" s="91">
        <v>8874.39</v>
      </c>
      <c r="K39" s="91">
        <v>0</v>
      </c>
      <c r="L39" s="89">
        <v>-936637.1</v>
      </c>
      <c r="M39" s="79">
        <f t="shared" si="2"/>
        <v>-1882148.5899999999</v>
      </c>
      <c r="N39" s="68"/>
      <c r="O39" s="80"/>
      <c r="P39" s="90">
        <v>4869255.04</v>
      </c>
      <c r="Q39" s="91">
        <v>-727292.58</v>
      </c>
      <c r="R39" s="91">
        <v>-210151.49</v>
      </c>
      <c r="S39" s="91">
        <v>0</v>
      </c>
      <c r="T39" s="89">
        <v>-937444.07</v>
      </c>
      <c r="U39" s="67">
        <f t="shared" si="0"/>
        <v>-1147595.56</v>
      </c>
      <c r="V39" s="68"/>
      <c r="W39" s="69"/>
      <c r="X39" s="92">
        <f t="shared" si="4"/>
        <v>36202.47999999998</v>
      </c>
      <c r="Y39" s="92">
        <f t="shared" si="3"/>
        <v>8874.39</v>
      </c>
      <c r="Z39" s="92">
        <f t="shared" si="5"/>
        <v>806.9699999999721</v>
      </c>
      <c r="AA39" s="92">
        <f>Z39/(1+0.0382)^19</f>
        <v>395.8384007481821</v>
      </c>
      <c r="AB39" s="52"/>
    </row>
    <row r="40" spans="1:28" ht="15">
      <c r="A40" s="1"/>
      <c r="B40" s="48"/>
      <c r="C40" s="84">
        <f t="shared" si="1"/>
        <v>2035</v>
      </c>
      <c r="D40" s="52"/>
      <c r="E40" s="1"/>
      <c r="F40" s="43"/>
      <c r="G40" s="90">
        <v>3069123.9</v>
      </c>
      <c r="H40" s="91">
        <v>-801063.06</v>
      </c>
      <c r="I40" s="91">
        <v>-142891.17</v>
      </c>
      <c r="J40" s="91">
        <v>7448.63</v>
      </c>
      <c r="K40" s="91">
        <v>0</v>
      </c>
      <c r="L40" s="89">
        <v>-936505.6000000001</v>
      </c>
      <c r="M40" s="79">
        <f t="shared" si="2"/>
        <v>-1880459.83</v>
      </c>
      <c r="N40" s="68"/>
      <c r="O40" s="80"/>
      <c r="P40" s="90">
        <v>4112483.27</v>
      </c>
      <c r="Q40" s="91">
        <v>-756771.77</v>
      </c>
      <c r="R40" s="91">
        <v>-180672.3</v>
      </c>
      <c r="S40" s="91">
        <v>0</v>
      </c>
      <c r="T40" s="89">
        <v>-937444.0700000001</v>
      </c>
      <c r="U40" s="67">
        <f t="shared" si="0"/>
        <v>-1118116.37</v>
      </c>
      <c r="V40" s="68"/>
      <c r="W40" s="69"/>
      <c r="X40" s="92">
        <f t="shared" si="4"/>
        <v>37781.129999999976</v>
      </c>
      <c r="Y40" s="92">
        <f t="shared" si="3"/>
        <v>7448.63</v>
      </c>
      <c r="Z40" s="92">
        <f t="shared" si="5"/>
        <v>938.4699999999721</v>
      </c>
      <c r="AA40" s="92">
        <f>Z40/(1+0.0382)^20</f>
        <v>443.40430286782873</v>
      </c>
      <c r="AB40" s="52"/>
    </row>
    <row r="41" spans="1:28" ht="15">
      <c r="A41" s="1"/>
      <c r="B41" s="48"/>
      <c r="C41" s="84">
        <f t="shared" si="1"/>
        <v>2036</v>
      </c>
      <c r="D41" s="52"/>
      <c r="E41" s="1"/>
      <c r="F41" s="43"/>
      <c r="G41" s="90">
        <v>2237455.42</v>
      </c>
      <c r="H41" s="91">
        <v>-831668.48</v>
      </c>
      <c r="I41" s="91">
        <v>-110638.56</v>
      </c>
      <c r="J41" s="91">
        <v>5954.35</v>
      </c>
      <c r="K41" s="91">
        <v>0</v>
      </c>
      <c r="L41" s="89">
        <v>-936352.6900000001</v>
      </c>
      <c r="M41" s="79">
        <f t="shared" si="2"/>
        <v>-1878659.73</v>
      </c>
      <c r="N41" s="68"/>
      <c r="O41" s="80"/>
      <c r="P41" s="90">
        <v>3325059.62</v>
      </c>
      <c r="Q41" s="91">
        <v>-787423.64</v>
      </c>
      <c r="R41" s="91">
        <v>-150020.43</v>
      </c>
      <c r="S41" s="91">
        <v>0</v>
      </c>
      <c r="T41" s="89">
        <v>-937444.0700000001</v>
      </c>
      <c r="U41" s="67">
        <f t="shared" si="0"/>
        <v>-1087464.5</v>
      </c>
      <c r="V41" s="68"/>
      <c r="W41" s="69"/>
      <c r="X41" s="92">
        <f t="shared" si="4"/>
        <v>39381.869999999995</v>
      </c>
      <c r="Y41" s="92">
        <f t="shared" si="3"/>
        <v>5954.35</v>
      </c>
      <c r="Z41" s="92">
        <f t="shared" si="5"/>
        <v>1091.3800000000047</v>
      </c>
      <c r="AA41" s="92">
        <f>Z41/(1+0.0382)^21</f>
        <v>496.67748746004054</v>
      </c>
      <c r="AB41" s="52"/>
    </row>
    <row r="42" spans="1:28" ht="15">
      <c r="A42" s="1"/>
      <c r="B42" s="48"/>
      <c r="C42" s="84">
        <f t="shared" si="1"/>
        <v>2037</v>
      </c>
      <c r="D42" s="52"/>
      <c r="E42" s="1"/>
      <c r="F42" s="43"/>
      <c r="G42" s="90">
        <v>1373514.29</v>
      </c>
      <c r="H42" s="91">
        <v>-863941.13</v>
      </c>
      <c r="I42" s="91">
        <v>-76646.55</v>
      </c>
      <c r="J42" s="91">
        <v>4399.29</v>
      </c>
      <c r="K42" s="91">
        <v>0</v>
      </c>
      <c r="L42" s="89">
        <v>-936188.39</v>
      </c>
      <c r="M42" s="79">
        <f t="shared" si="2"/>
        <v>-1876776.07</v>
      </c>
      <c r="N42" s="68"/>
      <c r="O42" s="80"/>
      <c r="P42" s="90">
        <v>2505517.57</v>
      </c>
      <c r="Q42" s="91">
        <v>-819542.06</v>
      </c>
      <c r="R42" s="91">
        <v>-117902</v>
      </c>
      <c r="S42" s="91">
        <v>0</v>
      </c>
      <c r="T42" s="89">
        <v>-937444.06</v>
      </c>
      <c r="U42" s="67">
        <f t="shared" si="0"/>
        <v>-1055346.06</v>
      </c>
      <c r="V42" s="68"/>
      <c r="W42" s="69"/>
      <c r="X42" s="92">
        <f t="shared" si="4"/>
        <v>41255.45</v>
      </c>
      <c r="Y42" s="92">
        <f t="shared" si="3"/>
        <v>4399.29</v>
      </c>
      <c r="Z42" s="92">
        <f t="shared" si="5"/>
        <v>1255.670000000042</v>
      </c>
      <c r="AA42" s="92">
        <f>Z42/(1+0.0382)^22</f>
        <v>550.4184442085319</v>
      </c>
      <c r="AB42" s="52"/>
    </row>
    <row r="43" spans="1:28" ht="15">
      <c r="A43" s="1"/>
      <c r="B43" s="48"/>
      <c r="C43" s="84">
        <f t="shared" si="1"/>
        <v>2038</v>
      </c>
      <c r="D43" s="52"/>
      <c r="E43" s="1"/>
      <c r="F43" s="43"/>
      <c r="G43" s="90">
        <v>476322.87</v>
      </c>
      <c r="H43" s="91">
        <v>-897191.42</v>
      </c>
      <c r="I43" s="91">
        <v>-41594.28</v>
      </c>
      <c r="J43" s="91">
        <v>2784.1</v>
      </c>
      <c r="K43" s="91">
        <v>0</v>
      </c>
      <c r="L43" s="89">
        <v>-936001.6000000001</v>
      </c>
      <c r="M43" s="79">
        <f t="shared" si="2"/>
        <v>-1874787.3000000003</v>
      </c>
      <c r="N43" s="68"/>
      <c r="O43" s="80"/>
      <c r="P43" s="90">
        <v>1652633.91</v>
      </c>
      <c r="Q43" s="91">
        <v>-852883.66</v>
      </c>
      <c r="R43" s="91">
        <v>-84560.4</v>
      </c>
      <c r="S43" s="91">
        <v>0</v>
      </c>
      <c r="T43" s="89">
        <v>-937444.06</v>
      </c>
      <c r="U43" s="67">
        <f t="shared" si="0"/>
        <v>-1022004.4600000001</v>
      </c>
      <c r="V43" s="68"/>
      <c r="W43" s="69"/>
      <c r="X43" s="92">
        <f t="shared" si="4"/>
        <v>42966.119999999995</v>
      </c>
      <c r="Y43" s="92">
        <f t="shared" si="3"/>
        <v>2784.1</v>
      </c>
      <c r="Z43" s="92">
        <f t="shared" si="5"/>
        <v>1442.4599999999627</v>
      </c>
      <c r="AA43" s="92">
        <f>Z43/(1+0.0382)^23</f>
        <v>609.0321433804365</v>
      </c>
      <c r="AB43" s="52"/>
    </row>
    <row r="44" spans="1:28" ht="15">
      <c r="A44" s="1"/>
      <c r="B44" s="48"/>
      <c r="C44" s="84">
        <f t="shared" si="1"/>
        <v>2039</v>
      </c>
      <c r="D44" s="52"/>
      <c r="E44" s="1"/>
      <c r="F44" s="43"/>
      <c r="G44" s="90">
        <v>0</v>
      </c>
      <c r="H44" s="91">
        <v>-476322.87</v>
      </c>
      <c r="I44" s="91">
        <v>-11967.31</v>
      </c>
      <c r="J44" s="91">
        <v>1159.32</v>
      </c>
      <c r="K44" s="91">
        <v>0</v>
      </c>
      <c r="L44" s="89">
        <v>-487130.86</v>
      </c>
      <c r="M44" s="79">
        <f t="shared" si="2"/>
        <v>-975421.04</v>
      </c>
      <c r="N44" s="68"/>
      <c r="O44" s="80"/>
      <c r="P44" s="90">
        <v>764965.77</v>
      </c>
      <c r="Q44" s="91">
        <v>-887668.14</v>
      </c>
      <c r="R44" s="91">
        <v>-49775.92</v>
      </c>
      <c r="S44" s="91">
        <v>0</v>
      </c>
      <c r="T44" s="89">
        <v>-937444.06</v>
      </c>
      <c r="U44" s="67">
        <f t="shared" si="0"/>
        <v>-987219.9800000001</v>
      </c>
      <c r="V44" s="68"/>
      <c r="W44" s="69"/>
      <c r="X44" s="92">
        <f t="shared" si="4"/>
        <v>37808.61</v>
      </c>
      <c r="Y44" s="92">
        <f t="shared" si="3"/>
        <v>1159.32</v>
      </c>
      <c r="Z44" s="92">
        <f t="shared" si="5"/>
        <v>450313.20000000007</v>
      </c>
      <c r="AA44" s="92">
        <f>Z44/(1+0.0382)^24</f>
        <v>183134.46689771468</v>
      </c>
      <c r="AB44" s="52"/>
    </row>
    <row r="45" spans="1:28" ht="15">
      <c r="A45" s="1"/>
      <c r="B45" s="48"/>
      <c r="C45" s="84">
        <f t="shared" si="1"/>
        <v>2040</v>
      </c>
      <c r="D45" s="52"/>
      <c r="E45" s="1"/>
      <c r="F45" s="43"/>
      <c r="G45" s="90">
        <v>0</v>
      </c>
      <c r="H45" s="91">
        <v>0</v>
      </c>
      <c r="I45" s="91">
        <v>0</v>
      </c>
      <c r="J45" s="91">
        <v>169.71</v>
      </c>
      <c r="K45" s="91">
        <v>0</v>
      </c>
      <c r="L45" s="89">
        <v>169.71</v>
      </c>
      <c r="M45" s="79">
        <f t="shared" si="2"/>
        <v>169.71</v>
      </c>
      <c r="N45" s="68"/>
      <c r="O45" s="80"/>
      <c r="P45" s="90">
        <v>0</v>
      </c>
      <c r="Q45" s="91">
        <v>-764965.77</v>
      </c>
      <c r="R45" s="91">
        <v>-13919.52</v>
      </c>
      <c r="S45" s="91">
        <v>0</v>
      </c>
      <c r="T45" s="89">
        <v>-778885.29</v>
      </c>
      <c r="U45" s="67">
        <f t="shared" si="0"/>
        <v>-792804.81</v>
      </c>
      <c r="V45" s="68"/>
      <c r="W45" s="69"/>
      <c r="X45" s="92">
        <f t="shared" si="4"/>
        <v>13919.52</v>
      </c>
      <c r="Y45" s="92">
        <f t="shared" si="3"/>
        <v>169.71</v>
      </c>
      <c r="Z45" s="92">
        <f t="shared" si="5"/>
        <v>779055</v>
      </c>
      <c r="AA45" s="92">
        <f>Z45/(1+0.0382)^25</f>
        <v>305170.469370611</v>
      </c>
      <c r="AB45" s="52"/>
    </row>
    <row r="46" spans="1:28" ht="15">
      <c r="A46" s="1"/>
      <c r="B46" s="48"/>
      <c r="C46" s="84">
        <f t="shared" si="1"/>
        <v>2041</v>
      </c>
      <c r="D46" s="52"/>
      <c r="E46" s="1"/>
      <c r="F46" s="43"/>
      <c r="G46" s="90">
        <v>0</v>
      </c>
      <c r="H46" s="91">
        <v>0</v>
      </c>
      <c r="I46" s="91">
        <v>0</v>
      </c>
      <c r="J46" s="91">
        <v>0</v>
      </c>
      <c r="K46" s="91">
        <v>0</v>
      </c>
      <c r="L46" s="89">
        <v>0</v>
      </c>
      <c r="M46" s="79">
        <f t="shared" si="2"/>
        <v>0</v>
      </c>
      <c r="N46" s="68"/>
      <c r="O46" s="80"/>
      <c r="P46" s="90">
        <v>0</v>
      </c>
      <c r="Q46" s="91">
        <v>0</v>
      </c>
      <c r="R46" s="91">
        <v>0</v>
      </c>
      <c r="S46" s="91">
        <v>0</v>
      </c>
      <c r="T46" s="89">
        <v>0</v>
      </c>
      <c r="U46" s="67">
        <f t="shared" si="0"/>
        <v>0</v>
      </c>
      <c r="V46" s="68"/>
      <c r="W46" s="69"/>
      <c r="X46" s="92">
        <f t="shared" si="4"/>
        <v>0</v>
      </c>
      <c r="Y46" s="92">
        <f t="shared" si="3"/>
        <v>0</v>
      </c>
      <c r="Z46" s="92">
        <f t="shared" si="5"/>
        <v>0</v>
      </c>
      <c r="AA46" s="92">
        <f>Z46/(1+0.0382)^26</f>
        <v>0</v>
      </c>
      <c r="AB46" s="52"/>
    </row>
    <row r="47" spans="1:28" ht="15">
      <c r="A47" s="1"/>
      <c r="B47" s="48"/>
      <c r="C47" s="84">
        <f t="shared" si="1"/>
        <v>2042</v>
      </c>
      <c r="D47" s="52"/>
      <c r="E47" s="1"/>
      <c r="F47" s="43"/>
      <c r="G47" s="90">
        <v>0</v>
      </c>
      <c r="H47" s="91">
        <v>0</v>
      </c>
      <c r="I47" s="91">
        <v>0</v>
      </c>
      <c r="J47" s="91">
        <v>25007</v>
      </c>
      <c r="K47" s="91">
        <v>0</v>
      </c>
      <c r="L47" s="89">
        <v>25007</v>
      </c>
      <c r="M47" s="79">
        <f t="shared" si="2"/>
        <v>25007</v>
      </c>
      <c r="N47" s="68"/>
      <c r="O47" s="80"/>
      <c r="P47" s="90">
        <v>0</v>
      </c>
      <c r="Q47" s="91">
        <v>0</v>
      </c>
      <c r="R47" s="91">
        <v>0</v>
      </c>
      <c r="S47" s="91">
        <v>0</v>
      </c>
      <c r="T47" s="89">
        <v>0</v>
      </c>
      <c r="U47" s="67">
        <f t="shared" si="0"/>
        <v>0</v>
      </c>
      <c r="V47" s="68"/>
      <c r="W47" s="69"/>
      <c r="X47" s="92">
        <f t="shared" si="4"/>
        <v>0</v>
      </c>
      <c r="Y47" s="92">
        <f t="shared" si="3"/>
        <v>25007</v>
      </c>
      <c r="Z47" s="92">
        <f t="shared" si="5"/>
        <v>25007</v>
      </c>
      <c r="AA47" s="92">
        <f>Z47/(1+0.0382)^27</f>
        <v>9088.117459523386</v>
      </c>
      <c r="AB47" s="52"/>
    </row>
    <row r="48" spans="1:28" ht="15">
      <c r="A48" s="1"/>
      <c r="B48" s="48"/>
      <c r="C48" s="84">
        <f t="shared" si="1"/>
        <v>2043</v>
      </c>
      <c r="D48" s="52"/>
      <c r="E48" s="1"/>
      <c r="F48" s="43"/>
      <c r="G48" s="90">
        <v>0</v>
      </c>
      <c r="H48" s="91">
        <v>0</v>
      </c>
      <c r="I48" s="91">
        <v>0</v>
      </c>
      <c r="J48" s="91">
        <v>26034.1</v>
      </c>
      <c r="K48" s="91">
        <v>0</v>
      </c>
      <c r="L48" s="89">
        <v>26034.1</v>
      </c>
      <c r="M48" s="79">
        <f t="shared" si="2"/>
        <v>26034.1</v>
      </c>
      <c r="N48" s="68"/>
      <c r="O48" s="80"/>
      <c r="P48" s="90">
        <v>0</v>
      </c>
      <c r="Q48" s="91">
        <v>0</v>
      </c>
      <c r="R48" s="91">
        <v>0</v>
      </c>
      <c r="S48" s="91">
        <v>0</v>
      </c>
      <c r="T48" s="89">
        <v>0</v>
      </c>
      <c r="U48" s="67">
        <f t="shared" si="0"/>
        <v>0</v>
      </c>
      <c r="V48" s="68"/>
      <c r="W48" s="69"/>
      <c r="X48" s="92">
        <f t="shared" si="4"/>
        <v>0</v>
      </c>
      <c r="Y48" s="92">
        <f t="shared" si="3"/>
        <v>26034.1</v>
      </c>
      <c r="Z48" s="92">
        <f t="shared" si="5"/>
        <v>26034.1</v>
      </c>
      <c r="AA48" s="92">
        <f>Z48/(1+0.0382)^28</f>
        <v>9113.262532415709</v>
      </c>
      <c r="AB48" s="52"/>
    </row>
    <row r="49" spans="1:28" ht="15">
      <c r="A49" s="1"/>
      <c r="B49" s="48"/>
      <c r="C49" s="84">
        <f t="shared" si="1"/>
        <v>2044</v>
      </c>
      <c r="D49" s="52"/>
      <c r="E49" s="1"/>
      <c r="F49" s="43"/>
      <c r="G49" s="90">
        <v>0</v>
      </c>
      <c r="H49" s="91">
        <v>0</v>
      </c>
      <c r="I49" s="91">
        <v>0</v>
      </c>
      <c r="J49" s="91">
        <v>25363.59</v>
      </c>
      <c r="K49" s="91">
        <v>0</v>
      </c>
      <c r="L49" s="89">
        <v>25363.59</v>
      </c>
      <c r="M49" s="79">
        <f t="shared" si="2"/>
        <v>25363.59</v>
      </c>
      <c r="N49" s="68"/>
      <c r="O49" s="80"/>
      <c r="P49" s="90">
        <v>0</v>
      </c>
      <c r="Q49" s="91">
        <v>0</v>
      </c>
      <c r="R49" s="91">
        <v>0</v>
      </c>
      <c r="S49" s="91">
        <v>0</v>
      </c>
      <c r="T49" s="89">
        <v>0</v>
      </c>
      <c r="U49" s="67">
        <f t="shared" si="0"/>
        <v>0</v>
      </c>
      <c r="V49" s="68"/>
      <c r="W49" s="69"/>
      <c r="X49" s="92">
        <f t="shared" si="4"/>
        <v>0</v>
      </c>
      <c r="Y49" s="92">
        <f t="shared" si="3"/>
        <v>25363.59</v>
      </c>
      <c r="Z49" s="92">
        <f t="shared" si="5"/>
        <v>25363.59</v>
      </c>
      <c r="AA49" s="92">
        <f>Z49/(1+0.0382)^29</f>
        <v>8551.868466315622</v>
      </c>
      <c r="AB49" s="52"/>
    </row>
    <row r="50" spans="1:28" ht="15">
      <c r="A50" s="1"/>
      <c r="B50" s="48"/>
      <c r="C50" s="84">
        <f t="shared" si="1"/>
        <v>2045</v>
      </c>
      <c r="D50" s="52"/>
      <c r="E50" s="1"/>
      <c r="F50" s="43"/>
      <c r="G50" s="90">
        <v>0</v>
      </c>
      <c r="H50" s="91">
        <v>0</v>
      </c>
      <c r="I50" s="91">
        <v>0</v>
      </c>
      <c r="J50" s="91">
        <v>24639.4</v>
      </c>
      <c r="K50" s="91">
        <v>0</v>
      </c>
      <c r="L50" s="89">
        <v>24639.4</v>
      </c>
      <c r="M50" s="79">
        <f t="shared" si="2"/>
        <v>24639.4</v>
      </c>
      <c r="N50" s="68"/>
      <c r="O50" s="80"/>
      <c r="P50" s="90">
        <v>0</v>
      </c>
      <c r="Q50" s="91">
        <v>0</v>
      </c>
      <c r="R50" s="91">
        <v>0</v>
      </c>
      <c r="S50" s="91">
        <v>0</v>
      </c>
      <c r="T50" s="89">
        <v>0</v>
      </c>
      <c r="U50" s="67">
        <f t="shared" si="0"/>
        <v>0</v>
      </c>
      <c r="V50" s="68"/>
      <c r="W50" s="69"/>
      <c r="X50" s="92">
        <f t="shared" si="4"/>
        <v>0</v>
      </c>
      <c r="Y50" s="92">
        <f t="shared" si="3"/>
        <v>24639.4</v>
      </c>
      <c r="Z50" s="92">
        <f t="shared" si="5"/>
        <v>24639.4</v>
      </c>
      <c r="AA50" s="92">
        <f>Z50/(1+0.0382)^30</f>
        <v>8002.015563542612</v>
      </c>
      <c r="AB50" s="52"/>
    </row>
    <row r="51" spans="1:28" ht="15">
      <c r="A51" s="1"/>
      <c r="B51" s="48"/>
      <c r="C51" s="84">
        <f t="shared" si="1"/>
        <v>2046</v>
      </c>
      <c r="D51" s="52"/>
      <c r="E51" s="1"/>
      <c r="F51" s="43"/>
      <c r="G51" s="90">
        <v>0</v>
      </c>
      <c r="H51" s="91">
        <v>0</v>
      </c>
      <c r="I51" s="91">
        <v>0</v>
      </c>
      <c r="J51" s="91">
        <v>23828.88</v>
      </c>
      <c r="K51" s="91">
        <v>0</v>
      </c>
      <c r="L51" s="89">
        <v>23828.88</v>
      </c>
      <c r="M51" s="79">
        <f t="shared" si="2"/>
        <v>23828.88</v>
      </c>
      <c r="N51" s="68"/>
      <c r="O51" s="80"/>
      <c r="P51" s="90">
        <v>0</v>
      </c>
      <c r="Q51" s="91">
        <v>0</v>
      </c>
      <c r="R51" s="91">
        <v>0</v>
      </c>
      <c r="S51" s="91">
        <v>0</v>
      </c>
      <c r="T51" s="89">
        <v>0</v>
      </c>
      <c r="U51" s="67">
        <f t="shared" si="0"/>
        <v>0</v>
      </c>
      <c r="V51" s="68"/>
      <c r="W51" s="69"/>
      <c r="X51" s="92">
        <f t="shared" si="4"/>
        <v>0</v>
      </c>
      <c r="Y51" s="92">
        <f t="shared" si="3"/>
        <v>23828.88</v>
      </c>
      <c r="Z51" s="92">
        <f t="shared" si="5"/>
        <v>23828.88</v>
      </c>
      <c r="AA51" s="92">
        <f>Z51/(1+0.0382)^31</f>
        <v>7454.042582050511</v>
      </c>
      <c r="AB51" s="52"/>
    </row>
    <row r="52" spans="1:28" ht="15">
      <c r="A52" s="1"/>
      <c r="B52" s="48"/>
      <c r="C52" s="84">
        <f t="shared" si="1"/>
        <v>2047</v>
      </c>
      <c r="D52" s="52"/>
      <c r="E52" s="1"/>
      <c r="F52" s="43"/>
      <c r="G52" s="90">
        <v>0</v>
      </c>
      <c r="H52" s="91">
        <v>0</v>
      </c>
      <c r="I52" s="91">
        <v>0</v>
      </c>
      <c r="J52" s="91">
        <v>22955.66</v>
      </c>
      <c r="K52" s="91">
        <v>0</v>
      </c>
      <c r="L52" s="89">
        <v>22955.66</v>
      </c>
      <c r="M52" s="79">
        <f t="shared" si="2"/>
        <v>22955.66</v>
      </c>
      <c r="N52" s="68"/>
      <c r="O52" s="80"/>
      <c r="P52" s="90">
        <v>0</v>
      </c>
      <c r="Q52" s="91">
        <v>0</v>
      </c>
      <c r="R52" s="91">
        <v>0</v>
      </c>
      <c r="S52" s="91">
        <v>0</v>
      </c>
      <c r="T52" s="89">
        <v>0</v>
      </c>
      <c r="U52" s="67">
        <f t="shared" si="0"/>
        <v>0</v>
      </c>
      <c r="V52" s="68"/>
      <c r="W52" s="69"/>
      <c r="X52" s="92">
        <f t="shared" si="4"/>
        <v>0</v>
      </c>
      <c r="Y52" s="92">
        <f t="shared" si="3"/>
        <v>22955.66</v>
      </c>
      <c r="Z52" s="92">
        <f t="shared" si="5"/>
        <v>22955.66</v>
      </c>
      <c r="AA52" s="92">
        <f>Z52/(1+0.0382)^32</f>
        <v>6916.6690877316605</v>
      </c>
      <c r="AB52" s="52"/>
    </row>
    <row r="53" spans="1:28" ht="15">
      <c r="A53" s="1"/>
      <c r="B53" s="48"/>
      <c r="C53" s="84">
        <f t="shared" si="1"/>
        <v>2048</v>
      </c>
      <c r="D53" s="52"/>
      <c r="E53" s="1"/>
      <c r="F53" s="43"/>
      <c r="G53" s="90">
        <v>0</v>
      </c>
      <c r="H53" s="91">
        <v>0</v>
      </c>
      <c r="I53" s="91">
        <v>0</v>
      </c>
      <c r="J53" s="91">
        <v>22027.47</v>
      </c>
      <c r="K53" s="91">
        <v>0</v>
      </c>
      <c r="L53" s="89">
        <v>22027.47</v>
      </c>
      <c r="M53" s="79">
        <f t="shared" si="2"/>
        <v>22027.47</v>
      </c>
      <c r="N53" s="68"/>
      <c r="O53" s="80"/>
      <c r="P53" s="90">
        <v>0</v>
      </c>
      <c r="Q53" s="91">
        <v>0</v>
      </c>
      <c r="R53" s="91">
        <v>0</v>
      </c>
      <c r="S53" s="91">
        <v>0</v>
      </c>
      <c r="T53" s="89">
        <v>0</v>
      </c>
      <c r="U53" s="67">
        <f t="shared" si="0"/>
        <v>0</v>
      </c>
      <c r="V53" s="68"/>
      <c r="W53" s="69"/>
      <c r="X53" s="92">
        <f t="shared" si="4"/>
        <v>0</v>
      </c>
      <c r="Y53" s="92">
        <f t="shared" si="3"/>
        <v>22027.47</v>
      </c>
      <c r="Z53" s="92">
        <f t="shared" si="5"/>
        <v>22027.47</v>
      </c>
      <c r="AA53" s="92">
        <f>Z53/(1+0.0382)^33</f>
        <v>6392.795449498132</v>
      </c>
      <c r="AB53" s="52"/>
    </row>
    <row r="54" spans="1:28" ht="15">
      <c r="A54" s="1"/>
      <c r="B54" s="48"/>
      <c r="C54" s="84">
        <f t="shared" si="1"/>
        <v>2049</v>
      </c>
      <c r="D54" s="52"/>
      <c r="E54" s="1"/>
      <c r="F54" s="43"/>
      <c r="G54" s="90">
        <v>0</v>
      </c>
      <c r="H54" s="91">
        <v>0</v>
      </c>
      <c r="I54" s="91">
        <v>0</v>
      </c>
      <c r="J54" s="91">
        <v>21051.17</v>
      </c>
      <c r="K54" s="91">
        <v>0</v>
      </c>
      <c r="L54" s="89">
        <v>21051.17</v>
      </c>
      <c r="M54" s="79">
        <f t="shared" si="2"/>
        <v>21051.17</v>
      </c>
      <c r="N54" s="68"/>
      <c r="O54" s="80"/>
      <c r="P54" s="90">
        <v>0</v>
      </c>
      <c r="Q54" s="91">
        <v>0</v>
      </c>
      <c r="R54" s="91">
        <v>0</v>
      </c>
      <c r="S54" s="91">
        <v>0</v>
      </c>
      <c r="T54" s="89">
        <v>0</v>
      </c>
      <c r="U54" s="67">
        <f t="shared" si="0"/>
        <v>0</v>
      </c>
      <c r="V54" s="68"/>
      <c r="W54" s="69"/>
      <c r="X54" s="92">
        <f t="shared" si="4"/>
        <v>0</v>
      </c>
      <c r="Y54" s="92">
        <f t="shared" si="3"/>
        <v>21051.17</v>
      </c>
      <c r="Z54" s="92">
        <f t="shared" si="5"/>
        <v>21051.17</v>
      </c>
      <c r="AA54" s="92">
        <f>Z54/(1+0.0382)^34</f>
        <v>5884.66038554082</v>
      </c>
      <c r="AB54" s="52"/>
    </row>
    <row r="55" spans="1:28" ht="15">
      <c r="A55" s="1"/>
      <c r="B55" s="48"/>
      <c r="C55" s="84">
        <f>+C54+1</f>
        <v>2050</v>
      </c>
      <c r="D55" s="52"/>
      <c r="E55" s="1"/>
      <c r="F55" s="43"/>
      <c r="G55" s="90">
        <v>0</v>
      </c>
      <c r="H55" s="91">
        <v>0</v>
      </c>
      <c r="I55" s="91">
        <v>0</v>
      </c>
      <c r="J55" s="91">
        <v>20017.81</v>
      </c>
      <c r="K55" s="91">
        <v>0</v>
      </c>
      <c r="L55" s="89">
        <v>20017.81</v>
      </c>
      <c r="M55" s="79">
        <f t="shared" si="2"/>
        <v>20017.81</v>
      </c>
      <c r="N55" s="68"/>
      <c r="O55" s="80"/>
      <c r="P55" s="90">
        <v>0</v>
      </c>
      <c r="Q55" s="91">
        <v>0</v>
      </c>
      <c r="R55" s="91">
        <v>0</v>
      </c>
      <c r="S55" s="91">
        <v>0</v>
      </c>
      <c r="T55" s="89">
        <v>0</v>
      </c>
      <c r="U55" s="67">
        <f t="shared" si="0"/>
        <v>0</v>
      </c>
      <c r="V55" s="68"/>
      <c r="W55" s="69"/>
      <c r="X55" s="92">
        <f t="shared" si="4"/>
        <v>0</v>
      </c>
      <c r="Y55" s="92">
        <f t="shared" si="3"/>
        <v>20017.81</v>
      </c>
      <c r="Z55" s="92">
        <f t="shared" si="5"/>
        <v>20017.81</v>
      </c>
      <c r="AA55" s="92">
        <f>Z55/(1+0.0382)^35</f>
        <v>5389.899951686479</v>
      </c>
      <c r="AB55" s="52"/>
    </row>
    <row r="56" spans="1:28" ht="15">
      <c r="A56" s="1"/>
      <c r="B56" s="48"/>
      <c r="C56" s="84">
        <f>+C55+1</f>
        <v>2051</v>
      </c>
      <c r="D56" s="52"/>
      <c r="E56" s="1"/>
      <c r="F56" s="43"/>
      <c r="G56" s="90">
        <v>0</v>
      </c>
      <c r="H56" s="91">
        <v>0</v>
      </c>
      <c r="I56" s="91">
        <v>0</v>
      </c>
      <c r="J56" s="91">
        <v>18929.92</v>
      </c>
      <c r="K56" s="91">
        <v>0</v>
      </c>
      <c r="L56" s="89">
        <v>18929.92</v>
      </c>
      <c r="M56" s="79">
        <f t="shared" si="2"/>
        <v>18929.92</v>
      </c>
      <c r="N56" s="68"/>
      <c r="O56" s="80"/>
      <c r="P56" s="90">
        <v>0</v>
      </c>
      <c r="Q56" s="91">
        <v>0</v>
      </c>
      <c r="R56" s="91">
        <v>0</v>
      </c>
      <c r="S56" s="91">
        <v>0</v>
      </c>
      <c r="T56" s="89">
        <v>0</v>
      </c>
      <c r="U56" s="67">
        <f t="shared" si="0"/>
        <v>0</v>
      </c>
      <c r="V56" s="68"/>
      <c r="W56" s="69"/>
      <c r="X56" s="92">
        <f t="shared" si="4"/>
        <v>0</v>
      </c>
      <c r="Y56" s="92">
        <f t="shared" si="3"/>
        <v>18929.92</v>
      </c>
      <c r="Z56" s="92">
        <f t="shared" si="5"/>
        <v>18929.92</v>
      </c>
      <c r="AA56" s="92">
        <f>Z56/(1+0.0382)^36</f>
        <v>4909.439302720736</v>
      </c>
      <c r="AB56" s="52"/>
    </row>
    <row r="57" spans="1:28" ht="15">
      <c r="A57" s="1"/>
      <c r="B57" s="48"/>
      <c r="C57" s="84">
        <f>+C56+1</f>
        <v>2052</v>
      </c>
      <c r="D57" s="52"/>
      <c r="E57" s="1"/>
      <c r="F57" s="43"/>
      <c r="G57" s="90">
        <v>0</v>
      </c>
      <c r="H57" s="91">
        <v>0</v>
      </c>
      <c r="I57" s="91">
        <v>0</v>
      </c>
      <c r="J57" s="91">
        <v>17788.03</v>
      </c>
      <c r="K57" s="91">
        <v>0</v>
      </c>
      <c r="L57" s="89">
        <v>17788.03</v>
      </c>
      <c r="M57" s="79">
        <f t="shared" si="2"/>
        <v>17788.03</v>
      </c>
      <c r="N57" s="68"/>
      <c r="O57" s="80"/>
      <c r="P57" s="90">
        <v>0</v>
      </c>
      <c r="Q57" s="91">
        <v>0</v>
      </c>
      <c r="R57" s="91">
        <v>0</v>
      </c>
      <c r="S57" s="91">
        <v>0</v>
      </c>
      <c r="T57" s="89">
        <v>0</v>
      </c>
      <c r="U57" s="67">
        <f t="shared" si="0"/>
        <v>0</v>
      </c>
      <c r="V57" s="68"/>
      <c r="W57" s="69"/>
      <c r="X57" s="92">
        <f t="shared" si="4"/>
        <v>0</v>
      </c>
      <c r="Y57" s="92">
        <f t="shared" si="3"/>
        <v>17788.03</v>
      </c>
      <c r="Z57" s="92">
        <f t="shared" si="5"/>
        <v>17788.03</v>
      </c>
      <c r="AA57" s="92">
        <f>Z57/(1+0.0382)^37</f>
        <v>4443.548708910588</v>
      </c>
      <c r="AB57" s="52"/>
    </row>
    <row r="58" spans="1:28" ht="15">
      <c r="A58" s="1"/>
      <c r="B58" s="48"/>
      <c r="C58" s="84">
        <f aca="true" t="shared" si="6" ref="C58:C76">+C57+1</f>
        <v>2053</v>
      </c>
      <c r="D58" s="52"/>
      <c r="E58" s="1"/>
      <c r="F58" s="43"/>
      <c r="G58" s="90">
        <v>0</v>
      </c>
      <c r="H58" s="91">
        <v>0</v>
      </c>
      <c r="I58" s="91">
        <v>0</v>
      </c>
      <c r="J58" s="91">
        <v>16589.67</v>
      </c>
      <c r="K58" s="91">
        <v>0</v>
      </c>
      <c r="L58" s="89">
        <v>16589.67</v>
      </c>
      <c r="M58" s="79">
        <f t="shared" si="2"/>
        <v>16589.67</v>
      </c>
      <c r="N58" s="68"/>
      <c r="O58" s="80"/>
      <c r="P58" s="90">
        <v>0</v>
      </c>
      <c r="Q58" s="91">
        <v>0</v>
      </c>
      <c r="R58" s="91">
        <v>0</v>
      </c>
      <c r="S58" s="91">
        <v>0</v>
      </c>
      <c r="T58" s="89">
        <v>0</v>
      </c>
      <c r="U58" s="67">
        <f t="shared" si="0"/>
        <v>0</v>
      </c>
      <c r="V58" s="68"/>
      <c r="W58" s="69"/>
      <c r="X58" s="92">
        <f t="shared" si="4"/>
        <v>0</v>
      </c>
      <c r="Y58" s="92">
        <f t="shared" si="3"/>
        <v>16589.67</v>
      </c>
      <c r="Z58" s="92">
        <f t="shared" si="5"/>
        <v>16589.67</v>
      </c>
      <c r="AA58" s="92">
        <f>Z58/(1+0.0382)^38</f>
        <v>3991.7084606615654</v>
      </c>
      <c r="AB58" s="52"/>
    </row>
    <row r="59" spans="1:28" ht="15">
      <c r="A59" s="1"/>
      <c r="B59" s="48"/>
      <c r="C59" s="84">
        <f t="shared" si="6"/>
        <v>2054</v>
      </c>
      <c r="D59" s="52"/>
      <c r="E59" s="1"/>
      <c r="F59" s="43"/>
      <c r="G59" s="90">
        <v>0</v>
      </c>
      <c r="H59" s="91">
        <v>0</v>
      </c>
      <c r="I59" s="91">
        <v>0</v>
      </c>
      <c r="J59" s="91">
        <v>15333.4</v>
      </c>
      <c r="K59" s="91">
        <v>0</v>
      </c>
      <c r="L59" s="89">
        <v>15333.4</v>
      </c>
      <c r="M59" s="79">
        <f t="shared" si="2"/>
        <v>15333.4</v>
      </c>
      <c r="N59" s="68"/>
      <c r="O59" s="80"/>
      <c r="P59" s="90">
        <v>0</v>
      </c>
      <c r="Q59" s="91">
        <v>0</v>
      </c>
      <c r="R59" s="91">
        <v>0</v>
      </c>
      <c r="S59" s="91">
        <v>0</v>
      </c>
      <c r="T59" s="89">
        <v>0</v>
      </c>
      <c r="U59" s="67">
        <f t="shared" si="0"/>
        <v>0</v>
      </c>
      <c r="V59" s="68"/>
      <c r="W59" s="69"/>
      <c r="X59" s="92">
        <f t="shared" si="4"/>
        <v>0</v>
      </c>
      <c r="Y59" s="92">
        <f t="shared" si="3"/>
        <v>15333.4</v>
      </c>
      <c r="Z59" s="92">
        <f t="shared" si="5"/>
        <v>15333.4</v>
      </c>
      <c r="AA59" s="92">
        <f>Z59/(1+0.0382)^39</f>
        <v>3553.6815541046067</v>
      </c>
      <c r="AB59" s="52"/>
    </row>
    <row r="60" spans="1:28" ht="15">
      <c r="A60" s="1"/>
      <c r="B60" s="48"/>
      <c r="C60" s="84">
        <f t="shared" si="6"/>
        <v>2055</v>
      </c>
      <c r="D60" s="52"/>
      <c r="E60" s="1"/>
      <c r="F60" s="43"/>
      <c r="G60" s="90">
        <v>0</v>
      </c>
      <c r="H60" s="91">
        <v>0</v>
      </c>
      <c r="I60" s="91">
        <v>0</v>
      </c>
      <c r="J60" s="91">
        <v>14033.41</v>
      </c>
      <c r="K60" s="91">
        <v>0</v>
      </c>
      <c r="L60" s="89">
        <v>14033.41</v>
      </c>
      <c r="M60" s="79">
        <f t="shared" si="2"/>
        <v>14033.41</v>
      </c>
      <c r="N60" s="68"/>
      <c r="O60" s="80"/>
      <c r="P60" s="90">
        <v>0</v>
      </c>
      <c r="Q60" s="91">
        <v>0</v>
      </c>
      <c r="R60" s="91">
        <v>0</v>
      </c>
      <c r="S60" s="91">
        <v>0</v>
      </c>
      <c r="T60" s="89">
        <v>0</v>
      </c>
      <c r="U60" s="67">
        <f t="shared" si="0"/>
        <v>0</v>
      </c>
      <c r="V60" s="68"/>
      <c r="W60" s="69"/>
      <c r="X60" s="92">
        <f t="shared" si="4"/>
        <v>0</v>
      </c>
      <c r="Y60" s="92">
        <f t="shared" si="3"/>
        <v>14033.41</v>
      </c>
      <c r="Z60" s="92">
        <f t="shared" si="5"/>
        <v>14033.41</v>
      </c>
      <c r="AA60" s="92">
        <f>Z60/(1+0.0382)^40</f>
        <v>3132.72470529268</v>
      </c>
      <c r="AB60" s="52"/>
    </row>
    <row r="61" spans="1:28" ht="15">
      <c r="A61" s="1"/>
      <c r="B61" s="48"/>
      <c r="C61" s="84">
        <f t="shared" si="6"/>
        <v>2056</v>
      </c>
      <c r="D61" s="52"/>
      <c r="E61" s="1"/>
      <c r="F61" s="43"/>
      <c r="G61" s="90">
        <v>0</v>
      </c>
      <c r="H61" s="91">
        <v>0</v>
      </c>
      <c r="I61" s="91">
        <v>0</v>
      </c>
      <c r="J61" s="91">
        <v>12804.92</v>
      </c>
      <c r="K61" s="91">
        <v>0</v>
      </c>
      <c r="L61" s="89">
        <v>12804.92</v>
      </c>
      <c r="M61" s="79">
        <f t="shared" si="2"/>
        <v>12804.92</v>
      </c>
      <c r="N61" s="68"/>
      <c r="O61" s="80"/>
      <c r="P61" s="90">
        <v>0</v>
      </c>
      <c r="Q61" s="91">
        <v>0</v>
      </c>
      <c r="R61" s="91">
        <v>0</v>
      </c>
      <c r="S61" s="91">
        <v>0</v>
      </c>
      <c r="T61" s="89">
        <v>0</v>
      </c>
      <c r="U61" s="67">
        <f t="shared" si="0"/>
        <v>0</v>
      </c>
      <c r="V61" s="68"/>
      <c r="W61" s="69"/>
      <c r="X61" s="92">
        <f t="shared" si="4"/>
        <v>0</v>
      </c>
      <c r="Y61" s="92">
        <f t="shared" si="3"/>
        <v>12804.92</v>
      </c>
      <c r="Z61" s="92">
        <f t="shared" si="5"/>
        <v>12804.92</v>
      </c>
      <c r="AA61" s="92">
        <f>Z61/(1+0.0382)^41</f>
        <v>2753.308422268949</v>
      </c>
      <c r="AB61" s="52"/>
    </row>
    <row r="62" spans="1:28" ht="15">
      <c r="A62" s="1"/>
      <c r="B62" s="48"/>
      <c r="C62" s="84">
        <f t="shared" si="6"/>
        <v>2057</v>
      </c>
      <c r="D62" s="52"/>
      <c r="E62" s="1"/>
      <c r="F62" s="43"/>
      <c r="G62" s="90">
        <v>0</v>
      </c>
      <c r="H62" s="91">
        <v>0</v>
      </c>
      <c r="I62" s="91">
        <v>0</v>
      </c>
      <c r="J62" s="91">
        <v>11549.44</v>
      </c>
      <c r="K62" s="91">
        <v>0</v>
      </c>
      <c r="L62" s="89">
        <v>11549.44</v>
      </c>
      <c r="M62" s="79">
        <f t="shared" si="2"/>
        <v>11549.44</v>
      </c>
      <c r="N62" s="68"/>
      <c r="O62" s="80"/>
      <c r="P62" s="90">
        <v>0</v>
      </c>
      <c r="Q62" s="91">
        <v>0</v>
      </c>
      <c r="R62" s="91">
        <v>0</v>
      </c>
      <c r="S62" s="91">
        <v>0</v>
      </c>
      <c r="T62" s="89">
        <v>0</v>
      </c>
      <c r="U62" s="67">
        <f t="shared" si="0"/>
        <v>0</v>
      </c>
      <c r="V62" s="68"/>
      <c r="W62" s="69"/>
      <c r="X62" s="92">
        <f t="shared" si="4"/>
        <v>0</v>
      </c>
      <c r="Y62" s="92">
        <f t="shared" si="3"/>
        <v>11549.44</v>
      </c>
      <c r="Z62" s="92">
        <f t="shared" si="5"/>
        <v>11549.44</v>
      </c>
      <c r="AA62" s="92">
        <f>Z62/(1+0.0382)^42</f>
        <v>2391.98193949669</v>
      </c>
      <c r="AB62" s="52"/>
    </row>
    <row r="63" spans="1:28" ht="15">
      <c r="A63" s="1"/>
      <c r="B63" s="48"/>
      <c r="C63" s="84">
        <f t="shared" si="6"/>
        <v>2058</v>
      </c>
      <c r="D63" s="52"/>
      <c r="E63" s="1"/>
      <c r="F63" s="43"/>
      <c r="G63" s="90">
        <v>0</v>
      </c>
      <c r="H63" s="91">
        <v>0</v>
      </c>
      <c r="I63" s="91">
        <v>0</v>
      </c>
      <c r="J63" s="91">
        <v>10243.4</v>
      </c>
      <c r="K63" s="91">
        <v>0</v>
      </c>
      <c r="L63" s="89">
        <v>10243.4</v>
      </c>
      <c r="M63" s="79">
        <f t="shared" si="2"/>
        <v>10243.4</v>
      </c>
      <c r="N63" s="68"/>
      <c r="O63" s="80"/>
      <c r="P63" s="90">
        <v>0</v>
      </c>
      <c r="Q63" s="91">
        <v>0</v>
      </c>
      <c r="R63" s="91">
        <v>0</v>
      </c>
      <c r="S63" s="91">
        <v>0</v>
      </c>
      <c r="T63" s="89">
        <v>0</v>
      </c>
      <c r="U63" s="67">
        <f t="shared" si="0"/>
        <v>0</v>
      </c>
      <c r="V63" s="68"/>
      <c r="W63" s="69"/>
      <c r="X63" s="92">
        <f t="shared" si="4"/>
        <v>0</v>
      </c>
      <c r="Y63" s="92">
        <f t="shared" si="3"/>
        <v>10243.4</v>
      </c>
      <c r="Z63" s="92">
        <f t="shared" si="5"/>
        <v>10243.4</v>
      </c>
      <c r="AA63" s="92">
        <f>Z63/(1+0.0382)^43</f>
        <v>2043.4314663613995</v>
      </c>
      <c r="AB63" s="52"/>
    </row>
    <row r="64" spans="1:28" ht="15">
      <c r="A64" s="1"/>
      <c r="B64" s="48"/>
      <c r="C64" s="84">
        <f t="shared" si="6"/>
        <v>2059</v>
      </c>
      <c r="D64" s="52"/>
      <c r="E64" s="1"/>
      <c r="F64" s="43"/>
      <c r="G64" s="90">
        <v>0</v>
      </c>
      <c r="H64" s="91">
        <v>0</v>
      </c>
      <c r="I64" s="91">
        <v>0</v>
      </c>
      <c r="J64" s="91">
        <v>8874.39</v>
      </c>
      <c r="K64" s="91">
        <v>0</v>
      </c>
      <c r="L64" s="89">
        <v>8874.39</v>
      </c>
      <c r="M64" s="79">
        <f t="shared" si="2"/>
        <v>8874.39</v>
      </c>
      <c r="N64" s="68"/>
      <c r="O64" s="80"/>
      <c r="P64" s="90">
        <v>0</v>
      </c>
      <c r="Q64" s="91">
        <v>0</v>
      </c>
      <c r="R64" s="91">
        <v>0</v>
      </c>
      <c r="S64" s="91">
        <v>0</v>
      </c>
      <c r="T64" s="89">
        <v>0</v>
      </c>
      <c r="U64" s="67">
        <f t="shared" si="0"/>
        <v>0</v>
      </c>
      <c r="V64" s="68"/>
      <c r="W64" s="69"/>
      <c r="X64" s="92">
        <f t="shared" si="4"/>
        <v>0</v>
      </c>
      <c r="Y64" s="92">
        <f t="shared" si="3"/>
        <v>8874.39</v>
      </c>
      <c r="Z64" s="92">
        <f t="shared" si="5"/>
        <v>8874.39</v>
      </c>
      <c r="AA64" s="92">
        <f>Z64/(1+0.0382)^44</f>
        <v>1705.1925663884442</v>
      </c>
      <c r="AB64" s="52"/>
    </row>
    <row r="65" spans="1:28" ht="15">
      <c r="A65" s="1"/>
      <c r="B65" s="48"/>
      <c r="C65" s="84">
        <f t="shared" si="6"/>
        <v>2060</v>
      </c>
      <c r="D65" s="52"/>
      <c r="E65" s="1"/>
      <c r="F65" s="43"/>
      <c r="G65" s="90">
        <v>0</v>
      </c>
      <c r="H65" s="91">
        <v>0</v>
      </c>
      <c r="I65" s="91">
        <v>0</v>
      </c>
      <c r="J65" s="91">
        <v>7448.63</v>
      </c>
      <c r="K65" s="91">
        <v>0</v>
      </c>
      <c r="L65" s="89">
        <v>7448.63</v>
      </c>
      <c r="M65" s="79">
        <f t="shared" si="2"/>
        <v>7448.63</v>
      </c>
      <c r="N65" s="68"/>
      <c r="O65" s="80"/>
      <c r="P65" s="90">
        <v>0</v>
      </c>
      <c r="Q65" s="91">
        <v>0</v>
      </c>
      <c r="R65" s="91">
        <v>0</v>
      </c>
      <c r="S65" s="91">
        <v>0</v>
      </c>
      <c r="T65" s="89">
        <v>0</v>
      </c>
      <c r="U65" s="67">
        <f t="shared" si="0"/>
        <v>0</v>
      </c>
      <c r="V65" s="68"/>
      <c r="W65" s="69"/>
      <c r="X65" s="92">
        <f t="shared" si="4"/>
        <v>0</v>
      </c>
      <c r="Y65" s="92">
        <f t="shared" si="3"/>
        <v>7448.63</v>
      </c>
      <c r="Z65" s="92">
        <f t="shared" si="5"/>
        <v>7448.63</v>
      </c>
      <c r="AA65" s="92">
        <f>Z65/(1+0.0382)^45</f>
        <v>1378.574679348009</v>
      </c>
      <c r="AB65" s="52"/>
    </row>
    <row r="66" spans="1:28" ht="15">
      <c r="A66" s="1"/>
      <c r="B66" s="48"/>
      <c r="C66" s="84">
        <f t="shared" si="6"/>
        <v>2061</v>
      </c>
      <c r="D66" s="52"/>
      <c r="E66" s="1"/>
      <c r="F66" s="43"/>
      <c r="G66" s="90">
        <v>0</v>
      </c>
      <c r="H66" s="91">
        <v>0</v>
      </c>
      <c r="I66" s="91">
        <v>0</v>
      </c>
      <c r="J66" s="91">
        <v>5954.35</v>
      </c>
      <c r="K66" s="91">
        <v>0</v>
      </c>
      <c r="L66" s="89">
        <v>5954.35</v>
      </c>
      <c r="M66" s="79">
        <f t="shared" si="2"/>
        <v>5954.35</v>
      </c>
      <c r="N66" s="68"/>
      <c r="O66" s="80"/>
      <c r="P66" s="90">
        <v>0</v>
      </c>
      <c r="Q66" s="91">
        <v>0</v>
      </c>
      <c r="R66" s="91">
        <v>0</v>
      </c>
      <c r="S66" s="91">
        <v>0</v>
      </c>
      <c r="T66" s="89">
        <v>0</v>
      </c>
      <c r="U66" s="67">
        <f t="shared" si="0"/>
        <v>0</v>
      </c>
      <c r="V66" s="68"/>
      <c r="W66" s="69"/>
      <c r="X66" s="92">
        <f t="shared" si="4"/>
        <v>0</v>
      </c>
      <c r="Y66" s="92">
        <f t="shared" si="3"/>
        <v>5954.35</v>
      </c>
      <c r="Z66" s="92">
        <f t="shared" si="5"/>
        <v>5954.35</v>
      </c>
      <c r="AA66" s="92">
        <f>Z66/(1+0.0382)^46</f>
        <v>1061.4687921569005</v>
      </c>
      <c r="AB66" s="52"/>
    </row>
    <row r="67" spans="1:28" ht="15">
      <c r="A67" s="1"/>
      <c r="B67" s="48"/>
      <c r="C67" s="84">
        <f t="shared" si="6"/>
        <v>2062</v>
      </c>
      <c r="D67" s="52"/>
      <c r="E67" s="1"/>
      <c r="F67" s="43"/>
      <c r="G67" s="90">
        <v>0</v>
      </c>
      <c r="H67" s="91">
        <v>0</v>
      </c>
      <c r="I67" s="91">
        <v>0</v>
      </c>
      <c r="J67" s="91">
        <v>4399.29</v>
      </c>
      <c r="K67" s="91">
        <v>0</v>
      </c>
      <c r="L67" s="89">
        <v>4399.29</v>
      </c>
      <c r="M67" s="79">
        <f t="shared" si="2"/>
        <v>4399.29</v>
      </c>
      <c r="N67" s="68"/>
      <c r="O67" s="80"/>
      <c r="P67" s="90">
        <v>0</v>
      </c>
      <c r="Q67" s="91">
        <v>0</v>
      </c>
      <c r="R67" s="91">
        <v>0</v>
      </c>
      <c r="S67" s="91">
        <v>0</v>
      </c>
      <c r="T67" s="89">
        <v>0</v>
      </c>
      <c r="U67" s="67">
        <f t="shared" si="0"/>
        <v>0</v>
      </c>
      <c r="V67" s="68"/>
      <c r="W67" s="69"/>
      <c r="X67" s="92">
        <f t="shared" si="4"/>
        <v>0</v>
      </c>
      <c r="Y67" s="92">
        <f t="shared" si="3"/>
        <v>4399.29</v>
      </c>
      <c r="Z67" s="92">
        <f t="shared" si="5"/>
        <v>4399.29</v>
      </c>
      <c r="AA67" s="92">
        <f>Z67/(1+0.0382)^47</f>
        <v>755.3955776403661</v>
      </c>
      <c r="AB67" s="52"/>
    </row>
    <row r="68" spans="1:28" ht="15">
      <c r="A68" s="1"/>
      <c r="B68" s="48"/>
      <c r="C68" s="84">
        <f t="shared" si="6"/>
        <v>2063</v>
      </c>
      <c r="D68" s="52"/>
      <c r="E68" s="1"/>
      <c r="F68" s="43"/>
      <c r="G68" s="90">
        <v>0</v>
      </c>
      <c r="H68" s="91">
        <v>0</v>
      </c>
      <c r="I68" s="91">
        <v>0</v>
      </c>
      <c r="J68" s="91">
        <v>2784.1</v>
      </c>
      <c r="K68" s="91">
        <v>0</v>
      </c>
      <c r="L68" s="89">
        <v>2784.1</v>
      </c>
      <c r="M68" s="79">
        <f t="shared" si="2"/>
        <v>2784.1</v>
      </c>
      <c r="N68" s="68"/>
      <c r="O68" s="80"/>
      <c r="P68" s="90">
        <v>0</v>
      </c>
      <c r="Q68" s="91">
        <v>0</v>
      </c>
      <c r="R68" s="91">
        <v>0</v>
      </c>
      <c r="S68" s="91">
        <v>0</v>
      </c>
      <c r="T68" s="89">
        <v>0</v>
      </c>
      <c r="U68" s="67">
        <f t="shared" si="0"/>
        <v>0</v>
      </c>
      <c r="V68" s="68"/>
      <c r="W68" s="69"/>
      <c r="X68" s="92">
        <f t="shared" si="4"/>
        <v>0</v>
      </c>
      <c r="Y68" s="92">
        <f t="shared" si="3"/>
        <v>2784.1</v>
      </c>
      <c r="Z68" s="92">
        <f t="shared" si="5"/>
        <v>2784.1</v>
      </c>
      <c r="AA68" s="92">
        <f>Z68/(1+0.0382)^48</f>
        <v>460.46396863234224</v>
      </c>
      <c r="AB68" s="52"/>
    </row>
    <row r="69" spans="1:28" ht="15">
      <c r="A69" s="1"/>
      <c r="B69" s="48"/>
      <c r="C69" s="84">
        <f t="shared" si="6"/>
        <v>2064</v>
      </c>
      <c r="D69" s="52"/>
      <c r="E69" s="1"/>
      <c r="F69" s="43"/>
      <c r="G69" s="90">
        <v>0</v>
      </c>
      <c r="H69" s="91">
        <v>0</v>
      </c>
      <c r="I69" s="91">
        <v>0</v>
      </c>
      <c r="J69" s="91">
        <v>1159.32</v>
      </c>
      <c r="K69" s="91">
        <v>0</v>
      </c>
      <c r="L69" s="89">
        <v>1159.32</v>
      </c>
      <c r="M69" s="79">
        <f t="shared" si="2"/>
        <v>1159.32</v>
      </c>
      <c r="N69" s="68"/>
      <c r="O69" s="80"/>
      <c r="P69" s="90">
        <v>0</v>
      </c>
      <c r="Q69" s="91">
        <v>0</v>
      </c>
      <c r="R69" s="91">
        <v>0</v>
      </c>
      <c r="S69" s="91">
        <v>0</v>
      </c>
      <c r="T69" s="89">
        <v>0</v>
      </c>
      <c r="U69" s="67">
        <f t="shared" si="0"/>
        <v>0</v>
      </c>
      <c r="V69" s="68"/>
      <c r="W69" s="69"/>
      <c r="X69" s="92">
        <f t="shared" si="4"/>
        <v>0</v>
      </c>
      <c r="Y69" s="92">
        <f t="shared" si="3"/>
        <v>1159.32</v>
      </c>
      <c r="Z69" s="92">
        <f t="shared" si="5"/>
        <v>1159.32</v>
      </c>
      <c r="AA69" s="92">
        <f>Z69/(1+0.0382)^49</f>
        <v>184.68563865089303</v>
      </c>
      <c r="AB69" s="52"/>
    </row>
    <row r="70" spans="1:28" ht="15">
      <c r="A70" s="1"/>
      <c r="B70" s="48"/>
      <c r="C70" s="84">
        <f t="shared" si="6"/>
        <v>2065</v>
      </c>
      <c r="D70" s="52"/>
      <c r="E70" s="1"/>
      <c r="F70" s="43"/>
      <c r="G70" s="90">
        <v>0</v>
      </c>
      <c r="H70" s="91">
        <v>0</v>
      </c>
      <c r="I70" s="91">
        <v>0</v>
      </c>
      <c r="J70" s="91">
        <v>169.71</v>
      </c>
      <c r="K70" s="91">
        <v>0</v>
      </c>
      <c r="L70" s="89">
        <v>169.71</v>
      </c>
      <c r="M70" s="79">
        <f t="shared" si="2"/>
        <v>169.71</v>
      </c>
      <c r="N70" s="68"/>
      <c r="O70" s="80"/>
      <c r="P70" s="90">
        <v>0</v>
      </c>
      <c r="Q70" s="91">
        <v>0</v>
      </c>
      <c r="R70" s="91">
        <v>0</v>
      </c>
      <c r="S70" s="91">
        <v>0</v>
      </c>
      <c r="T70" s="89">
        <v>0</v>
      </c>
      <c r="U70" s="67">
        <f t="shared" si="0"/>
        <v>0</v>
      </c>
      <c r="V70" s="68"/>
      <c r="W70" s="69"/>
      <c r="X70" s="92">
        <f t="shared" si="4"/>
        <v>0</v>
      </c>
      <c r="Y70" s="92">
        <f t="shared" si="3"/>
        <v>169.71</v>
      </c>
      <c r="Z70" s="92">
        <f t="shared" si="5"/>
        <v>169.71</v>
      </c>
      <c r="AA70" s="92">
        <f>Z70/(1+0.0382)^1</f>
        <v>163.46561356193413</v>
      </c>
      <c r="AB70" s="52"/>
    </row>
    <row r="71" spans="1:28" ht="15">
      <c r="A71" s="1"/>
      <c r="B71" s="48"/>
      <c r="C71" s="84">
        <f t="shared" si="6"/>
        <v>2066</v>
      </c>
      <c r="D71" s="52"/>
      <c r="E71" s="1"/>
      <c r="F71" s="43"/>
      <c r="G71" s="90">
        <v>0</v>
      </c>
      <c r="H71" s="91">
        <v>0</v>
      </c>
      <c r="I71" s="91">
        <v>0</v>
      </c>
      <c r="J71" s="91">
        <v>0</v>
      </c>
      <c r="K71" s="91">
        <v>0</v>
      </c>
      <c r="L71" s="89">
        <v>0</v>
      </c>
      <c r="M71" s="79">
        <f t="shared" si="2"/>
        <v>0</v>
      </c>
      <c r="N71" s="68"/>
      <c r="O71" s="80"/>
      <c r="P71" s="90">
        <v>0</v>
      </c>
      <c r="Q71" s="91">
        <v>0</v>
      </c>
      <c r="R71" s="91">
        <v>0</v>
      </c>
      <c r="S71" s="91">
        <v>0</v>
      </c>
      <c r="T71" s="89">
        <v>0</v>
      </c>
      <c r="U71" s="67">
        <f t="shared" si="0"/>
        <v>0</v>
      </c>
      <c r="V71" s="68"/>
      <c r="W71" s="69"/>
      <c r="X71" s="92">
        <f t="shared" si="4"/>
        <v>0</v>
      </c>
      <c r="Y71" s="92">
        <f t="shared" si="3"/>
        <v>0</v>
      </c>
      <c r="Z71" s="92">
        <f t="shared" si="5"/>
        <v>0</v>
      </c>
      <c r="AA71" s="92">
        <f aca="true" t="shared" si="7" ref="AA71:AA76">Z71/(1+0.05)^1</f>
        <v>0</v>
      </c>
      <c r="AB71" s="52"/>
    </row>
    <row r="72" spans="1:28" ht="15">
      <c r="A72" s="1"/>
      <c r="B72" s="48"/>
      <c r="C72" s="84">
        <f t="shared" si="6"/>
        <v>2067</v>
      </c>
      <c r="D72" s="52"/>
      <c r="E72" s="1"/>
      <c r="F72" s="43"/>
      <c r="G72" s="90">
        <v>0</v>
      </c>
      <c r="H72" s="91">
        <v>0</v>
      </c>
      <c r="I72" s="91">
        <v>0</v>
      </c>
      <c r="J72" s="91">
        <v>0</v>
      </c>
      <c r="K72" s="91">
        <v>0</v>
      </c>
      <c r="L72" s="89">
        <v>0</v>
      </c>
      <c r="M72" s="79">
        <f t="shared" si="2"/>
        <v>0</v>
      </c>
      <c r="N72" s="68"/>
      <c r="O72" s="80"/>
      <c r="P72" s="90">
        <v>0</v>
      </c>
      <c r="Q72" s="91">
        <v>0</v>
      </c>
      <c r="R72" s="91">
        <v>0</v>
      </c>
      <c r="S72" s="91">
        <v>0</v>
      </c>
      <c r="T72" s="89">
        <v>0</v>
      </c>
      <c r="U72" s="67">
        <f t="shared" si="0"/>
        <v>0</v>
      </c>
      <c r="V72" s="68"/>
      <c r="W72" s="69"/>
      <c r="X72" s="92">
        <f t="shared" si="4"/>
        <v>0</v>
      </c>
      <c r="Y72" s="92">
        <f t="shared" si="3"/>
        <v>0</v>
      </c>
      <c r="Z72" s="92">
        <f t="shared" si="5"/>
        <v>0</v>
      </c>
      <c r="AA72" s="92">
        <f t="shared" si="7"/>
        <v>0</v>
      </c>
      <c r="AB72" s="52"/>
    </row>
    <row r="73" spans="1:28" ht="15">
      <c r="A73" s="1"/>
      <c r="B73" s="48"/>
      <c r="C73" s="84">
        <f t="shared" si="6"/>
        <v>2068</v>
      </c>
      <c r="D73" s="52"/>
      <c r="E73" s="1"/>
      <c r="F73" s="43"/>
      <c r="G73" s="90">
        <v>0</v>
      </c>
      <c r="H73" s="91">
        <v>0</v>
      </c>
      <c r="I73" s="91">
        <v>0</v>
      </c>
      <c r="J73" s="91">
        <v>0</v>
      </c>
      <c r="K73" s="91">
        <v>0</v>
      </c>
      <c r="L73" s="89">
        <v>0</v>
      </c>
      <c r="M73" s="79">
        <f t="shared" si="2"/>
        <v>0</v>
      </c>
      <c r="N73" s="68"/>
      <c r="O73" s="80"/>
      <c r="P73" s="90">
        <v>0</v>
      </c>
      <c r="Q73" s="91">
        <v>0</v>
      </c>
      <c r="R73" s="91">
        <v>0</v>
      </c>
      <c r="S73" s="91">
        <v>0</v>
      </c>
      <c r="T73" s="89">
        <v>0</v>
      </c>
      <c r="U73" s="67">
        <f t="shared" si="0"/>
        <v>0</v>
      </c>
      <c r="V73" s="68"/>
      <c r="W73" s="69"/>
      <c r="X73" s="92">
        <f t="shared" si="4"/>
        <v>0</v>
      </c>
      <c r="Y73" s="92">
        <f t="shared" si="3"/>
        <v>0</v>
      </c>
      <c r="Z73" s="92">
        <f t="shared" si="5"/>
        <v>0</v>
      </c>
      <c r="AA73" s="92">
        <f t="shared" si="7"/>
        <v>0</v>
      </c>
      <c r="AB73" s="52"/>
    </row>
    <row r="74" spans="1:28" ht="15">
      <c r="A74" s="1"/>
      <c r="B74" s="48"/>
      <c r="C74" s="84">
        <f t="shared" si="6"/>
        <v>2069</v>
      </c>
      <c r="D74" s="52"/>
      <c r="E74" s="1"/>
      <c r="F74" s="43"/>
      <c r="G74" s="90">
        <v>0</v>
      </c>
      <c r="H74" s="91">
        <v>0</v>
      </c>
      <c r="I74" s="91">
        <v>0</v>
      </c>
      <c r="J74" s="91">
        <v>0</v>
      </c>
      <c r="K74" s="91">
        <v>0</v>
      </c>
      <c r="L74" s="89">
        <v>0</v>
      </c>
      <c r="M74" s="79">
        <f t="shared" si="2"/>
        <v>0</v>
      </c>
      <c r="N74" s="68"/>
      <c r="O74" s="80"/>
      <c r="P74" s="90">
        <v>0</v>
      </c>
      <c r="Q74" s="91">
        <v>0</v>
      </c>
      <c r="R74" s="91">
        <v>0</v>
      </c>
      <c r="S74" s="91">
        <v>0</v>
      </c>
      <c r="T74" s="89">
        <v>0</v>
      </c>
      <c r="U74" s="67">
        <f t="shared" si="0"/>
        <v>0</v>
      </c>
      <c r="V74" s="68"/>
      <c r="W74" s="69"/>
      <c r="X74" s="92">
        <f t="shared" si="4"/>
        <v>0</v>
      </c>
      <c r="Y74" s="92">
        <f t="shared" si="3"/>
        <v>0</v>
      </c>
      <c r="Z74" s="92">
        <f t="shared" si="5"/>
        <v>0</v>
      </c>
      <c r="AA74" s="92">
        <f t="shared" si="7"/>
        <v>0</v>
      </c>
      <c r="AB74" s="52"/>
    </row>
    <row r="75" spans="1:28" ht="15">
      <c r="A75" s="1"/>
      <c r="B75" s="48"/>
      <c r="C75" s="84">
        <f t="shared" si="6"/>
        <v>2070</v>
      </c>
      <c r="D75" s="52"/>
      <c r="E75" s="1"/>
      <c r="F75" s="43"/>
      <c r="G75" s="90">
        <v>0</v>
      </c>
      <c r="H75" s="91">
        <v>0</v>
      </c>
      <c r="I75" s="91">
        <v>0</v>
      </c>
      <c r="J75" s="91">
        <v>0</v>
      </c>
      <c r="K75" s="91">
        <v>0</v>
      </c>
      <c r="L75" s="89">
        <v>0</v>
      </c>
      <c r="M75" s="79">
        <f t="shared" si="2"/>
        <v>0</v>
      </c>
      <c r="N75" s="68"/>
      <c r="O75" s="80"/>
      <c r="P75" s="90">
        <v>0</v>
      </c>
      <c r="Q75" s="91">
        <v>0</v>
      </c>
      <c r="R75" s="91">
        <v>0</v>
      </c>
      <c r="S75" s="91">
        <v>0</v>
      </c>
      <c r="T75" s="89">
        <v>0</v>
      </c>
      <c r="U75" s="67">
        <f t="shared" si="0"/>
        <v>0</v>
      </c>
      <c r="V75" s="68"/>
      <c r="W75" s="69"/>
      <c r="X75" s="92">
        <f t="shared" si="4"/>
        <v>0</v>
      </c>
      <c r="Y75" s="92">
        <f t="shared" si="3"/>
        <v>0</v>
      </c>
      <c r="Z75" s="92">
        <f t="shared" si="5"/>
        <v>0</v>
      </c>
      <c r="AA75" s="92">
        <f t="shared" si="7"/>
        <v>0</v>
      </c>
      <c r="AB75" s="52"/>
    </row>
    <row r="76" spans="1:28" ht="15.75" thickBot="1">
      <c r="A76" s="1"/>
      <c r="B76" s="48"/>
      <c r="C76" s="84">
        <f t="shared" si="6"/>
        <v>2071</v>
      </c>
      <c r="D76" s="52"/>
      <c r="E76" s="1"/>
      <c r="F76" s="43"/>
      <c r="G76" s="93">
        <v>0</v>
      </c>
      <c r="H76" s="94">
        <v>0</v>
      </c>
      <c r="I76" s="94">
        <v>0</v>
      </c>
      <c r="J76" s="91">
        <v>0</v>
      </c>
      <c r="K76" s="91">
        <v>0</v>
      </c>
      <c r="L76" s="89">
        <v>0</v>
      </c>
      <c r="M76" s="79">
        <f t="shared" si="2"/>
        <v>0</v>
      </c>
      <c r="N76" s="68"/>
      <c r="O76" s="80"/>
      <c r="P76" s="93">
        <v>0</v>
      </c>
      <c r="Q76" s="91">
        <v>0</v>
      </c>
      <c r="R76" s="91">
        <v>0</v>
      </c>
      <c r="S76" s="91">
        <v>0</v>
      </c>
      <c r="T76" s="89">
        <v>0</v>
      </c>
      <c r="U76" s="67">
        <f t="shared" si="0"/>
        <v>0</v>
      </c>
      <c r="V76" s="68"/>
      <c r="W76" s="69"/>
      <c r="X76" s="92">
        <f t="shared" si="4"/>
        <v>0</v>
      </c>
      <c r="Y76" s="92">
        <f t="shared" si="3"/>
        <v>0</v>
      </c>
      <c r="Z76" s="92">
        <f t="shared" si="5"/>
        <v>0</v>
      </c>
      <c r="AA76" s="92">
        <f t="shared" si="7"/>
        <v>0</v>
      </c>
      <c r="AB76" s="52"/>
    </row>
    <row r="77" spans="1:28" ht="15.75" thickBot="1">
      <c r="A77" s="1"/>
      <c r="B77" s="95"/>
      <c r="C77" s="96"/>
      <c r="D77" s="97"/>
      <c r="E77" s="1"/>
      <c r="F77" s="98"/>
      <c r="G77" s="99"/>
      <c r="H77" s="99"/>
      <c r="I77" s="99"/>
      <c r="J77" s="99"/>
      <c r="K77" s="99"/>
      <c r="L77" s="99"/>
      <c r="M77" s="100"/>
      <c r="N77" s="1"/>
      <c r="O77" s="101"/>
      <c r="P77" s="102"/>
      <c r="Q77" s="102"/>
      <c r="R77" s="102"/>
      <c r="S77" s="102"/>
      <c r="T77" s="102"/>
      <c r="U77" s="103"/>
      <c r="V77" s="1"/>
      <c r="W77" s="95"/>
      <c r="X77" s="96"/>
      <c r="Y77" s="96"/>
      <c r="Z77" s="96"/>
      <c r="AA77" s="104"/>
      <c r="AB77" s="97"/>
    </row>
    <row r="78" spans="1:28" ht="15">
      <c r="A78" s="1"/>
      <c r="B78" s="109" t="s">
        <v>34</v>
      </c>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row>
    <row r="79" spans="1:28" ht="15">
      <c r="A79" s="1"/>
      <c r="B79" s="109" t="s">
        <v>35</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row>
    <row r="80" spans="1:28" ht="15">
      <c r="A80" s="105"/>
      <c r="B80" s="109" t="s">
        <v>36</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row>
    <row r="81" spans="1:28"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
      <c r="A82" s="1"/>
      <c r="B82" s="1"/>
      <c r="C82" s="1"/>
      <c r="D82" s="106"/>
      <c r="E82" s="106"/>
      <c r="F82" s="106"/>
      <c r="G82" s="106"/>
      <c r="H82" s="106"/>
      <c r="I82" s="106"/>
      <c r="J82" s="106"/>
      <c r="K82" s="106"/>
      <c r="L82" s="1"/>
      <c r="M82" s="106"/>
      <c r="N82" s="106"/>
      <c r="O82" s="106"/>
      <c r="P82" s="106"/>
      <c r="Q82" s="106"/>
      <c r="R82" s="106"/>
      <c r="S82" s="106"/>
      <c r="T82" s="106"/>
      <c r="U82" s="1"/>
      <c r="V82" s="1"/>
      <c r="W82" s="1"/>
      <c r="X82" s="1"/>
      <c r="Y82" s="1"/>
      <c r="Z82" s="1"/>
      <c r="AA82" s="1"/>
      <c r="AB82" s="1"/>
    </row>
    <row r="83" spans="1:28" ht="15">
      <c r="A83" s="1"/>
      <c r="B83" s="1"/>
      <c r="C83" s="1"/>
      <c r="D83" s="106"/>
      <c r="E83" s="106"/>
      <c r="F83" s="106"/>
      <c r="G83" s="106"/>
      <c r="H83" s="106"/>
      <c r="I83" s="106"/>
      <c r="J83" s="106"/>
      <c r="K83" s="106"/>
      <c r="L83" s="1"/>
      <c r="M83" s="107"/>
      <c r="N83" s="106"/>
      <c r="O83" s="106"/>
      <c r="P83" s="106"/>
      <c r="Q83" s="106"/>
      <c r="R83" s="106"/>
      <c r="S83" s="106"/>
      <c r="T83" s="106"/>
      <c r="U83" s="1"/>
      <c r="V83" s="1"/>
      <c r="W83" s="1"/>
      <c r="X83" s="1"/>
      <c r="Y83" s="1"/>
      <c r="Z83" s="1"/>
      <c r="AA83" s="1"/>
      <c r="AB83" s="1"/>
    </row>
  </sheetData>
  <sheetProtection/>
  <mergeCells count="8">
    <mergeCell ref="B79:AB79"/>
    <mergeCell ref="B80:AB80"/>
    <mergeCell ref="S2:T2"/>
    <mergeCell ref="S3:T3"/>
    <mergeCell ref="B11:AB11"/>
    <mergeCell ref="G14:L14"/>
    <mergeCell ref="P14:T14"/>
    <mergeCell ref="B78:AB78"/>
  </mergeCells>
  <printOptions/>
  <pageMargins left="0.7" right="0.7" top="0.75" bottom="0.75" header="0.3" footer="0.3"/>
  <pageSetup horizontalDpi="600" verticalDpi="600" orientation="portrait" scale="41" r:id="rId2"/>
  <ignoredErrors>
    <ignoredError sqref="H1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NRUCFC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MacDonald</dc:creator>
  <cp:keywords/>
  <dc:description/>
  <cp:lastModifiedBy>Paula McClain</cp:lastModifiedBy>
  <cp:lastPrinted>2016-05-10T20:35:52Z</cp:lastPrinted>
  <dcterms:created xsi:type="dcterms:W3CDTF">2016-05-10T20:32:29Z</dcterms:created>
  <dcterms:modified xsi:type="dcterms:W3CDTF">2016-05-17T15:56:57Z</dcterms:modified>
  <cp:category/>
  <cp:version/>
  <cp:contentType/>
  <cp:contentStatus/>
</cp:coreProperties>
</file>