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84" windowWidth="14856" windowHeight="5976" firstSheet="1" activeTab="1"/>
  </bookViews>
  <sheets>
    <sheet name="Lookup" sheetId="1" r:id="rId1"/>
    <sheet name="Summary" sheetId="2" r:id="rId2"/>
    <sheet name="May 2015" sheetId="3" r:id="rId3"/>
    <sheet name="May ES 3.30" sheetId="4" r:id="rId4"/>
    <sheet name="ES--Pro-Rated Dollars" sheetId="5" r:id="rId5"/>
    <sheet name="June 2015" sheetId="6" r:id="rId6"/>
    <sheet name="June ES 3.30" sheetId="7" r:id="rId7"/>
    <sheet name="July 2015" sheetId="8" r:id="rId8"/>
    <sheet name="July ES 3.30" sheetId="9" r:id="rId9"/>
    <sheet name="August 2015" sheetId="10" r:id="rId10"/>
    <sheet name="Aug ES 3.30" sheetId="11" r:id="rId11"/>
    <sheet name="September 2015" sheetId="12" r:id="rId12"/>
    <sheet name="Sep ES 3.30" sheetId="13" r:id="rId13"/>
    <sheet name="October 2015" sheetId="14" r:id="rId14"/>
    <sheet name="Oct ES 3.30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Marshall_Rate">'[2]Property Tax'!$B$2</definedName>
    <definedName name="PC_Percent">'[2]Property Tax'!$B$6</definedName>
    <definedName name="_xlnm.Print_Area" localSheetId="10">'Aug ES 3.30'!$A$1:$L$33</definedName>
    <definedName name="_xlnm.Print_Area" localSheetId="4">'ES--Pro-Rated Dollars'!$A$1:$AD$72</definedName>
    <definedName name="_xlnm.Print_Area" localSheetId="8">'July ES 3.30'!$A$1:$L$46</definedName>
    <definedName name="_xlnm.Print_Area" localSheetId="6">'June ES 3.30'!$A$1:$L$27</definedName>
    <definedName name="_xlnm.Print_Area" localSheetId="3">'May ES 3.30'!$A$1:$K$52</definedName>
    <definedName name="_xlnm.Print_Area" localSheetId="14">'Oct ES 3.30'!$A$1:$K$28</definedName>
    <definedName name="_xlnm.Print_Area" localSheetId="12">'Sep ES 3.30'!$A$1:$L$35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<sst xmlns="http://schemas.openxmlformats.org/spreadsheetml/2006/main" count="1926" uniqueCount="337">
  <si>
    <t>4400001</t>
  </si>
  <si>
    <t>Retail</t>
  </si>
  <si>
    <t>4400002</t>
  </si>
  <si>
    <t>4400005</t>
  </si>
  <si>
    <t>4420001</t>
  </si>
  <si>
    <t>4420002</t>
  </si>
  <si>
    <t>4420004</t>
  </si>
  <si>
    <t>4420005</t>
  </si>
  <si>
    <t>4420006</t>
  </si>
  <si>
    <t>4420007</t>
  </si>
  <si>
    <t>4420013</t>
  </si>
  <si>
    <t>4420016</t>
  </si>
  <si>
    <t>4420019</t>
  </si>
  <si>
    <t>4440000</t>
  </si>
  <si>
    <t>4440002</t>
  </si>
  <si>
    <t>4450002</t>
  </si>
  <si>
    <t>4450004</t>
  </si>
  <si>
    <t>4470001</t>
  </si>
  <si>
    <t>Associated</t>
  </si>
  <si>
    <t>4470006</t>
  </si>
  <si>
    <t>Non-Physical</t>
  </si>
  <si>
    <t>4470010</t>
  </si>
  <si>
    <t>4470027</t>
  </si>
  <si>
    <t>FERC</t>
  </si>
  <si>
    <t>4470033</t>
  </si>
  <si>
    <t>4470081</t>
  </si>
  <si>
    <t>4470082</t>
  </si>
  <si>
    <t>4470089</t>
  </si>
  <si>
    <t>OSS</t>
  </si>
  <si>
    <t>4470098</t>
  </si>
  <si>
    <t>4470099</t>
  </si>
  <si>
    <t>4470100</t>
  </si>
  <si>
    <t>4470103</t>
  </si>
  <si>
    <t>4470107</t>
  </si>
  <si>
    <t>4470110</t>
  </si>
  <si>
    <t>4470112</t>
  </si>
  <si>
    <t>4470115</t>
  </si>
  <si>
    <t>4470126</t>
  </si>
  <si>
    <t>4470131</t>
  </si>
  <si>
    <t>4470143</t>
  </si>
  <si>
    <t>4470150</t>
  </si>
  <si>
    <t>4470151</t>
  </si>
  <si>
    <t>4470168</t>
  </si>
  <si>
    <t>4470170</t>
  </si>
  <si>
    <t>4470175</t>
  </si>
  <si>
    <t>4470176</t>
  </si>
  <si>
    <t>4470206</t>
  </si>
  <si>
    <t>4470209</t>
  </si>
  <si>
    <t>4470214</t>
  </si>
  <si>
    <t>4470215</t>
  </si>
  <si>
    <t>4470220</t>
  </si>
  <si>
    <t>4470221</t>
  </si>
  <si>
    <t>4470222</t>
  </si>
  <si>
    <t>5550039</t>
  </si>
  <si>
    <t>5550099</t>
  </si>
  <si>
    <t>5550100</t>
  </si>
  <si>
    <t>5550107</t>
  </si>
  <si>
    <t>5570007</t>
  </si>
  <si>
    <t>5614000</t>
  </si>
  <si>
    <t>5614008</t>
  </si>
  <si>
    <t>5618000</t>
  </si>
  <si>
    <t>5757000</t>
  </si>
  <si>
    <t>Pd</t>
  </si>
  <si>
    <t>Year</t>
  </si>
  <si>
    <t>Bus Unit</t>
  </si>
  <si>
    <t>Account</t>
  </si>
  <si>
    <t>Account Description</t>
  </si>
  <si>
    <t>Amount</t>
  </si>
  <si>
    <t>110</t>
  </si>
  <si>
    <t>Residential Sales-W/Space Htg</t>
  </si>
  <si>
    <t>117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</si>
  <si>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</si>
  <si>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</si>
  <si>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</si>
  <si>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</si>
  <si>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</si>
  <si>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C&amp;I Sales - Affil Cos</t>
  </si>
  <si>
    <t>Sales to Pub Auth - Schools</t>
  </si>
  <si>
    <t>Sales to Pub Auth - Ex Schools</t>
  </si>
  <si>
    <t>Commercial Fuel Rev</t>
  </si>
  <si>
    <t>Industrial Fuel Rev</t>
  </si>
  <si>
    <t>Affiliated C&amp;I Sales -Fuel Rev</t>
  </si>
  <si>
    <t>Public Street/Highway Lighting</t>
  </si>
  <si>
    <t>Public St &amp; Hwy Light Fuel Rev</t>
  </si>
  <si>
    <t>Oth Sales Pblic Auth (Exc Sch)</t>
  </si>
  <si>
    <t>Oth Sales Public Auth Fuel Rev</t>
  </si>
  <si>
    <t>Sales for Resale - Assoc Cos</t>
  </si>
  <si>
    <t>Sales for Resale-Bookout Sales</t>
  </si>
  <si>
    <t>Sales for Resale-Bookout Purch</t>
  </si>
  <si>
    <t>Whsal/Muni/Pb Ath Fuel Rev</t>
  </si>
  <si>
    <t>Whsal/Muni/Pub Auth Base Rev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</si>
  <si>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</si>
  <si>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</si>
  <si>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</si>
  <si>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</si>
  <si>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</si>
  <si>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</si>
  <si>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PJM Energy Sales Cost</t>
  </si>
  <si>
    <t>PJM NITS Purch-NonAff.</t>
  </si>
  <si>
    <t>PJM TO Admin. Exp.-NonAff.</t>
  </si>
  <si>
    <t>Non-Trading Bookout Sales-OSS</t>
  </si>
  <si>
    <t>PJM Meter Corrections-OSS</t>
  </si>
  <si>
    <t>PJM Incremental Imp Cong-OSS</t>
  </si>
  <si>
    <t>Non-Trading Bookout Purch-OSS</t>
  </si>
  <si>
    <t>Financial Hedge Realized</t>
  </si>
  <si>
    <t>Transm. Rev.-Dedic. Whlsl/Muni</t>
  </si>
  <si>
    <t>180</t>
  </si>
  <si>
    <t>Pur Power Trading Affi</t>
  </si>
  <si>
    <t>Non-ECR Auction Sales-OSS</t>
  </si>
  <si>
    <t>OSS Sharing Reclass - Retail</t>
  </si>
  <si>
    <t>OSS Sharing Reclass-Reduction</t>
  </si>
  <si>
    <t>PJM Trans loss credits-OSS</t>
  </si>
  <si>
    <t>PJM transm loss charges-OSS</t>
  </si>
  <si>
    <t>PJM 30m Suppl Reserve CR OSS</t>
  </si>
  <si>
    <t>PJM 30m Suppl Reserve CH OSS</t>
  </si>
  <si>
    <t>PJM Regulation - OSS</t>
  </si>
  <si>
    <t>PJM Spinning Reserve - OSS</t>
  </si>
  <si>
    <t>PJM Reasctive - OSS</t>
  </si>
  <si>
    <t>PJM Inadvertent Mtr Res-OSS</t>
  </si>
  <si>
    <t>Capacity Purchases-Auction</t>
  </si>
  <si>
    <t>Capacity purchases - Trading</t>
  </si>
  <si>
    <t>Other Pwr Exp - Wholesale RECs</t>
  </si>
  <si>
    <t>PJM Admin-SSC&amp;DS-OSS</t>
  </si>
  <si>
    <t>PJM Admin Defaults OSS</t>
  </si>
  <si>
    <t>PJM Admin-RP&amp;SDS-OSS</t>
  </si>
  <si>
    <t>PJM Admin-MAM&amp;SC- OSS</t>
  </si>
  <si>
    <t>Associated Total</t>
  </si>
  <si>
    <t>FERC Total</t>
  </si>
  <si>
    <t>Non-Physical Total</t>
  </si>
  <si>
    <t>OSS Total</t>
  </si>
  <si>
    <t>Retail Total</t>
  </si>
  <si>
    <t>Grand Total</t>
  </si>
  <si>
    <t>PJM Purchases-non-ECR-Auction</t>
  </si>
  <si>
    <t>Trading Auction Sales Affil</t>
  </si>
  <si>
    <t>ES FORM 3.30</t>
  </si>
  <si>
    <t>KENTUCKY POWER COMPANY - ENVIRONMENTAL SURCHARGE REPORT</t>
  </si>
  <si>
    <t>CURRENT PERIOD REVENUE REQUIREMENT</t>
  </si>
  <si>
    <t>MONTHLY REVENUES, JURISDICTIONAL ALLOCATION FACTOR,</t>
  </si>
  <si>
    <t>and (OVER)/UNDER RECOVERY ADJUSTMENT</t>
  </si>
  <si>
    <t>SCHEDULE OF MONTHLY REVENUES</t>
  </si>
  <si>
    <t>Line No.</t>
  </si>
  <si>
    <t>Description</t>
  </si>
  <si>
    <t>Monthly Revenues</t>
  </si>
  <si>
    <t>Percentage of Total Revenues</t>
  </si>
  <si>
    <t>Kentucky Retail Revenues</t>
  </si>
  <si>
    <t>FERC Wholesale Revenues</t>
  </si>
  <si>
    <t xml:space="preserve"> </t>
  </si>
  <si>
    <t>Associated Utilities Revenues</t>
  </si>
  <si>
    <t>Non-Assoc. Utilities Revenues</t>
  </si>
  <si>
    <t>-------------------</t>
  </si>
  <si>
    <t>Total Revenues for Surcharges Purposes</t>
  </si>
  <si>
    <t>Non-Physical Revenues for Month</t>
  </si>
  <si>
    <t>Total Revenues for Month</t>
  </si>
  <si>
    <t>The Kentucky Retail Monthly Revenues and Percentage of Total Revenues (Line 1) are</t>
  </si>
  <si>
    <t>to be recorded on ES FORM 1.00, Line 4.  The Percentage of Kentucky Retail</t>
  </si>
  <si>
    <t>Revenues to the Total Revenues for the Expense Month will be the Kentucky Retail</t>
  </si>
  <si>
    <t xml:space="preserve">Jurisdictional Allocation Factor.  </t>
  </si>
  <si>
    <t xml:space="preserve">                             OVER/(UNDER) RECOVERY ADJUSTMENT</t>
  </si>
  <si>
    <t>R</t>
  </si>
  <si>
    <t xml:space="preserve">Surcharge Amount To Be Collected  </t>
  </si>
  <si>
    <t>Actual Billed Environmental Surcharge Revenues</t>
  </si>
  <si>
    <t>(Over) / Under Recovery (1) - (2) = (3)</t>
  </si>
  <si>
    <t>The (Over)/Under Recovery amount is to be recorded on ES FORM 1.00, LINE 7.</t>
  </si>
  <si>
    <t>As Revised Total Revenues</t>
  </si>
  <si>
    <t>As Filed Monthly Revenues</t>
  </si>
  <si>
    <t>As Revised Percentage of Total Revenues</t>
  </si>
  <si>
    <t>Amount to be Collected for May expense Month</t>
  </si>
  <si>
    <t>As Filed Percentage of Total Revenues</t>
  </si>
  <si>
    <t>Revised Monthly Revenues</t>
  </si>
  <si>
    <t>Revised Percentage of Total Revenues</t>
  </si>
  <si>
    <t>Under/Over</t>
  </si>
  <si>
    <t>4470109</t>
  </si>
  <si>
    <t>PJM FTR Revenue-Spec</t>
  </si>
  <si>
    <t>to be recorded on ES FORM 1.00, Lines 9 and 4.  The Percentage of Kentucky Retail</t>
  </si>
  <si>
    <t xml:space="preserve">* </t>
  </si>
  <si>
    <t>* Adjustment made to July amount for associated utilities revenues.</t>
  </si>
  <si>
    <t>Month</t>
  </si>
  <si>
    <t>Total</t>
  </si>
  <si>
    <t>Difference</t>
  </si>
  <si>
    <t>and OVER/(UNDER) RECOVERY ADJUSTMENT</t>
  </si>
  <si>
    <t>Amounts</t>
  </si>
  <si>
    <t>The Over/(Under) Recovery amount is to be recorded on ES FORM 1.00, LINE 6.</t>
  </si>
  <si>
    <t>Interest Rate Swaps-Power</t>
  </si>
  <si>
    <t>Difference in Filed and Revised Allocation %</t>
  </si>
  <si>
    <t>Difference in ES CRR and BRR*</t>
  </si>
  <si>
    <t>(As Filed)</t>
  </si>
  <si>
    <t>(As Revised)</t>
  </si>
  <si>
    <t>* Pro-rated for  June and July (August &amp; September revenue months)</t>
  </si>
  <si>
    <t>Kentucky Power Company</t>
  </si>
  <si>
    <t>Environmental Surcharge Pro-Ration Calculation</t>
  </si>
  <si>
    <t>For Service On or After June 22, 2015</t>
  </si>
  <si>
    <t>Cycle</t>
  </si>
  <si>
    <t>Day                                             of Week</t>
  </si>
  <si>
    <t>First Day of Billing Cycle (Day Meter is Read)</t>
  </si>
  <si>
    <t>Last Day of the Previous Billing Cycle</t>
  </si>
  <si>
    <t>Last Day of Billing Cycle (Day Before Meter is Read)</t>
  </si>
  <si>
    <t>Total              Number             of                      Billing                     Days</t>
  </si>
  <si>
    <t>Last Day                                      of                                        Old Rates</t>
  </si>
  <si>
    <t>Number               of                     Billing Days                           @                                 Old Rate</t>
  </si>
  <si>
    <t>First Day                                      of                                        New Rates</t>
  </si>
  <si>
    <t>Number               of                     Billing Days                           @                                 New Rate</t>
  </si>
  <si>
    <r>
      <rPr>
        <b/>
        <sz val="10"/>
        <rFont val="Arial"/>
        <family val="2"/>
      </rPr>
      <t>SW31B</t>
    </r>
    <r>
      <rPr>
        <sz val="11"/>
        <color theme="1"/>
        <rFont val="Calibri"/>
        <family val="2"/>
      </rPr>
      <t xml:space="preserve">          All Other Classifications August Factors (Applicable to Usage Through August 20)</t>
    </r>
  </si>
  <si>
    <r>
      <rPr>
        <b/>
        <sz val="10"/>
        <rFont val="Arial"/>
        <family val="2"/>
      </rPr>
      <t>SW31B</t>
    </r>
    <r>
      <rPr>
        <sz val="11"/>
        <color theme="1"/>
        <rFont val="Calibri"/>
        <family val="2"/>
      </rPr>
      <t xml:space="preserve">             All Other Classifications August Factors (Applicable to Usage Beginning August 21)</t>
    </r>
  </si>
  <si>
    <r>
      <rPr>
        <b/>
        <sz val="10"/>
        <rFont val="Arial"/>
        <family val="2"/>
      </rPr>
      <t>SW31B</t>
    </r>
    <r>
      <rPr>
        <sz val="11"/>
        <color theme="1"/>
        <rFont val="Calibri"/>
        <family val="2"/>
      </rPr>
      <t xml:space="preserve">          Pro Rated Factor</t>
    </r>
  </si>
  <si>
    <t>June 2015 Revenue Month</t>
  </si>
  <si>
    <t>Thursday</t>
  </si>
  <si>
    <t>April 30</t>
  </si>
  <si>
    <t>June 1</t>
  </si>
  <si>
    <t>May 31</t>
  </si>
  <si>
    <t>June 29</t>
  </si>
  <si>
    <t>June 30</t>
  </si>
  <si>
    <t>Friday</t>
  </si>
  <si>
    <t>May 1</t>
  </si>
  <si>
    <t>June 2</t>
  </si>
  <si>
    <t>Monday</t>
  </si>
  <si>
    <t>May 4</t>
  </si>
  <si>
    <t>June 3</t>
  </si>
  <si>
    <t>Tuesday</t>
  </si>
  <si>
    <t>May 5</t>
  </si>
  <si>
    <t>June 4</t>
  </si>
  <si>
    <t>Wednesday</t>
  </si>
  <si>
    <t>May 6</t>
  </si>
  <si>
    <t>June 5</t>
  </si>
  <si>
    <t>May 7</t>
  </si>
  <si>
    <t>June 8</t>
  </si>
  <si>
    <t>June 7</t>
  </si>
  <si>
    <t>May 8</t>
  </si>
  <si>
    <t>June 9</t>
  </si>
  <si>
    <t>May 11</t>
  </si>
  <si>
    <t>June 10</t>
  </si>
  <si>
    <t>May 12</t>
  </si>
  <si>
    <t>June 11</t>
  </si>
  <si>
    <t>May 13</t>
  </si>
  <si>
    <t>June 12</t>
  </si>
  <si>
    <t>May 14</t>
  </si>
  <si>
    <t>June 15</t>
  </si>
  <si>
    <t>June 14</t>
  </si>
  <si>
    <t>May 15</t>
  </si>
  <si>
    <t>June 16</t>
  </si>
  <si>
    <t>May 18</t>
  </si>
  <si>
    <t>June 17</t>
  </si>
  <si>
    <t>May 19</t>
  </si>
  <si>
    <t>June 18</t>
  </si>
  <si>
    <t>May 20</t>
  </si>
  <si>
    <t>June 19</t>
  </si>
  <si>
    <t>May 21</t>
  </si>
  <si>
    <t>June 22</t>
  </si>
  <si>
    <t>June 21</t>
  </si>
  <si>
    <t>May 22</t>
  </si>
  <si>
    <t>June 23</t>
  </si>
  <si>
    <t>May 26</t>
  </si>
  <si>
    <t>June 24</t>
  </si>
  <si>
    <t>May 27</t>
  </si>
  <si>
    <t>June 25</t>
  </si>
  <si>
    <t>May 28</t>
  </si>
  <si>
    <t>June 26</t>
  </si>
  <si>
    <t>May 29</t>
  </si>
  <si>
    <t>June 28</t>
  </si>
  <si>
    <t>August 2015 Revenue Month</t>
  </si>
  <si>
    <t>July 30</t>
  </si>
  <si>
    <t>August 20</t>
  </si>
  <si>
    <t>August 21</t>
  </si>
  <si>
    <t>July 31</t>
  </si>
  <si>
    <t>July 1</t>
  </si>
  <si>
    <t xml:space="preserve">Monday </t>
  </si>
  <si>
    <t>August 3</t>
  </si>
  <si>
    <t>July 2</t>
  </si>
  <si>
    <t>August 4</t>
  </si>
  <si>
    <t>July 6</t>
  </si>
  <si>
    <t>August 5</t>
  </si>
  <si>
    <t>July 7</t>
  </si>
  <si>
    <t>August 6</t>
  </si>
  <si>
    <t>July 8</t>
  </si>
  <si>
    <t>August 7</t>
  </si>
  <si>
    <t>July 9</t>
  </si>
  <si>
    <t>August 10</t>
  </si>
  <si>
    <t>July 10</t>
  </si>
  <si>
    <t>August 11</t>
  </si>
  <si>
    <t>July 13</t>
  </si>
  <si>
    <t>August 12</t>
  </si>
  <si>
    <t>July 14</t>
  </si>
  <si>
    <t>August 13</t>
  </si>
  <si>
    <t>July 15</t>
  </si>
  <si>
    <t>August 14</t>
  </si>
  <si>
    <t>July 16</t>
  </si>
  <si>
    <t>August 17</t>
  </si>
  <si>
    <t>July 17</t>
  </si>
  <si>
    <t>August 18</t>
  </si>
  <si>
    <t>July 20</t>
  </si>
  <si>
    <t>August 19</t>
  </si>
  <si>
    <t>July 21</t>
  </si>
  <si>
    <t>July 22</t>
  </si>
  <si>
    <t>July 23</t>
  </si>
  <si>
    <t>August 24</t>
  </si>
  <si>
    <t>July 24</t>
  </si>
  <si>
    <t>August 25</t>
  </si>
  <si>
    <t>July 27</t>
  </si>
  <si>
    <t>August 26</t>
  </si>
  <si>
    <t>July 28</t>
  </si>
  <si>
    <t>August 27</t>
  </si>
  <si>
    <t>July 29</t>
  </si>
  <si>
    <t>August Total:</t>
  </si>
  <si>
    <t>September 2015 Revenue Month</t>
  </si>
  <si>
    <t>August 28</t>
  </si>
  <si>
    <t>August 31</t>
  </si>
  <si>
    <t>September 1</t>
  </si>
  <si>
    <t>September 2</t>
  </si>
  <si>
    <t>September 3</t>
  </si>
  <si>
    <t xml:space="preserve">August 5 </t>
  </si>
  <si>
    <t>September 4</t>
  </si>
  <si>
    <t>September 8</t>
  </si>
  <si>
    <t xml:space="preserve">August 7 </t>
  </si>
  <si>
    <t>September 9</t>
  </si>
  <si>
    <t>September 10</t>
  </si>
  <si>
    <t>September 11</t>
  </si>
  <si>
    <t xml:space="preserve">August 12 </t>
  </si>
  <si>
    <t>September 14</t>
  </si>
  <si>
    <t>September 15</t>
  </si>
  <si>
    <t>September 16</t>
  </si>
  <si>
    <t>September 17</t>
  </si>
  <si>
    <t>September 18</t>
  </si>
  <si>
    <t>September 21</t>
  </si>
  <si>
    <t>September 22</t>
  </si>
  <si>
    <t>September 23</t>
  </si>
  <si>
    <t>September 24</t>
  </si>
  <si>
    <t>September 25</t>
  </si>
  <si>
    <t>September 28</t>
  </si>
  <si>
    <t>September Total:</t>
  </si>
  <si>
    <t>June and July factors are computed following the normal monthly implementation process on a bills rendered basis.  See Column (13) for factor actually used for customer billing.</t>
  </si>
  <si>
    <t>Actual Billing Factors reflect proration between new rates and pre-June 30 rates based upon billing days in each period.</t>
  </si>
  <si>
    <t>Pro Rated CRR-BRR</t>
  </si>
  <si>
    <t>Big Sandy CRR-BRR</t>
  </si>
  <si>
    <t>Mitchell CRR-BRR</t>
  </si>
  <si>
    <t>Original Retail Allocation%</t>
  </si>
  <si>
    <t>As Revised Retail Allocation%</t>
  </si>
  <si>
    <t xml:space="preserve"> Retail Environmental </t>
  </si>
  <si>
    <t xml:space="preserve">Retail Environmental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</si>
</sst>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0%"/>
    <numFmt numFmtId="167" formatCode="_(&quot;$&quot;* #,##0_);_(&quot;$&quot;* \(#,##0\);_(&quot;$&quot;* &quot;-&quot;??_);_(@_)"/>
    <numFmt numFmtId="168" formatCode="[$-409]mmm\-yy;@"/>
    <numFmt numFmtId="169" formatCode="[$-409]dddd\,\ mmmm\ dd\,\ yyyy"/>
    <numFmt numFmtId="170" formatCode="[$-409]h:mm:ss\ AM/PM"/>
    <numFmt numFmtId="171" formatCode="&quot;$&quot;#,##0.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0_);\(0\)"/>
    <numFmt numFmtId="176" formatCode="0.0000000"/>
    <numFmt numFmtId="177" formatCode="[$-409]d\-mmm;@"/>
    <numFmt numFmtId="178" formatCode="_(&quot;$&quot;* #,##0.0_);_(&quot;$&quot;* \(#,##0.0\);_(&quot;$&quot;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392">
      <alignment/>
      <protection/>
    </xf>
    <xf numFmtId="0" fontId="2" fillId="0" borderId="0" xfId="696" applyFont="1" applyAlignment="1">
      <alignment/>
    </xf>
    <xf numFmtId="0" fontId="3" fillId="0" borderId="9" xfId="741" applyAlignment="1">
      <alignment horizontal="center" wrapText="1"/>
      <protection/>
    </xf>
    <xf numFmtId="3" fontId="0" fillId="0" borderId="0" xfId="758" applyFont="1" applyAlignment="1">
      <alignment/>
    </xf>
    <xf numFmtId="0" fontId="0" fillId="0" borderId="0" xfId="704" applyFont="1" applyAlignment="1">
      <alignment/>
    </xf>
    <xf numFmtId="4" fontId="0" fillId="0" borderId="0" xfId="734" applyFont="1" applyAlignment="1">
      <alignment/>
    </xf>
    <xf numFmtId="0" fontId="43" fillId="0" borderId="0" xfId="0" applyFont="1" applyAlignment="1">
      <alignment/>
    </xf>
    <xf numFmtId="3" fontId="0" fillId="0" borderId="0" xfId="762" applyFont="1" applyAlignment="1">
      <alignment/>
    </xf>
    <xf numFmtId="0" fontId="0" fillId="0" borderId="0" xfId="708" applyFont="1" applyAlignment="1">
      <alignment/>
    </xf>
    <xf numFmtId="4" fontId="0" fillId="0" borderId="0" xfId="738" applyFont="1" applyAlignment="1">
      <alignment/>
    </xf>
    <xf numFmtId="0" fontId="4" fillId="0" borderId="0" xfId="406" applyAlignment="1">
      <alignment horizontal="center"/>
      <protection/>
    </xf>
    <xf numFmtId="0" fontId="4" fillId="0" borderId="0" xfId="406">
      <alignment/>
      <protection/>
    </xf>
    <xf numFmtId="0" fontId="5" fillId="0" borderId="0" xfId="406" applyFont="1" applyAlignment="1">
      <alignment horizontal="right"/>
      <protection/>
    </xf>
    <xf numFmtId="49" fontId="4" fillId="0" borderId="0" xfId="406" applyNumberFormat="1" applyAlignment="1">
      <alignment horizontal="center" wrapText="1"/>
      <protection/>
    </xf>
    <xf numFmtId="49" fontId="4" fillId="0" borderId="0" xfId="406" applyNumberFormat="1" applyAlignment="1">
      <alignment horizontal="left"/>
      <protection/>
    </xf>
    <xf numFmtId="49" fontId="4" fillId="0" borderId="0" xfId="406" applyNumberFormat="1" applyAlignment="1">
      <alignment horizontal="center"/>
      <protection/>
    </xf>
    <xf numFmtId="0" fontId="6" fillId="0" borderId="0" xfId="406" applyFont="1" applyAlignment="1">
      <alignment horizontal="center"/>
      <protection/>
    </xf>
    <xf numFmtId="0" fontId="4" fillId="0" borderId="11" xfId="406" applyBorder="1" applyAlignment="1">
      <alignment horizontal="center" wrapText="1"/>
      <protection/>
    </xf>
    <xf numFmtId="0" fontId="4" fillId="34" borderId="12" xfId="406" applyFill="1" applyBorder="1" applyAlignment="1">
      <alignment horizontal="center"/>
      <protection/>
    </xf>
    <xf numFmtId="0" fontId="4" fillId="0" borderId="12" xfId="406" applyFill="1" applyBorder="1" applyAlignment="1">
      <alignment horizontal="center"/>
      <protection/>
    </xf>
    <xf numFmtId="0" fontId="4" fillId="0" borderId="12" xfId="406" applyBorder="1" applyAlignment="1">
      <alignment horizontal="center"/>
      <protection/>
    </xf>
    <xf numFmtId="0" fontId="4" fillId="34" borderId="12" xfId="406" applyFont="1" applyFill="1" applyBorder="1" applyAlignment="1">
      <alignment horizontal="center"/>
      <protection/>
    </xf>
    <xf numFmtId="49" fontId="4" fillId="0" borderId="12" xfId="406" applyNumberFormat="1" applyBorder="1" applyAlignment="1">
      <alignment horizontal="center" wrapText="1"/>
      <protection/>
    </xf>
    <xf numFmtId="49" fontId="4" fillId="34" borderId="12" xfId="406" applyNumberFormat="1" applyFill="1" applyBorder="1" applyAlignment="1">
      <alignment horizontal="center" wrapText="1"/>
      <protection/>
    </xf>
    <xf numFmtId="49" fontId="4" fillId="0" borderId="13" xfId="406" applyNumberFormat="1" applyBorder="1" applyAlignment="1">
      <alignment horizontal="center" wrapText="1"/>
      <protection/>
    </xf>
    <xf numFmtId="0" fontId="4" fillId="0" borderId="14" xfId="406" applyBorder="1" applyAlignment="1">
      <alignment horizontal="center"/>
      <protection/>
    </xf>
    <xf numFmtId="0" fontId="4" fillId="34" borderId="15" xfId="406" applyFill="1" applyBorder="1" applyAlignment="1">
      <alignment horizontal="center"/>
      <protection/>
    </xf>
    <xf numFmtId="0" fontId="4" fillId="0" borderId="15" xfId="406" applyFill="1" applyBorder="1" applyAlignment="1">
      <alignment horizontal="center"/>
      <protection/>
    </xf>
    <xf numFmtId="0" fontId="4" fillId="0" borderId="15" xfId="406" applyBorder="1">
      <alignment/>
      <protection/>
    </xf>
    <xf numFmtId="0" fontId="4" fillId="34" borderId="15" xfId="406" applyFont="1" applyFill="1" applyBorder="1">
      <alignment/>
      <protection/>
    </xf>
    <xf numFmtId="164" fontId="4" fillId="0" borderId="16" xfId="406" applyNumberFormat="1" applyFont="1" applyBorder="1">
      <alignment/>
      <protection/>
    </xf>
    <xf numFmtId="0" fontId="4" fillId="34" borderId="15" xfId="406" applyFill="1" applyBorder="1">
      <alignment/>
      <protection/>
    </xf>
    <xf numFmtId="0" fontId="4" fillId="0" borderId="16" xfId="406" applyBorder="1">
      <alignment/>
      <protection/>
    </xf>
    <xf numFmtId="5" fontId="4" fillId="0" borderId="0" xfId="406" applyNumberFormat="1">
      <alignment/>
      <protection/>
    </xf>
    <xf numFmtId="37" fontId="4" fillId="0" borderId="17" xfId="406" applyNumberFormat="1" applyBorder="1" applyAlignment="1">
      <alignment horizontal="center"/>
      <protection/>
    </xf>
    <xf numFmtId="37" fontId="4" fillId="34" borderId="0" xfId="406" applyNumberFormat="1" applyFill="1" applyBorder="1" applyAlignment="1">
      <alignment horizontal="center"/>
      <protection/>
    </xf>
    <xf numFmtId="37" fontId="4" fillId="0" borderId="0" xfId="406" applyNumberFormat="1" applyFill="1" applyBorder="1" applyAlignment="1">
      <alignment horizontal="center"/>
      <protection/>
    </xf>
    <xf numFmtId="0" fontId="4" fillId="0" borderId="0" xfId="406" applyBorder="1">
      <alignment/>
      <protection/>
    </xf>
    <xf numFmtId="0" fontId="4" fillId="34" borderId="0" xfId="406" applyFont="1" applyFill="1" applyBorder="1">
      <alignment/>
      <protection/>
    </xf>
    <xf numFmtId="164" fontId="4" fillId="0" borderId="18" xfId="147" applyNumberFormat="1" applyFont="1" applyBorder="1" applyAlignment="1">
      <alignment wrapText="1"/>
    </xf>
    <xf numFmtId="5" fontId="4" fillId="34" borderId="0" xfId="406" applyNumberFormat="1" applyFont="1" applyFill="1" applyBorder="1">
      <alignment/>
      <protection/>
    </xf>
    <xf numFmtId="165" fontId="4" fillId="0" borderId="18" xfId="406" applyNumberFormat="1" applyFont="1" applyBorder="1">
      <alignment/>
      <protection/>
    </xf>
    <xf numFmtId="5" fontId="4" fillId="34" borderId="0" xfId="406" applyNumberFormat="1" applyFill="1" applyBorder="1">
      <alignment/>
      <protection/>
    </xf>
    <xf numFmtId="165" fontId="4" fillId="0" borderId="18" xfId="406" applyNumberFormat="1" applyBorder="1">
      <alignment/>
      <protection/>
    </xf>
    <xf numFmtId="0" fontId="4" fillId="0" borderId="0" xfId="406" applyFont="1">
      <alignment/>
      <protection/>
    </xf>
    <xf numFmtId="164" fontId="4" fillId="0" borderId="18" xfId="406" applyNumberFormat="1" applyFont="1" applyFill="1" applyBorder="1">
      <alignment/>
      <protection/>
    </xf>
    <xf numFmtId="164" fontId="4" fillId="0" borderId="18" xfId="406" applyNumberFormat="1" applyFont="1" applyFill="1" applyBorder="1" applyAlignment="1" quotePrefix="1">
      <alignment horizontal="right"/>
      <protection/>
    </xf>
    <xf numFmtId="5" fontId="4" fillId="34" borderId="0" xfId="406" applyNumberFormat="1" applyFill="1" applyBorder="1" applyAlignment="1">
      <alignment horizontal="right"/>
      <protection/>
    </xf>
    <xf numFmtId="166" fontId="4" fillId="0" borderId="18" xfId="406" applyNumberFormat="1" applyBorder="1" applyAlignment="1" quotePrefix="1">
      <alignment horizontal="right"/>
      <protection/>
    </xf>
    <xf numFmtId="49" fontId="4" fillId="0" borderId="0" xfId="406" applyNumberFormat="1" applyBorder="1" applyAlignment="1">
      <alignment wrapText="1"/>
      <protection/>
    </xf>
    <xf numFmtId="49" fontId="4" fillId="34" borderId="0" xfId="406" applyNumberFormat="1" applyFont="1" applyFill="1" applyBorder="1" applyAlignment="1">
      <alignment wrapText="1"/>
      <protection/>
    </xf>
    <xf numFmtId="5" fontId="45" fillId="0" borderId="0" xfId="406" applyNumberFormat="1" applyFont="1" applyFill="1" applyBorder="1">
      <alignment/>
      <protection/>
    </xf>
    <xf numFmtId="0" fontId="4" fillId="0" borderId="17" xfId="406" applyBorder="1" applyAlignment="1">
      <alignment horizontal="center"/>
      <protection/>
    </xf>
    <xf numFmtId="0" fontId="4" fillId="34" borderId="0" xfId="406" applyFill="1" applyBorder="1" applyAlignment="1">
      <alignment horizontal="center"/>
      <protection/>
    </xf>
    <xf numFmtId="0" fontId="4" fillId="0" borderId="0" xfId="406" applyFill="1" applyBorder="1" applyAlignment="1">
      <alignment horizontal="center"/>
      <protection/>
    </xf>
    <xf numFmtId="164" fontId="4" fillId="0" borderId="18" xfId="406" applyNumberFormat="1" applyFont="1" applyFill="1" applyBorder="1" applyAlignment="1">
      <alignment horizontal="right"/>
      <protection/>
    </xf>
    <xf numFmtId="0" fontId="4" fillId="34" borderId="0" xfId="406" applyFill="1" applyBorder="1">
      <alignment/>
      <protection/>
    </xf>
    <xf numFmtId="0" fontId="4" fillId="0" borderId="18" xfId="406" applyBorder="1">
      <alignment/>
      <protection/>
    </xf>
    <xf numFmtId="0" fontId="4" fillId="34" borderId="9" xfId="406" applyFill="1" applyBorder="1" applyAlignment="1">
      <alignment horizontal="center"/>
      <protection/>
    </xf>
    <xf numFmtId="37" fontId="4" fillId="0" borderId="19" xfId="406" applyNumberFormat="1" applyBorder="1" applyAlignment="1">
      <alignment horizontal="center"/>
      <protection/>
    </xf>
    <xf numFmtId="0" fontId="4" fillId="0" borderId="9" xfId="406" applyFill="1" applyBorder="1" applyAlignment="1">
      <alignment horizontal="center"/>
      <protection/>
    </xf>
    <xf numFmtId="0" fontId="4" fillId="0" borderId="9" xfId="406" applyBorder="1">
      <alignment/>
      <protection/>
    </xf>
    <xf numFmtId="0" fontId="4" fillId="34" borderId="9" xfId="406" applyFont="1" applyFill="1" applyBorder="1">
      <alignment/>
      <protection/>
    </xf>
    <xf numFmtId="5" fontId="4" fillId="0" borderId="20" xfId="406" applyNumberFormat="1" applyBorder="1">
      <alignment/>
      <protection/>
    </xf>
    <xf numFmtId="0" fontId="4" fillId="34" borderId="9" xfId="406" applyFill="1" applyBorder="1">
      <alignment/>
      <protection/>
    </xf>
    <xf numFmtId="0" fontId="4" fillId="0" borderId="20" xfId="406" applyBorder="1">
      <alignment/>
      <protection/>
    </xf>
    <xf numFmtId="0" fontId="4" fillId="0" borderId="0" xfId="406" applyFill="1" applyAlignment="1">
      <alignment horizontal="center"/>
      <protection/>
    </xf>
    <xf numFmtId="0" fontId="4" fillId="0" borderId="21" xfId="406" applyBorder="1" applyAlignment="1">
      <alignment horizontal="center" wrapText="1"/>
      <protection/>
    </xf>
    <xf numFmtId="49" fontId="4" fillId="35" borderId="12" xfId="406" applyNumberFormat="1" applyFill="1" applyBorder="1" applyAlignment="1">
      <alignment horizontal="center" wrapText="1"/>
      <protection/>
    </xf>
    <xf numFmtId="49" fontId="4" fillId="0" borderId="12" xfId="406" applyNumberFormat="1" applyBorder="1" applyAlignment="1">
      <alignment wrapText="1"/>
      <protection/>
    </xf>
    <xf numFmtId="49" fontId="4" fillId="34" borderId="12" xfId="406" applyNumberFormat="1" applyFont="1" applyFill="1" applyBorder="1" applyAlignment="1">
      <alignment wrapText="1"/>
      <protection/>
    </xf>
    <xf numFmtId="49" fontId="4" fillId="0" borderId="13" xfId="406" applyNumberFormat="1" applyFont="1" applyBorder="1" applyAlignment="1">
      <alignment horizontal="center" wrapText="1"/>
      <protection/>
    </xf>
    <xf numFmtId="0" fontId="4" fillId="0" borderId="0" xfId="406" applyFont="1" applyBorder="1">
      <alignment/>
      <protection/>
    </xf>
    <xf numFmtId="0" fontId="4" fillId="0" borderId="18" xfId="406" applyBorder="1" applyAlignment="1">
      <alignment horizontal="center"/>
      <protection/>
    </xf>
    <xf numFmtId="0" fontId="4" fillId="35" borderId="22" xfId="406" applyFill="1" applyBorder="1" applyAlignment="1">
      <alignment horizontal="center"/>
      <protection/>
    </xf>
    <xf numFmtId="0" fontId="4" fillId="0" borderId="15" xfId="406" applyBorder="1" applyAlignment="1">
      <alignment horizontal="center"/>
      <protection/>
    </xf>
    <xf numFmtId="5" fontId="8" fillId="3" borderId="18" xfId="406" applyNumberFormat="1" applyFont="1" applyFill="1" applyBorder="1">
      <alignment/>
      <protection/>
    </xf>
    <xf numFmtId="0" fontId="4" fillId="35" borderId="23" xfId="406" applyFill="1" applyBorder="1" applyAlignment="1">
      <alignment horizontal="center"/>
      <protection/>
    </xf>
    <xf numFmtId="0" fontId="4" fillId="0" borderId="0" xfId="406" applyBorder="1" applyAlignment="1">
      <alignment horizontal="center"/>
      <protection/>
    </xf>
    <xf numFmtId="5" fontId="8" fillId="0" borderId="18" xfId="406" applyNumberFormat="1" applyFont="1" applyBorder="1">
      <alignment/>
      <protection/>
    </xf>
    <xf numFmtId="167" fontId="4" fillId="0" borderId="0" xfId="406" applyNumberFormat="1" applyBorder="1">
      <alignment/>
      <protection/>
    </xf>
    <xf numFmtId="7" fontId="5" fillId="0" borderId="0" xfId="406" applyNumberFormat="1" applyFont="1" applyFill="1">
      <alignment/>
      <protection/>
    </xf>
    <xf numFmtId="7" fontId="5" fillId="0" borderId="0" xfId="406" applyNumberFormat="1" applyFont="1">
      <alignment/>
      <protection/>
    </xf>
    <xf numFmtId="4" fontId="4" fillId="0" borderId="0" xfId="406" applyNumberFormat="1">
      <alignment/>
      <protection/>
    </xf>
    <xf numFmtId="5" fontId="4" fillId="0" borderId="18" xfId="406" applyNumberFormat="1" applyBorder="1">
      <alignment/>
      <protection/>
    </xf>
    <xf numFmtId="0" fontId="4" fillId="0" borderId="20" xfId="406" applyBorder="1" applyAlignment="1">
      <alignment horizontal="center"/>
      <protection/>
    </xf>
    <xf numFmtId="0" fontId="4" fillId="35" borderId="24" xfId="406" applyFill="1" applyBorder="1" applyAlignment="1">
      <alignment horizontal="center"/>
      <protection/>
    </xf>
    <xf numFmtId="0" fontId="4" fillId="0" borderId="9" xfId="406" applyBorder="1" applyAlignment="1">
      <alignment horizontal="center"/>
      <protection/>
    </xf>
    <xf numFmtId="0" fontId="4" fillId="0" borderId="0" xfId="406" applyFont="1" applyAlignment="1">
      <alignment horizontal="center"/>
      <protection/>
    </xf>
    <xf numFmtId="0" fontId="4" fillId="0" borderId="14" xfId="406" applyBorder="1">
      <alignment/>
      <protection/>
    </xf>
    <xf numFmtId="165" fontId="4" fillId="0" borderId="17" xfId="406" applyNumberFormat="1" applyFont="1" applyBorder="1">
      <alignment/>
      <protection/>
    </xf>
    <xf numFmtId="165" fontId="4" fillId="0" borderId="17" xfId="406" applyNumberFormat="1" applyBorder="1">
      <alignment/>
      <protection/>
    </xf>
    <xf numFmtId="166" fontId="4" fillId="0" borderId="17" xfId="406" applyNumberFormat="1" applyBorder="1" applyAlignment="1" quotePrefix="1">
      <alignment horizontal="right"/>
      <protection/>
    </xf>
    <xf numFmtId="0" fontId="4" fillId="0" borderId="17" xfId="406" applyBorder="1">
      <alignment/>
      <protection/>
    </xf>
    <xf numFmtId="0" fontId="4" fillId="0" borderId="19" xfId="406" applyBorder="1">
      <alignment/>
      <protection/>
    </xf>
    <xf numFmtId="49" fontId="4" fillId="0" borderId="22" xfId="406" applyNumberFormat="1" applyBorder="1" applyAlignment="1">
      <alignment horizontal="center" wrapText="1"/>
      <protection/>
    </xf>
    <xf numFmtId="4" fontId="4" fillId="0" borderId="18" xfId="406" applyNumberFormat="1" applyBorder="1">
      <alignment/>
      <protection/>
    </xf>
    <xf numFmtId="4" fontId="4" fillId="0" borderId="18" xfId="406" applyNumberFormat="1" applyFont="1" applyBorder="1">
      <alignment/>
      <protection/>
    </xf>
    <xf numFmtId="164" fontId="4" fillId="0" borderId="18" xfId="0" applyNumberFormat="1" applyFont="1" applyFill="1" applyBorder="1" applyAlignment="1">
      <alignment/>
    </xf>
    <xf numFmtId="164" fontId="4" fillId="0" borderId="18" xfId="0" applyNumberFormat="1" applyFont="1" applyFill="1" applyBorder="1" applyAlignment="1" quotePrefix="1">
      <alignment horizontal="right"/>
    </xf>
    <xf numFmtId="5" fontId="45" fillId="0" borderId="0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left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394" applyAlignment="1">
      <alignment horizontal="center"/>
      <protection/>
    </xf>
    <xf numFmtId="0" fontId="4" fillId="0" borderId="0" xfId="394">
      <alignment/>
      <protection/>
    </xf>
    <xf numFmtId="0" fontId="4" fillId="0" borderId="0" xfId="394" applyAlignment="1">
      <alignment horizontal="right"/>
      <protection/>
    </xf>
    <xf numFmtId="49" fontId="4" fillId="0" borderId="0" xfId="394" applyNumberFormat="1" applyAlignment="1">
      <alignment horizontal="left"/>
      <protection/>
    </xf>
    <xf numFmtId="49" fontId="4" fillId="0" borderId="0" xfId="394" applyNumberFormat="1" applyAlignment="1">
      <alignment horizontal="center"/>
      <protection/>
    </xf>
    <xf numFmtId="0" fontId="6" fillId="0" borderId="0" xfId="394" applyFont="1" applyAlignment="1">
      <alignment horizontal="center"/>
      <protection/>
    </xf>
    <xf numFmtId="0" fontId="4" fillId="0" borderId="0" xfId="394" applyNumberFormat="1" applyAlignment="1">
      <alignment horizontal="center"/>
      <protection/>
    </xf>
    <xf numFmtId="49" fontId="4" fillId="0" borderId="0" xfId="394" applyNumberFormat="1" applyFont="1" applyAlignment="1">
      <alignment horizontal="left"/>
      <protection/>
    </xf>
    <xf numFmtId="49" fontId="7" fillId="0" borderId="0" xfId="394" applyNumberFormat="1" applyFont="1" applyAlignment="1">
      <alignment horizontal="center"/>
      <protection/>
    </xf>
    <xf numFmtId="0" fontId="4" fillId="0" borderId="11" xfId="394" applyBorder="1" applyAlignment="1">
      <alignment horizontal="center" wrapText="1"/>
      <protection/>
    </xf>
    <xf numFmtId="0" fontId="4" fillId="34" borderId="12" xfId="394" applyFill="1" applyBorder="1" applyAlignment="1">
      <alignment horizontal="center"/>
      <protection/>
    </xf>
    <xf numFmtId="0" fontId="4" fillId="0" borderId="12" xfId="394" applyBorder="1" applyAlignment="1">
      <alignment horizontal="center"/>
      <protection/>
    </xf>
    <xf numFmtId="0" fontId="4" fillId="34" borderId="12" xfId="394" applyFont="1" applyFill="1" applyBorder="1" applyAlignment="1">
      <alignment horizontal="center"/>
      <protection/>
    </xf>
    <xf numFmtId="49" fontId="4" fillId="0" borderId="12" xfId="394" applyNumberFormat="1" applyBorder="1" applyAlignment="1">
      <alignment horizontal="center" wrapText="1"/>
      <protection/>
    </xf>
    <xf numFmtId="49" fontId="4" fillId="34" borderId="12" xfId="394" applyNumberFormat="1" applyFill="1" applyBorder="1" applyAlignment="1">
      <alignment horizontal="center" wrapText="1"/>
      <protection/>
    </xf>
    <xf numFmtId="49" fontId="4" fillId="0" borderId="13" xfId="394" applyNumberFormat="1" applyBorder="1" applyAlignment="1">
      <alignment horizontal="center" wrapText="1"/>
      <protection/>
    </xf>
    <xf numFmtId="0" fontId="4" fillId="0" borderId="14" xfId="394" applyBorder="1" applyAlignment="1">
      <alignment horizontal="center"/>
      <protection/>
    </xf>
    <xf numFmtId="0" fontId="4" fillId="34" borderId="15" xfId="394" applyFill="1" applyBorder="1" applyAlignment="1">
      <alignment horizontal="center"/>
      <protection/>
    </xf>
    <xf numFmtId="0" fontId="4" fillId="0" borderId="15" xfId="394" applyBorder="1">
      <alignment/>
      <protection/>
    </xf>
    <xf numFmtId="0" fontId="4" fillId="34" borderId="15" xfId="394" applyFont="1" applyFill="1" applyBorder="1">
      <alignment/>
      <protection/>
    </xf>
    <xf numFmtId="0" fontId="4" fillId="34" borderId="15" xfId="394" applyFill="1" applyBorder="1">
      <alignment/>
      <protection/>
    </xf>
    <xf numFmtId="0" fontId="4" fillId="0" borderId="16" xfId="394" applyBorder="1">
      <alignment/>
      <protection/>
    </xf>
    <xf numFmtId="37" fontId="4" fillId="0" borderId="17" xfId="394" applyNumberFormat="1" applyBorder="1" applyAlignment="1">
      <alignment horizontal="center"/>
      <protection/>
    </xf>
    <xf numFmtId="37" fontId="4" fillId="34" borderId="0" xfId="394" applyNumberFormat="1" applyFill="1" applyBorder="1" applyAlignment="1">
      <alignment horizontal="center"/>
      <protection/>
    </xf>
    <xf numFmtId="0" fontId="4" fillId="0" borderId="0" xfId="394" applyBorder="1">
      <alignment/>
      <protection/>
    </xf>
    <xf numFmtId="0" fontId="4" fillId="34" borderId="0" xfId="394" applyFont="1" applyFill="1" applyBorder="1">
      <alignment/>
      <protection/>
    </xf>
    <xf numFmtId="43" fontId="3" fillId="0" borderId="0" xfId="44" applyFont="1" applyAlignment="1">
      <alignment wrapText="1"/>
    </xf>
    <xf numFmtId="5" fontId="4" fillId="34" borderId="0" xfId="394" applyNumberFormat="1" applyFill="1" applyBorder="1">
      <alignment/>
      <protection/>
    </xf>
    <xf numFmtId="165" fontId="5" fillId="0" borderId="18" xfId="394" applyNumberFormat="1" applyFont="1" applyBorder="1">
      <alignment/>
      <protection/>
    </xf>
    <xf numFmtId="165" fontId="4" fillId="0" borderId="18" xfId="394" applyNumberFormat="1" applyBorder="1">
      <alignment/>
      <protection/>
    </xf>
    <xf numFmtId="5" fontId="4" fillId="10" borderId="0" xfId="394" applyNumberFormat="1" applyFont="1" applyFill="1" applyBorder="1">
      <alignment/>
      <protection/>
    </xf>
    <xf numFmtId="166" fontId="4" fillId="10" borderId="0" xfId="394" applyNumberFormat="1" applyFill="1" applyBorder="1" applyAlignment="1" quotePrefix="1">
      <alignment horizontal="right"/>
      <protection/>
    </xf>
    <xf numFmtId="5" fontId="4" fillId="34" borderId="0" xfId="394" applyNumberFormat="1" applyFill="1" applyBorder="1" applyAlignment="1">
      <alignment horizontal="right"/>
      <protection/>
    </xf>
    <xf numFmtId="166" fontId="4" fillId="0" borderId="18" xfId="394" applyNumberFormat="1" applyBorder="1" applyAlignment="1" quotePrefix="1">
      <alignment horizontal="right"/>
      <protection/>
    </xf>
    <xf numFmtId="49" fontId="4" fillId="0" borderId="0" xfId="394" applyNumberFormat="1" applyBorder="1" applyAlignment="1">
      <alignment wrapText="1"/>
      <protection/>
    </xf>
    <xf numFmtId="49" fontId="4" fillId="34" borderId="0" xfId="394" applyNumberFormat="1" applyFont="1" applyFill="1" applyBorder="1" applyAlignment="1">
      <alignment wrapText="1"/>
      <protection/>
    </xf>
    <xf numFmtId="5" fontId="4" fillId="10" borderId="0" xfId="394" applyNumberFormat="1" applyFill="1" applyBorder="1">
      <alignment/>
      <protection/>
    </xf>
    <xf numFmtId="0" fontId="4" fillId="0" borderId="17" xfId="394" applyBorder="1" applyAlignment="1">
      <alignment horizontal="center"/>
      <protection/>
    </xf>
    <xf numFmtId="0" fontId="4" fillId="34" borderId="0" xfId="394" applyFill="1" applyBorder="1" applyAlignment="1">
      <alignment horizontal="center"/>
      <protection/>
    </xf>
    <xf numFmtId="166" fontId="4" fillId="10" borderId="0" xfId="394" applyNumberFormat="1" applyFill="1" applyBorder="1" applyAlignment="1">
      <alignment horizontal="right"/>
      <protection/>
    </xf>
    <xf numFmtId="0" fontId="4" fillId="34" borderId="0" xfId="394" applyFill="1" applyBorder="1">
      <alignment/>
      <protection/>
    </xf>
    <xf numFmtId="0" fontId="4" fillId="0" borderId="18" xfId="394" applyBorder="1">
      <alignment/>
      <protection/>
    </xf>
    <xf numFmtId="0" fontId="4" fillId="34" borderId="9" xfId="394" applyFill="1" applyBorder="1" applyAlignment="1">
      <alignment horizontal="center"/>
      <protection/>
    </xf>
    <xf numFmtId="37" fontId="4" fillId="0" borderId="19" xfId="394" applyNumberFormat="1" applyBorder="1" applyAlignment="1">
      <alignment horizontal="center"/>
      <protection/>
    </xf>
    <xf numFmtId="0" fontId="4" fillId="0" borderId="9" xfId="394" applyBorder="1">
      <alignment/>
      <protection/>
    </xf>
    <xf numFmtId="0" fontId="4" fillId="34" borderId="9" xfId="394" applyFont="1" applyFill="1" applyBorder="1">
      <alignment/>
      <protection/>
    </xf>
    <xf numFmtId="5" fontId="4" fillId="0" borderId="9" xfId="394" applyNumberFormat="1" applyBorder="1">
      <alignment/>
      <protection/>
    </xf>
    <xf numFmtId="0" fontId="4" fillId="34" borderId="9" xfId="394" applyFill="1" applyBorder="1">
      <alignment/>
      <protection/>
    </xf>
    <xf numFmtId="0" fontId="4" fillId="0" borderId="20" xfId="394" applyBorder="1">
      <alignment/>
      <protection/>
    </xf>
    <xf numFmtId="0" fontId="4" fillId="0" borderId="0" xfId="394" applyFont="1">
      <alignment/>
      <protection/>
    </xf>
    <xf numFmtId="49" fontId="4" fillId="0" borderId="12" xfId="394" applyNumberFormat="1" applyBorder="1" applyAlignment="1">
      <alignment wrapText="1"/>
      <protection/>
    </xf>
    <xf numFmtId="49" fontId="4" fillId="34" borderId="12" xfId="394" applyNumberFormat="1" applyFill="1" applyBorder="1" applyAlignment="1">
      <alignment wrapText="1"/>
      <protection/>
    </xf>
    <xf numFmtId="49" fontId="4" fillId="0" borderId="21" xfId="394" applyNumberFormat="1" applyBorder="1" applyAlignment="1">
      <alignment horizontal="center" wrapText="1"/>
      <protection/>
    </xf>
    <xf numFmtId="0" fontId="4" fillId="0" borderId="16" xfId="394" applyBorder="1" applyAlignment="1">
      <alignment horizontal="center"/>
      <protection/>
    </xf>
    <xf numFmtId="0" fontId="4" fillId="0" borderId="22" xfId="394" applyBorder="1" applyAlignment="1">
      <alignment horizontal="center"/>
      <protection/>
    </xf>
    <xf numFmtId="0" fontId="4" fillId="0" borderId="18" xfId="394" applyBorder="1" applyAlignment="1">
      <alignment horizontal="center"/>
      <protection/>
    </xf>
    <xf numFmtId="0" fontId="4" fillId="0" borderId="23" xfId="394" applyBorder="1" applyAlignment="1">
      <alignment horizontal="center"/>
      <protection/>
    </xf>
    <xf numFmtId="44" fontId="4" fillId="0" borderId="18" xfId="368" applyFont="1" applyFill="1" applyBorder="1" applyAlignment="1">
      <alignment/>
    </xf>
    <xf numFmtId="0" fontId="4" fillId="0" borderId="0" xfId="394" applyFill="1">
      <alignment/>
      <protection/>
    </xf>
    <xf numFmtId="0" fontId="4" fillId="0" borderId="18" xfId="394" applyFont="1" applyBorder="1">
      <alignment/>
      <protection/>
    </xf>
    <xf numFmtId="0" fontId="4" fillId="0" borderId="0" xfId="394" applyFont="1" applyBorder="1">
      <alignment/>
      <protection/>
    </xf>
    <xf numFmtId="5" fontId="4" fillId="0" borderId="18" xfId="394" applyNumberFormat="1" applyFont="1" applyBorder="1">
      <alignment/>
      <protection/>
    </xf>
    <xf numFmtId="44" fontId="4" fillId="0" borderId="18" xfId="394" applyNumberFormat="1" applyFont="1" applyBorder="1">
      <alignment/>
      <protection/>
    </xf>
    <xf numFmtId="0" fontId="4" fillId="0" borderId="20" xfId="394" applyBorder="1" applyAlignment="1">
      <alignment horizontal="center"/>
      <protection/>
    </xf>
    <xf numFmtId="0" fontId="4" fillId="0" borderId="24" xfId="394" applyBorder="1" applyAlignment="1">
      <alignment horizontal="center"/>
      <protection/>
    </xf>
    <xf numFmtId="0" fontId="5" fillId="0" borderId="0" xfId="394" applyFont="1">
      <alignment/>
      <protection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432" applyNumberFormat="1" applyFont="1" applyAlignment="1">
      <alignment horizontal="center"/>
    </xf>
    <xf numFmtId="0" fontId="2" fillId="0" borderId="0" xfId="697" applyFont="1" applyAlignment="1">
      <alignment/>
    </xf>
    <xf numFmtId="0" fontId="3" fillId="0" borderId="9" xfId="742" applyAlignment="1">
      <alignment horizontal="center" wrapText="1"/>
      <protection/>
    </xf>
    <xf numFmtId="3" fontId="2" fillId="0" borderId="0" xfId="751" applyFont="1" applyAlignment="1">
      <alignment/>
    </xf>
    <xf numFmtId="4" fontId="2" fillId="0" borderId="0" xfId="727" applyFont="1" applyAlignment="1">
      <alignment/>
    </xf>
    <xf numFmtId="168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167" fontId="0" fillId="0" borderId="0" xfId="366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7" fontId="43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/>
    </xf>
    <xf numFmtId="0" fontId="4" fillId="0" borderId="0" xfId="406" applyFill="1">
      <alignment/>
      <protection/>
    </xf>
    <xf numFmtId="0" fontId="4" fillId="0" borderId="0" xfId="406" applyFill="1" applyBorder="1">
      <alignment/>
      <protection/>
    </xf>
    <xf numFmtId="49" fontId="4" fillId="0" borderId="0" xfId="406" applyNumberFormat="1" applyFont="1" applyAlignment="1">
      <alignment horizontal="center" wrapText="1"/>
      <protection/>
    </xf>
    <xf numFmtId="49" fontId="4" fillId="0" borderId="0" xfId="406" applyNumberFormat="1" applyFont="1" applyFill="1" applyAlignment="1">
      <alignment horizontal="center" wrapText="1"/>
      <protection/>
    </xf>
    <xf numFmtId="0" fontId="4" fillId="0" borderId="0" xfId="406" applyFont="1" applyAlignment="1">
      <alignment horizontal="center" wrapText="1"/>
      <protection/>
    </xf>
    <xf numFmtId="0" fontId="4" fillId="0" borderId="0" xfId="406" applyFill="1" applyBorder="1" applyAlignment="1">
      <alignment horizontal="center" wrapText="1"/>
      <protection/>
    </xf>
    <xf numFmtId="175" fontId="5" fillId="0" borderId="0" xfId="406" applyNumberFormat="1" applyFont="1">
      <alignment/>
      <protection/>
    </xf>
    <xf numFmtId="175" fontId="5" fillId="0" borderId="0" xfId="406" applyNumberFormat="1" applyFont="1" applyAlignment="1">
      <alignment horizontal="center"/>
      <protection/>
    </xf>
    <xf numFmtId="175" fontId="5" fillId="0" borderId="0" xfId="406" applyNumberFormat="1" applyFont="1" applyAlignment="1">
      <alignment horizontal="center" wrapText="1"/>
      <protection/>
    </xf>
    <xf numFmtId="175" fontId="5" fillId="0" borderId="0" xfId="406" applyNumberFormat="1" applyFont="1" applyFill="1" applyAlignment="1">
      <alignment horizontal="center" wrapText="1"/>
      <protection/>
    </xf>
    <xf numFmtId="175" fontId="5" fillId="0" borderId="0" xfId="406" applyNumberFormat="1" applyFont="1" applyFill="1" applyBorder="1">
      <alignment/>
      <protection/>
    </xf>
    <xf numFmtId="175" fontId="5" fillId="0" borderId="0" xfId="406" applyNumberFormat="1" applyFont="1" applyFill="1">
      <alignment/>
      <protection/>
    </xf>
    <xf numFmtId="0" fontId="4" fillId="0" borderId="0" xfId="406" applyFont="1" applyBorder="1" applyAlignment="1" quotePrefix="1">
      <alignment horizontal="center"/>
      <protection/>
    </xf>
    <xf numFmtId="0" fontId="4" fillId="0" borderId="0" xfId="406" applyFont="1" applyBorder="1">
      <alignment/>
      <protection/>
    </xf>
    <xf numFmtId="49" fontId="4" fillId="0" borderId="0" xfId="406" applyNumberFormat="1" applyFont="1" applyBorder="1" applyAlignment="1">
      <alignment horizontal="right" wrapText="1"/>
      <protection/>
    </xf>
    <xf numFmtId="49" fontId="4" fillId="0" borderId="0" xfId="406" applyNumberFormat="1" applyFont="1" applyFill="1" applyBorder="1" applyAlignment="1">
      <alignment horizontal="right" wrapText="1"/>
      <protection/>
    </xf>
    <xf numFmtId="37" fontId="4" fillId="0" borderId="0" xfId="406" applyNumberFormat="1" applyFont="1" applyBorder="1" applyAlignment="1">
      <alignment horizontal="center"/>
      <protection/>
    </xf>
    <xf numFmtId="37" fontId="4" fillId="0" borderId="0" xfId="406" applyNumberFormat="1" applyFont="1" applyFill="1" applyBorder="1" applyAlignment="1">
      <alignment horizontal="center"/>
      <protection/>
    </xf>
    <xf numFmtId="176" fontId="4" fillId="0" borderId="0" xfId="406" applyNumberFormat="1">
      <alignment/>
      <protection/>
    </xf>
    <xf numFmtId="0" fontId="4" fillId="0" borderId="0" xfId="406" applyFont="1" applyBorder="1" applyAlignment="1">
      <alignment horizontal="center"/>
      <protection/>
    </xf>
    <xf numFmtId="0" fontId="4" fillId="0" borderId="25" xfId="406" applyFont="1" applyBorder="1" applyAlignment="1">
      <alignment horizontal="center"/>
      <protection/>
    </xf>
    <xf numFmtId="0" fontId="4" fillId="0" borderId="25" xfId="406" applyFont="1" applyBorder="1">
      <alignment/>
      <protection/>
    </xf>
    <xf numFmtId="49" fontId="4" fillId="0" borderId="25" xfId="406" applyNumberFormat="1" applyFont="1" applyBorder="1" applyAlignment="1">
      <alignment horizontal="right" wrapText="1"/>
      <protection/>
    </xf>
    <xf numFmtId="49" fontId="4" fillId="0" borderId="25" xfId="406" applyNumberFormat="1" applyFont="1" applyFill="1" applyBorder="1" applyAlignment="1">
      <alignment horizontal="right" wrapText="1"/>
      <protection/>
    </xf>
    <xf numFmtId="0" fontId="4" fillId="0" borderId="25" xfId="406" applyBorder="1">
      <alignment/>
      <protection/>
    </xf>
    <xf numFmtId="176" fontId="4" fillId="0" borderId="25" xfId="406" applyNumberFormat="1" applyBorder="1">
      <alignment/>
      <protection/>
    </xf>
    <xf numFmtId="0" fontId="4" fillId="0" borderId="26" xfId="406" applyFont="1" applyBorder="1" applyAlignment="1" quotePrefix="1">
      <alignment horizontal="center"/>
      <protection/>
    </xf>
    <xf numFmtId="0" fontId="4" fillId="0" borderId="26" xfId="406" applyFont="1" applyBorder="1">
      <alignment/>
      <protection/>
    </xf>
    <xf numFmtId="49" fontId="4" fillId="0" borderId="26" xfId="406" applyNumberFormat="1" applyFont="1" applyBorder="1" applyAlignment="1">
      <alignment horizontal="right" wrapText="1"/>
      <protection/>
    </xf>
    <xf numFmtId="49" fontId="4" fillId="0" borderId="26" xfId="406" applyNumberFormat="1" applyFont="1" applyFill="1" applyBorder="1" applyAlignment="1">
      <alignment horizontal="right" wrapText="1"/>
      <protection/>
    </xf>
    <xf numFmtId="177" fontId="4" fillId="0" borderId="0" xfId="406" applyNumberFormat="1" applyFont="1" applyBorder="1" applyAlignment="1">
      <alignment horizontal="right" wrapText="1"/>
      <protection/>
    </xf>
    <xf numFmtId="0" fontId="4" fillId="0" borderId="26" xfId="406" applyBorder="1">
      <alignment/>
      <protection/>
    </xf>
    <xf numFmtId="49" fontId="46" fillId="36" borderId="0" xfId="406" applyNumberFormat="1" applyFont="1" applyFill="1" applyAlignment="1">
      <alignment horizontal="center"/>
      <protection/>
    </xf>
    <xf numFmtId="164" fontId="4" fillId="0" borderId="0" xfId="406" applyNumberFormat="1">
      <alignment/>
      <protection/>
    </xf>
    <xf numFmtId="0" fontId="4" fillId="6" borderId="0" xfId="406" applyFont="1" applyFill="1" applyBorder="1" applyAlignment="1">
      <alignment horizontal="center"/>
      <protection/>
    </xf>
    <xf numFmtId="0" fontId="4" fillId="6" borderId="0" xfId="406" applyFont="1" applyFill="1" applyBorder="1">
      <alignment/>
      <protection/>
    </xf>
    <xf numFmtId="49" fontId="4" fillId="6" borderId="0" xfId="406" applyNumberFormat="1" applyFont="1" applyFill="1" applyBorder="1" applyAlignment="1">
      <alignment horizontal="right" wrapText="1"/>
      <protection/>
    </xf>
    <xf numFmtId="177" fontId="4" fillId="6" borderId="0" xfId="406" applyNumberFormat="1" applyFont="1" applyFill="1" applyBorder="1" applyAlignment="1">
      <alignment horizontal="right" wrapText="1"/>
      <protection/>
    </xf>
    <xf numFmtId="37" fontId="4" fillId="6" borderId="0" xfId="406" applyNumberFormat="1" applyFont="1" applyFill="1" applyBorder="1" applyAlignment="1">
      <alignment horizontal="center"/>
      <protection/>
    </xf>
    <xf numFmtId="0" fontId="4" fillId="6" borderId="0" xfId="406" applyFill="1" applyBorder="1">
      <alignment/>
      <protection/>
    </xf>
    <xf numFmtId="49" fontId="46" fillId="6" borderId="0" xfId="406" applyNumberFormat="1" applyFont="1" applyFill="1" applyAlignment="1">
      <alignment horizontal="center"/>
      <protection/>
    </xf>
    <xf numFmtId="0" fontId="4" fillId="6" borderId="0" xfId="406" applyFill="1">
      <alignment/>
      <protection/>
    </xf>
    <xf numFmtId="164" fontId="4" fillId="12" borderId="0" xfId="406" applyNumberFormat="1" applyFill="1">
      <alignment/>
      <protection/>
    </xf>
    <xf numFmtId="0" fontId="5" fillId="0" borderId="0" xfId="406" applyFont="1" applyFill="1" applyBorder="1">
      <alignment/>
      <protection/>
    </xf>
    <xf numFmtId="164" fontId="4" fillId="12" borderId="25" xfId="406" applyNumberFormat="1" applyFill="1" applyBorder="1">
      <alignment/>
      <protection/>
    </xf>
    <xf numFmtId="164" fontId="4" fillId="12" borderId="0" xfId="406" applyNumberFormat="1" applyFill="1" applyBorder="1">
      <alignment/>
      <protection/>
    </xf>
    <xf numFmtId="171" fontId="5" fillId="0" borderId="0" xfId="406" applyNumberFormat="1" applyFont="1" applyFill="1" applyBorder="1">
      <alignment/>
      <protection/>
    </xf>
    <xf numFmtId="0" fontId="4" fillId="6" borderId="26" xfId="406" applyFont="1" applyFill="1" applyBorder="1" applyAlignment="1" quotePrefix="1">
      <alignment horizontal="center"/>
      <protection/>
    </xf>
    <xf numFmtId="0" fontId="4" fillId="6" borderId="26" xfId="406" applyFont="1" applyFill="1" applyBorder="1">
      <alignment/>
      <protection/>
    </xf>
    <xf numFmtId="49" fontId="4" fillId="6" borderId="26" xfId="406" applyNumberFormat="1" applyFont="1" applyFill="1" applyBorder="1" applyAlignment="1">
      <alignment horizontal="right" wrapText="1"/>
      <protection/>
    </xf>
    <xf numFmtId="177" fontId="4" fillId="6" borderId="26" xfId="406" applyNumberFormat="1" applyFont="1" applyFill="1" applyBorder="1" applyAlignment="1">
      <alignment horizontal="right" wrapText="1"/>
      <protection/>
    </xf>
    <xf numFmtId="37" fontId="4" fillId="6" borderId="26" xfId="406" applyNumberFormat="1" applyFont="1" applyFill="1" applyBorder="1" applyAlignment="1">
      <alignment horizontal="center"/>
      <protection/>
    </xf>
    <xf numFmtId="0" fontId="4" fillId="6" borderId="26" xfId="406" applyFill="1" applyBorder="1">
      <alignment/>
      <protection/>
    </xf>
    <xf numFmtId="49" fontId="46" fillId="6" borderId="26" xfId="406" applyNumberFormat="1" applyFont="1" applyFill="1" applyBorder="1" applyAlignment="1">
      <alignment horizontal="center"/>
      <protection/>
    </xf>
    <xf numFmtId="176" fontId="4" fillId="12" borderId="26" xfId="406" applyNumberFormat="1" applyFill="1" applyBorder="1">
      <alignment/>
      <protection/>
    </xf>
    <xf numFmtId="0" fontId="4" fillId="0" borderId="26" xfId="406" applyFill="1" applyBorder="1">
      <alignment/>
      <protection/>
    </xf>
    <xf numFmtId="7" fontId="4" fillId="0" borderId="26" xfId="406" applyNumberFormat="1" applyBorder="1">
      <alignment/>
      <protection/>
    </xf>
    <xf numFmtId="176" fontId="4" fillId="0" borderId="26" xfId="406" applyNumberFormat="1" applyFill="1" applyBorder="1">
      <alignment/>
      <protection/>
    </xf>
    <xf numFmtId="176" fontId="4" fillId="12" borderId="0" xfId="406" applyNumberFormat="1" applyFill="1" applyBorder="1">
      <alignment/>
      <protection/>
    </xf>
    <xf numFmtId="37" fontId="4" fillId="4" borderId="0" xfId="406" applyNumberFormat="1" applyFont="1" applyFill="1" applyBorder="1" applyAlignment="1">
      <alignment horizontal="center"/>
      <protection/>
    </xf>
    <xf numFmtId="49" fontId="46" fillId="0" borderId="0" xfId="406" applyNumberFormat="1" applyFont="1" applyAlignment="1">
      <alignment horizontal="center"/>
      <protection/>
    </xf>
    <xf numFmtId="164" fontId="4" fillId="0" borderId="0" xfId="406" applyNumberFormat="1" applyFill="1" applyBorder="1">
      <alignment/>
      <protection/>
    </xf>
    <xf numFmtId="176" fontId="4" fillId="0" borderId="0" xfId="406" applyNumberFormat="1" applyFill="1" applyBorder="1">
      <alignment/>
      <protection/>
    </xf>
    <xf numFmtId="0" fontId="4" fillId="0" borderId="0" xfId="406" applyFont="1" applyFill="1" applyBorder="1">
      <alignment/>
      <protection/>
    </xf>
    <xf numFmtId="177" fontId="4" fillId="0" borderId="25" xfId="406" applyNumberFormat="1" applyFont="1" applyBorder="1" applyAlignment="1">
      <alignment horizontal="right" wrapText="1"/>
      <protection/>
    </xf>
    <xf numFmtId="37" fontId="4" fillId="0" borderId="25" xfId="406" applyNumberFormat="1" applyFont="1" applyBorder="1" applyAlignment="1">
      <alignment horizontal="center"/>
      <protection/>
    </xf>
    <xf numFmtId="37" fontId="4" fillId="4" borderId="25" xfId="406" applyNumberFormat="1" applyFont="1" applyFill="1" applyBorder="1" applyAlignment="1">
      <alignment horizontal="center"/>
      <protection/>
    </xf>
    <xf numFmtId="49" fontId="46" fillId="0" borderId="25" xfId="406" applyNumberFormat="1" applyFont="1" applyBorder="1" applyAlignment="1">
      <alignment horizontal="center"/>
      <protection/>
    </xf>
    <xf numFmtId="164" fontId="4" fillId="0" borderId="25" xfId="406" applyNumberFormat="1" applyFill="1" applyBorder="1">
      <alignment/>
      <protection/>
    </xf>
    <xf numFmtId="176" fontId="4" fillId="0" borderId="25" xfId="406" applyNumberFormat="1" applyFill="1" applyBorder="1">
      <alignment/>
      <protection/>
    </xf>
    <xf numFmtId="0" fontId="4" fillId="0" borderId="25" xfId="406" applyFill="1" applyBorder="1">
      <alignment/>
      <protection/>
    </xf>
    <xf numFmtId="0" fontId="5" fillId="0" borderId="25" xfId="406" applyFont="1" applyFill="1" applyBorder="1">
      <alignment/>
      <protection/>
    </xf>
    <xf numFmtId="171" fontId="5" fillId="0" borderId="25" xfId="406" applyNumberFormat="1" applyFont="1" applyFill="1" applyBorder="1">
      <alignment/>
      <protection/>
    </xf>
    <xf numFmtId="0" fontId="5" fillId="0" borderId="0" xfId="406" applyFont="1" quotePrefix="1">
      <alignment/>
      <protection/>
    </xf>
    <xf numFmtId="0" fontId="4" fillId="0" borderId="0" xfId="406" applyFont="1">
      <alignment/>
      <protection/>
    </xf>
    <xf numFmtId="164" fontId="4" fillId="37" borderId="0" xfId="406" applyNumberFormat="1" applyFill="1">
      <alignment/>
      <protection/>
    </xf>
    <xf numFmtId="164" fontId="4" fillId="37" borderId="0" xfId="406" applyNumberFormat="1" applyFill="1" applyBorder="1">
      <alignment/>
      <protection/>
    </xf>
    <xf numFmtId="0" fontId="0" fillId="0" borderId="0" xfId="406" applyFont="1" applyAlignment="1">
      <alignment horizontal="center" wrapText="1"/>
      <protection/>
    </xf>
    <xf numFmtId="164" fontId="4" fillId="37" borderId="25" xfId="406" applyNumberFormat="1" applyFill="1" applyBorder="1">
      <alignment/>
      <protection/>
    </xf>
    <xf numFmtId="0" fontId="43" fillId="0" borderId="0" xfId="0" applyFont="1" applyAlignment="1">
      <alignment horizontal="center" wrapText="1"/>
    </xf>
    <xf numFmtId="0" fontId="5" fillId="0" borderId="0" xfId="394" applyFont="1" applyAlignment="1">
      <alignment horizontal="center" wrapText="1"/>
      <protection/>
    </xf>
    <xf numFmtId="49" fontId="5" fillId="0" borderId="0" xfId="406" applyNumberFormat="1" applyFont="1" applyAlignment="1">
      <alignment horizontal="center"/>
      <protection/>
    </xf>
    <xf numFmtId="49" fontId="5" fillId="0" borderId="0" xfId="406" applyNumberFormat="1" applyFont="1" applyAlignment="1">
      <alignment horizontal="center" wrapText="1"/>
      <protection/>
    </xf>
    <xf numFmtId="0" fontId="4" fillId="0" borderId="0" xfId="406" applyFont="1" applyBorder="1" applyAlignment="1">
      <alignment horizontal="center" vertical="center" textRotation="90"/>
      <protection/>
    </xf>
    <xf numFmtId="0" fontId="4" fillId="0" borderId="0" xfId="406" applyBorder="1" applyAlignment="1">
      <alignment horizontal="center" vertical="center" textRotation="90"/>
      <protection/>
    </xf>
    <xf numFmtId="0" fontId="4" fillId="0" borderId="25" xfId="406" applyBorder="1" applyAlignment="1">
      <alignment horizontal="center" vertical="center" textRotation="90"/>
      <protection/>
    </xf>
    <xf numFmtId="0" fontId="4" fillId="0" borderId="26" xfId="406" applyBorder="1" applyAlignment="1">
      <alignment horizontal="center" vertical="center" textRotation="90"/>
      <protection/>
    </xf>
    <xf numFmtId="49" fontId="4" fillId="0" borderId="0" xfId="406" applyNumberFormat="1" applyAlignment="1">
      <alignment horizontal="center" wrapText="1"/>
      <protection/>
    </xf>
    <xf numFmtId="49" fontId="4" fillId="0" borderId="0" xfId="406" applyNumberFormat="1" applyAlignment="1">
      <alignment horizontal="center"/>
      <protection/>
    </xf>
    <xf numFmtId="49" fontId="4" fillId="0" borderId="0" xfId="406" applyNumberFormat="1" applyFont="1" applyAlignment="1">
      <alignment horizontal="center"/>
      <protection/>
    </xf>
    <xf numFmtId="0" fontId="4" fillId="0" borderId="0" xfId="406" applyNumberFormat="1" applyAlignment="1">
      <alignment horizontal="center"/>
      <protection/>
    </xf>
    <xf numFmtId="49" fontId="7" fillId="0" borderId="0" xfId="406" applyNumberFormat="1" applyFont="1" applyAlignment="1">
      <alignment horizontal="center"/>
      <protection/>
    </xf>
  </cellXfs>
  <cellStyles count="7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0" xfId="165"/>
    <cellStyle name="Comma 20 2" xfId="166"/>
    <cellStyle name="Comma 20 3" xfId="167"/>
    <cellStyle name="Comma 20 3 2" xfId="168"/>
    <cellStyle name="Comma 21" xfId="169"/>
    <cellStyle name="Comma 21 2" xfId="170"/>
    <cellStyle name="Comma 21 3" xfId="171"/>
    <cellStyle name="Comma 21 3 2" xfId="172"/>
    <cellStyle name="Comma 22" xfId="173"/>
    <cellStyle name="Comma 22 2" xfId="174"/>
    <cellStyle name="Comma 22 3" xfId="175"/>
    <cellStyle name="Comma 22 3 2" xfId="176"/>
    <cellStyle name="Comma 23" xfId="177"/>
    <cellStyle name="Comma 23 2" xfId="178"/>
    <cellStyle name="Comma 23 3" xfId="179"/>
    <cellStyle name="Comma 23 3 2" xfId="180"/>
    <cellStyle name="Comma 24" xfId="181"/>
    <cellStyle name="Comma 24 2" xfId="182"/>
    <cellStyle name="Comma 24 3" xfId="183"/>
    <cellStyle name="Comma 24 3 2" xfId="184"/>
    <cellStyle name="Comma 25" xfId="185"/>
    <cellStyle name="Comma 25 2" xfId="186"/>
    <cellStyle name="Comma 25 3" xfId="187"/>
    <cellStyle name="Comma 25 3 2" xfId="188"/>
    <cellStyle name="Comma 26" xfId="189"/>
    <cellStyle name="Comma 26 2" xfId="190"/>
    <cellStyle name="Comma 26 3" xfId="191"/>
    <cellStyle name="Comma 26 3 2" xfId="192"/>
    <cellStyle name="Comma 27" xfId="193"/>
    <cellStyle name="Comma 27 2" xfId="194"/>
    <cellStyle name="Comma 27 3" xfId="195"/>
    <cellStyle name="Comma 27 3 2" xfId="196"/>
    <cellStyle name="Comma 28" xfId="197"/>
    <cellStyle name="Comma 28 2" xfId="198"/>
    <cellStyle name="Comma 29" xfId="199"/>
    <cellStyle name="Comma 29 2" xfId="200"/>
    <cellStyle name="Comma 3" xfId="201"/>
    <cellStyle name="Comma 3 2" xfId="202"/>
    <cellStyle name="Comma 3 3" xfId="203"/>
    <cellStyle name="Comma 30" xfId="204"/>
    <cellStyle name="Comma 31" xfId="205"/>
    <cellStyle name="Comma 31 2" xfId="206"/>
    <cellStyle name="Comma 31 3" xfId="207"/>
    <cellStyle name="Comma 31 3 2" xfId="208"/>
    <cellStyle name="Comma 32" xfId="209"/>
    <cellStyle name="Comma 32 2" xfId="210"/>
    <cellStyle name="Comma 32 2 2" xfId="211"/>
    <cellStyle name="Comma 32 3" xfId="212"/>
    <cellStyle name="Comma 32 4" xfId="213"/>
    <cellStyle name="Comma 32 4 2" xfId="214"/>
    <cellStyle name="Comma 33" xfId="215"/>
    <cellStyle name="Comma 33 2" xfId="216"/>
    <cellStyle name="Comma 33 3" xfId="217"/>
    <cellStyle name="Comma 33 3 2" xfId="218"/>
    <cellStyle name="Comma 34" xfId="219"/>
    <cellStyle name="Comma 35" xfId="220"/>
    <cellStyle name="Comma 35 2" xfId="221"/>
    <cellStyle name="Comma 36" xfId="222"/>
    <cellStyle name="Comma 37" xfId="223"/>
    <cellStyle name="Comma 4" xfId="224"/>
    <cellStyle name="Comma 4 2" xfId="225"/>
    <cellStyle name="Comma 4 3" xfId="226"/>
    <cellStyle name="Comma 4 4" xfId="227"/>
    <cellStyle name="Comma 4 5" xfId="228"/>
    <cellStyle name="Comma 5" xfId="229"/>
    <cellStyle name="Comma 5 2" xfId="230"/>
    <cellStyle name="Comma 5 3" xfId="231"/>
    <cellStyle name="Comma 5 4" xfId="232"/>
    <cellStyle name="Comma 5 5" xfId="233"/>
    <cellStyle name="Comma 5 6" xfId="234"/>
    <cellStyle name="Comma 6" xfId="235"/>
    <cellStyle name="Comma 6 2" xfId="236"/>
    <cellStyle name="Comma 6 3" xfId="237"/>
    <cellStyle name="Comma 6 4" xfId="238"/>
    <cellStyle name="Comma 6 4 2" xfId="239"/>
    <cellStyle name="Comma 6 4 2 2" xfId="240"/>
    <cellStyle name="Comma 6 4 3" xfId="241"/>
    <cellStyle name="Comma 6 4 4" xfId="242"/>
    <cellStyle name="Comma 6 4 5" xfId="243"/>
    <cellStyle name="Comma 6 4 5 2" xfId="244"/>
    <cellStyle name="Comma 6 5" xfId="245"/>
    <cellStyle name="Comma 7" xfId="246"/>
    <cellStyle name="Comma 7 2" xfId="247"/>
    <cellStyle name="Comma 7 2 2" xfId="248"/>
    <cellStyle name="Comma 7 2 2 2" xfId="249"/>
    <cellStyle name="Comma 7 2 2 2 2" xfId="250"/>
    <cellStyle name="Comma 7 2 2 3" xfId="251"/>
    <cellStyle name="Comma 7 2 2 3 2" xfId="252"/>
    <cellStyle name="Comma 7 2 2 3 2 2" xfId="253"/>
    <cellStyle name="Comma 7 2 2 3 3" xfId="254"/>
    <cellStyle name="Comma 7 2 2 4" xfId="255"/>
    <cellStyle name="Comma 7 2 3" xfId="256"/>
    <cellStyle name="Comma 7 3" xfId="257"/>
    <cellStyle name="Comma 7 3 2" xfId="258"/>
    <cellStyle name="Comma 7 3 2 2" xfId="259"/>
    <cellStyle name="Comma 7 3 3" xfId="260"/>
    <cellStyle name="Comma 7 3 3 2" xfId="261"/>
    <cellStyle name="Comma 7 3 3 2 2" xfId="262"/>
    <cellStyle name="Comma 7 3 3 3" xfId="263"/>
    <cellStyle name="Comma 7 3 4" xfId="264"/>
    <cellStyle name="Comma 7 4" xfId="265"/>
    <cellStyle name="Comma 7 4 2" xfId="266"/>
    <cellStyle name="Comma 7 5" xfId="267"/>
    <cellStyle name="Comma 7 5 2" xfId="268"/>
    <cellStyle name="Comma 7 5 2 2" xfId="269"/>
    <cellStyle name="Comma 7 5 3" xfId="270"/>
    <cellStyle name="Comma 7 6" xfId="271"/>
    <cellStyle name="Comma 8" xfId="272"/>
    <cellStyle name="Comma 8 2" xfId="273"/>
    <cellStyle name="Comma 8 2 2" xfId="274"/>
    <cellStyle name="Comma 8 2 3" xfId="275"/>
    <cellStyle name="Comma 8 2 4" xfId="276"/>
    <cellStyle name="Comma 8 2 4 10" xfId="277"/>
    <cellStyle name="Comma 8 2 4 11" xfId="278"/>
    <cellStyle name="Comma 8 2 4 11 2" xfId="279"/>
    <cellStyle name="Comma 8 2 4 11 2 2" xfId="280"/>
    <cellStyle name="Comma 8 2 4 11 2 3" xfId="281"/>
    <cellStyle name="Comma 8 2 4 11 2 3 2" xfId="282"/>
    <cellStyle name="Comma 8 2 4 2" xfId="283"/>
    <cellStyle name="Comma 8 2 4 3" xfId="284"/>
    <cellStyle name="Comma 8 2 4 4" xfId="285"/>
    <cellStyle name="Comma 8 2 4 5" xfId="286"/>
    <cellStyle name="Comma 8 2 4 5 2" xfId="287"/>
    <cellStyle name="Comma 8 2 4 5 2 2" xfId="288"/>
    <cellStyle name="Comma 8 2 4 5 2 3" xfId="289"/>
    <cellStyle name="Comma 8 2 4 6" xfId="290"/>
    <cellStyle name="Comma 8 2 4 7" xfId="291"/>
    <cellStyle name="Comma 8 2 4 8" xfId="292"/>
    <cellStyle name="Comma 8 2 4 9" xfId="293"/>
    <cellStyle name="Comma 8 2 4 9 2" xfId="294"/>
    <cellStyle name="Comma 8 2 4 9 2 2" xfId="295"/>
    <cellStyle name="Comma 8 2 4 9 2 3" xfId="296"/>
    <cellStyle name="Comma 8 2 4 9 2 3 2" xfId="297"/>
    <cellStyle name="Comma 8 2 5" xfId="298"/>
    <cellStyle name="Comma 8 2 5 2" xfId="299"/>
    <cellStyle name="Comma 8 2 5 3" xfId="300"/>
    <cellStyle name="Comma 8 2 5 4" xfId="301"/>
    <cellStyle name="Comma 8 2 6" xfId="302"/>
    <cellStyle name="Comma 8 2 6 2" xfId="303"/>
    <cellStyle name="Comma 8 2 6 2 2" xfId="304"/>
    <cellStyle name="Comma 8 2 6 2 3" xfId="305"/>
    <cellStyle name="Comma 8 2 6 2 3 2" xfId="306"/>
    <cellStyle name="Comma 8 2 6 3" xfId="307"/>
    <cellStyle name="Comma 8 2 7" xfId="308"/>
    <cellStyle name="Comma 8 2 7 2" xfId="309"/>
    <cellStyle name="Comma 8 2 7 3" xfId="310"/>
    <cellStyle name="Comma 8 2 7 3 2" xfId="311"/>
    <cellStyle name="Comma 8 2 8" xfId="312"/>
    <cellStyle name="Comma 8 2 9" xfId="313"/>
    <cellStyle name="Comma 8 2 9 2" xfId="314"/>
    <cellStyle name="Comma 8 3" xfId="315"/>
    <cellStyle name="Comma 8 4" xfId="316"/>
    <cellStyle name="Comma 8 5" xfId="317"/>
    <cellStyle name="Comma 8 5 2" xfId="318"/>
    <cellStyle name="Comma 8 6" xfId="319"/>
    <cellStyle name="Comma 8 6 2" xfId="320"/>
    <cellStyle name="Comma 9" xfId="321"/>
    <cellStyle name="Comma 9 2" xfId="322"/>
    <cellStyle name="Comma 9 2 2" xfId="323"/>
    <cellStyle name="Comma 9 2 3" xfId="324"/>
    <cellStyle name="Comma 9 2 3 2" xfId="325"/>
    <cellStyle name="Comma 9 2 3 3" xfId="326"/>
    <cellStyle name="Comma 9 2 3 4" xfId="327"/>
    <cellStyle name="Comma 9 2 4" xfId="328"/>
    <cellStyle name="Comma 9 2 4 2" xfId="329"/>
    <cellStyle name="Comma 9 2 4 2 2" xfId="330"/>
    <cellStyle name="Comma 9 2 4 2 3" xfId="331"/>
    <cellStyle name="Comma 9 2 4 2 3 2" xfId="332"/>
    <cellStyle name="Comma 9 2 4 3" xfId="333"/>
    <cellStyle name="Comma 9 2 5" xfId="334"/>
    <cellStyle name="Comma 9 2 5 2" xfId="335"/>
    <cellStyle name="Comma 9 2 5 3" xfId="336"/>
    <cellStyle name="Comma 9 2 5 3 2" xfId="337"/>
    <cellStyle name="Comma 9 2 6" xfId="338"/>
    <cellStyle name="Comma 9 2 7" xfId="339"/>
    <cellStyle name="Comma 9 2 7 2" xfId="340"/>
    <cellStyle name="Comma 9 3" xfId="341"/>
    <cellStyle name="Comma 9 4" xfId="342"/>
    <cellStyle name="Comma 9 5" xfId="343"/>
    <cellStyle name="Comma 9 6" xfId="344"/>
    <cellStyle name="Comma 9 6 10" xfId="345"/>
    <cellStyle name="Comma 9 6 11" xfId="346"/>
    <cellStyle name="Comma 9 6 11 2" xfId="347"/>
    <cellStyle name="Comma 9 6 11 2 2" xfId="348"/>
    <cellStyle name="Comma 9 6 11 2 3" xfId="349"/>
    <cellStyle name="Comma 9 6 11 2 3 2" xfId="350"/>
    <cellStyle name="Comma 9 6 2" xfId="351"/>
    <cellStyle name="Comma 9 6 3" xfId="352"/>
    <cellStyle name="Comma 9 6 4" xfId="353"/>
    <cellStyle name="Comma 9 6 5" xfId="354"/>
    <cellStyle name="Comma 9 6 5 2" xfId="355"/>
    <cellStyle name="Comma 9 6 5 2 2" xfId="356"/>
    <cellStyle name="Comma 9 6 5 2 3" xfId="357"/>
    <cellStyle name="Comma 9 6 6" xfId="358"/>
    <cellStyle name="Comma 9 6 7" xfId="359"/>
    <cellStyle name="Comma 9 6 8" xfId="360"/>
    <cellStyle name="Comma 9 6 9" xfId="361"/>
    <cellStyle name="Comma 9 6 9 2" xfId="362"/>
    <cellStyle name="Comma 9 6 9 2 2" xfId="363"/>
    <cellStyle name="Comma 9 6 9 2 3" xfId="364"/>
    <cellStyle name="Comma 9 6 9 2 3 2" xfId="365"/>
    <cellStyle name="Currency" xfId="366"/>
    <cellStyle name="Currency [0]" xfId="367"/>
    <cellStyle name="Currency 2" xfId="368"/>
    <cellStyle name="Currency 3" xfId="369"/>
    <cellStyle name="Currency 4" xfId="370"/>
    <cellStyle name="Currency 4 2" xfId="371"/>
    <cellStyle name="Currency 4 3" xfId="372"/>
    <cellStyle name="Currency 4 3 2" xfId="373"/>
    <cellStyle name="Currency 5" xfId="374"/>
    <cellStyle name="Currency 5 2" xfId="375"/>
    <cellStyle name="Currency 5 3" xfId="376"/>
    <cellStyle name="Currency 5 3 2" xfId="377"/>
    <cellStyle name="Currency 6" xfId="378"/>
    <cellStyle name="Currency 7" xfId="379"/>
    <cellStyle name="Currency 7 2" xfId="380"/>
    <cellStyle name="Explanatory Text" xfId="381"/>
    <cellStyle name="Good" xfId="382"/>
    <cellStyle name="Heading 1" xfId="383"/>
    <cellStyle name="Heading 2" xfId="384"/>
    <cellStyle name="Heading 3" xfId="385"/>
    <cellStyle name="Heading 4" xfId="386"/>
    <cellStyle name="Input" xfId="387"/>
    <cellStyle name="Linked Cell" xfId="388"/>
    <cellStyle name="Neutral" xfId="389"/>
    <cellStyle name="Normal 10" xfId="390"/>
    <cellStyle name="Normal 11" xfId="391"/>
    <cellStyle name="Normal 2" xfId="392"/>
    <cellStyle name="Normal 2 2" xfId="393"/>
    <cellStyle name="Normal 2 2 2" xfId="394"/>
    <cellStyle name="Normal 2 2 3" xfId="395"/>
    <cellStyle name="Normal 2 2 4" xfId="396"/>
    <cellStyle name="Normal 2 2 4 2" xfId="397"/>
    <cellStyle name="Normal 2 2 4 2 2" xfId="398"/>
    <cellStyle name="Normal 2 2 4 3" xfId="399"/>
    <cellStyle name="Normal 2 2 4 4" xfId="400"/>
    <cellStyle name="Normal 2 2 4 5" xfId="401"/>
    <cellStyle name="Normal 2 2 4 5 2" xfId="402"/>
    <cellStyle name="Normal 2 2 5" xfId="403"/>
    <cellStyle name="Normal 2 3" xfId="404"/>
    <cellStyle name="Normal 2 4" xfId="405"/>
    <cellStyle name="Normal 3" xfId="406"/>
    <cellStyle name="Normal 3 2" xfId="407"/>
    <cellStyle name="Normal 3 3" xfId="408"/>
    <cellStyle name="Normal 4" xfId="409"/>
    <cellStyle name="Normal 4 2" xfId="410"/>
    <cellStyle name="Normal 4 3" xfId="411"/>
    <cellStyle name="Normal 4 3 2" xfId="412"/>
    <cellStyle name="Normal 4 3 3" xfId="413"/>
    <cellStyle name="Normal 5" xfId="414"/>
    <cellStyle name="Normal 5 2" xfId="415"/>
    <cellStyle name="Normal 5 2 2" xfId="416"/>
    <cellStyle name="Normal 5 2 3" xfId="417"/>
    <cellStyle name="Normal 5 2 3 2" xfId="418"/>
    <cellStyle name="Normal 5 3" xfId="419"/>
    <cellStyle name="Normal 5 4" xfId="420"/>
    <cellStyle name="Normal 6" xfId="421"/>
    <cellStyle name="Normal 6 2" xfId="422"/>
    <cellStyle name="Normal 7" xfId="423"/>
    <cellStyle name="Normal 7 2" xfId="424"/>
    <cellStyle name="Normal 7 3" xfId="425"/>
    <cellStyle name="Normal 7 3 2" xfId="426"/>
    <cellStyle name="Normal 8" xfId="427"/>
    <cellStyle name="Normal 9" xfId="428"/>
    <cellStyle name="Normal 9 2" xfId="429"/>
    <cellStyle name="Note" xfId="430"/>
    <cellStyle name="Output" xfId="431"/>
    <cellStyle name="Percent" xfId="432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0" xfId="538"/>
    <cellStyle name="Percent 20 2" xfId="539"/>
    <cellStyle name="Percent 20 3" xfId="540"/>
    <cellStyle name="Percent 20 3 2" xfId="541"/>
    <cellStyle name="Percent 21" xfId="542"/>
    <cellStyle name="Percent 21 2" xfId="543"/>
    <cellStyle name="Percent 21 3" xfId="544"/>
    <cellStyle name="Percent 21 3 2" xfId="545"/>
    <cellStyle name="Percent 22" xfId="546"/>
    <cellStyle name="Percent 22 2" xfId="547"/>
    <cellStyle name="Percent 23" xfId="548"/>
    <cellStyle name="Percent 23 2" xfId="549"/>
    <cellStyle name="Percent 24" xfId="550"/>
    <cellStyle name="Percent 25" xfId="551"/>
    <cellStyle name="Percent 25 2" xfId="552"/>
    <cellStyle name="Percent 25 3" xfId="553"/>
    <cellStyle name="Percent 25 3 2" xfId="554"/>
    <cellStyle name="Percent 26" xfId="555"/>
    <cellStyle name="Percent 27" xfId="556"/>
    <cellStyle name="Percent 27 2" xfId="557"/>
    <cellStyle name="Percent 3" xfId="558"/>
    <cellStyle name="Percent 3 2" xfId="559"/>
    <cellStyle name="Percent 3 2 2" xfId="560"/>
    <cellStyle name="Percent 3 2 3" xfId="561"/>
    <cellStyle name="Percent 3 2 3 2" xfId="562"/>
    <cellStyle name="Percent 3 2 3 3" xfId="563"/>
    <cellStyle name="Percent 3 2 3 4" xfId="564"/>
    <cellStyle name="Percent 3 2 4" xfId="565"/>
    <cellStyle name="Percent 3 2 4 2" xfId="566"/>
    <cellStyle name="Percent 3 2 4 2 2" xfId="567"/>
    <cellStyle name="Percent 3 2 4 2 3" xfId="568"/>
    <cellStyle name="Percent 3 2 4 2 3 2" xfId="569"/>
    <cellStyle name="Percent 3 2 4 3" xfId="570"/>
    <cellStyle name="Percent 3 2 5" xfId="571"/>
    <cellStyle name="Percent 3 2 5 2" xfId="572"/>
    <cellStyle name="Percent 3 2 5 3" xfId="573"/>
    <cellStyle name="Percent 3 2 5 3 2" xfId="574"/>
    <cellStyle name="Percent 3 2 6" xfId="575"/>
    <cellStyle name="Percent 3 2 7" xfId="576"/>
    <cellStyle name="Percent 3 2 7 2" xfId="577"/>
    <cellStyle name="Percent 3 3" xfId="578"/>
    <cellStyle name="Percent 3 4" xfId="579"/>
    <cellStyle name="Percent 3 5" xfId="580"/>
    <cellStyle name="Percent 3 5 2" xfId="581"/>
    <cellStyle name="Percent 3 5 3" xfId="582"/>
    <cellStyle name="Percent 3 5 4" xfId="583"/>
    <cellStyle name="Percent 4" xfId="584"/>
    <cellStyle name="Percent 4 2" xfId="585"/>
    <cellStyle name="Percent 4 3" xfId="586"/>
    <cellStyle name="Percent 4 3 2" xfId="587"/>
    <cellStyle name="Percent 4 3 3" xfId="588"/>
    <cellStyle name="Percent 4 3 4" xfId="589"/>
    <cellStyle name="Percent 4 4" xfId="590"/>
    <cellStyle name="Percent 4 4 2" xfId="591"/>
    <cellStyle name="Percent 4 4 2 2" xfId="592"/>
    <cellStyle name="Percent 4 4 2 3" xfId="593"/>
    <cellStyle name="Percent 4 4 2 3 2" xfId="594"/>
    <cellStyle name="Percent 4 4 3" xfId="595"/>
    <cellStyle name="Percent 4 5" xfId="596"/>
    <cellStyle name="Percent 4 5 2" xfId="597"/>
    <cellStyle name="Percent 4 5 3" xfId="598"/>
    <cellStyle name="Percent 4 5 3 2" xfId="599"/>
    <cellStyle name="Percent 4 6" xfId="600"/>
    <cellStyle name="Percent 4 7" xfId="601"/>
    <cellStyle name="Percent 4 7 2" xfId="602"/>
    <cellStyle name="Percent 5" xfId="603"/>
    <cellStyle name="Percent 5 2" xfId="604"/>
    <cellStyle name="Percent 5 3" xfId="605"/>
    <cellStyle name="Percent 5 3 2" xfId="606"/>
    <cellStyle name="Percent 5 3 3" xfId="607"/>
    <cellStyle name="Percent 5 4" xfId="608"/>
    <cellStyle name="Percent 5 4 2" xfId="609"/>
    <cellStyle name="Percent 5 4 3" xfId="610"/>
    <cellStyle name="Percent 5 4 4" xfId="611"/>
    <cellStyle name="Percent 5 5" xfId="612"/>
    <cellStyle name="Percent 5 5 2" xfId="613"/>
    <cellStyle name="Percent 5 5 2 2" xfId="614"/>
    <cellStyle name="Percent 5 5 2 3" xfId="615"/>
    <cellStyle name="Percent 5 5 2 3 2" xfId="616"/>
    <cellStyle name="Percent 5 5 3" xfId="617"/>
    <cellStyle name="Percent 5 6" xfId="618"/>
    <cellStyle name="Percent 5 6 2" xfId="619"/>
    <cellStyle name="Percent 5 6 3" xfId="620"/>
    <cellStyle name="Percent 5 6 3 2" xfId="621"/>
    <cellStyle name="Percent 5 7" xfId="622"/>
    <cellStyle name="Percent 5 8" xfId="623"/>
    <cellStyle name="Percent 5 8 2" xfId="624"/>
    <cellStyle name="Percent 5 9" xfId="625"/>
    <cellStyle name="Percent 5 9 2" xfId="626"/>
    <cellStyle name="Percent 5 9 3" xfId="627"/>
    <cellStyle name="Percent 5 9 3 2" xfId="628"/>
    <cellStyle name="Percent 6" xfId="629"/>
    <cellStyle name="Percent 6 10" xfId="630"/>
    <cellStyle name="Percent 6 11" xfId="631"/>
    <cellStyle name="Percent 6 11 2" xfId="632"/>
    <cellStyle name="Percent 6 11 2 2" xfId="633"/>
    <cellStyle name="Percent 6 11 2 3" xfId="634"/>
    <cellStyle name="Percent 6 11 2 3 2" xfId="635"/>
    <cellStyle name="Percent 6 12" xfId="636"/>
    <cellStyle name="Percent 6 13" xfId="637"/>
    <cellStyle name="Percent 6 13 2" xfId="638"/>
    <cellStyle name="Percent 6 13 2 2" xfId="639"/>
    <cellStyle name="Percent 6 13 2 3" xfId="640"/>
    <cellStyle name="Percent 6 13 2 3 2" xfId="641"/>
    <cellStyle name="Percent 6 14" xfId="642"/>
    <cellStyle name="Percent 6 14 2" xfId="643"/>
    <cellStyle name="Percent 6 15" xfId="644"/>
    <cellStyle name="Percent 6 16" xfId="645"/>
    <cellStyle name="Percent 6 16 2" xfId="646"/>
    <cellStyle name="Percent 6 2" xfId="647"/>
    <cellStyle name="Percent 6 3" xfId="648"/>
    <cellStyle name="Percent 6 4" xfId="649"/>
    <cellStyle name="Percent 6 5" xfId="650"/>
    <cellStyle name="Percent 6 6" xfId="651"/>
    <cellStyle name="Percent 6 7" xfId="652"/>
    <cellStyle name="Percent 6 7 2" xfId="653"/>
    <cellStyle name="Percent 6 7 2 2" xfId="654"/>
    <cellStyle name="Percent 6 7 2 3" xfId="655"/>
    <cellStyle name="Percent 6 8" xfId="656"/>
    <cellStyle name="Percent 6 9" xfId="657"/>
    <cellStyle name="Percent 7" xfId="658"/>
    <cellStyle name="Percent 7 10" xfId="659"/>
    <cellStyle name="Percent 7 11" xfId="660"/>
    <cellStyle name="Percent 7 11 2" xfId="661"/>
    <cellStyle name="Percent 7 11 2 2" xfId="662"/>
    <cellStyle name="Percent 7 11 2 3" xfId="663"/>
    <cellStyle name="Percent 7 11 2 3 2" xfId="664"/>
    <cellStyle name="Percent 7 12" xfId="665"/>
    <cellStyle name="Percent 7 12 2" xfId="666"/>
    <cellStyle name="Percent 7 13" xfId="667"/>
    <cellStyle name="Percent 7 14" xfId="668"/>
    <cellStyle name="Percent 7 14 2" xfId="669"/>
    <cellStyle name="Percent 7 2" xfId="670"/>
    <cellStyle name="Percent 7 3" xfId="671"/>
    <cellStyle name="Percent 7 4" xfId="672"/>
    <cellStyle name="Percent 7 5" xfId="673"/>
    <cellStyle name="Percent 7 5 2" xfId="674"/>
    <cellStyle name="Percent 7 5 2 2" xfId="675"/>
    <cellStyle name="Percent 7 5 2 3" xfId="676"/>
    <cellStyle name="Percent 7 5 2 4" xfId="677"/>
    <cellStyle name="Percent 7 6" xfId="678"/>
    <cellStyle name="Percent 7 7" xfId="679"/>
    <cellStyle name="Percent 7 8" xfId="680"/>
    <cellStyle name="Percent 7 9" xfId="681"/>
    <cellStyle name="Percent 7 9 2" xfId="682"/>
    <cellStyle name="Percent 7 9 2 2" xfId="683"/>
    <cellStyle name="Percent 7 9 2 3" xfId="684"/>
    <cellStyle name="Percent 7 9 2 3 2" xfId="685"/>
    <cellStyle name="Percent 8" xfId="686"/>
    <cellStyle name="Percent 8 2" xfId="687"/>
    <cellStyle name="Percent 8 3" xfId="688"/>
    <cellStyle name="Percent 8 4" xfId="689"/>
    <cellStyle name="Percent 8 5" xfId="690"/>
    <cellStyle name="Percent 9" xfId="691"/>
    <cellStyle name="Percent 9 2" xfId="692"/>
    <cellStyle name="Percent 9 3" xfId="693"/>
    <cellStyle name="Percent 9 4" xfId="694"/>
    <cellStyle name="Percent 9 5" xfId="695"/>
    <cellStyle name="PSChar" xfId="696"/>
    <cellStyle name="PSChar 2" xfId="697"/>
    <cellStyle name="PSChar 2 2" xfId="698"/>
    <cellStyle name="PSChar 2 2 2" xfId="699"/>
    <cellStyle name="PSChar 3" xfId="700"/>
    <cellStyle name="PSChar 3 2" xfId="701"/>
    <cellStyle name="PSChar 4" xfId="702"/>
    <cellStyle name="PSChar 4 2" xfId="703"/>
    <cellStyle name="PSChar 5" xfId="704"/>
    <cellStyle name="PSChar 5 2" xfId="705"/>
    <cellStyle name="PSChar 5 3" xfId="706"/>
    <cellStyle name="PSChar 5 3 2" xfId="707"/>
    <cellStyle name="PSChar 6" xfId="708"/>
    <cellStyle name="PSChar 6 2" xfId="709"/>
    <cellStyle name="PSChar 7" xfId="710"/>
    <cellStyle name="PSDate" xfId="711"/>
    <cellStyle name="PSDate 2" xfId="712"/>
    <cellStyle name="PSDate 2 2" xfId="713"/>
    <cellStyle name="PSDate 2 2 2" xfId="714"/>
    <cellStyle name="PSDate 3" xfId="715"/>
    <cellStyle name="PSDate 3 2" xfId="716"/>
    <cellStyle name="PSDate 4" xfId="717"/>
    <cellStyle name="PSDate 4 2" xfId="718"/>
    <cellStyle name="PSDate 5" xfId="719"/>
    <cellStyle name="PSDate 5 2" xfId="720"/>
    <cellStyle name="PSDate 5 3" xfId="721"/>
    <cellStyle name="PSDate 5 3 2" xfId="722"/>
    <cellStyle name="PSDate 6" xfId="723"/>
    <cellStyle name="PSDate 6 2" xfId="724"/>
    <cellStyle name="PSDate 7" xfId="725"/>
    <cellStyle name="PSDec" xfId="726"/>
    <cellStyle name="PSDec 2" xfId="727"/>
    <cellStyle name="PSDec 2 2" xfId="728"/>
    <cellStyle name="PSDec 2 2 2" xfId="729"/>
    <cellStyle name="PSDec 3" xfId="730"/>
    <cellStyle name="PSDec 3 2" xfId="731"/>
    <cellStyle name="PSDec 4" xfId="732"/>
    <cellStyle name="PSDec 4 2" xfId="733"/>
    <cellStyle name="PSDec 5" xfId="734"/>
    <cellStyle name="PSDec 5 2" xfId="735"/>
    <cellStyle name="PSDec 5 3" xfId="736"/>
    <cellStyle name="PSDec 5 3 2" xfId="737"/>
    <cellStyle name="PSDec 6" xfId="738"/>
    <cellStyle name="PSDec 6 2" xfId="739"/>
    <cellStyle name="PSDec 7" xfId="740"/>
    <cellStyle name="PSHeading" xfId="741"/>
    <cellStyle name="PSHeading 2" xfId="742"/>
    <cellStyle name="PSHeading 2 2" xfId="743"/>
    <cellStyle name="PSHeading 2 2 2" xfId="744"/>
    <cellStyle name="PSHeading 2 2 3" xfId="745"/>
    <cellStyle name="PSHeading 3" xfId="746"/>
    <cellStyle name="PSHeading 3 2" xfId="747"/>
    <cellStyle name="PSHeading 3 3" xfId="748"/>
    <cellStyle name="PSHeading 3 3 2" xfId="749"/>
    <cellStyle name="PSInt" xfId="750"/>
    <cellStyle name="PSInt 2" xfId="751"/>
    <cellStyle name="PSInt 2 2" xfId="752"/>
    <cellStyle name="PSInt 2 2 2" xfId="753"/>
    <cellStyle name="PSInt 3" xfId="754"/>
    <cellStyle name="PSInt 3 2" xfId="755"/>
    <cellStyle name="PSInt 4" xfId="756"/>
    <cellStyle name="PSInt 4 2" xfId="757"/>
    <cellStyle name="PSInt 5" xfId="758"/>
    <cellStyle name="PSInt 5 2" xfId="759"/>
    <cellStyle name="PSInt 5 3" xfId="760"/>
    <cellStyle name="PSInt 5 3 2" xfId="761"/>
    <cellStyle name="PSInt 6" xfId="762"/>
    <cellStyle name="PSInt 6 2" xfId="763"/>
    <cellStyle name="PSInt 7" xfId="764"/>
    <cellStyle name="PSSpacer" xfId="765"/>
    <cellStyle name="PSSpacer 2" xfId="766"/>
    <cellStyle name="PSSpacer 2 2" xfId="767"/>
    <cellStyle name="PSSpacer 3" xfId="768"/>
    <cellStyle name="PSSpacer 3 2" xfId="769"/>
    <cellStyle name="PSSpacer 4" xfId="770"/>
    <cellStyle name="PSSpacer 4 2" xfId="771"/>
    <cellStyle name="PSSpacer 5" xfId="772"/>
    <cellStyle name="PSSpacer 5 2" xfId="773"/>
    <cellStyle name="PSSpacer 5 3" xfId="774"/>
    <cellStyle name="PSSpacer 5 3 2" xfId="775"/>
    <cellStyle name="PSSpacer 6" xfId="776"/>
    <cellStyle name="PSSpacer 6 2" xfId="777"/>
    <cellStyle name="PSSpacer 7" xfId="778"/>
    <cellStyle name="Title" xfId="779"/>
    <cellStyle name="Total" xfId="780"/>
    <cellStyle name="Warning Text" xfId="781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10%20October%202015%20ES--Act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09%20September%202015%20ES--Act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08%20August%202015--Mitche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Copy%20of%2008%20August%202015--Mitche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07%20July%202015--Mitche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Mitchell\06%20June%202015--Mitchell--Revis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Environmental%20Surcharge%20Report\Environmental%20Surcharge%20Report%20Monthly%20Filing%20-%20Excel%20Format\Year%202015\05%20May%202015--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Input"/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Accounting Entries"/>
      <sheetName val="Base Revenue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Rockport Area"/>
      <sheetName val="Mitchell- Area "/>
      <sheetName val="Sheet1"/>
      <sheetName val="Property Tax"/>
      <sheetName val="Sheet3"/>
    </sheetNames>
    <sheetDataSet>
      <sheetData sheetId="2">
        <row r="7">
          <cell r="E7" t="str">
            <v>For the Expense Month of October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imate Input"/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timated Accounting Entries"/>
      <sheetName val="Base Revenue"/>
      <sheetName val="LOOKUP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Rockport Additions--Area"/>
      <sheetName val="Mitchell Additions-Area"/>
      <sheetName val="Sheet1"/>
      <sheetName val="Property Tax"/>
      <sheetName val="ECR Revenues - August 2015"/>
      <sheetName val="Sheet3"/>
    </sheetNames>
    <sheetDataSet>
      <sheetData sheetId="2">
        <row r="7">
          <cell r="E7" t="str">
            <v>For the Expense Month of September 2015</v>
          </cell>
        </row>
      </sheetData>
      <sheetData sheetId="26">
        <row r="25">
          <cell r="F25">
            <v>-44277977.66000001</v>
          </cell>
        </row>
        <row r="32">
          <cell r="F32">
            <v>-509986.28</v>
          </cell>
        </row>
        <row r="57">
          <cell r="F57">
            <v>-3910042.2099999995</v>
          </cell>
        </row>
        <row r="61">
          <cell r="F61">
            <v>-347378.08</v>
          </cell>
        </row>
        <row r="79">
          <cell r="F79">
            <v>-284905.12999999995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 3.13"/>
      <sheetName val="ES 3.15 "/>
      <sheetName val="ES 3.20"/>
      <sheetName val="ES 3.22"/>
      <sheetName val="ES 3.21"/>
      <sheetName val="ES 3.30"/>
      <sheetName val="ES 3.31"/>
      <sheetName val="ES 3.32"/>
      <sheetName val="ES 3.33"/>
      <sheetName val="Non-Associated "/>
      <sheetName val="Rockport Additions (2)"/>
      <sheetName val="Mitchell Additions (Project)"/>
      <sheetName val="Mitchell FGD"/>
      <sheetName val="Sheet1"/>
      <sheetName val="Property Tax"/>
      <sheetName val="ECR Revenues - July 2015"/>
      <sheetName val="Sheet2"/>
      <sheetName val="Sheet3"/>
    </sheetNames>
    <sheetDataSet>
      <sheetData sheetId="1">
        <row r="7">
          <cell r="E7" t="str">
            <v>For the Expense Month of August 2015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Non-Associated "/>
      <sheetName val="Rockport Additions--Area"/>
      <sheetName val="Mitchell Additions-Area"/>
      <sheetName val="Sheet1"/>
      <sheetName val="Property Tax"/>
      <sheetName val="ECR Revenues - August 2015"/>
      <sheetName val="Sheet2"/>
      <sheetName val="Sheet3"/>
    </sheetNames>
    <sheetDataSet>
      <sheetData sheetId="22">
        <row r="25">
          <cell r="F25">
            <v>-47308353.44</v>
          </cell>
        </row>
        <row r="32">
          <cell r="F32">
            <v>-552756.95</v>
          </cell>
        </row>
        <row r="56">
          <cell r="F56">
            <v>-6641632.8</v>
          </cell>
        </row>
        <row r="58">
          <cell r="F58">
            <v>-521014.77</v>
          </cell>
        </row>
        <row r="78">
          <cell r="F78">
            <v>-777828.18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 3.13"/>
      <sheetName val="ES 3.15 "/>
      <sheetName val="ES 3.20"/>
      <sheetName val="ES 3.22"/>
      <sheetName val="ES 3.21"/>
      <sheetName val="ES 3.30"/>
      <sheetName val="ES 3.31"/>
      <sheetName val="ES 3.32"/>
      <sheetName val="ES 3.33"/>
      <sheetName val="Non-Associated "/>
      <sheetName val="Rockport Additions (2)"/>
      <sheetName val="Mitchell Additions (Project)"/>
      <sheetName val="Mitchell FGD"/>
      <sheetName val="Sheet1"/>
      <sheetName val="Property Tax"/>
      <sheetName val="ECR Revenues - July 2015"/>
    </sheetNames>
    <sheetDataSet>
      <sheetData sheetId="1">
        <row r="7">
          <cell r="E7" t="str">
            <v>For the Expense Month of July 2015</v>
          </cell>
        </row>
      </sheetData>
      <sheetData sheetId="23">
        <row r="56">
          <cell r="F56">
            <v>-7259613.669999999</v>
          </cell>
        </row>
        <row r="58">
          <cell r="F58">
            <v>-1074609.03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S 1.0"/>
      <sheetName val="ES 1.10"/>
      <sheetName val="ES 3.00"/>
      <sheetName val="ES 3.11 A"/>
      <sheetName val="ES 3.11 B "/>
      <sheetName val="ES 3.12 A"/>
      <sheetName val="ES 3.12 B"/>
      <sheetName val="ES 3.13"/>
      <sheetName val="ES 3.15 "/>
      <sheetName val="ES 3.20"/>
      <sheetName val="ES 3.21"/>
      <sheetName val="ES 3.22"/>
      <sheetName val="ES 3.30"/>
      <sheetName val="ES 3.31"/>
      <sheetName val="ES 3.32"/>
      <sheetName val="ES 3.33"/>
      <sheetName val="Mitchell Additions-By Project"/>
      <sheetName val="Mitchell FGD"/>
      <sheetName val="Rockport Additions"/>
      <sheetName val="Sheet1"/>
      <sheetName val="Property Tax"/>
    </sheetNames>
    <sheetDataSet>
      <sheetData sheetId="1">
        <row r="7">
          <cell r="E7" t="str">
            <v>For the Expense Month of June 2015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 1.0"/>
      <sheetName val="ES 1.10"/>
      <sheetName val="ES 3.00"/>
      <sheetName val="ES 3.10"/>
      <sheetName val="Sch 3.10"/>
      <sheetName val="ES 3.11"/>
      <sheetName val="ES 3.12 A"/>
      <sheetName val="ES 3.12 B"/>
      <sheetName val="ES 3.13"/>
      <sheetName val="SC 165 &amp; 175"/>
      <sheetName val="ES 3.15"/>
      <sheetName val="ES 3.20"/>
      <sheetName val="ES 3.21"/>
      <sheetName val="ES 3.30"/>
      <sheetName val="ES 3.31"/>
      <sheetName val="ES 3.32"/>
      <sheetName val="Air Emission Fees - KPCo"/>
      <sheetName val="ECR Revenues"/>
    </sheetNames>
    <sheetDataSet>
      <sheetData sheetId="0">
        <row r="7">
          <cell r="E7" t="str">
            <v>For the Expense Month of May 2015</v>
          </cell>
        </row>
      </sheetData>
      <sheetData sheetId="17">
        <row r="25">
          <cell r="F25">
            <v>-39372432.48</v>
          </cell>
        </row>
        <row r="32">
          <cell r="F32">
            <v>-462076.03</v>
          </cell>
        </row>
        <row r="58">
          <cell r="F58">
            <v>-5963043.839999999</v>
          </cell>
        </row>
        <row r="76">
          <cell r="F76">
            <v>-206493.50800000006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1">
      <selection activeCell="C67" sqref="C67"/>
    </sheetView>
  </sheetViews>
  <sheetFormatPr defaultColWidth="9.140625" defaultRowHeight="15"/>
  <sheetData>
    <row r="1" spans="1:2" ht="14.25">
      <c r="A1" s="2" t="s">
        <v>0</v>
      </c>
      <c r="B1" s="1" t="s">
        <v>1</v>
      </c>
    </row>
    <row r="2" spans="1:2" ht="14.25">
      <c r="A2" s="2" t="s">
        <v>0</v>
      </c>
      <c r="B2" s="1" t="s">
        <v>1</v>
      </c>
    </row>
    <row r="3" spans="1:2" ht="14.25">
      <c r="A3" s="2" t="s">
        <v>2</v>
      </c>
      <c r="B3" s="1" t="s">
        <v>1</v>
      </c>
    </row>
    <row r="4" spans="1:2" ht="14.25">
      <c r="A4" s="2" t="s">
        <v>2</v>
      </c>
      <c r="B4" s="1" t="s">
        <v>1</v>
      </c>
    </row>
    <row r="5" spans="1:2" ht="14.25">
      <c r="A5" s="2" t="s">
        <v>3</v>
      </c>
      <c r="B5" s="1" t="s">
        <v>1</v>
      </c>
    </row>
    <row r="6" spans="1:2" ht="14.25">
      <c r="A6" s="2" t="s">
        <v>4</v>
      </c>
      <c r="B6" s="1" t="s">
        <v>1</v>
      </c>
    </row>
    <row r="7" spans="1:2" ht="14.25">
      <c r="A7" s="2" t="s">
        <v>4</v>
      </c>
      <c r="B7" s="1" t="s">
        <v>1</v>
      </c>
    </row>
    <row r="8" spans="1:2" ht="14.25">
      <c r="A8" s="2" t="s">
        <v>5</v>
      </c>
      <c r="B8" s="1" t="s">
        <v>1</v>
      </c>
    </row>
    <row r="9" spans="1:2" ht="14.25">
      <c r="A9" s="2" t="s">
        <v>5</v>
      </c>
      <c r="B9" s="1" t="s">
        <v>1</v>
      </c>
    </row>
    <row r="10" spans="1:2" ht="14.25">
      <c r="A10" s="2" t="s">
        <v>6</v>
      </c>
      <c r="B10" s="1" t="s">
        <v>1</v>
      </c>
    </row>
    <row r="11" spans="1:2" ht="14.25">
      <c r="A11" s="2" t="s">
        <v>6</v>
      </c>
      <c r="B11" s="1" t="s">
        <v>1</v>
      </c>
    </row>
    <row r="12" spans="1:2" ht="14.25">
      <c r="A12" s="2" t="s">
        <v>7</v>
      </c>
      <c r="B12" s="1" t="s">
        <v>1</v>
      </c>
    </row>
    <row r="13" spans="1:2" ht="14.25">
      <c r="A13" s="2" t="s">
        <v>8</v>
      </c>
      <c r="B13" s="1" t="s">
        <v>1</v>
      </c>
    </row>
    <row r="14" spans="1:2" ht="14.25">
      <c r="A14" s="2" t="s">
        <v>8</v>
      </c>
      <c r="B14" s="1" t="s">
        <v>1</v>
      </c>
    </row>
    <row r="15" spans="1:2" ht="14.25">
      <c r="A15" s="2" t="s">
        <v>9</v>
      </c>
      <c r="B15" s="1" t="s">
        <v>1</v>
      </c>
    </row>
    <row r="16" spans="1:2" ht="14.25">
      <c r="A16" s="2" t="s">
        <v>9</v>
      </c>
      <c r="B16" s="1" t="s">
        <v>1</v>
      </c>
    </row>
    <row r="17" spans="1:2" ht="14.25">
      <c r="A17" s="2" t="s">
        <v>10</v>
      </c>
      <c r="B17" s="1" t="s">
        <v>1</v>
      </c>
    </row>
    <row r="18" spans="1:2" ht="14.25">
      <c r="A18" s="2" t="s">
        <v>11</v>
      </c>
      <c r="B18" s="1" t="s">
        <v>1</v>
      </c>
    </row>
    <row r="19" spans="1:2" ht="14.25">
      <c r="A19" s="2" t="s">
        <v>12</v>
      </c>
      <c r="B19" s="1" t="s">
        <v>1</v>
      </c>
    </row>
    <row r="20" spans="1:2" ht="14.25">
      <c r="A20" s="2" t="s">
        <v>13</v>
      </c>
      <c r="B20" s="1" t="s">
        <v>1</v>
      </c>
    </row>
    <row r="21" spans="1:2" ht="14.25">
      <c r="A21" s="2" t="s">
        <v>13</v>
      </c>
      <c r="B21" s="1" t="s">
        <v>1</v>
      </c>
    </row>
    <row r="22" spans="1:2" ht="14.25">
      <c r="A22" s="2" t="s">
        <v>14</v>
      </c>
      <c r="B22" s="1" t="s">
        <v>1</v>
      </c>
    </row>
    <row r="23" spans="1:2" ht="14.25">
      <c r="A23" s="2" t="s">
        <v>15</v>
      </c>
      <c r="B23" s="1" t="s">
        <v>1</v>
      </c>
    </row>
    <row r="24" spans="1:2" ht="14.25">
      <c r="A24" s="2" t="s">
        <v>16</v>
      </c>
      <c r="B24" s="1" t="s">
        <v>1</v>
      </c>
    </row>
    <row r="25" spans="1:2" ht="14.25">
      <c r="A25" s="2" t="s">
        <v>17</v>
      </c>
      <c r="B25" s="1" t="s">
        <v>18</v>
      </c>
    </row>
    <row r="26" spans="1:2" ht="14.25">
      <c r="A26" s="2" t="s">
        <v>19</v>
      </c>
      <c r="B26" s="1" t="s">
        <v>20</v>
      </c>
    </row>
    <row r="27" spans="1:2" ht="14.25">
      <c r="A27" s="2" t="s">
        <v>21</v>
      </c>
      <c r="B27" s="1" t="s">
        <v>20</v>
      </c>
    </row>
    <row r="28" spans="1:2" ht="14.25">
      <c r="A28" s="2" t="s">
        <v>22</v>
      </c>
      <c r="B28" s="1" t="s">
        <v>23</v>
      </c>
    </row>
    <row r="29" spans="1:2" ht="14.25">
      <c r="A29" s="2" t="s">
        <v>24</v>
      </c>
      <c r="B29" s="1" t="s">
        <v>23</v>
      </c>
    </row>
    <row r="30" spans="1:2" ht="14.25">
      <c r="A30" s="2" t="s">
        <v>25</v>
      </c>
      <c r="B30" s="1" t="s">
        <v>20</v>
      </c>
    </row>
    <row r="31" spans="1:2" ht="14.25">
      <c r="A31" s="2" t="s">
        <v>26</v>
      </c>
      <c r="B31" s="1" t="s">
        <v>20</v>
      </c>
    </row>
    <row r="32" spans="1:2" ht="14.25">
      <c r="A32" s="2" t="s">
        <v>27</v>
      </c>
      <c r="B32" s="1" t="s">
        <v>28</v>
      </c>
    </row>
    <row r="33" spans="1:2" ht="14.25">
      <c r="A33" s="2" t="s">
        <v>29</v>
      </c>
      <c r="B33" s="1" t="s">
        <v>28</v>
      </c>
    </row>
    <row r="34" spans="1:2" ht="14.25">
      <c r="A34" s="2" t="s">
        <v>30</v>
      </c>
      <c r="B34" s="1" t="s">
        <v>28</v>
      </c>
    </row>
    <row r="35" spans="1:2" ht="14.25">
      <c r="A35" s="2" t="s">
        <v>31</v>
      </c>
      <c r="B35" s="1" t="s">
        <v>28</v>
      </c>
    </row>
    <row r="36" spans="1:2" ht="14.25">
      <c r="A36" s="2" t="s">
        <v>32</v>
      </c>
      <c r="B36" s="1" t="s">
        <v>28</v>
      </c>
    </row>
    <row r="37" spans="1:2" ht="14.25">
      <c r="A37" s="2" t="s">
        <v>33</v>
      </c>
      <c r="B37" s="1" t="s">
        <v>28</v>
      </c>
    </row>
    <row r="38" spans="1:2" ht="14.25">
      <c r="A38" s="2" t="s">
        <v>34</v>
      </c>
      <c r="B38" s="1" t="s">
        <v>28</v>
      </c>
    </row>
    <row r="39" spans="1:2" ht="14.25">
      <c r="A39" s="2" t="s">
        <v>35</v>
      </c>
      <c r="B39" s="1" t="s">
        <v>28</v>
      </c>
    </row>
    <row r="40" spans="1:2" ht="14.25">
      <c r="A40" s="2" t="s">
        <v>36</v>
      </c>
      <c r="B40" s="1" t="s">
        <v>28</v>
      </c>
    </row>
    <row r="41" spans="1:2" ht="14.25">
      <c r="A41" s="2" t="s">
        <v>37</v>
      </c>
      <c r="B41" s="1" t="s">
        <v>28</v>
      </c>
    </row>
    <row r="42" spans="1:2" ht="14.25">
      <c r="A42" s="2" t="s">
        <v>38</v>
      </c>
      <c r="B42" s="1" t="s">
        <v>28</v>
      </c>
    </row>
    <row r="43" spans="1:2" ht="14.25">
      <c r="A43" s="2" t="s">
        <v>39</v>
      </c>
      <c r="B43" s="1" t="s">
        <v>28</v>
      </c>
    </row>
    <row r="44" spans="1:2" ht="14.25">
      <c r="A44" s="2" t="s">
        <v>40</v>
      </c>
      <c r="B44" s="1" t="s">
        <v>23</v>
      </c>
    </row>
    <row r="45" spans="1:2" ht="14.25">
      <c r="A45" s="2" t="s">
        <v>40</v>
      </c>
      <c r="B45" s="1" t="s">
        <v>23</v>
      </c>
    </row>
    <row r="46" spans="1:2" ht="14.25">
      <c r="A46" s="2" t="s">
        <v>41</v>
      </c>
      <c r="B46" s="1" t="s">
        <v>20</v>
      </c>
    </row>
    <row r="47" spans="1:2" ht="14.25">
      <c r="A47" s="2" t="s">
        <v>42</v>
      </c>
      <c r="B47" s="1" t="s">
        <v>20</v>
      </c>
    </row>
    <row r="48" spans="1:2" ht="14.25">
      <c r="A48" s="2" t="s">
        <v>43</v>
      </c>
      <c r="B48" s="1" t="s">
        <v>20</v>
      </c>
    </row>
    <row r="49" spans="1:2" ht="14.25">
      <c r="A49" s="2" t="s">
        <v>44</v>
      </c>
      <c r="B49" s="1" t="s">
        <v>28</v>
      </c>
    </row>
    <row r="50" spans="1:2" ht="14.25">
      <c r="A50" s="2" t="s">
        <v>45</v>
      </c>
      <c r="B50" s="1" t="s">
        <v>28</v>
      </c>
    </row>
    <row r="51" spans="1:2" ht="14.25">
      <c r="A51" s="2" t="s">
        <v>46</v>
      </c>
      <c r="B51" s="1" t="s">
        <v>28</v>
      </c>
    </row>
    <row r="52" spans="1:2" ht="14.25">
      <c r="A52" s="2" t="s">
        <v>47</v>
      </c>
      <c r="B52" s="1" t="s">
        <v>28</v>
      </c>
    </row>
    <row r="53" spans="1:2" ht="14.25">
      <c r="A53" s="2" t="s">
        <v>48</v>
      </c>
      <c r="B53" s="1" t="s">
        <v>28</v>
      </c>
    </row>
    <row r="54" spans="1:2" ht="14.25">
      <c r="A54" s="2" t="s">
        <v>49</v>
      </c>
      <c r="B54" s="1" t="s">
        <v>28</v>
      </c>
    </row>
    <row r="55" spans="1:2" ht="14.25">
      <c r="A55" s="2" t="s">
        <v>50</v>
      </c>
      <c r="B55" s="1" t="s">
        <v>28</v>
      </c>
    </row>
    <row r="56" spans="1:2" ht="14.25">
      <c r="A56" s="2" t="s">
        <v>51</v>
      </c>
      <c r="B56" s="1" t="s">
        <v>28</v>
      </c>
    </row>
    <row r="57" spans="1:2" ht="14.25">
      <c r="A57" s="2" t="s">
        <v>52</v>
      </c>
      <c r="B57" s="1" t="s">
        <v>28</v>
      </c>
    </row>
    <row r="58" spans="1:2" ht="14.25">
      <c r="A58" s="2" t="s">
        <v>53</v>
      </c>
      <c r="B58" s="1" t="s">
        <v>28</v>
      </c>
    </row>
    <row r="59" spans="1:2" ht="14.25">
      <c r="A59" s="2" t="s">
        <v>54</v>
      </c>
      <c r="B59" s="1" t="s">
        <v>20</v>
      </c>
    </row>
    <row r="60" spans="1:2" ht="14.25">
      <c r="A60" s="2" t="s">
        <v>55</v>
      </c>
      <c r="B60" s="1" t="s">
        <v>20</v>
      </c>
    </row>
    <row r="61" spans="1:2" ht="14.25">
      <c r="A61" s="2" t="s">
        <v>56</v>
      </c>
      <c r="B61" s="1" t="s">
        <v>20</v>
      </c>
    </row>
    <row r="62" spans="1:2" ht="14.25">
      <c r="A62" s="2" t="s">
        <v>57</v>
      </c>
      <c r="B62" s="1" t="s">
        <v>28</v>
      </c>
    </row>
    <row r="63" spans="1:2" ht="14.25">
      <c r="A63" s="2" t="s">
        <v>58</v>
      </c>
      <c r="B63" s="1" t="s">
        <v>28</v>
      </c>
    </row>
    <row r="64" spans="1:2" ht="14.25">
      <c r="A64" s="2" t="s">
        <v>59</v>
      </c>
      <c r="B64" s="1" t="s">
        <v>28</v>
      </c>
    </row>
    <row r="65" spans="1:2" ht="14.25">
      <c r="A65" s="2" t="s">
        <v>60</v>
      </c>
      <c r="B65" s="1" t="s">
        <v>28</v>
      </c>
    </row>
    <row r="66" spans="1:2" ht="14.25">
      <c r="A66" s="2" t="s">
        <v>61</v>
      </c>
      <c r="B66" s="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F84" sqref="F84"/>
    </sheetView>
  </sheetViews>
  <sheetFormatPr defaultColWidth="9.140625" defaultRowHeight="15" outlineLevelRow="2"/>
  <cols>
    <col min="1" max="1" width="3.8515625" style="0" customWidth="1"/>
    <col min="2" max="2" width="5.8515625" style="0" customWidth="1"/>
    <col min="3" max="3" width="4.8515625" style="0" bestFit="1" customWidth="1"/>
    <col min="4" max="4" width="8.57421875" style="0" bestFit="1" customWidth="1"/>
    <col min="5" max="5" width="28.140625" style="0" bestFit="1" customWidth="1"/>
    <col min="6" max="6" width="12.8515625" style="0" bestFit="1" customWidth="1"/>
    <col min="7" max="10" width="29.28125" style="0" customWidth="1"/>
    <col min="11" max="36" width="28.28125" style="0" customWidth="1"/>
  </cols>
  <sheetData>
    <row r="1" spans="1:6" ht="26.25" thickBo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4.25" hidden="1" outlineLevel="2">
      <c r="A2" s="8">
        <v>8</v>
      </c>
      <c r="B2" s="8">
        <v>2015</v>
      </c>
      <c r="C2" s="9" t="s">
        <v>70</v>
      </c>
      <c r="D2" s="9" t="s">
        <v>17</v>
      </c>
      <c r="E2" s="9" t="s">
        <v>86</v>
      </c>
      <c r="F2" s="10">
        <v>-521014.77</v>
      </c>
      <c r="G2" t="str">
        <f>VLOOKUP(D2,Lookup!A$1:B$84,2,FALSE)</f>
        <v>Associated</v>
      </c>
    </row>
    <row r="3" spans="1:7" ht="14.25" outlineLevel="1" collapsed="1">
      <c r="A3" s="8"/>
      <c r="B3" s="8"/>
      <c r="C3" s="9"/>
      <c r="D3" s="9"/>
      <c r="E3" s="9"/>
      <c r="F3" s="10">
        <f>SUBTOTAL(9,F2:F2)</f>
        <v>-521014.77</v>
      </c>
      <c r="G3" s="7" t="s">
        <v>126</v>
      </c>
    </row>
    <row r="4" spans="1:7" ht="14.25" hidden="1" outlineLevel="2">
      <c r="A4" s="8">
        <v>8</v>
      </c>
      <c r="B4" s="8">
        <v>2015</v>
      </c>
      <c r="C4" s="9" t="s">
        <v>70</v>
      </c>
      <c r="D4" s="9" t="s">
        <v>22</v>
      </c>
      <c r="E4" s="9" t="s">
        <v>89</v>
      </c>
      <c r="F4" s="10">
        <v>-187282.18</v>
      </c>
      <c r="G4" t="str">
        <f>VLOOKUP(D4,Lookup!A$1:B$84,2,FALSE)</f>
        <v>FERC</v>
      </c>
    </row>
    <row r="5" spans="1:7" ht="14.25" hidden="1" outlineLevel="2">
      <c r="A5" s="8">
        <v>8</v>
      </c>
      <c r="B5" s="8">
        <v>2015</v>
      </c>
      <c r="C5" s="9" t="s">
        <v>70</v>
      </c>
      <c r="D5" s="9" t="s">
        <v>24</v>
      </c>
      <c r="E5" s="9" t="s">
        <v>90</v>
      </c>
      <c r="F5" s="10">
        <v>-343953.37</v>
      </c>
      <c r="G5" t="str">
        <f>VLOOKUP(D5,Lookup!A$1:B$84,2,FALSE)</f>
        <v>FERC</v>
      </c>
    </row>
    <row r="6" spans="1:7" ht="14.25" hidden="1" outlineLevel="2">
      <c r="A6" s="8">
        <v>8</v>
      </c>
      <c r="B6" s="8">
        <v>2015</v>
      </c>
      <c r="C6" s="9" t="s">
        <v>70</v>
      </c>
      <c r="D6" s="9" t="s">
        <v>40</v>
      </c>
      <c r="E6" s="9" t="s">
        <v>105</v>
      </c>
      <c r="F6" s="10">
        <v>89577.41</v>
      </c>
      <c r="G6" t="str">
        <f>VLOOKUP(D6,Lookup!A$1:B$84,2,FALSE)</f>
        <v>FERC</v>
      </c>
    </row>
    <row r="7" spans="1:7" ht="14.25" hidden="1" outlineLevel="2">
      <c r="A7" s="8">
        <v>8</v>
      </c>
      <c r="B7" s="8">
        <v>2015</v>
      </c>
      <c r="C7" s="9" t="s">
        <v>106</v>
      </c>
      <c r="D7" s="9" t="s">
        <v>40</v>
      </c>
      <c r="E7" s="9" t="s">
        <v>105</v>
      </c>
      <c r="F7" s="10">
        <v>-111098.81</v>
      </c>
      <c r="G7" t="str">
        <f>VLOOKUP(D7,Lookup!A$1:B$84,2,FALSE)</f>
        <v>FERC</v>
      </c>
    </row>
    <row r="8" spans="1:7" ht="14.25" outlineLevel="1" collapsed="1">
      <c r="A8" s="8"/>
      <c r="B8" s="8"/>
      <c r="C8" s="9"/>
      <c r="D8" s="9"/>
      <c r="E8" s="9"/>
      <c r="F8" s="10">
        <f>SUBTOTAL(9,F4:F7)</f>
        <v>-552756.95</v>
      </c>
      <c r="G8" s="7" t="s">
        <v>127</v>
      </c>
    </row>
    <row r="9" spans="1:7" ht="14.25" hidden="1" outlineLevel="2">
      <c r="A9" s="8">
        <v>8</v>
      </c>
      <c r="B9" s="8">
        <v>2015</v>
      </c>
      <c r="C9" s="9" t="s">
        <v>70</v>
      </c>
      <c r="D9" s="9" t="s">
        <v>19</v>
      </c>
      <c r="E9" s="9" t="s">
        <v>87</v>
      </c>
      <c r="F9" s="10">
        <v>-1501753.59</v>
      </c>
      <c r="G9" t="str">
        <f>VLOOKUP(D9,Lookup!A$1:B$84,2,FALSE)</f>
        <v>Non-Physical</v>
      </c>
    </row>
    <row r="10" spans="1:7" ht="14.25" hidden="1" outlineLevel="2">
      <c r="A10" s="8">
        <v>8</v>
      </c>
      <c r="B10" s="8">
        <v>2015</v>
      </c>
      <c r="C10" s="9" t="s">
        <v>70</v>
      </c>
      <c r="D10" s="9" t="s">
        <v>21</v>
      </c>
      <c r="E10" s="9" t="s">
        <v>88</v>
      </c>
      <c r="F10" s="10">
        <v>1081288.27</v>
      </c>
      <c r="G10" t="str">
        <f>VLOOKUP(D10,Lookup!A$1:B$84,2,FALSE)</f>
        <v>Non-Physical</v>
      </c>
    </row>
    <row r="11" spans="1:7" ht="14.25" hidden="1" outlineLevel="2">
      <c r="A11" s="8">
        <v>8</v>
      </c>
      <c r="B11" s="8">
        <v>2015</v>
      </c>
      <c r="C11" s="9" t="s">
        <v>70</v>
      </c>
      <c r="D11" s="9" t="s">
        <v>25</v>
      </c>
      <c r="E11" s="9" t="s">
        <v>91</v>
      </c>
      <c r="F11" s="10">
        <v>189.98</v>
      </c>
      <c r="G11" t="str">
        <f>VLOOKUP(D11,Lookup!A$1:B$84,2,FALSE)</f>
        <v>Non-Physical</v>
      </c>
    </row>
    <row r="12" spans="1:7" ht="14.25" hidden="1" outlineLevel="2">
      <c r="A12" s="8">
        <v>8</v>
      </c>
      <c r="B12" s="8">
        <v>2015</v>
      </c>
      <c r="C12" s="9" t="s">
        <v>70</v>
      </c>
      <c r="D12" s="9" t="s">
        <v>26</v>
      </c>
      <c r="E12" s="9" t="s">
        <v>92</v>
      </c>
      <c r="F12" s="10">
        <v>407583.98</v>
      </c>
      <c r="G12" t="str">
        <f>VLOOKUP(D12,Lookup!A$1:B$84,2,FALSE)</f>
        <v>Non-Physical</v>
      </c>
    </row>
    <row r="13" spans="1:7" ht="14.25" hidden="1" outlineLevel="2">
      <c r="A13" s="8">
        <v>8</v>
      </c>
      <c r="B13" s="8">
        <v>2015</v>
      </c>
      <c r="C13" s="9" t="s">
        <v>70</v>
      </c>
      <c r="D13" s="9" t="s">
        <v>41</v>
      </c>
      <c r="E13" s="9" t="s">
        <v>107</v>
      </c>
      <c r="F13" s="10">
        <v>-308953.67</v>
      </c>
      <c r="G13" t="str">
        <f>VLOOKUP(D13,Lookup!A$1:B$84,2,FALSE)</f>
        <v>Non-Physical</v>
      </c>
    </row>
    <row r="14" spans="1:7" ht="14.25" hidden="1" outlineLevel="2">
      <c r="A14" s="8">
        <v>8</v>
      </c>
      <c r="B14" s="8">
        <v>2015</v>
      </c>
      <c r="C14" s="9" t="s">
        <v>70</v>
      </c>
      <c r="D14" s="9" t="s">
        <v>43</v>
      </c>
      <c r="E14" s="9" t="s">
        <v>108</v>
      </c>
      <c r="F14" s="10">
        <v>1821.06</v>
      </c>
      <c r="G14" t="str">
        <f>VLOOKUP(D14,Lookup!A$1:B$84,2,FALSE)</f>
        <v>Non-Physical</v>
      </c>
    </row>
    <row r="15" spans="1:7" ht="14.25" hidden="1" outlineLevel="2">
      <c r="A15" s="8">
        <v>8</v>
      </c>
      <c r="B15" s="8">
        <v>2015</v>
      </c>
      <c r="C15" s="9" t="s">
        <v>70</v>
      </c>
      <c r="D15" s="9" t="s">
        <v>54</v>
      </c>
      <c r="E15" s="9" t="s">
        <v>132</v>
      </c>
      <c r="F15" s="10">
        <v>9.06</v>
      </c>
      <c r="G15" t="str">
        <f>VLOOKUP(D15,Lookup!A$1:B$84,2,FALSE)</f>
        <v>Non-Physical</v>
      </c>
    </row>
    <row r="16" spans="1:7" ht="14.25" hidden="1" outlineLevel="2">
      <c r="A16" s="8">
        <v>8</v>
      </c>
      <c r="B16" s="8">
        <v>2015</v>
      </c>
      <c r="C16" s="9" t="s">
        <v>70</v>
      </c>
      <c r="D16" s="9" t="s">
        <v>55</v>
      </c>
      <c r="E16" s="9" t="s">
        <v>119</v>
      </c>
      <c r="F16" s="10">
        <v>4519.37</v>
      </c>
      <c r="G16" t="str">
        <f>VLOOKUP(D16,Lookup!A$1:B$84,2,FALSE)</f>
        <v>Non-Physical</v>
      </c>
    </row>
    <row r="17" spans="1:7" ht="14.25" hidden="1" outlineLevel="2">
      <c r="A17" s="8">
        <v>8</v>
      </c>
      <c r="B17" s="8">
        <v>2015</v>
      </c>
      <c r="C17" s="9" t="s">
        <v>70</v>
      </c>
      <c r="D17" s="9" t="s">
        <v>56</v>
      </c>
      <c r="E17" s="9" t="s">
        <v>120</v>
      </c>
      <c r="F17" s="10">
        <v>197671.22</v>
      </c>
      <c r="G17" t="str">
        <f>VLOOKUP(D17,Lookup!A$1:B$84,2,FALSE)</f>
        <v>Non-Physical</v>
      </c>
    </row>
    <row r="18" spans="1:7" ht="14.25" outlineLevel="1" collapsed="1">
      <c r="A18" s="8"/>
      <c r="B18" s="8"/>
      <c r="C18" s="9"/>
      <c r="D18" s="9"/>
      <c r="E18" s="9"/>
      <c r="F18" s="10">
        <f>SUBTOTAL(9,F9:F17)</f>
        <v>-117624.3200000001</v>
      </c>
      <c r="G18" s="7" t="s">
        <v>128</v>
      </c>
    </row>
    <row r="19" spans="1:7" ht="14.25" hidden="1" outlineLevel="2">
      <c r="A19" s="8">
        <v>8</v>
      </c>
      <c r="B19" s="8">
        <v>2015</v>
      </c>
      <c r="C19" s="9" t="s">
        <v>70</v>
      </c>
      <c r="D19" s="9" t="s">
        <v>27</v>
      </c>
      <c r="E19" s="9" t="s">
        <v>93</v>
      </c>
      <c r="F19" s="10">
        <v>-1608383.339</v>
      </c>
      <c r="G19" t="str">
        <f>VLOOKUP(D19,Lookup!A$1:B$84,2,FALSE)</f>
        <v>OSS</v>
      </c>
    </row>
    <row r="20" spans="1:7" ht="14.25" hidden="1" outlineLevel="2">
      <c r="A20" s="8">
        <v>8</v>
      </c>
      <c r="B20" s="8">
        <v>2015</v>
      </c>
      <c r="C20" s="9" t="s">
        <v>70</v>
      </c>
      <c r="D20" s="9" t="s">
        <v>29</v>
      </c>
      <c r="E20" s="9" t="s">
        <v>94</v>
      </c>
      <c r="F20" s="10">
        <v>27773.36</v>
      </c>
      <c r="G20" t="str">
        <f>VLOOKUP(D20,Lookup!A$1:B$84,2,FALSE)</f>
        <v>OSS</v>
      </c>
    </row>
    <row r="21" spans="1:7" ht="14.25" hidden="1" outlineLevel="2">
      <c r="A21" s="8">
        <v>8</v>
      </c>
      <c r="B21" s="8">
        <v>2015</v>
      </c>
      <c r="C21" s="9" t="s">
        <v>70</v>
      </c>
      <c r="D21" s="9" t="s">
        <v>30</v>
      </c>
      <c r="E21" s="9" t="s">
        <v>95</v>
      </c>
      <c r="F21" s="10">
        <v>-93524.03</v>
      </c>
      <c r="G21" t="str">
        <f>VLOOKUP(D21,Lookup!A$1:B$84,2,FALSE)</f>
        <v>OSS</v>
      </c>
    </row>
    <row r="22" spans="1:7" ht="14.25" hidden="1" outlineLevel="2">
      <c r="A22" s="8">
        <v>8</v>
      </c>
      <c r="B22" s="8">
        <v>2015</v>
      </c>
      <c r="C22" s="9" t="s">
        <v>70</v>
      </c>
      <c r="D22" s="9" t="s">
        <v>31</v>
      </c>
      <c r="E22" s="9" t="s">
        <v>96</v>
      </c>
      <c r="F22" s="10">
        <v>-21558.61</v>
      </c>
      <c r="G22" t="str">
        <f>VLOOKUP(D22,Lookup!A$1:B$84,2,FALSE)</f>
        <v>OSS</v>
      </c>
    </row>
    <row r="23" spans="1:7" ht="14.25" hidden="1" outlineLevel="2">
      <c r="A23" s="8">
        <v>8</v>
      </c>
      <c r="B23" s="8">
        <v>2015</v>
      </c>
      <c r="C23" s="9" t="s">
        <v>70</v>
      </c>
      <c r="D23" s="9" t="s">
        <v>32</v>
      </c>
      <c r="E23" s="9" t="s">
        <v>97</v>
      </c>
      <c r="F23" s="10">
        <v>-5757400.791</v>
      </c>
      <c r="G23" t="str">
        <f>VLOOKUP(D23,Lookup!A$1:B$84,2,FALSE)</f>
        <v>OSS</v>
      </c>
    </row>
    <row r="24" spans="1:7" ht="14.25" hidden="1" outlineLevel="2">
      <c r="A24" s="8">
        <v>8</v>
      </c>
      <c r="B24" s="8">
        <v>2015</v>
      </c>
      <c r="C24" s="9" t="s">
        <v>70</v>
      </c>
      <c r="D24" s="9" t="s">
        <v>33</v>
      </c>
      <c r="E24" s="9" t="s">
        <v>98</v>
      </c>
      <c r="F24" s="10">
        <v>1529.18</v>
      </c>
      <c r="G24" t="str">
        <f>VLOOKUP(D24,Lookup!A$1:B$84,2,FALSE)</f>
        <v>OSS</v>
      </c>
    </row>
    <row r="25" spans="1:7" ht="14.25" hidden="1" outlineLevel="2">
      <c r="A25" s="8">
        <v>8</v>
      </c>
      <c r="B25" s="8">
        <v>2015</v>
      </c>
      <c r="C25" s="9" t="s">
        <v>70</v>
      </c>
      <c r="D25" s="9" t="s">
        <v>34</v>
      </c>
      <c r="E25" s="9" t="s">
        <v>99</v>
      </c>
      <c r="F25" s="10">
        <v>-15.52</v>
      </c>
      <c r="G25" t="str">
        <f>VLOOKUP(D25,Lookup!A$1:B$84,2,FALSE)</f>
        <v>OSS</v>
      </c>
    </row>
    <row r="26" spans="1:7" ht="14.25" hidden="1" outlineLevel="2">
      <c r="A26" s="8">
        <v>8</v>
      </c>
      <c r="B26" s="8">
        <v>2015</v>
      </c>
      <c r="C26" s="9" t="s">
        <v>70</v>
      </c>
      <c r="D26" s="9" t="s">
        <v>35</v>
      </c>
      <c r="E26" s="9" t="s">
        <v>100</v>
      </c>
      <c r="F26" s="10">
        <v>-568965.34</v>
      </c>
      <c r="G26" t="str">
        <f>VLOOKUP(D26,Lookup!A$1:B$84,2,FALSE)</f>
        <v>OSS</v>
      </c>
    </row>
    <row r="27" spans="1:7" ht="14.25" hidden="1" outlineLevel="2">
      <c r="A27" s="8">
        <v>8</v>
      </c>
      <c r="B27" s="8">
        <v>2015</v>
      </c>
      <c r="C27" s="9" t="s">
        <v>70</v>
      </c>
      <c r="D27" s="9" t="s">
        <v>36</v>
      </c>
      <c r="E27" s="9" t="s">
        <v>101</v>
      </c>
      <c r="F27" s="10">
        <v>121979.98</v>
      </c>
      <c r="G27" t="str">
        <f>VLOOKUP(D27,Lookup!A$1:B$84,2,FALSE)</f>
        <v>OSS</v>
      </c>
    </row>
    <row r="28" spans="1:7" ht="14.25" hidden="1" outlineLevel="2">
      <c r="A28" s="8">
        <v>8</v>
      </c>
      <c r="B28" s="8">
        <v>2015</v>
      </c>
      <c r="C28" s="9" t="s">
        <v>70</v>
      </c>
      <c r="D28" s="9" t="s">
        <v>37</v>
      </c>
      <c r="E28" s="9" t="s">
        <v>102</v>
      </c>
      <c r="F28" s="10">
        <v>97396.47</v>
      </c>
      <c r="G28" t="str">
        <f>VLOOKUP(D28,Lookup!A$1:B$84,2,FALSE)</f>
        <v>OSS</v>
      </c>
    </row>
    <row r="29" spans="1:7" ht="14.25" hidden="1" outlineLevel="2">
      <c r="A29" s="8">
        <v>8</v>
      </c>
      <c r="B29" s="8">
        <v>2015</v>
      </c>
      <c r="C29" s="9" t="s">
        <v>70</v>
      </c>
      <c r="D29" s="9" t="s">
        <v>38</v>
      </c>
      <c r="E29" s="9" t="s">
        <v>103</v>
      </c>
      <c r="F29" s="10">
        <v>757518.57</v>
      </c>
      <c r="G29" t="str">
        <f>VLOOKUP(D29,Lookup!A$1:B$84,2,FALSE)</f>
        <v>OSS</v>
      </c>
    </row>
    <row r="30" spans="1:7" ht="14.25" hidden="1" outlineLevel="2">
      <c r="A30" s="8">
        <v>8</v>
      </c>
      <c r="B30" s="8">
        <v>2015</v>
      </c>
      <c r="C30" s="9" t="s">
        <v>70</v>
      </c>
      <c r="D30" s="9" t="s">
        <v>39</v>
      </c>
      <c r="E30" s="9" t="s">
        <v>104</v>
      </c>
      <c r="F30" s="10">
        <v>-500620.83</v>
      </c>
      <c r="G30" t="str">
        <f>VLOOKUP(D30,Lookup!A$1:B$84,2,FALSE)</f>
        <v>OSS</v>
      </c>
    </row>
    <row r="31" spans="1:7" ht="14.25" hidden="1" outlineLevel="2">
      <c r="A31" s="8">
        <v>8</v>
      </c>
      <c r="B31" s="8">
        <v>2015</v>
      </c>
      <c r="C31" s="9" t="s">
        <v>70</v>
      </c>
      <c r="D31" s="9" t="s">
        <v>44</v>
      </c>
      <c r="E31" s="9" t="s">
        <v>109</v>
      </c>
      <c r="F31" s="10">
        <v>-861551.02</v>
      </c>
      <c r="G31" t="str">
        <f>VLOOKUP(D31,Lookup!A$1:B$84,2,FALSE)</f>
        <v>OSS</v>
      </c>
    </row>
    <row r="32" spans="1:7" ht="14.25" hidden="1" outlineLevel="2">
      <c r="A32" s="8">
        <v>8</v>
      </c>
      <c r="B32" s="8">
        <v>2015</v>
      </c>
      <c r="C32" s="9" t="s">
        <v>70</v>
      </c>
      <c r="D32" s="9" t="s">
        <v>45</v>
      </c>
      <c r="E32" s="9" t="s">
        <v>110</v>
      </c>
      <c r="F32" s="10">
        <v>861551.02</v>
      </c>
      <c r="G32" t="str">
        <f>VLOOKUP(D32,Lookup!A$1:B$84,2,FALSE)</f>
        <v>OSS</v>
      </c>
    </row>
    <row r="33" spans="1:7" ht="14.25" hidden="1" outlineLevel="2">
      <c r="A33" s="8">
        <v>8</v>
      </c>
      <c r="B33" s="8">
        <v>2015</v>
      </c>
      <c r="C33" s="9" t="s">
        <v>70</v>
      </c>
      <c r="D33" s="9" t="s">
        <v>46</v>
      </c>
      <c r="E33" s="9" t="s">
        <v>111</v>
      </c>
      <c r="F33" s="10">
        <v>-77007.93</v>
      </c>
      <c r="G33" t="str">
        <f>VLOOKUP(D33,Lookup!A$1:B$84,2,FALSE)</f>
        <v>OSS</v>
      </c>
    </row>
    <row r="34" spans="1:7" ht="14.25" hidden="1" outlineLevel="2">
      <c r="A34" s="8">
        <v>8</v>
      </c>
      <c r="B34" s="8">
        <v>2015</v>
      </c>
      <c r="C34" s="9" t="s">
        <v>70</v>
      </c>
      <c r="D34" s="9" t="s">
        <v>47</v>
      </c>
      <c r="E34" s="9" t="s">
        <v>112</v>
      </c>
      <c r="F34" s="10">
        <v>353716.02</v>
      </c>
      <c r="G34" t="str">
        <f>VLOOKUP(D34,Lookup!A$1:B$84,2,FALSE)</f>
        <v>OSS</v>
      </c>
    </row>
    <row r="35" spans="1:7" ht="14.25" hidden="1" outlineLevel="2">
      <c r="A35" s="8">
        <v>8</v>
      </c>
      <c r="B35" s="8">
        <v>2015</v>
      </c>
      <c r="C35" s="9" t="s">
        <v>70</v>
      </c>
      <c r="D35" s="9" t="s">
        <v>48</v>
      </c>
      <c r="E35" s="9" t="s">
        <v>113</v>
      </c>
      <c r="F35" s="10">
        <v>-131079.72</v>
      </c>
      <c r="G35" t="str">
        <f>VLOOKUP(D35,Lookup!A$1:B$84,2,FALSE)</f>
        <v>OSS</v>
      </c>
    </row>
    <row r="36" spans="1:7" ht="14.25" hidden="1" outlineLevel="2">
      <c r="A36" s="8">
        <v>8</v>
      </c>
      <c r="B36" s="8">
        <v>2015</v>
      </c>
      <c r="C36" s="9" t="s">
        <v>70</v>
      </c>
      <c r="D36" s="9" t="s">
        <v>49</v>
      </c>
      <c r="E36" s="9" t="s">
        <v>114</v>
      </c>
      <c r="F36" s="10">
        <v>78673.6</v>
      </c>
      <c r="G36" t="str">
        <f>VLOOKUP(D36,Lookup!A$1:B$84,2,FALSE)</f>
        <v>OSS</v>
      </c>
    </row>
    <row r="37" spans="1:7" ht="14.25" hidden="1" outlineLevel="2">
      <c r="A37" s="8">
        <v>8</v>
      </c>
      <c r="B37" s="8">
        <v>2015</v>
      </c>
      <c r="C37" s="9" t="s">
        <v>70</v>
      </c>
      <c r="D37" s="9" t="s">
        <v>50</v>
      </c>
      <c r="E37" s="9" t="s">
        <v>115</v>
      </c>
      <c r="F37" s="10">
        <v>-17765.09</v>
      </c>
      <c r="G37" t="str">
        <f>VLOOKUP(D37,Lookup!A$1:B$84,2,FALSE)</f>
        <v>OSS</v>
      </c>
    </row>
    <row r="38" spans="1:7" ht="14.25" hidden="1" outlineLevel="2">
      <c r="A38" s="8">
        <v>8</v>
      </c>
      <c r="B38" s="8">
        <v>2015</v>
      </c>
      <c r="C38" s="9" t="s">
        <v>70</v>
      </c>
      <c r="D38" s="9" t="s">
        <v>51</v>
      </c>
      <c r="E38" s="9" t="s">
        <v>116</v>
      </c>
      <c r="F38" s="10">
        <v>-25202.56</v>
      </c>
      <c r="G38" t="str">
        <f>VLOOKUP(D38,Lookup!A$1:B$84,2,FALSE)</f>
        <v>OSS</v>
      </c>
    </row>
    <row r="39" spans="1:7" ht="14.25" hidden="1" outlineLevel="2">
      <c r="A39" s="8">
        <v>8</v>
      </c>
      <c r="B39" s="8">
        <v>2015</v>
      </c>
      <c r="C39" s="9" t="s">
        <v>70</v>
      </c>
      <c r="D39" s="9" t="s">
        <v>53</v>
      </c>
      <c r="E39" s="9" t="s">
        <v>118</v>
      </c>
      <c r="F39" s="10">
        <v>465.71</v>
      </c>
      <c r="G39" t="str">
        <f>VLOOKUP(D39,Lookup!A$1:B$84,2,FALSE)</f>
        <v>OSS</v>
      </c>
    </row>
    <row r="40" spans="1:7" ht="14.25" hidden="1" outlineLevel="2">
      <c r="A40" s="8">
        <v>8</v>
      </c>
      <c r="B40" s="8">
        <v>2015</v>
      </c>
      <c r="C40" s="9" t="s">
        <v>68</v>
      </c>
      <c r="D40" s="9" t="s">
        <v>57</v>
      </c>
      <c r="E40" s="9" t="s">
        <v>121</v>
      </c>
      <c r="F40" s="10">
        <v>-1568.32</v>
      </c>
      <c r="G40" t="str">
        <f>VLOOKUP(D40,Lookup!A$1:B$84,2,FALSE)</f>
        <v>OSS</v>
      </c>
    </row>
    <row r="41" spans="1:7" ht="14.25" hidden="1" outlineLevel="2">
      <c r="A41" s="8">
        <v>8</v>
      </c>
      <c r="B41" s="8">
        <v>2015</v>
      </c>
      <c r="C41" s="9" t="s">
        <v>70</v>
      </c>
      <c r="D41" s="9" t="s">
        <v>58</v>
      </c>
      <c r="E41" s="9" t="s">
        <v>122</v>
      </c>
      <c r="F41" s="10">
        <v>29018.8</v>
      </c>
      <c r="G41" t="str">
        <f>VLOOKUP(D41,Lookup!A$1:B$84,2,FALSE)</f>
        <v>OSS</v>
      </c>
    </row>
    <row r="42" spans="1:7" ht="14.25" hidden="1" outlineLevel="2">
      <c r="A42" s="8">
        <v>8</v>
      </c>
      <c r="B42" s="8">
        <v>2015</v>
      </c>
      <c r="C42" s="9" t="s">
        <v>106</v>
      </c>
      <c r="D42" s="9" t="s">
        <v>59</v>
      </c>
      <c r="E42" s="9" t="s">
        <v>123</v>
      </c>
      <c r="F42" s="10">
        <v>0</v>
      </c>
      <c r="G42" t="str">
        <f>VLOOKUP(D42,Lookup!A$1:B$84,2,FALSE)</f>
        <v>OSS</v>
      </c>
    </row>
    <row r="43" spans="1:7" ht="14.25" hidden="1" outlineLevel="2">
      <c r="A43" s="8">
        <v>8</v>
      </c>
      <c r="B43" s="8">
        <v>2015</v>
      </c>
      <c r="C43" s="9" t="s">
        <v>70</v>
      </c>
      <c r="D43" s="9" t="s">
        <v>60</v>
      </c>
      <c r="E43" s="9" t="s">
        <v>124</v>
      </c>
      <c r="F43" s="10">
        <v>7025.75</v>
      </c>
      <c r="G43" t="str">
        <f>VLOOKUP(D43,Lookup!A$1:B$84,2,FALSE)</f>
        <v>OSS</v>
      </c>
    </row>
    <row r="44" spans="1:7" ht="14.25" hidden="1" outlineLevel="2">
      <c r="A44" s="8">
        <v>8</v>
      </c>
      <c r="B44" s="8">
        <v>2015</v>
      </c>
      <c r="C44" s="9" t="s">
        <v>70</v>
      </c>
      <c r="D44" s="9" t="s">
        <v>61</v>
      </c>
      <c r="E44" s="9" t="s">
        <v>125</v>
      </c>
      <c r="F44" s="10">
        <v>26157.98</v>
      </c>
      <c r="G44" t="str">
        <f>VLOOKUP(D44,Lookup!A$1:B$84,2,FALSE)</f>
        <v>OSS</v>
      </c>
    </row>
    <row r="45" spans="1:7" ht="14.25" outlineLevel="1" collapsed="1">
      <c r="A45" s="8"/>
      <c r="B45" s="8"/>
      <c r="C45" s="9"/>
      <c r="D45" s="9"/>
      <c r="E45" s="9"/>
      <c r="F45" s="10">
        <f>SUBTOTAL(9,F19:F44)</f>
        <v>-7301836.66</v>
      </c>
      <c r="G45" s="7" t="s">
        <v>129</v>
      </c>
    </row>
    <row r="46" spans="1:7" ht="14.25" hidden="1" outlineLevel="2">
      <c r="A46" s="8">
        <v>8</v>
      </c>
      <c r="B46" s="8">
        <v>2015</v>
      </c>
      <c r="C46" s="9" t="s">
        <v>68</v>
      </c>
      <c r="D46" s="9" t="s">
        <v>0</v>
      </c>
      <c r="E46" s="9" t="s">
        <v>69</v>
      </c>
      <c r="F46" s="10">
        <v>-8265504.33</v>
      </c>
      <c r="G46" t="str">
        <f>VLOOKUP(D46,Lookup!A$1:B$84,2,FALSE)</f>
        <v>Retail</v>
      </c>
    </row>
    <row r="47" spans="1:7" ht="14.25" hidden="1" outlineLevel="2">
      <c r="A47" s="8">
        <v>8</v>
      </c>
      <c r="B47" s="8">
        <v>2015</v>
      </c>
      <c r="C47" s="9" t="s">
        <v>70</v>
      </c>
      <c r="D47" s="9" t="s">
        <v>0</v>
      </c>
      <c r="E47" s="9" t="s">
        <v>69</v>
      </c>
      <c r="F47" s="10">
        <v>112837.63</v>
      </c>
      <c r="G47" t="str">
        <f>VLOOKUP(D47,Lookup!A$1:B$84,2,FALSE)</f>
        <v>Retail</v>
      </c>
    </row>
    <row r="48" spans="1:7" ht="14.25" hidden="1" outlineLevel="2">
      <c r="A48" s="8">
        <v>8</v>
      </c>
      <c r="B48" s="8">
        <v>2015</v>
      </c>
      <c r="C48" s="9" t="s">
        <v>68</v>
      </c>
      <c r="D48" s="9" t="s">
        <v>2</v>
      </c>
      <c r="E48" s="9" t="s">
        <v>71</v>
      </c>
      <c r="F48" s="10">
        <v>-4799024.12</v>
      </c>
      <c r="G48" t="str">
        <f>VLOOKUP(D48,Lookup!A$1:B$84,2,FALSE)</f>
        <v>Retail</v>
      </c>
    </row>
    <row r="49" spans="1:7" ht="13.5" customHeight="1" hidden="1" outlineLevel="2">
      <c r="A49" s="8">
        <v>8</v>
      </c>
      <c r="B49" s="8">
        <v>2015</v>
      </c>
      <c r="C49" s="9" t="s">
        <v>70</v>
      </c>
      <c r="D49" s="9" t="s">
        <v>2</v>
      </c>
      <c r="E49" s="9" t="s">
        <v>71</v>
      </c>
      <c r="F49" s="10">
        <v>63734.96</v>
      </c>
      <c r="G49" t="str">
        <f>VLOOKUP(D49,Lookup!A$1:B$84,2,FALSE)</f>
        <v>Retail</v>
      </c>
    </row>
    <row r="50" spans="1:7" ht="14.25" hidden="1" outlineLevel="2">
      <c r="A50" s="8">
        <v>8</v>
      </c>
      <c r="B50" s="8">
        <v>2015</v>
      </c>
      <c r="C50" s="9" t="s">
        <v>68</v>
      </c>
      <c r="D50" s="9" t="s">
        <v>3</v>
      </c>
      <c r="E50" s="9" t="s">
        <v>72</v>
      </c>
      <c r="F50" s="10">
        <v>-6421062.74</v>
      </c>
      <c r="G50" t="str">
        <f>VLOOKUP(D50,Lookup!A$1:B$84,2,FALSE)</f>
        <v>Retail</v>
      </c>
    </row>
    <row r="51" spans="1:7" ht="14.25" hidden="1" outlineLevel="2">
      <c r="A51" s="8">
        <v>8</v>
      </c>
      <c r="B51" s="8">
        <v>2015</v>
      </c>
      <c r="C51" s="9" t="s">
        <v>68</v>
      </c>
      <c r="D51" s="9" t="s">
        <v>4</v>
      </c>
      <c r="E51" s="9" t="s">
        <v>73</v>
      </c>
      <c r="F51" s="10">
        <v>-6418360.2</v>
      </c>
      <c r="G51" t="str">
        <f>VLOOKUP(D51,Lookup!A$1:B$84,2,FALSE)</f>
        <v>Retail</v>
      </c>
    </row>
    <row r="52" spans="1:7" ht="14.25" hidden="1" outlineLevel="2">
      <c r="A52" s="8">
        <v>8</v>
      </c>
      <c r="B52" s="8">
        <v>2015</v>
      </c>
      <c r="C52" s="9" t="s">
        <v>70</v>
      </c>
      <c r="D52" s="9" t="s">
        <v>4</v>
      </c>
      <c r="E52" s="9" t="s">
        <v>73</v>
      </c>
      <c r="F52" s="10">
        <v>-127449.03</v>
      </c>
      <c r="G52" t="str">
        <f>VLOOKUP(D52,Lookup!A$1:B$84,2,FALSE)</f>
        <v>Retail</v>
      </c>
    </row>
    <row r="53" spans="1:7" ht="14.25" hidden="1" outlineLevel="2">
      <c r="A53" s="8">
        <v>8</v>
      </c>
      <c r="B53" s="8">
        <v>2015</v>
      </c>
      <c r="C53" s="9" t="s">
        <v>68</v>
      </c>
      <c r="D53" s="9" t="s">
        <v>5</v>
      </c>
      <c r="E53" s="9" t="s">
        <v>74</v>
      </c>
      <c r="F53" s="10">
        <v>-4765200.99</v>
      </c>
      <c r="G53" t="str">
        <f>VLOOKUP(D53,Lookup!A$1:B$84,2,FALSE)</f>
        <v>Retail</v>
      </c>
    </row>
    <row r="54" spans="1:7" ht="14.25" hidden="1" outlineLevel="2">
      <c r="A54" s="8">
        <v>8</v>
      </c>
      <c r="B54" s="8">
        <v>2015</v>
      </c>
      <c r="C54" s="9" t="s">
        <v>70</v>
      </c>
      <c r="D54" s="9" t="s">
        <v>5</v>
      </c>
      <c r="E54" s="9" t="s">
        <v>74</v>
      </c>
      <c r="F54" s="10">
        <v>99201.21</v>
      </c>
      <c r="G54" t="str">
        <f>VLOOKUP(D54,Lookup!A$1:B$84,2,FALSE)</f>
        <v>Retail</v>
      </c>
    </row>
    <row r="55" spans="1:7" ht="14.25" hidden="1" outlineLevel="2">
      <c r="A55" s="8">
        <v>8</v>
      </c>
      <c r="B55" s="8">
        <v>2015</v>
      </c>
      <c r="C55" s="9" t="s">
        <v>68</v>
      </c>
      <c r="D55" s="9" t="s">
        <v>6</v>
      </c>
      <c r="E55" s="9" t="s">
        <v>75</v>
      </c>
      <c r="F55" s="10">
        <v>-2154721.08</v>
      </c>
      <c r="G55" t="str">
        <f>VLOOKUP(D55,Lookup!A$1:B$84,2,FALSE)</f>
        <v>Retail</v>
      </c>
    </row>
    <row r="56" spans="1:7" ht="14.25" hidden="1" outlineLevel="2">
      <c r="A56" s="8">
        <v>8</v>
      </c>
      <c r="B56" s="8">
        <v>2015</v>
      </c>
      <c r="C56" s="9" t="s">
        <v>70</v>
      </c>
      <c r="D56" s="9" t="s">
        <v>6</v>
      </c>
      <c r="E56" s="9" t="s">
        <v>75</v>
      </c>
      <c r="F56" s="10">
        <v>-4553.82</v>
      </c>
      <c r="G56" t="str">
        <f>VLOOKUP(D56,Lookup!A$1:B$84,2,FALSE)</f>
        <v>Retail</v>
      </c>
    </row>
    <row r="57" spans="1:7" ht="14.25" hidden="1" outlineLevel="2">
      <c r="A57" s="8">
        <v>8</v>
      </c>
      <c r="B57" s="8">
        <v>2015</v>
      </c>
      <c r="C57" s="9" t="s">
        <v>68</v>
      </c>
      <c r="D57" s="9" t="s">
        <v>7</v>
      </c>
      <c r="E57" s="9" t="s">
        <v>76</v>
      </c>
      <c r="F57" s="10">
        <v>0</v>
      </c>
      <c r="G57" t="str">
        <f>VLOOKUP(D57,Lookup!A$1:B$84,2,FALSE)</f>
        <v>Retail</v>
      </c>
    </row>
    <row r="58" spans="1:7" ht="14.25" hidden="1" outlineLevel="2">
      <c r="A58" s="8">
        <v>8</v>
      </c>
      <c r="B58" s="8">
        <v>2015</v>
      </c>
      <c r="C58" s="9" t="s">
        <v>68</v>
      </c>
      <c r="D58" s="9" t="s">
        <v>8</v>
      </c>
      <c r="E58" s="9" t="s">
        <v>77</v>
      </c>
      <c r="F58" s="10">
        <v>-1253554.38</v>
      </c>
      <c r="G58" t="str">
        <f>VLOOKUP(D58,Lookup!A$1:B$84,2,FALSE)</f>
        <v>Retail</v>
      </c>
    </row>
    <row r="59" spans="1:7" ht="14.25" hidden="1" outlineLevel="2">
      <c r="A59" s="8">
        <v>8</v>
      </c>
      <c r="B59" s="8">
        <v>2015</v>
      </c>
      <c r="C59" s="9" t="s">
        <v>70</v>
      </c>
      <c r="D59" s="9" t="s">
        <v>8</v>
      </c>
      <c r="E59" s="9" t="s">
        <v>77</v>
      </c>
      <c r="F59" s="10">
        <v>-14673.89</v>
      </c>
      <c r="G59" t="str">
        <f>VLOOKUP(D59,Lookup!A$1:B$84,2,FALSE)</f>
        <v>Retail</v>
      </c>
    </row>
    <row r="60" spans="1:7" ht="14.25" hidden="1" outlineLevel="2">
      <c r="A60" s="8">
        <v>8</v>
      </c>
      <c r="B60" s="8">
        <v>2015</v>
      </c>
      <c r="C60" s="9" t="s">
        <v>68</v>
      </c>
      <c r="D60" s="9" t="s">
        <v>9</v>
      </c>
      <c r="E60" s="9" t="s">
        <v>78</v>
      </c>
      <c r="F60" s="10">
        <v>-1202219.22</v>
      </c>
      <c r="G60" t="str">
        <f>VLOOKUP(D60,Lookup!A$1:B$84,2,FALSE)</f>
        <v>Retail</v>
      </c>
    </row>
    <row r="61" spans="1:7" ht="14.25" hidden="1" outlineLevel="2">
      <c r="A61" s="8">
        <v>8</v>
      </c>
      <c r="B61" s="8">
        <v>2015</v>
      </c>
      <c r="C61" s="9" t="s">
        <v>70</v>
      </c>
      <c r="D61" s="9" t="s">
        <v>9</v>
      </c>
      <c r="E61" s="9" t="s">
        <v>78</v>
      </c>
      <c r="F61" s="10">
        <v>-26887.23</v>
      </c>
      <c r="G61" t="str">
        <f>VLOOKUP(D61,Lookup!A$1:B$84,2,FALSE)</f>
        <v>Retail</v>
      </c>
    </row>
    <row r="62" spans="1:7" ht="14.25" hidden="1" outlineLevel="2">
      <c r="A62" s="8">
        <v>8</v>
      </c>
      <c r="B62" s="8">
        <v>2015</v>
      </c>
      <c r="C62" s="9" t="s">
        <v>68</v>
      </c>
      <c r="D62" s="9" t="s">
        <v>10</v>
      </c>
      <c r="E62" s="9" t="s">
        <v>79</v>
      </c>
      <c r="F62" s="10">
        <v>-4029101.36</v>
      </c>
      <c r="G62" t="str">
        <f>VLOOKUP(D62,Lookup!A$1:B$84,2,FALSE)</f>
        <v>Retail</v>
      </c>
    </row>
    <row r="63" spans="1:7" ht="14.25" hidden="1" outlineLevel="2">
      <c r="A63" s="8">
        <v>8</v>
      </c>
      <c r="B63" s="8">
        <v>2015</v>
      </c>
      <c r="C63" s="9" t="s">
        <v>68</v>
      </c>
      <c r="D63" s="9" t="s">
        <v>11</v>
      </c>
      <c r="E63" s="9" t="s">
        <v>80</v>
      </c>
      <c r="F63" s="10">
        <v>-7951232.36</v>
      </c>
      <c r="G63" t="str">
        <f>VLOOKUP(D63,Lookup!A$1:B$84,2,FALSE)</f>
        <v>Retail</v>
      </c>
    </row>
    <row r="64" spans="1:7" ht="14.25" hidden="1" outlineLevel="2">
      <c r="A64" s="8">
        <v>8</v>
      </c>
      <c r="B64" s="8">
        <v>2015</v>
      </c>
      <c r="C64" s="9" t="s">
        <v>68</v>
      </c>
      <c r="D64" s="9" t="s">
        <v>12</v>
      </c>
      <c r="E64" s="9" t="s">
        <v>81</v>
      </c>
      <c r="F64" s="10">
        <v>0</v>
      </c>
      <c r="G64" t="str">
        <f>VLOOKUP(D64,Lookup!A$1:B$84,2,FALSE)</f>
        <v>Retail</v>
      </c>
    </row>
    <row r="65" spans="1:7" ht="14.25" hidden="1" outlineLevel="2">
      <c r="A65" s="8">
        <v>8</v>
      </c>
      <c r="B65" s="8">
        <v>2015</v>
      </c>
      <c r="C65" s="9" t="s">
        <v>68</v>
      </c>
      <c r="D65" s="9" t="s">
        <v>13</v>
      </c>
      <c r="E65" s="9" t="s">
        <v>82</v>
      </c>
      <c r="F65" s="10">
        <v>-124490.13</v>
      </c>
      <c r="G65" t="str">
        <f>VLOOKUP(D65,Lookup!A$1:B$84,2,FALSE)</f>
        <v>Retail</v>
      </c>
    </row>
    <row r="66" spans="1:7" ht="14.25" hidden="1" outlineLevel="2">
      <c r="A66" s="8">
        <v>8</v>
      </c>
      <c r="B66" s="8">
        <v>2015</v>
      </c>
      <c r="C66" s="9" t="s">
        <v>70</v>
      </c>
      <c r="D66" s="9" t="s">
        <v>13</v>
      </c>
      <c r="E66" s="9" t="s">
        <v>82</v>
      </c>
      <c r="F66" s="10">
        <v>2343.76</v>
      </c>
      <c r="G66" t="str">
        <f>VLOOKUP(D66,Lookup!A$1:B$84,2,FALSE)</f>
        <v>Retail</v>
      </c>
    </row>
    <row r="67" spans="1:7" ht="14.25" hidden="1" outlineLevel="2">
      <c r="A67" s="8">
        <v>8</v>
      </c>
      <c r="B67" s="8">
        <v>2015</v>
      </c>
      <c r="C67" s="9" t="s">
        <v>68</v>
      </c>
      <c r="D67" s="9" t="s">
        <v>14</v>
      </c>
      <c r="E67" s="9" t="s">
        <v>83</v>
      </c>
      <c r="F67" s="10">
        <v>-28436.12</v>
      </c>
      <c r="G67" t="str">
        <f>VLOOKUP(D67,Lookup!A$1:B$84,2,FALSE)</f>
        <v>Retail</v>
      </c>
    </row>
    <row r="68" spans="1:7" ht="14.25" hidden="1" outlineLevel="2">
      <c r="A68" s="8">
        <v>8</v>
      </c>
      <c r="B68" s="8">
        <v>2015</v>
      </c>
      <c r="C68" s="9" t="s">
        <v>68</v>
      </c>
      <c r="D68" s="9" t="s">
        <v>15</v>
      </c>
      <c r="E68" s="9" t="s">
        <v>84</v>
      </c>
      <c r="F68" s="10">
        <v>0</v>
      </c>
      <c r="G68" t="str">
        <f>VLOOKUP(D68,Lookup!A$1:B$84,2,FALSE)</f>
        <v>Retail</v>
      </c>
    </row>
    <row r="69" spans="1:7" ht="14.25" hidden="1" outlineLevel="2">
      <c r="A69" s="8">
        <v>8</v>
      </c>
      <c r="B69" s="8">
        <v>2015</v>
      </c>
      <c r="C69" s="9" t="s">
        <v>68</v>
      </c>
      <c r="D69" s="9" t="s">
        <v>16</v>
      </c>
      <c r="E69" s="9" t="s">
        <v>85</v>
      </c>
      <c r="F69" s="10">
        <v>0</v>
      </c>
      <c r="G69" t="str">
        <f>VLOOKUP(D69,Lookup!A$1:B$84,2,FALSE)</f>
        <v>Retail</v>
      </c>
    </row>
    <row r="70" spans="1:7" ht="14.25" outlineLevel="1" collapsed="1">
      <c r="A70" s="8"/>
      <c r="B70" s="8"/>
      <c r="C70" s="9"/>
      <c r="D70" s="9"/>
      <c r="E70" s="9"/>
      <c r="F70" s="10">
        <f>SUBTOTAL(9,F46:F69)</f>
        <v>-47308353.44</v>
      </c>
      <c r="G70" s="7" t="s">
        <v>130</v>
      </c>
    </row>
    <row r="71" spans="1:7" ht="14.25">
      <c r="A71" s="8"/>
      <c r="B71" s="8"/>
      <c r="C71" s="9"/>
      <c r="D71" s="9"/>
      <c r="E71" s="9"/>
      <c r="F71" s="10">
        <f>SUBTOTAL(9,F2:F69)</f>
        <v>-55801586.14</v>
      </c>
      <c r="G71" s="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Q37"/>
  <sheetViews>
    <sheetView view="pageBreakPreview" zoomScale="60" zoomScalePageLayoutView="0" workbookViewId="0" topLeftCell="A1">
      <pane ySplit="12" topLeftCell="A13" activePane="bottomLeft" state="frozen"/>
      <selection pane="topLeft" activeCell="M33" sqref="M33"/>
      <selection pane="bottomLeft" activeCell="M33" sqref="M33"/>
    </sheetView>
  </sheetViews>
  <sheetFormatPr defaultColWidth="9.140625" defaultRowHeight="15"/>
  <cols>
    <col min="1" max="1" width="3.7109375" style="12" customWidth="1"/>
    <col min="2" max="2" width="4.421875" style="11" bestFit="1" customWidth="1"/>
    <col min="3" max="3" width="0.71875" style="11" customWidth="1"/>
    <col min="4" max="4" width="1.28515625" style="11" customWidth="1"/>
    <col min="5" max="5" width="35.7109375" style="12" customWidth="1"/>
    <col min="6" max="6" width="0.2890625" style="12" customWidth="1"/>
    <col min="7" max="7" width="30.7109375" style="12" customWidth="1"/>
    <col min="8" max="8" width="0.2890625" style="12" customWidth="1"/>
    <col min="9" max="9" width="22.7109375" style="12" customWidth="1"/>
    <col min="10" max="10" width="21.7109375" style="12" customWidth="1"/>
    <col min="11" max="11" width="0.2890625" style="12" customWidth="1"/>
    <col min="12" max="12" width="17.28125" style="12" customWidth="1"/>
    <col min="13" max="13" width="14.421875" style="12" bestFit="1" customWidth="1"/>
    <col min="14" max="14" width="14.28125" style="12" customWidth="1"/>
    <col min="15" max="16384" width="8.8515625" style="12" customWidth="1"/>
  </cols>
  <sheetData>
    <row r="1" ht="12.75">
      <c r="I1" s="13" t="s">
        <v>134</v>
      </c>
    </row>
    <row r="4" spans="2:15" ht="12.75">
      <c r="B4" s="277" t="s">
        <v>135</v>
      </c>
      <c r="C4" s="277"/>
      <c r="D4" s="277"/>
      <c r="E4" s="277"/>
      <c r="F4" s="277"/>
      <c r="G4" s="277"/>
      <c r="H4" s="277"/>
      <c r="I4" s="277"/>
      <c r="J4" s="15"/>
      <c r="K4" s="15"/>
      <c r="L4" s="15"/>
      <c r="M4" s="15"/>
      <c r="N4" s="15"/>
      <c r="O4" s="15"/>
    </row>
    <row r="5" spans="2:15" ht="12.75">
      <c r="B5" s="278" t="s">
        <v>136</v>
      </c>
      <c r="C5" s="278"/>
      <c r="D5" s="278"/>
      <c r="E5" s="278"/>
      <c r="F5" s="278"/>
      <c r="G5" s="278"/>
      <c r="H5" s="278"/>
      <c r="I5" s="278"/>
      <c r="J5" s="15"/>
      <c r="K5" s="15"/>
      <c r="L5" s="15"/>
      <c r="M5" s="15"/>
      <c r="N5" s="15"/>
      <c r="O5" s="15"/>
    </row>
    <row r="6" spans="2:15" ht="12.75">
      <c r="B6" s="278" t="s">
        <v>137</v>
      </c>
      <c r="C6" s="278"/>
      <c r="D6" s="278"/>
      <c r="E6" s="278"/>
      <c r="F6" s="278"/>
      <c r="G6" s="278"/>
      <c r="H6" s="278"/>
      <c r="I6" s="278"/>
      <c r="J6" s="15"/>
      <c r="K6" s="15"/>
      <c r="L6" s="15"/>
      <c r="M6" s="15"/>
      <c r="N6" s="15"/>
      <c r="O6" s="15"/>
    </row>
    <row r="7" spans="2:15" ht="12.75">
      <c r="B7" s="279" t="s">
        <v>138</v>
      </c>
      <c r="C7" s="279"/>
      <c r="D7" s="279"/>
      <c r="E7" s="279"/>
      <c r="F7" s="279"/>
      <c r="G7" s="279"/>
      <c r="H7" s="279"/>
      <c r="I7" s="279"/>
      <c r="J7" s="15"/>
      <c r="K7" s="15"/>
      <c r="L7" s="15"/>
      <c r="M7" s="15"/>
      <c r="N7" s="15"/>
      <c r="O7" s="15"/>
    </row>
    <row r="8" spans="6:15" ht="12.75">
      <c r="F8" s="15"/>
      <c r="G8" s="17"/>
      <c r="H8" s="15"/>
      <c r="I8" s="15"/>
      <c r="J8" s="15"/>
      <c r="K8" s="15"/>
      <c r="L8" s="15"/>
      <c r="M8" s="15"/>
      <c r="N8" s="15"/>
      <c r="O8" s="15"/>
    </row>
    <row r="9" spans="2:15" ht="12.75">
      <c r="B9" s="280" t="str">
        <f>+'[5]ES 1.0'!E7</f>
        <v>For the Expense Month of August 2015</v>
      </c>
      <c r="C9" s="280"/>
      <c r="D9" s="280"/>
      <c r="E9" s="280"/>
      <c r="F9" s="280"/>
      <c r="G9" s="280"/>
      <c r="H9" s="280"/>
      <c r="I9" s="280"/>
      <c r="J9" s="15"/>
      <c r="K9" s="15"/>
      <c r="L9" s="15"/>
      <c r="M9" s="15"/>
      <c r="N9" s="15"/>
      <c r="O9" s="15"/>
    </row>
    <row r="10" spans="6:15" ht="12.75"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2:15" ht="12.75">
      <c r="B11" s="281" t="s">
        <v>139</v>
      </c>
      <c r="C11" s="281"/>
      <c r="D11" s="281"/>
      <c r="E11" s="281"/>
      <c r="F11" s="281"/>
      <c r="G11" s="281"/>
      <c r="H11" s="281"/>
      <c r="I11" s="281"/>
      <c r="J11" s="15"/>
      <c r="K11" s="15"/>
      <c r="L11" s="15"/>
      <c r="M11" s="15"/>
      <c r="N11" s="15"/>
      <c r="O11" s="15"/>
    </row>
    <row r="12" ht="13.5" thickBot="1"/>
    <row r="13" spans="2:12" ht="30" customHeight="1" thickBot="1">
      <c r="B13" s="18" t="s">
        <v>140</v>
      </c>
      <c r="C13" s="19"/>
      <c r="D13" s="20"/>
      <c r="E13" s="21" t="s">
        <v>141</v>
      </c>
      <c r="F13" s="22"/>
      <c r="G13" s="23" t="s">
        <v>142</v>
      </c>
      <c r="H13" s="24"/>
      <c r="I13" s="25" t="s">
        <v>143</v>
      </c>
      <c r="J13" s="23" t="s">
        <v>168</v>
      </c>
      <c r="K13" s="24"/>
      <c r="L13" s="25" t="s">
        <v>169</v>
      </c>
    </row>
    <row r="14" spans="2:13" ht="18" customHeight="1">
      <c r="B14" s="26"/>
      <c r="C14" s="27"/>
      <c r="D14" s="28"/>
      <c r="E14" s="29"/>
      <c r="F14" s="30"/>
      <c r="G14" s="31"/>
      <c r="H14" s="32"/>
      <c r="I14" s="33"/>
      <c r="J14" s="31"/>
      <c r="K14" s="32"/>
      <c r="L14" s="33"/>
      <c r="M14" s="34"/>
    </row>
    <row r="15" spans="2:12" ht="12.75">
      <c r="B15" s="35">
        <v>1</v>
      </c>
      <c r="C15" s="36"/>
      <c r="D15" s="37"/>
      <c r="E15" s="38" t="s">
        <v>144</v>
      </c>
      <c r="F15" s="39"/>
      <c r="G15" s="40">
        <f>-'[6]ECR Revenues - August 2015'!F25</f>
        <v>47308353.44</v>
      </c>
      <c r="H15" s="41"/>
      <c r="I15" s="42">
        <f>ROUND(G15/$G$20,3)</f>
        <v>0.86</v>
      </c>
      <c r="J15" s="40">
        <f>-'August 2015'!F70</f>
        <v>47308353.44</v>
      </c>
      <c r="K15" s="41"/>
      <c r="L15" s="42">
        <f>ROUND(J15/$J$20,3)</f>
        <v>0.85</v>
      </c>
    </row>
    <row r="16" spans="2:12" ht="12.75">
      <c r="B16" s="35">
        <f>+B15+1</f>
        <v>2</v>
      </c>
      <c r="C16" s="36"/>
      <c r="D16" s="37"/>
      <c r="E16" s="38" t="s">
        <v>145</v>
      </c>
      <c r="F16" s="39"/>
      <c r="G16" s="40">
        <f>-'[6]ECR Revenues - August 2015'!F32</f>
        <v>552756.95</v>
      </c>
      <c r="H16" s="43"/>
      <c r="I16" s="44">
        <f>ROUND(G16/$G$20,3)</f>
        <v>0.01</v>
      </c>
      <c r="J16" s="40">
        <f>-'August 2015'!F8</f>
        <v>552756.95</v>
      </c>
      <c r="K16" s="43"/>
      <c r="L16" s="42">
        <f>ROUND(J16/$J$20,3)</f>
        <v>0.01</v>
      </c>
    </row>
    <row r="17" spans="2:12" ht="12.75">
      <c r="B17" s="35">
        <f>+B16+1</f>
        <v>3</v>
      </c>
      <c r="C17" s="36"/>
      <c r="D17" s="37"/>
      <c r="E17" s="38" t="s">
        <v>147</v>
      </c>
      <c r="F17" s="39"/>
      <c r="G17" s="99">
        <f>-'[6]ECR Revenues - August 2015'!F58</f>
        <v>521014.77</v>
      </c>
      <c r="H17" s="43"/>
      <c r="I17" s="44">
        <f>ROUND(G17/$G$20,3)</f>
        <v>0.009</v>
      </c>
      <c r="J17" s="46">
        <f>-'August 2015'!F3</f>
        <v>521014.77</v>
      </c>
      <c r="K17" s="43"/>
      <c r="L17" s="42">
        <f>ROUND(J17/$J$20,3)</f>
        <v>0.009</v>
      </c>
    </row>
    <row r="18" spans="2:12" ht="12.75">
      <c r="B18" s="35">
        <f>+B17+1</f>
        <v>4</v>
      </c>
      <c r="C18" s="36"/>
      <c r="D18" s="37"/>
      <c r="E18" s="38" t="s">
        <v>148</v>
      </c>
      <c r="F18" s="39"/>
      <c r="G18" s="99">
        <f>-'[6]ECR Revenues - August 2015'!F56</f>
        <v>6641632.8</v>
      </c>
      <c r="H18" s="43"/>
      <c r="I18" s="44">
        <f>ROUND(G18/$G$20,3)</f>
        <v>0.121</v>
      </c>
      <c r="J18" s="46">
        <f>-'August 2015'!F45</f>
        <v>7301836.66</v>
      </c>
      <c r="K18" s="43"/>
      <c r="L18" s="42">
        <f>ROUND(J18/$J$20,3)</f>
        <v>0.131</v>
      </c>
    </row>
    <row r="19" spans="2:12" ht="12.75" customHeight="1">
      <c r="B19" s="35"/>
      <c r="C19" s="36"/>
      <c r="D19" s="37"/>
      <c r="E19" s="38"/>
      <c r="F19" s="39"/>
      <c r="G19" s="100" t="s">
        <v>149</v>
      </c>
      <c r="H19" s="48"/>
      <c r="I19" s="49" t="s">
        <v>149</v>
      </c>
      <c r="J19" s="47" t="s">
        <v>149</v>
      </c>
      <c r="K19" s="48"/>
      <c r="L19" s="49" t="s">
        <v>149</v>
      </c>
    </row>
    <row r="20" spans="2:12" ht="12.75">
      <c r="B20" s="35">
        <f>+B18+1</f>
        <v>5</v>
      </c>
      <c r="C20" s="36"/>
      <c r="D20" s="37"/>
      <c r="E20" s="50" t="s">
        <v>150</v>
      </c>
      <c r="F20" s="51"/>
      <c r="G20" s="99">
        <f>SUM(G15:G18)</f>
        <v>55023757.96</v>
      </c>
      <c r="H20" s="43"/>
      <c r="I20" s="44">
        <f>SUM(I15:I18)</f>
        <v>1</v>
      </c>
      <c r="J20" s="46">
        <f>SUM(J15:J18)</f>
        <v>55683961.82000001</v>
      </c>
      <c r="K20" s="43"/>
      <c r="L20" s="44">
        <f>SUM(L15:L18)</f>
        <v>1</v>
      </c>
    </row>
    <row r="21" spans="2:12" ht="12.75">
      <c r="B21" s="35"/>
      <c r="C21" s="36"/>
      <c r="D21" s="37"/>
      <c r="E21" s="50"/>
      <c r="F21" s="51"/>
      <c r="G21" s="99"/>
      <c r="H21" s="43"/>
      <c r="I21" s="44"/>
      <c r="J21" s="46"/>
      <c r="K21" s="43"/>
      <c r="L21" s="44"/>
    </row>
    <row r="22" spans="2:12" ht="12.75">
      <c r="B22" s="35">
        <f>+B20+1</f>
        <v>6</v>
      </c>
      <c r="C22" s="36"/>
      <c r="D22" s="37"/>
      <c r="E22" s="50" t="s">
        <v>151</v>
      </c>
      <c r="F22" s="51"/>
      <c r="G22" s="101">
        <f>-'[6]ECR Revenues - August 2015'!F78</f>
        <v>777828.18</v>
      </c>
      <c r="H22" s="43"/>
      <c r="I22" s="44"/>
      <c r="J22" s="52">
        <f>-'August 2015'!F18</f>
        <v>117624.3200000001</v>
      </c>
      <c r="K22" s="43"/>
      <c r="L22" s="44"/>
    </row>
    <row r="23" spans="2:12" ht="12.75">
      <c r="B23" s="53"/>
      <c r="C23" s="54"/>
      <c r="D23" s="55"/>
      <c r="E23" s="38"/>
      <c r="F23" s="39"/>
      <c r="G23" s="102"/>
      <c r="H23" s="57"/>
      <c r="I23" s="58"/>
      <c r="J23" s="56"/>
      <c r="K23" s="57"/>
      <c r="L23" s="58"/>
    </row>
    <row r="24" spans="2:12" ht="13.5" thickBot="1">
      <c r="B24" s="35">
        <f>+B22+1</f>
        <v>7</v>
      </c>
      <c r="C24" s="59"/>
      <c r="D24" s="55"/>
      <c r="E24" s="38" t="s">
        <v>152</v>
      </c>
      <c r="F24" s="39"/>
      <c r="G24" s="99">
        <f>+G20+G22</f>
        <v>55801586.14</v>
      </c>
      <c r="H24" s="57"/>
      <c r="I24" s="58"/>
      <c r="J24" s="46">
        <f>+J20+J22</f>
        <v>55801586.14000001</v>
      </c>
      <c r="K24" s="57"/>
      <c r="L24" s="58"/>
    </row>
    <row r="25" spans="2:12" ht="13.5" thickBot="1">
      <c r="B25" s="60"/>
      <c r="C25" s="59"/>
      <c r="D25" s="61"/>
      <c r="E25" s="62"/>
      <c r="F25" s="63"/>
      <c r="G25" s="64"/>
      <c r="H25" s="65"/>
      <c r="I25" s="66"/>
      <c r="J25" s="64"/>
      <c r="K25" s="65"/>
      <c r="L25" s="66"/>
    </row>
    <row r="26" ht="15" customHeight="1">
      <c r="D26" s="67"/>
    </row>
    <row r="28" ht="12.75">
      <c r="E28" s="12" t="s">
        <v>153</v>
      </c>
    </row>
    <row r="29" ht="12.75">
      <c r="E29" s="45" t="s">
        <v>154</v>
      </c>
    </row>
    <row r="30" ht="12.75">
      <c r="E30" s="12" t="s">
        <v>155</v>
      </c>
    </row>
    <row r="31" ht="12.75">
      <c r="E31" s="12" t="s">
        <v>156</v>
      </c>
    </row>
    <row r="37" ht="12.75">
      <c r="Q37" s="12" t="s">
        <v>146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2" sqref="G2"/>
    </sheetView>
  </sheetViews>
  <sheetFormatPr defaultColWidth="9.140625" defaultRowHeight="15" outlineLevelRow="2"/>
  <cols>
    <col min="1" max="1" width="3.8515625" style="0" customWidth="1"/>
    <col min="2" max="2" width="5.8515625" style="0" customWidth="1"/>
    <col min="3" max="3" width="4.8515625" style="0" bestFit="1" customWidth="1"/>
    <col min="4" max="4" width="8.57421875" style="0" bestFit="1" customWidth="1"/>
    <col min="5" max="5" width="28.140625" style="0" bestFit="1" customWidth="1"/>
    <col min="6" max="6" width="12.8515625" style="0" bestFit="1" customWidth="1"/>
    <col min="7" max="10" width="29.28125" style="0" customWidth="1"/>
    <col min="11" max="36" width="28.28125" style="0" customWidth="1"/>
  </cols>
  <sheetData>
    <row r="1" spans="1:6" ht="26.25" thickBo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4.25" hidden="1" outlineLevel="2">
      <c r="A2" s="8">
        <v>9</v>
      </c>
      <c r="B2" s="8">
        <v>2015</v>
      </c>
      <c r="C2" s="9" t="s">
        <v>70</v>
      </c>
      <c r="D2" s="9" t="s">
        <v>17</v>
      </c>
      <c r="E2" s="9" t="s">
        <v>86</v>
      </c>
      <c r="F2" s="10">
        <v>-347378.08</v>
      </c>
      <c r="G2" t="str">
        <f>VLOOKUP(D2,Lookup!A$1:B$84,2,FALSE)</f>
        <v>Associated</v>
      </c>
    </row>
    <row r="3" spans="1:7" ht="14.25" outlineLevel="1" collapsed="1">
      <c r="A3" s="8"/>
      <c r="B3" s="8"/>
      <c r="C3" s="9"/>
      <c r="D3" s="9"/>
      <c r="E3" s="9"/>
      <c r="F3" s="10">
        <f>SUBTOTAL(9,F2:F2)</f>
        <v>-347378.08</v>
      </c>
      <c r="G3" s="7" t="s">
        <v>126</v>
      </c>
    </row>
    <row r="4" spans="1:7" ht="14.25" hidden="1" outlineLevel="2">
      <c r="A4" s="8">
        <v>9</v>
      </c>
      <c r="B4" s="8">
        <v>2015</v>
      </c>
      <c r="C4" s="9" t="s">
        <v>70</v>
      </c>
      <c r="D4" s="9" t="s">
        <v>22</v>
      </c>
      <c r="E4" s="9" t="s">
        <v>89</v>
      </c>
      <c r="F4" s="10">
        <v>-160259.77</v>
      </c>
      <c r="G4" t="str">
        <f>VLOOKUP(D4,Lookup!A$1:B$84,2,FALSE)</f>
        <v>FERC</v>
      </c>
    </row>
    <row r="5" spans="1:7" ht="14.25" hidden="1" outlineLevel="2">
      <c r="A5" s="8">
        <v>9</v>
      </c>
      <c r="B5" s="8">
        <v>2015</v>
      </c>
      <c r="C5" s="9" t="s">
        <v>70</v>
      </c>
      <c r="D5" s="9" t="s">
        <v>24</v>
      </c>
      <c r="E5" s="9" t="s">
        <v>90</v>
      </c>
      <c r="F5" s="10">
        <v>-337794.53</v>
      </c>
      <c r="G5" t="str">
        <f>VLOOKUP(D5,Lookup!A$1:B$84,2,FALSE)</f>
        <v>FERC</v>
      </c>
    </row>
    <row r="6" spans="1:7" ht="14.25" hidden="1" outlineLevel="2">
      <c r="A6" s="8">
        <v>9</v>
      </c>
      <c r="B6" s="8">
        <v>2015</v>
      </c>
      <c r="C6" s="9" t="s">
        <v>70</v>
      </c>
      <c r="D6" s="9" t="s">
        <v>40</v>
      </c>
      <c r="E6" s="9" t="s">
        <v>105</v>
      </c>
      <c r="F6" s="10">
        <v>87210.17</v>
      </c>
      <c r="G6" t="str">
        <f>VLOOKUP(D6,Lookup!A$1:B$84,2,FALSE)</f>
        <v>FERC</v>
      </c>
    </row>
    <row r="7" spans="1:7" ht="14.25" hidden="1" outlineLevel="2">
      <c r="A7" s="8">
        <v>9</v>
      </c>
      <c r="B7" s="8">
        <v>2015</v>
      </c>
      <c r="C7" s="9" t="s">
        <v>106</v>
      </c>
      <c r="D7" s="9" t="s">
        <v>40</v>
      </c>
      <c r="E7" s="9" t="s">
        <v>105</v>
      </c>
      <c r="F7" s="10">
        <v>-99142.15</v>
      </c>
      <c r="G7" t="str">
        <f>VLOOKUP(D7,Lookup!A$1:B$84,2,FALSE)</f>
        <v>FERC</v>
      </c>
    </row>
    <row r="8" spans="1:7" ht="14.25" outlineLevel="1" collapsed="1">
      <c r="A8" s="8"/>
      <c r="B8" s="8"/>
      <c r="C8" s="9"/>
      <c r="D8" s="9"/>
      <c r="E8" s="9"/>
      <c r="F8" s="10">
        <f>SUBTOTAL(9,F4:F7)</f>
        <v>-509986.28</v>
      </c>
      <c r="G8" s="7" t="s">
        <v>127</v>
      </c>
    </row>
    <row r="9" spans="1:7" ht="14.25" hidden="1" outlineLevel="2">
      <c r="A9" s="8">
        <v>9</v>
      </c>
      <c r="B9" s="8">
        <v>2015</v>
      </c>
      <c r="C9" s="9" t="s">
        <v>70</v>
      </c>
      <c r="D9" s="9" t="s">
        <v>19</v>
      </c>
      <c r="E9" s="9" t="s">
        <v>87</v>
      </c>
      <c r="F9" s="10">
        <v>-1175440.17</v>
      </c>
      <c r="G9" t="str">
        <f>VLOOKUP(D9,Lookup!A$1:B$84,2,FALSE)</f>
        <v>Non-Physical</v>
      </c>
    </row>
    <row r="10" spans="1:7" ht="14.25" hidden="1" outlineLevel="2">
      <c r="A10" s="8">
        <v>9</v>
      </c>
      <c r="B10" s="8">
        <v>2015</v>
      </c>
      <c r="C10" s="9" t="s">
        <v>70</v>
      </c>
      <c r="D10" s="9" t="s">
        <v>21</v>
      </c>
      <c r="E10" s="9" t="s">
        <v>88</v>
      </c>
      <c r="F10" s="10">
        <v>832588.42</v>
      </c>
      <c r="G10" t="str">
        <f>VLOOKUP(D10,Lookup!A$1:B$84,2,FALSE)</f>
        <v>Non-Physical</v>
      </c>
    </row>
    <row r="11" spans="1:7" ht="14.25" hidden="1" outlineLevel="2">
      <c r="A11" s="8">
        <v>9</v>
      </c>
      <c r="B11" s="8">
        <v>2015</v>
      </c>
      <c r="C11" s="9" t="s">
        <v>70</v>
      </c>
      <c r="D11" s="9" t="s">
        <v>25</v>
      </c>
      <c r="E11" s="9" t="s">
        <v>91</v>
      </c>
      <c r="F11" s="10">
        <v>189.97</v>
      </c>
      <c r="G11" t="str">
        <f>VLOOKUP(D11,Lookup!A$1:B$84,2,FALSE)</f>
        <v>Non-Physical</v>
      </c>
    </row>
    <row r="12" spans="1:7" ht="14.25" hidden="1" outlineLevel="2">
      <c r="A12" s="8">
        <v>9</v>
      </c>
      <c r="B12" s="8">
        <v>2015</v>
      </c>
      <c r="C12" s="9" t="s">
        <v>70</v>
      </c>
      <c r="D12" s="9" t="s">
        <v>26</v>
      </c>
      <c r="E12" s="9" t="s">
        <v>92</v>
      </c>
      <c r="F12" s="10">
        <v>213326.36</v>
      </c>
      <c r="G12" t="str">
        <f>VLOOKUP(D12,Lookup!A$1:B$84,2,FALSE)</f>
        <v>Non-Physical</v>
      </c>
    </row>
    <row r="13" spans="1:7" ht="14.25" hidden="1" outlineLevel="2">
      <c r="A13" s="8">
        <v>9</v>
      </c>
      <c r="B13" s="8">
        <v>2015</v>
      </c>
      <c r="C13" s="9" t="s">
        <v>70</v>
      </c>
      <c r="D13" s="9" t="s">
        <v>41</v>
      </c>
      <c r="E13" s="9" t="s">
        <v>133</v>
      </c>
      <c r="F13" s="10">
        <v>-243926.32</v>
      </c>
      <c r="G13" t="str">
        <f>VLOOKUP(D13,Lookup!A$1:B$84,2,FALSE)</f>
        <v>Non-Physical</v>
      </c>
    </row>
    <row r="14" spans="1:7" ht="14.25" hidden="1" outlineLevel="2">
      <c r="A14" s="8">
        <v>9</v>
      </c>
      <c r="B14" s="8">
        <v>2015</v>
      </c>
      <c r="C14" s="9" t="s">
        <v>70</v>
      </c>
      <c r="D14" s="9" t="s">
        <v>43</v>
      </c>
      <c r="E14" s="9" t="s">
        <v>108</v>
      </c>
      <c r="F14" s="10">
        <v>1821.06</v>
      </c>
      <c r="G14" t="str">
        <f>VLOOKUP(D14,Lookup!A$1:B$84,2,FALSE)</f>
        <v>Non-Physical</v>
      </c>
    </row>
    <row r="15" spans="1:7" ht="14.25" hidden="1" outlineLevel="2">
      <c r="A15" s="8">
        <v>9</v>
      </c>
      <c r="B15" s="8">
        <v>2015</v>
      </c>
      <c r="C15" s="9" t="s">
        <v>70</v>
      </c>
      <c r="D15" s="9" t="s">
        <v>54</v>
      </c>
      <c r="E15" s="9" t="s">
        <v>132</v>
      </c>
      <c r="F15" s="10">
        <v>-13.85</v>
      </c>
      <c r="G15" t="str">
        <f>VLOOKUP(D15,Lookup!A$1:B$84,2,FALSE)</f>
        <v>Non-Physical</v>
      </c>
    </row>
    <row r="16" spans="1:7" ht="14.25" hidden="1" outlineLevel="2">
      <c r="A16" s="8">
        <v>9</v>
      </c>
      <c r="B16" s="8">
        <v>2015</v>
      </c>
      <c r="C16" s="9" t="s">
        <v>70</v>
      </c>
      <c r="D16" s="9" t="s">
        <v>55</v>
      </c>
      <c r="E16" s="9" t="s">
        <v>119</v>
      </c>
      <c r="F16" s="10">
        <v>4519.37</v>
      </c>
      <c r="G16" t="str">
        <f>VLOOKUP(D16,Lookup!A$1:B$84,2,FALSE)</f>
        <v>Non-Physical</v>
      </c>
    </row>
    <row r="17" spans="1:7" ht="14.25" hidden="1" outlineLevel="2">
      <c r="A17" s="8">
        <v>9</v>
      </c>
      <c r="B17" s="8">
        <v>2015</v>
      </c>
      <c r="C17" s="9" t="s">
        <v>70</v>
      </c>
      <c r="D17" s="9" t="s">
        <v>56</v>
      </c>
      <c r="E17" s="9" t="s">
        <v>120</v>
      </c>
      <c r="F17" s="10">
        <v>193120.97</v>
      </c>
      <c r="G17" t="str">
        <f>VLOOKUP(D17,Lookup!A$1:B$84,2,FALSE)</f>
        <v>Non-Physical</v>
      </c>
    </row>
    <row r="18" spans="1:7" ht="14.25" outlineLevel="1" collapsed="1">
      <c r="A18" s="8"/>
      <c r="B18" s="8"/>
      <c r="C18" s="9"/>
      <c r="D18" s="9"/>
      <c r="E18" s="9"/>
      <c r="F18" s="10">
        <f>SUBTOTAL(9,F9:F17)</f>
        <v>-173814.18999999992</v>
      </c>
      <c r="G18" s="7" t="s">
        <v>128</v>
      </c>
    </row>
    <row r="19" spans="1:7" ht="14.25" hidden="1" outlineLevel="2">
      <c r="A19" s="8">
        <v>9</v>
      </c>
      <c r="B19" s="8">
        <v>2015</v>
      </c>
      <c r="C19" s="9" t="s">
        <v>70</v>
      </c>
      <c r="D19" s="9" t="s">
        <v>27</v>
      </c>
      <c r="E19" s="9" t="s">
        <v>93</v>
      </c>
      <c r="F19" s="10">
        <v>-1030860.988</v>
      </c>
      <c r="G19" t="str">
        <f>VLOOKUP(D19,Lookup!A$1:B$84,2,FALSE)</f>
        <v>OSS</v>
      </c>
    </row>
    <row r="20" spans="1:7" ht="14.25" hidden="1" outlineLevel="2">
      <c r="A20" s="8">
        <v>9</v>
      </c>
      <c r="B20" s="8">
        <v>2015</v>
      </c>
      <c r="C20" s="9" t="s">
        <v>70</v>
      </c>
      <c r="D20" s="9" t="s">
        <v>29</v>
      </c>
      <c r="E20" s="9" t="s">
        <v>94</v>
      </c>
      <c r="F20" s="10">
        <v>2644.88</v>
      </c>
      <c r="G20" t="str">
        <f>VLOOKUP(D20,Lookup!A$1:B$84,2,FALSE)</f>
        <v>OSS</v>
      </c>
    </row>
    <row r="21" spans="1:7" ht="14.25" hidden="1" outlineLevel="2">
      <c r="A21" s="8">
        <v>9</v>
      </c>
      <c r="B21" s="8">
        <v>2015</v>
      </c>
      <c r="C21" s="9" t="s">
        <v>70</v>
      </c>
      <c r="D21" s="9" t="s">
        <v>30</v>
      </c>
      <c r="E21" s="9" t="s">
        <v>95</v>
      </c>
      <c r="F21" s="10">
        <v>-89178.95</v>
      </c>
      <c r="G21" t="str">
        <f>VLOOKUP(D21,Lookup!A$1:B$84,2,FALSE)</f>
        <v>OSS</v>
      </c>
    </row>
    <row r="22" spans="1:7" ht="14.25" hidden="1" outlineLevel="2">
      <c r="A22" s="8">
        <v>9</v>
      </c>
      <c r="B22" s="8">
        <v>2015</v>
      </c>
      <c r="C22" s="9" t="s">
        <v>70</v>
      </c>
      <c r="D22" s="9" t="s">
        <v>31</v>
      </c>
      <c r="E22" s="9" t="s">
        <v>96</v>
      </c>
      <c r="F22" s="10">
        <v>-24400.34</v>
      </c>
      <c r="G22" t="str">
        <f>VLOOKUP(D22,Lookup!A$1:B$84,2,FALSE)</f>
        <v>OSS</v>
      </c>
    </row>
    <row r="23" spans="1:7" ht="14.25" hidden="1" outlineLevel="2">
      <c r="A23" s="8">
        <v>9</v>
      </c>
      <c r="B23" s="8">
        <v>2015</v>
      </c>
      <c r="C23" s="9" t="s">
        <v>70</v>
      </c>
      <c r="D23" s="9" t="s">
        <v>32</v>
      </c>
      <c r="E23" s="9" t="s">
        <v>97</v>
      </c>
      <c r="F23" s="10">
        <v>-3368533.022</v>
      </c>
      <c r="G23" t="str">
        <f>VLOOKUP(D23,Lookup!A$1:B$84,2,FALSE)</f>
        <v>OSS</v>
      </c>
    </row>
    <row r="24" spans="1:7" ht="14.25" hidden="1" outlineLevel="2">
      <c r="A24" s="8">
        <v>9</v>
      </c>
      <c r="B24" s="8">
        <v>2015</v>
      </c>
      <c r="C24" s="9" t="s">
        <v>70</v>
      </c>
      <c r="D24" s="9" t="s">
        <v>33</v>
      </c>
      <c r="E24" s="9" t="s">
        <v>98</v>
      </c>
      <c r="F24" s="10">
        <v>1420.14</v>
      </c>
      <c r="G24" t="str">
        <f>VLOOKUP(D24,Lookup!A$1:B$84,2,FALSE)</f>
        <v>OSS</v>
      </c>
    </row>
    <row r="25" spans="1:7" ht="14.25" hidden="1" outlineLevel="2">
      <c r="A25" s="8">
        <v>9</v>
      </c>
      <c r="B25" s="8">
        <v>2015</v>
      </c>
      <c r="C25" s="9" t="s">
        <v>70</v>
      </c>
      <c r="D25" s="9" t="s">
        <v>34</v>
      </c>
      <c r="E25" s="9" t="s">
        <v>99</v>
      </c>
      <c r="F25" s="10">
        <v>371.08</v>
      </c>
      <c r="G25" t="str">
        <f>VLOOKUP(D25,Lookup!A$1:B$84,2,FALSE)</f>
        <v>OSS</v>
      </c>
    </row>
    <row r="26" spans="1:7" ht="14.25" hidden="1" outlineLevel="2">
      <c r="A26" s="8">
        <v>9</v>
      </c>
      <c r="B26" s="8">
        <v>2015</v>
      </c>
      <c r="C26" s="9" t="s">
        <v>70</v>
      </c>
      <c r="D26" s="9" t="s">
        <v>35</v>
      </c>
      <c r="E26" s="9" t="s">
        <v>100</v>
      </c>
      <c r="F26" s="10">
        <v>-410510.7</v>
      </c>
      <c r="G26" t="str">
        <f>VLOOKUP(D26,Lookup!A$1:B$84,2,FALSE)</f>
        <v>OSS</v>
      </c>
    </row>
    <row r="27" spans="1:7" ht="14.25" hidden="1" outlineLevel="2">
      <c r="A27" s="8">
        <v>9</v>
      </c>
      <c r="B27" s="8">
        <v>2015</v>
      </c>
      <c r="C27" s="9" t="s">
        <v>70</v>
      </c>
      <c r="D27" s="9" t="s">
        <v>36</v>
      </c>
      <c r="E27" s="9" t="s">
        <v>101</v>
      </c>
      <c r="F27" s="10">
        <v>122725.61</v>
      </c>
      <c r="G27" t="str">
        <f>VLOOKUP(D27,Lookup!A$1:B$84,2,FALSE)</f>
        <v>OSS</v>
      </c>
    </row>
    <row r="28" spans="1:7" ht="14.25" hidden="1" outlineLevel="2">
      <c r="A28" s="8">
        <v>9</v>
      </c>
      <c r="B28" s="8">
        <v>2015</v>
      </c>
      <c r="C28" s="9" t="s">
        <v>70</v>
      </c>
      <c r="D28" s="9" t="s">
        <v>37</v>
      </c>
      <c r="E28" s="9" t="s">
        <v>102</v>
      </c>
      <c r="F28" s="10">
        <v>145640.07</v>
      </c>
      <c r="G28" t="str">
        <f>VLOOKUP(D28,Lookup!A$1:B$84,2,FALSE)</f>
        <v>OSS</v>
      </c>
    </row>
    <row r="29" spans="1:7" ht="14.25" hidden="1" outlineLevel="2">
      <c r="A29" s="8">
        <v>9</v>
      </c>
      <c r="B29" s="8">
        <v>2015</v>
      </c>
      <c r="C29" s="9" t="s">
        <v>70</v>
      </c>
      <c r="D29" s="9" t="s">
        <v>38</v>
      </c>
      <c r="E29" s="9" t="s">
        <v>103</v>
      </c>
      <c r="F29" s="10">
        <v>641184.65</v>
      </c>
      <c r="G29" t="str">
        <f>VLOOKUP(D29,Lookup!A$1:B$84,2,FALSE)</f>
        <v>OSS</v>
      </c>
    </row>
    <row r="30" spans="1:7" ht="14.25" hidden="1" outlineLevel="2">
      <c r="A30" s="8">
        <v>9</v>
      </c>
      <c r="B30" s="8">
        <v>2015</v>
      </c>
      <c r="C30" s="9" t="s">
        <v>70</v>
      </c>
      <c r="D30" s="9" t="s">
        <v>39</v>
      </c>
      <c r="E30" s="9" t="s">
        <v>104</v>
      </c>
      <c r="F30" s="10">
        <v>-18262.34</v>
      </c>
      <c r="G30" t="str">
        <f>VLOOKUP(D30,Lookup!A$1:B$84,2,FALSE)</f>
        <v>OSS</v>
      </c>
    </row>
    <row r="31" spans="1:7" ht="14.25" hidden="1" outlineLevel="2">
      <c r="A31" s="8">
        <v>9</v>
      </c>
      <c r="B31" s="8">
        <v>2015</v>
      </c>
      <c r="C31" s="9" t="s">
        <v>70</v>
      </c>
      <c r="D31" s="9" t="s">
        <v>44</v>
      </c>
      <c r="E31" s="9" t="s">
        <v>109</v>
      </c>
      <c r="F31" s="10">
        <v>-105750.05</v>
      </c>
      <c r="G31" t="str">
        <f>VLOOKUP(D31,Lookup!A$1:B$84,2,FALSE)</f>
        <v>OSS</v>
      </c>
    </row>
    <row r="32" spans="1:7" ht="14.25" hidden="1" outlineLevel="2">
      <c r="A32" s="8">
        <v>9</v>
      </c>
      <c r="B32" s="8">
        <v>2015</v>
      </c>
      <c r="C32" s="9" t="s">
        <v>70</v>
      </c>
      <c r="D32" s="9" t="s">
        <v>45</v>
      </c>
      <c r="E32" s="9" t="s">
        <v>110</v>
      </c>
      <c r="F32" s="10">
        <v>105750.05</v>
      </c>
      <c r="G32" t="str">
        <f>VLOOKUP(D32,Lookup!A$1:B$84,2,FALSE)</f>
        <v>OSS</v>
      </c>
    </row>
    <row r="33" spans="1:7" ht="14.25" hidden="1" outlineLevel="2">
      <c r="A33" s="8">
        <v>9</v>
      </c>
      <c r="B33" s="8">
        <v>2015</v>
      </c>
      <c r="C33" s="9" t="s">
        <v>70</v>
      </c>
      <c r="D33" s="9" t="s">
        <v>46</v>
      </c>
      <c r="E33" s="9" t="s">
        <v>111</v>
      </c>
      <c r="F33" s="10">
        <v>-38333.3</v>
      </c>
      <c r="G33" t="str">
        <f>VLOOKUP(D33,Lookup!A$1:B$84,2,FALSE)</f>
        <v>OSS</v>
      </c>
    </row>
    <row r="34" spans="1:7" ht="14.25" hidden="1" outlineLevel="2">
      <c r="A34" s="8">
        <v>9</v>
      </c>
      <c r="B34" s="8">
        <v>2015</v>
      </c>
      <c r="C34" s="9" t="s">
        <v>70</v>
      </c>
      <c r="D34" s="9" t="s">
        <v>47</v>
      </c>
      <c r="E34" s="9" t="s">
        <v>112</v>
      </c>
      <c r="F34" s="10">
        <v>201665.18</v>
      </c>
      <c r="G34" t="str">
        <f>VLOOKUP(D34,Lookup!A$1:B$84,2,FALSE)</f>
        <v>OSS</v>
      </c>
    </row>
    <row r="35" spans="1:7" ht="14.25" hidden="1" outlineLevel="2">
      <c r="A35" s="8">
        <v>9</v>
      </c>
      <c r="B35" s="8">
        <v>2015</v>
      </c>
      <c r="C35" s="9" t="s">
        <v>70</v>
      </c>
      <c r="D35" s="9" t="s">
        <v>48</v>
      </c>
      <c r="E35" s="9" t="s">
        <v>113</v>
      </c>
      <c r="F35" s="10">
        <v>-55266.07</v>
      </c>
      <c r="G35" t="str">
        <f>VLOOKUP(D35,Lookup!A$1:B$84,2,FALSE)</f>
        <v>OSS</v>
      </c>
    </row>
    <row r="36" spans="1:7" ht="14.25" hidden="1" outlineLevel="2">
      <c r="A36" s="8">
        <v>9</v>
      </c>
      <c r="B36" s="8">
        <v>2015</v>
      </c>
      <c r="C36" s="9" t="s">
        <v>70</v>
      </c>
      <c r="D36" s="9" t="s">
        <v>49</v>
      </c>
      <c r="E36" s="9" t="s">
        <v>114</v>
      </c>
      <c r="F36" s="10">
        <v>18211.73</v>
      </c>
      <c r="G36" t="str">
        <f>VLOOKUP(D36,Lookup!A$1:B$84,2,FALSE)</f>
        <v>OSS</v>
      </c>
    </row>
    <row r="37" spans="1:7" ht="14.25" hidden="1" outlineLevel="2">
      <c r="A37" s="8">
        <v>9</v>
      </c>
      <c r="B37" s="8">
        <v>2015</v>
      </c>
      <c r="C37" s="9" t="s">
        <v>70</v>
      </c>
      <c r="D37" s="9" t="s">
        <v>50</v>
      </c>
      <c r="E37" s="9" t="s">
        <v>115</v>
      </c>
      <c r="F37" s="10">
        <v>-71629.13</v>
      </c>
      <c r="G37" t="str">
        <f>VLOOKUP(D37,Lookup!A$1:B$84,2,FALSE)</f>
        <v>OSS</v>
      </c>
    </row>
    <row r="38" spans="1:7" ht="14.25" hidden="1" outlineLevel="2">
      <c r="A38" s="8">
        <v>9</v>
      </c>
      <c r="B38" s="8">
        <v>2015</v>
      </c>
      <c r="C38" s="9" t="s">
        <v>70</v>
      </c>
      <c r="D38" s="9" t="s">
        <v>51</v>
      </c>
      <c r="E38" s="9" t="s">
        <v>116</v>
      </c>
      <c r="F38" s="10">
        <v>-10206.5</v>
      </c>
      <c r="G38" t="str">
        <f>VLOOKUP(D38,Lookup!A$1:B$84,2,FALSE)</f>
        <v>OSS</v>
      </c>
    </row>
    <row r="39" spans="1:7" ht="14.25" hidden="1" outlineLevel="2">
      <c r="A39" s="8">
        <v>9</v>
      </c>
      <c r="B39" s="8">
        <v>2015</v>
      </c>
      <c r="C39" s="9" t="s">
        <v>70</v>
      </c>
      <c r="D39" s="9" t="s">
        <v>52</v>
      </c>
      <c r="E39" s="9" t="s">
        <v>117</v>
      </c>
      <c r="F39" s="10">
        <v>-98966.55</v>
      </c>
      <c r="G39" t="str">
        <f>VLOOKUP(D39,Lookup!A$1:B$84,2,FALSE)</f>
        <v>OSS</v>
      </c>
    </row>
    <row r="40" spans="1:7" ht="14.25" hidden="1" outlineLevel="2">
      <c r="A40" s="8">
        <v>9</v>
      </c>
      <c r="B40" s="8">
        <v>2015</v>
      </c>
      <c r="C40" s="9" t="s">
        <v>70</v>
      </c>
      <c r="D40" s="9" t="s">
        <v>53</v>
      </c>
      <c r="E40" s="9" t="s">
        <v>118</v>
      </c>
      <c r="F40" s="10">
        <v>109.96</v>
      </c>
      <c r="G40" t="str">
        <f>VLOOKUP(D40,Lookup!A$1:B$84,2,FALSE)</f>
        <v>OSS</v>
      </c>
    </row>
    <row r="41" spans="1:7" ht="14.25" hidden="1" outlineLevel="2">
      <c r="A41" s="8">
        <v>9</v>
      </c>
      <c r="B41" s="8">
        <v>2015</v>
      </c>
      <c r="C41" s="9" t="s">
        <v>68</v>
      </c>
      <c r="D41" s="9" t="s">
        <v>57</v>
      </c>
      <c r="E41" s="9" t="s">
        <v>121</v>
      </c>
      <c r="F41" s="10">
        <v>21478.78</v>
      </c>
      <c r="G41" t="str">
        <f>VLOOKUP(D41,Lookup!A$1:B$84,2,FALSE)</f>
        <v>OSS</v>
      </c>
    </row>
    <row r="42" spans="1:7" ht="14.25" hidden="1" outlineLevel="2">
      <c r="A42" s="8">
        <v>9</v>
      </c>
      <c r="B42" s="8">
        <v>2015</v>
      </c>
      <c r="C42" s="9" t="s">
        <v>70</v>
      </c>
      <c r="D42" s="9" t="s">
        <v>58</v>
      </c>
      <c r="E42" s="9" t="s">
        <v>122</v>
      </c>
      <c r="F42" s="10">
        <v>19324.27</v>
      </c>
      <c r="G42" t="str">
        <f>VLOOKUP(D42,Lookup!A$1:B$84,2,FALSE)</f>
        <v>OSS</v>
      </c>
    </row>
    <row r="43" spans="1:7" ht="14.25" hidden="1" outlineLevel="2">
      <c r="A43" s="8">
        <v>9</v>
      </c>
      <c r="B43" s="8">
        <v>2015</v>
      </c>
      <c r="C43" s="9" t="s">
        <v>106</v>
      </c>
      <c r="D43" s="9" t="s">
        <v>59</v>
      </c>
      <c r="E43" s="9" t="s">
        <v>123</v>
      </c>
      <c r="F43" s="10">
        <v>0</v>
      </c>
      <c r="G43" t="str">
        <f>VLOOKUP(D43,Lookup!A$1:B$84,2,FALSE)</f>
        <v>OSS</v>
      </c>
    </row>
    <row r="44" spans="1:7" ht="14.25" hidden="1" outlineLevel="2">
      <c r="A44" s="8">
        <v>9</v>
      </c>
      <c r="B44" s="8">
        <v>2015</v>
      </c>
      <c r="C44" s="9" t="s">
        <v>70</v>
      </c>
      <c r="D44" s="9" t="s">
        <v>60</v>
      </c>
      <c r="E44" s="9" t="s">
        <v>124</v>
      </c>
      <c r="F44" s="10">
        <v>4291.68</v>
      </c>
      <c r="G44" t="str">
        <f>VLOOKUP(D44,Lookup!A$1:B$84,2,FALSE)</f>
        <v>OSS</v>
      </c>
    </row>
    <row r="45" spans="1:7" ht="14.25" hidden="1" outlineLevel="2">
      <c r="A45" s="8">
        <v>9</v>
      </c>
      <c r="B45" s="8">
        <v>2015</v>
      </c>
      <c r="C45" s="9" t="s">
        <v>70</v>
      </c>
      <c r="D45" s="9" t="s">
        <v>61</v>
      </c>
      <c r="E45" s="9" t="s">
        <v>125</v>
      </c>
      <c r="F45" s="10">
        <v>15946.71</v>
      </c>
      <c r="G45" t="str">
        <f>VLOOKUP(D45,Lookup!A$1:B$84,2,FALSE)</f>
        <v>OSS</v>
      </c>
    </row>
    <row r="46" spans="1:7" ht="14.25" outlineLevel="1" collapsed="1">
      <c r="A46" s="8"/>
      <c r="B46" s="8"/>
      <c r="C46" s="9"/>
      <c r="D46" s="9"/>
      <c r="E46" s="9"/>
      <c r="F46" s="10">
        <f>SUBTOTAL(9,F19:F45)</f>
        <v>-4021133.149999999</v>
      </c>
      <c r="G46" s="7" t="s">
        <v>129</v>
      </c>
    </row>
    <row r="47" spans="1:7" ht="14.25" hidden="1" outlineLevel="2">
      <c r="A47" s="8">
        <v>9</v>
      </c>
      <c r="B47" s="8">
        <v>2015</v>
      </c>
      <c r="C47" s="9" t="s">
        <v>68</v>
      </c>
      <c r="D47" s="9" t="s">
        <v>0</v>
      </c>
      <c r="E47" s="9" t="s">
        <v>69</v>
      </c>
      <c r="F47" s="10">
        <v>-8605742.99</v>
      </c>
      <c r="G47" t="str">
        <f>VLOOKUP(D47,Lookup!A$1:B$84,2,FALSE)</f>
        <v>Retail</v>
      </c>
    </row>
    <row r="48" spans="1:7" ht="14.25" hidden="1" outlineLevel="2">
      <c r="A48" s="8">
        <v>9</v>
      </c>
      <c r="B48" s="8">
        <v>2015</v>
      </c>
      <c r="C48" s="9" t="s">
        <v>70</v>
      </c>
      <c r="D48" s="9" t="s">
        <v>0</v>
      </c>
      <c r="E48" s="9" t="s">
        <v>69</v>
      </c>
      <c r="F48" s="10">
        <v>391.65</v>
      </c>
      <c r="G48" t="str">
        <f>VLOOKUP(D48,Lookup!A$1:B$84,2,FALSE)</f>
        <v>Retail</v>
      </c>
    </row>
    <row r="49" spans="1:7" ht="13.5" customHeight="1" hidden="1" outlineLevel="2">
      <c r="A49" s="8">
        <v>9</v>
      </c>
      <c r="B49" s="8">
        <v>2015</v>
      </c>
      <c r="C49" s="9" t="s">
        <v>68</v>
      </c>
      <c r="D49" s="9" t="s">
        <v>2</v>
      </c>
      <c r="E49" s="9" t="s">
        <v>71</v>
      </c>
      <c r="F49" s="10">
        <v>-4885632.06</v>
      </c>
      <c r="G49" t="str">
        <f>VLOOKUP(D49,Lookup!A$1:B$84,2,FALSE)</f>
        <v>Retail</v>
      </c>
    </row>
    <row r="50" spans="1:7" ht="14.25" hidden="1" outlineLevel="2">
      <c r="A50" s="8">
        <v>9</v>
      </c>
      <c r="B50" s="8">
        <v>2015</v>
      </c>
      <c r="C50" s="9" t="s">
        <v>70</v>
      </c>
      <c r="D50" s="9" t="s">
        <v>2</v>
      </c>
      <c r="E50" s="9" t="s">
        <v>71</v>
      </c>
      <c r="F50" s="10">
        <v>127.7</v>
      </c>
      <c r="G50" t="str">
        <f>VLOOKUP(D50,Lookup!A$1:B$84,2,FALSE)</f>
        <v>Retail</v>
      </c>
    </row>
    <row r="51" spans="1:7" ht="14.25" hidden="1" outlineLevel="2">
      <c r="A51" s="8">
        <v>9</v>
      </c>
      <c r="B51" s="8">
        <v>2015</v>
      </c>
      <c r="C51" s="9" t="s">
        <v>68</v>
      </c>
      <c r="D51" s="9" t="s">
        <v>3</v>
      </c>
      <c r="E51" s="9" t="s">
        <v>72</v>
      </c>
      <c r="F51" s="10">
        <v>-3864024.88</v>
      </c>
      <c r="G51" t="str">
        <f>VLOOKUP(D51,Lookup!A$1:B$84,2,FALSE)</f>
        <v>Retail</v>
      </c>
    </row>
    <row r="52" spans="1:7" ht="14.25" hidden="1" outlineLevel="2">
      <c r="A52" s="8">
        <v>9</v>
      </c>
      <c r="B52" s="8">
        <v>2015</v>
      </c>
      <c r="C52" s="9" t="s">
        <v>68</v>
      </c>
      <c r="D52" s="9" t="s">
        <v>4</v>
      </c>
      <c r="E52" s="9" t="s">
        <v>73</v>
      </c>
      <c r="F52" s="10">
        <v>-6907782.52</v>
      </c>
      <c r="G52" t="str">
        <f>VLOOKUP(D52,Lookup!A$1:B$84,2,FALSE)</f>
        <v>Retail</v>
      </c>
    </row>
    <row r="53" spans="1:7" ht="14.25" hidden="1" outlineLevel="2">
      <c r="A53" s="8">
        <v>9</v>
      </c>
      <c r="B53" s="8">
        <v>2015</v>
      </c>
      <c r="C53" s="9" t="s">
        <v>70</v>
      </c>
      <c r="D53" s="9" t="s">
        <v>4</v>
      </c>
      <c r="E53" s="9" t="s">
        <v>73</v>
      </c>
      <c r="F53" s="10">
        <v>-97985.03</v>
      </c>
      <c r="G53" t="str">
        <f>VLOOKUP(D53,Lookup!A$1:B$84,2,FALSE)</f>
        <v>Retail</v>
      </c>
    </row>
    <row r="54" spans="1:7" ht="14.25" hidden="1" outlineLevel="2">
      <c r="A54" s="8">
        <v>9</v>
      </c>
      <c r="B54" s="8">
        <v>2015</v>
      </c>
      <c r="C54" s="9" t="s">
        <v>68</v>
      </c>
      <c r="D54" s="9" t="s">
        <v>5</v>
      </c>
      <c r="E54" s="9" t="s">
        <v>74</v>
      </c>
      <c r="F54" s="10">
        <v>-5766862.01</v>
      </c>
      <c r="G54" t="str">
        <f>VLOOKUP(D54,Lookup!A$1:B$84,2,FALSE)</f>
        <v>Retail</v>
      </c>
    </row>
    <row r="55" spans="1:7" ht="14.25" hidden="1" outlineLevel="2">
      <c r="A55" s="8">
        <v>9</v>
      </c>
      <c r="B55" s="8">
        <v>2015</v>
      </c>
      <c r="C55" s="9" t="s">
        <v>70</v>
      </c>
      <c r="D55" s="9" t="s">
        <v>5</v>
      </c>
      <c r="E55" s="9" t="s">
        <v>74</v>
      </c>
      <c r="F55" s="10">
        <v>-188053.75</v>
      </c>
      <c r="G55" t="str">
        <f>VLOOKUP(D55,Lookup!A$1:B$84,2,FALSE)</f>
        <v>Retail</v>
      </c>
    </row>
    <row r="56" spans="1:7" ht="14.25" hidden="1" outlineLevel="2">
      <c r="A56" s="8">
        <v>9</v>
      </c>
      <c r="B56" s="8">
        <v>2015</v>
      </c>
      <c r="C56" s="9" t="s">
        <v>68</v>
      </c>
      <c r="D56" s="9" t="s">
        <v>6</v>
      </c>
      <c r="E56" s="9" t="s">
        <v>75</v>
      </c>
      <c r="F56" s="10">
        <v>-2499924.24</v>
      </c>
      <c r="G56" t="str">
        <f>VLOOKUP(D56,Lookup!A$1:B$84,2,FALSE)</f>
        <v>Retail</v>
      </c>
    </row>
    <row r="57" spans="1:7" ht="14.25" hidden="1" outlineLevel="2">
      <c r="A57" s="8">
        <v>9</v>
      </c>
      <c r="B57" s="8">
        <v>2015</v>
      </c>
      <c r="C57" s="9" t="s">
        <v>70</v>
      </c>
      <c r="D57" s="9" t="s">
        <v>6</v>
      </c>
      <c r="E57" s="9" t="s">
        <v>75</v>
      </c>
      <c r="F57" s="10">
        <v>-34873.51</v>
      </c>
      <c r="G57" t="str">
        <f>VLOOKUP(D57,Lookup!A$1:B$84,2,FALSE)</f>
        <v>Retail</v>
      </c>
    </row>
    <row r="58" spans="1:7" ht="14.25" hidden="1" outlineLevel="2">
      <c r="A58" s="8">
        <v>9</v>
      </c>
      <c r="B58" s="8">
        <v>2015</v>
      </c>
      <c r="C58" s="9" t="s">
        <v>68</v>
      </c>
      <c r="D58" s="9" t="s">
        <v>7</v>
      </c>
      <c r="E58" s="9" t="s">
        <v>76</v>
      </c>
      <c r="F58" s="10">
        <v>0</v>
      </c>
      <c r="G58" t="str">
        <f>VLOOKUP(D58,Lookup!A$1:B$84,2,FALSE)</f>
        <v>Retail</v>
      </c>
    </row>
    <row r="59" spans="1:7" ht="14.25" hidden="1" outlineLevel="2">
      <c r="A59" s="8">
        <v>9</v>
      </c>
      <c r="B59" s="8">
        <v>2015</v>
      </c>
      <c r="C59" s="9" t="s">
        <v>68</v>
      </c>
      <c r="D59" s="9" t="s">
        <v>8</v>
      </c>
      <c r="E59" s="9" t="s">
        <v>77</v>
      </c>
      <c r="F59" s="10">
        <v>-1225457.26</v>
      </c>
      <c r="G59" t="str">
        <f>VLOOKUP(D59,Lookup!A$1:B$84,2,FALSE)</f>
        <v>Retail</v>
      </c>
    </row>
    <row r="60" spans="1:7" ht="14.25" hidden="1" outlineLevel="2">
      <c r="A60" s="8">
        <v>9</v>
      </c>
      <c r="B60" s="8">
        <v>2015</v>
      </c>
      <c r="C60" s="9" t="s">
        <v>70</v>
      </c>
      <c r="D60" s="9" t="s">
        <v>8</v>
      </c>
      <c r="E60" s="9" t="s">
        <v>77</v>
      </c>
      <c r="F60" s="10">
        <v>-23115.98</v>
      </c>
      <c r="G60" t="str">
        <f>VLOOKUP(D60,Lookup!A$1:B$84,2,FALSE)</f>
        <v>Retail</v>
      </c>
    </row>
    <row r="61" spans="1:7" ht="14.25" hidden="1" outlineLevel="2">
      <c r="A61" s="8">
        <v>9</v>
      </c>
      <c r="B61" s="8">
        <v>2015</v>
      </c>
      <c r="C61" s="9" t="s">
        <v>68</v>
      </c>
      <c r="D61" s="9" t="s">
        <v>9</v>
      </c>
      <c r="E61" s="9" t="s">
        <v>78</v>
      </c>
      <c r="F61" s="10">
        <v>-1302693.71</v>
      </c>
      <c r="G61" t="str">
        <f>VLOOKUP(D61,Lookup!A$1:B$84,2,FALSE)</f>
        <v>Retail</v>
      </c>
    </row>
    <row r="62" spans="1:7" ht="14.25" hidden="1" outlineLevel="2">
      <c r="A62" s="8">
        <v>9</v>
      </c>
      <c r="B62" s="8">
        <v>2015</v>
      </c>
      <c r="C62" s="9" t="s">
        <v>70</v>
      </c>
      <c r="D62" s="9" t="s">
        <v>9</v>
      </c>
      <c r="E62" s="9" t="s">
        <v>78</v>
      </c>
      <c r="F62" s="10">
        <v>-17398.38</v>
      </c>
      <c r="G62" t="str">
        <f>VLOOKUP(D62,Lookup!A$1:B$84,2,FALSE)</f>
        <v>Retail</v>
      </c>
    </row>
    <row r="63" spans="1:7" ht="14.25" hidden="1" outlineLevel="2">
      <c r="A63" s="8">
        <v>9</v>
      </c>
      <c r="B63" s="8">
        <v>2015</v>
      </c>
      <c r="C63" s="9" t="s">
        <v>68</v>
      </c>
      <c r="D63" s="9" t="s">
        <v>10</v>
      </c>
      <c r="E63" s="9" t="s">
        <v>79</v>
      </c>
      <c r="F63" s="10">
        <v>-2837800.96</v>
      </c>
      <c r="G63" t="str">
        <f>VLOOKUP(D63,Lookup!A$1:B$84,2,FALSE)</f>
        <v>Retail</v>
      </c>
    </row>
    <row r="64" spans="1:7" ht="14.25" hidden="1" outlineLevel="2">
      <c r="A64" s="8">
        <v>9</v>
      </c>
      <c r="B64" s="8">
        <v>2015</v>
      </c>
      <c r="C64" s="9" t="s">
        <v>68</v>
      </c>
      <c r="D64" s="9" t="s">
        <v>11</v>
      </c>
      <c r="E64" s="9" t="s">
        <v>80</v>
      </c>
      <c r="F64" s="10">
        <v>-5861645.84</v>
      </c>
      <c r="G64" t="str">
        <f>VLOOKUP(D64,Lookup!A$1:B$84,2,FALSE)</f>
        <v>Retail</v>
      </c>
    </row>
    <row r="65" spans="1:7" ht="14.25" hidden="1" outlineLevel="2">
      <c r="A65" s="8">
        <v>9</v>
      </c>
      <c r="B65" s="8">
        <v>2015</v>
      </c>
      <c r="C65" s="9" t="s">
        <v>68</v>
      </c>
      <c r="D65" s="9" t="s">
        <v>12</v>
      </c>
      <c r="E65" s="9" t="s">
        <v>81</v>
      </c>
      <c r="F65" s="10">
        <v>0</v>
      </c>
      <c r="G65" t="str">
        <f>VLOOKUP(D65,Lookup!A$1:B$84,2,FALSE)</f>
        <v>Retail</v>
      </c>
    </row>
    <row r="66" spans="1:7" ht="14.25" hidden="1" outlineLevel="2">
      <c r="A66" s="8">
        <v>9</v>
      </c>
      <c r="B66" s="8">
        <v>2015</v>
      </c>
      <c r="C66" s="9" t="s">
        <v>68</v>
      </c>
      <c r="D66" s="9" t="s">
        <v>13</v>
      </c>
      <c r="E66" s="9" t="s">
        <v>82</v>
      </c>
      <c r="F66" s="10">
        <v>-136752.44</v>
      </c>
      <c r="G66" t="str">
        <f>VLOOKUP(D66,Lookup!A$1:B$84,2,FALSE)</f>
        <v>Retail</v>
      </c>
    </row>
    <row r="67" spans="1:7" ht="14.25" hidden="1" outlineLevel="2">
      <c r="A67" s="8">
        <v>9</v>
      </c>
      <c r="B67" s="8">
        <v>2015</v>
      </c>
      <c r="C67" s="9" t="s">
        <v>70</v>
      </c>
      <c r="D67" s="9" t="s">
        <v>13</v>
      </c>
      <c r="E67" s="9" t="s">
        <v>82</v>
      </c>
      <c r="F67" s="10">
        <v>-1710.32</v>
      </c>
      <c r="G67" t="str">
        <f>VLOOKUP(D67,Lookup!A$1:B$84,2,FALSE)</f>
        <v>Retail</v>
      </c>
    </row>
    <row r="68" spans="1:7" ht="14.25" hidden="1" outlineLevel="2">
      <c r="A68" s="8">
        <v>9</v>
      </c>
      <c r="B68" s="8">
        <v>2015</v>
      </c>
      <c r="C68" s="9" t="s">
        <v>68</v>
      </c>
      <c r="D68" s="9" t="s">
        <v>14</v>
      </c>
      <c r="E68" s="9" t="s">
        <v>83</v>
      </c>
      <c r="F68" s="10">
        <v>-21041.13</v>
      </c>
      <c r="G68" t="str">
        <f>VLOOKUP(D68,Lookup!A$1:B$84,2,FALSE)</f>
        <v>Retail</v>
      </c>
    </row>
    <row r="69" spans="1:7" ht="14.25" hidden="1" outlineLevel="2">
      <c r="A69" s="8">
        <v>9</v>
      </c>
      <c r="B69" s="8">
        <v>2015</v>
      </c>
      <c r="C69" s="9" t="s">
        <v>68</v>
      </c>
      <c r="D69" s="9" t="s">
        <v>15</v>
      </c>
      <c r="E69" s="9" t="s">
        <v>84</v>
      </c>
      <c r="F69" s="10">
        <v>0</v>
      </c>
      <c r="G69" t="str">
        <f>VLOOKUP(D69,Lookup!A$1:B$84,2,FALSE)</f>
        <v>Retail</v>
      </c>
    </row>
    <row r="70" spans="1:7" ht="14.25" hidden="1" outlineLevel="2">
      <c r="A70" s="8">
        <v>9</v>
      </c>
      <c r="B70" s="8">
        <v>2015</v>
      </c>
      <c r="C70" s="9" t="s">
        <v>68</v>
      </c>
      <c r="D70" s="9" t="s">
        <v>16</v>
      </c>
      <c r="E70" s="9" t="s">
        <v>85</v>
      </c>
      <c r="F70" s="10">
        <v>0</v>
      </c>
      <c r="G70" t="str">
        <f>VLOOKUP(D70,Lookup!A$1:B$84,2,FALSE)</f>
        <v>Retail</v>
      </c>
    </row>
    <row r="71" spans="1:7" ht="14.25" outlineLevel="1" collapsed="1">
      <c r="A71" s="8"/>
      <c r="B71" s="8"/>
      <c r="C71" s="9"/>
      <c r="D71" s="9"/>
      <c r="E71" s="9"/>
      <c r="F71" s="10">
        <f>SUBTOTAL(9,F47:F70)</f>
        <v>-44277977.66000001</v>
      </c>
      <c r="G71" s="7" t="s">
        <v>130</v>
      </c>
    </row>
    <row r="72" spans="1:7" ht="14.25">
      <c r="A72" s="8"/>
      <c r="B72" s="8"/>
      <c r="C72" s="9"/>
      <c r="D72" s="9"/>
      <c r="E72" s="9"/>
      <c r="F72" s="10">
        <f>SUBTOTAL(9,F2:F70)</f>
        <v>-49330289.36</v>
      </c>
      <c r="G72" s="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Q47"/>
  <sheetViews>
    <sheetView view="pageBreakPreview" zoomScale="60" zoomScalePageLayoutView="0" workbookViewId="0" topLeftCell="A1">
      <pane ySplit="12" topLeftCell="A13" activePane="bottomLeft" state="frozen"/>
      <selection pane="topLeft" activeCell="M33" sqref="M33"/>
      <selection pane="bottomLeft" activeCell="M33" sqref="M33"/>
    </sheetView>
  </sheetViews>
  <sheetFormatPr defaultColWidth="9.140625" defaultRowHeight="15"/>
  <cols>
    <col min="1" max="1" width="3.7109375" style="12" customWidth="1"/>
    <col min="2" max="2" width="4.421875" style="11" bestFit="1" customWidth="1"/>
    <col min="3" max="3" width="0.71875" style="11" customWidth="1"/>
    <col min="4" max="4" width="1.28515625" style="11" customWidth="1"/>
    <col min="5" max="5" width="35.7109375" style="12" customWidth="1"/>
    <col min="6" max="6" width="0.2890625" style="12" customWidth="1"/>
    <col min="7" max="7" width="30.7109375" style="12" customWidth="1"/>
    <col min="8" max="8" width="0.2890625" style="12" customWidth="1"/>
    <col min="9" max="9" width="22.7109375" style="12" customWidth="1"/>
    <col min="10" max="10" width="21.7109375" style="12" customWidth="1"/>
    <col min="11" max="11" width="0.2890625" style="12" customWidth="1"/>
    <col min="12" max="12" width="15.7109375" style="12" customWidth="1"/>
    <col min="13" max="13" width="14.421875" style="12" bestFit="1" customWidth="1"/>
    <col min="14" max="14" width="14.28125" style="12" customWidth="1"/>
    <col min="15" max="16384" width="8.8515625" style="12" customWidth="1"/>
  </cols>
  <sheetData>
    <row r="1" ht="12.75">
      <c r="I1" s="13" t="s">
        <v>134</v>
      </c>
    </row>
    <row r="4" spans="2:15" ht="12.75">
      <c r="B4" s="277" t="s">
        <v>135</v>
      </c>
      <c r="C4" s="277"/>
      <c r="D4" s="277"/>
      <c r="E4" s="277"/>
      <c r="F4" s="277"/>
      <c r="G4" s="277"/>
      <c r="H4" s="277"/>
      <c r="I4" s="277"/>
      <c r="J4" s="15"/>
      <c r="K4" s="15"/>
      <c r="L4" s="15"/>
      <c r="M4" s="15"/>
      <c r="N4" s="15"/>
      <c r="O4" s="15"/>
    </row>
    <row r="5" spans="2:15" ht="12.75">
      <c r="B5" s="278" t="s">
        <v>136</v>
      </c>
      <c r="C5" s="278"/>
      <c r="D5" s="278"/>
      <c r="E5" s="278"/>
      <c r="F5" s="278"/>
      <c r="G5" s="278"/>
      <c r="H5" s="278"/>
      <c r="I5" s="278"/>
      <c r="J5" s="15"/>
      <c r="K5" s="15"/>
      <c r="L5" s="15"/>
      <c r="M5" s="15"/>
      <c r="N5" s="15"/>
      <c r="O5" s="15"/>
    </row>
    <row r="6" spans="2:15" ht="12.75">
      <c r="B6" s="278" t="s">
        <v>137</v>
      </c>
      <c r="C6" s="278"/>
      <c r="D6" s="278"/>
      <c r="E6" s="278"/>
      <c r="F6" s="278"/>
      <c r="G6" s="278"/>
      <c r="H6" s="278"/>
      <c r="I6" s="278"/>
      <c r="J6" s="15"/>
      <c r="K6" s="15"/>
      <c r="L6" s="15"/>
      <c r="M6" s="15"/>
      <c r="N6" s="15"/>
      <c r="O6" s="15"/>
    </row>
    <row r="7" spans="2:15" ht="12.75">
      <c r="B7" s="279" t="s">
        <v>138</v>
      </c>
      <c r="C7" s="279"/>
      <c r="D7" s="279"/>
      <c r="E7" s="279"/>
      <c r="F7" s="279"/>
      <c r="G7" s="279"/>
      <c r="H7" s="279"/>
      <c r="I7" s="279"/>
      <c r="J7" s="15"/>
      <c r="K7" s="15"/>
      <c r="L7" s="15"/>
      <c r="M7" s="15"/>
      <c r="N7" s="15"/>
      <c r="O7" s="15"/>
    </row>
    <row r="8" spans="6:15" ht="12.75">
      <c r="F8" s="15"/>
      <c r="G8" s="17"/>
      <c r="H8" s="15"/>
      <c r="I8" s="15"/>
      <c r="J8" s="15"/>
      <c r="K8" s="15"/>
      <c r="L8" s="15"/>
      <c r="M8" s="15"/>
      <c r="N8" s="15"/>
      <c r="O8" s="15"/>
    </row>
    <row r="9" spans="2:15" ht="12.75">
      <c r="B9" s="280" t="str">
        <f>+'[4]ES 1.0'!E7</f>
        <v>For the Expense Month of September 2015</v>
      </c>
      <c r="C9" s="280"/>
      <c r="D9" s="280"/>
      <c r="E9" s="280"/>
      <c r="F9" s="280"/>
      <c r="G9" s="280"/>
      <c r="H9" s="280"/>
      <c r="I9" s="280"/>
      <c r="J9" s="15"/>
      <c r="K9" s="15"/>
      <c r="L9" s="15"/>
      <c r="M9" s="15"/>
      <c r="N9" s="15"/>
      <c r="O9" s="15"/>
    </row>
    <row r="10" spans="6:15" ht="12.75"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2:15" ht="12.75">
      <c r="B11" s="281" t="s">
        <v>139</v>
      </c>
      <c r="C11" s="281"/>
      <c r="D11" s="281"/>
      <c r="E11" s="281"/>
      <c r="F11" s="281"/>
      <c r="G11" s="281"/>
      <c r="H11" s="281"/>
      <c r="I11" s="281"/>
      <c r="J11" s="15"/>
      <c r="K11" s="15"/>
      <c r="L11" s="15"/>
      <c r="M11" s="15"/>
      <c r="N11" s="15"/>
      <c r="O11" s="15"/>
    </row>
    <row r="12" ht="13.5" thickBot="1"/>
    <row r="13" spans="2:12" ht="30" customHeight="1" thickBot="1">
      <c r="B13" s="18" t="s">
        <v>140</v>
      </c>
      <c r="C13" s="19"/>
      <c r="D13" s="20"/>
      <c r="E13" s="21" t="s">
        <v>141</v>
      </c>
      <c r="F13" s="22"/>
      <c r="G13" s="23" t="s">
        <v>164</v>
      </c>
      <c r="H13" s="24"/>
      <c r="I13" s="25" t="s">
        <v>167</v>
      </c>
      <c r="J13" s="23" t="s">
        <v>168</v>
      </c>
      <c r="K13" s="24"/>
      <c r="L13" s="25" t="s">
        <v>169</v>
      </c>
    </row>
    <row r="14" spans="2:13" ht="18" customHeight="1">
      <c r="B14" s="26"/>
      <c r="C14" s="27"/>
      <c r="D14" s="28"/>
      <c r="E14" s="29"/>
      <c r="F14" s="30"/>
      <c r="G14" s="31"/>
      <c r="H14" s="32"/>
      <c r="I14" s="33"/>
      <c r="J14" s="31"/>
      <c r="K14" s="32"/>
      <c r="L14" s="33"/>
      <c r="M14" s="34"/>
    </row>
    <row r="15" spans="2:12" ht="12.75">
      <c r="B15" s="35">
        <v>1</v>
      </c>
      <c r="C15" s="36"/>
      <c r="D15" s="37"/>
      <c r="E15" s="38" t="s">
        <v>144</v>
      </c>
      <c r="F15" s="39"/>
      <c r="G15" s="40">
        <f>-'[4]ECR Revenues - August 2015'!F25</f>
        <v>44277977.66000001</v>
      </c>
      <c r="H15" s="41"/>
      <c r="I15" s="42">
        <f>ROUND(G15/$G$20,3)</f>
        <v>0.903</v>
      </c>
      <c r="J15" s="40">
        <f>-'September 2015'!F71</f>
        <v>44277977.66000001</v>
      </c>
      <c r="K15" s="41"/>
      <c r="L15" s="42">
        <f>ROUND(J15/$J$20,3)</f>
        <v>0.901</v>
      </c>
    </row>
    <row r="16" spans="2:12" ht="12.75">
      <c r="B16" s="35">
        <f>+B15+1</f>
        <v>2</v>
      </c>
      <c r="C16" s="36"/>
      <c r="D16" s="37"/>
      <c r="E16" s="38" t="s">
        <v>145</v>
      </c>
      <c r="F16" s="39"/>
      <c r="G16" s="40">
        <f>-'[4]ECR Revenues - August 2015'!F32</f>
        <v>509986.28</v>
      </c>
      <c r="H16" s="43"/>
      <c r="I16" s="44">
        <f>ROUND(G16/$G$20,3)</f>
        <v>0.01</v>
      </c>
      <c r="J16" s="40">
        <f>-'September 2015'!F8</f>
        <v>509986.28</v>
      </c>
      <c r="K16" s="43"/>
      <c r="L16" s="42">
        <f>ROUND(J16/$J$20,3)</f>
        <v>0.01</v>
      </c>
    </row>
    <row r="17" spans="2:12" ht="12.75">
      <c r="B17" s="35">
        <f>+B16+1</f>
        <v>3</v>
      </c>
      <c r="C17" s="36"/>
      <c r="D17" s="37"/>
      <c r="E17" s="38" t="s">
        <v>147</v>
      </c>
      <c r="F17" s="39"/>
      <c r="G17" s="46">
        <f>-'[4]ECR Revenues - August 2015'!F61</f>
        <v>347378.08</v>
      </c>
      <c r="H17" s="43"/>
      <c r="I17" s="44">
        <f>ROUND(G17/$G$20,3)</f>
        <v>0.007</v>
      </c>
      <c r="J17" s="46">
        <f>-'September 2015'!F3</f>
        <v>347378.08</v>
      </c>
      <c r="K17" s="43"/>
      <c r="L17" s="42">
        <f>ROUND(J17/$J$20,3)</f>
        <v>0.007</v>
      </c>
    </row>
    <row r="18" spans="2:12" ht="12.75">
      <c r="B18" s="35">
        <f>+B17+1</f>
        <v>4</v>
      </c>
      <c r="C18" s="36"/>
      <c r="D18" s="37"/>
      <c r="E18" s="38" t="s">
        <v>148</v>
      </c>
      <c r="F18" s="39"/>
      <c r="G18" s="46">
        <f>-'[4]ECR Revenues - August 2015'!F57</f>
        <v>3910042.2099999995</v>
      </c>
      <c r="H18" s="43"/>
      <c r="I18" s="44">
        <f>ROUND(G18/$G$20,3)</f>
        <v>0.08</v>
      </c>
      <c r="J18" s="46">
        <f>-'September 2015'!F46</f>
        <v>4021133.149999999</v>
      </c>
      <c r="K18" s="43"/>
      <c r="L18" s="42">
        <f>ROUND(J18/$J$20,3)</f>
        <v>0.082</v>
      </c>
    </row>
    <row r="19" spans="2:12" ht="12.75" customHeight="1">
      <c r="B19" s="35"/>
      <c r="C19" s="36"/>
      <c r="D19" s="37"/>
      <c r="E19" s="38"/>
      <c r="F19" s="39"/>
      <c r="G19" s="47" t="s">
        <v>149</v>
      </c>
      <c r="H19" s="48"/>
      <c r="I19" s="49" t="s">
        <v>149</v>
      </c>
      <c r="J19" s="47" t="s">
        <v>149</v>
      </c>
      <c r="K19" s="48"/>
      <c r="L19" s="49" t="s">
        <v>149</v>
      </c>
    </row>
    <row r="20" spans="2:12" ht="12.75">
      <c r="B20" s="35">
        <f>+B18+1</f>
        <v>5</v>
      </c>
      <c r="C20" s="36"/>
      <c r="D20" s="37"/>
      <c r="E20" s="50" t="s">
        <v>150</v>
      </c>
      <c r="F20" s="51"/>
      <c r="G20" s="46">
        <f>SUM(G15:G18)</f>
        <v>49045384.23000001</v>
      </c>
      <c r="H20" s="43"/>
      <c r="I20" s="44">
        <f>SUM(I15:I18)</f>
        <v>1</v>
      </c>
      <c r="J20" s="46">
        <f>SUM(J15:J18)</f>
        <v>49156475.17000001</v>
      </c>
      <c r="K20" s="43"/>
      <c r="L20" s="44">
        <f>SUM(L15:L18)</f>
        <v>1</v>
      </c>
    </row>
    <row r="21" spans="2:12" ht="12.75">
      <c r="B21" s="35"/>
      <c r="C21" s="36"/>
      <c r="D21" s="37"/>
      <c r="E21" s="50"/>
      <c r="F21" s="51"/>
      <c r="G21" s="46"/>
      <c r="H21" s="43"/>
      <c r="I21" s="44"/>
      <c r="J21" s="46"/>
      <c r="K21" s="43"/>
      <c r="L21" s="44"/>
    </row>
    <row r="22" spans="2:12" ht="12.75">
      <c r="B22" s="35">
        <f>+B20+1</f>
        <v>6</v>
      </c>
      <c r="C22" s="36"/>
      <c r="D22" s="37"/>
      <c r="E22" s="50" t="s">
        <v>151</v>
      </c>
      <c r="F22" s="51"/>
      <c r="G22" s="52">
        <f>-'[4]ECR Revenues - August 2015'!F79</f>
        <v>284905.12999999995</v>
      </c>
      <c r="H22" s="43"/>
      <c r="I22" s="44"/>
      <c r="J22" s="52">
        <f>-'September 2015'!F18</f>
        <v>173814.18999999992</v>
      </c>
      <c r="K22" s="43"/>
      <c r="L22" s="44"/>
    </row>
    <row r="23" spans="2:12" ht="12.75">
      <c r="B23" s="53"/>
      <c r="C23" s="54"/>
      <c r="D23" s="55"/>
      <c r="E23" s="38"/>
      <c r="F23" s="39"/>
      <c r="G23" s="56"/>
      <c r="H23" s="57"/>
      <c r="I23" s="58"/>
      <c r="J23" s="56"/>
      <c r="K23" s="57"/>
      <c r="L23" s="58"/>
    </row>
    <row r="24" spans="2:12" ht="13.5" thickBot="1">
      <c r="B24" s="35">
        <f>+B22+1</f>
        <v>7</v>
      </c>
      <c r="C24" s="59"/>
      <c r="D24" s="55"/>
      <c r="E24" s="38" t="s">
        <v>152</v>
      </c>
      <c r="F24" s="39"/>
      <c r="G24" s="46">
        <f>+G20+G22</f>
        <v>49330289.360000014</v>
      </c>
      <c r="H24" s="57"/>
      <c r="I24" s="58"/>
      <c r="J24" s="46">
        <f>+J20+J22</f>
        <v>49330289.36000001</v>
      </c>
      <c r="K24" s="57"/>
      <c r="L24" s="58"/>
    </row>
    <row r="25" spans="2:12" ht="13.5" thickBot="1">
      <c r="B25" s="60"/>
      <c r="C25" s="59"/>
      <c r="D25" s="61"/>
      <c r="E25" s="62"/>
      <c r="F25" s="63"/>
      <c r="G25" s="64"/>
      <c r="H25" s="65"/>
      <c r="I25" s="66"/>
      <c r="J25" s="64"/>
      <c r="K25" s="65"/>
      <c r="L25" s="66"/>
    </row>
    <row r="26" ht="15" customHeight="1">
      <c r="D26" s="67"/>
    </row>
    <row r="29" ht="12.75">
      <c r="E29" s="45"/>
    </row>
    <row r="35" spans="4:5" ht="12.75">
      <c r="D35" s="89" t="s">
        <v>146</v>
      </c>
      <c r="E35" s="45" t="s">
        <v>146</v>
      </c>
    </row>
    <row r="36" ht="12.75">
      <c r="E36" s="45" t="s">
        <v>146</v>
      </c>
    </row>
    <row r="42" ht="12.75">
      <c r="E42" s="45" t="s">
        <v>146</v>
      </c>
    </row>
    <row r="47" ht="12.75">
      <c r="Q47" s="12" t="s">
        <v>146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73" sqref="G73"/>
    </sheetView>
  </sheetViews>
  <sheetFormatPr defaultColWidth="9.140625" defaultRowHeight="15" outlineLevelRow="2"/>
  <cols>
    <col min="1" max="1" width="3.57421875" style="0" bestFit="1" customWidth="1"/>
    <col min="2" max="2" width="5.421875" style="0" bestFit="1" customWidth="1"/>
    <col min="3" max="3" width="4.8515625" style="0" bestFit="1" customWidth="1"/>
    <col min="4" max="4" width="8.57421875" style="0" bestFit="1" customWidth="1"/>
    <col min="5" max="5" width="28.140625" style="0" bestFit="1" customWidth="1"/>
    <col min="6" max="6" width="17.7109375" style="0" customWidth="1"/>
    <col min="7" max="10" width="29.28125" style="0" customWidth="1"/>
    <col min="11" max="36" width="28.28125" style="0" customWidth="1"/>
  </cols>
  <sheetData>
    <row r="1" spans="1:6" ht="26.25" thickBo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4.25" hidden="1" outlineLevel="2">
      <c r="A2" s="8">
        <v>10</v>
      </c>
      <c r="B2" s="8">
        <v>2015</v>
      </c>
      <c r="C2" s="9" t="s">
        <v>70</v>
      </c>
      <c r="D2" s="9" t="s">
        <v>17</v>
      </c>
      <c r="E2" s="9" t="s">
        <v>86</v>
      </c>
      <c r="F2" s="10">
        <v>-4912.32</v>
      </c>
      <c r="G2" t="str">
        <f>VLOOKUP(D2,Lookup!A$1:B$84,2,FALSE)</f>
        <v>Associated</v>
      </c>
    </row>
    <row r="3" spans="1:7" ht="14.25" outlineLevel="1" collapsed="1">
      <c r="A3" s="8"/>
      <c r="B3" s="8"/>
      <c r="C3" s="9"/>
      <c r="D3" s="9"/>
      <c r="E3" s="9"/>
      <c r="F3" s="10">
        <f>SUBTOTAL(9,F2:F2)</f>
        <v>-4912.32</v>
      </c>
      <c r="G3" s="7" t="s">
        <v>126</v>
      </c>
    </row>
    <row r="4" spans="1:7" ht="14.25" hidden="1" outlineLevel="2">
      <c r="A4" s="8">
        <v>10</v>
      </c>
      <c r="B4" s="8">
        <v>2015</v>
      </c>
      <c r="C4" s="9" t="s">
        <v>70</v>
      </c>
      <c r="D4" s="9" t="s">
        <v>22</v>
      </c>
      <c r="E4" s="9" t="s">
        <v>89</v>
      </c>
      <c r="F4" s="10">
        <v>-205762.72</v>
      </c>
      <c r="G4" t="str">
        <f>VLOOKUP(D4,Lookup!A$1:B$84,2,FALSE)</f>
        <v>FERC</v>
      </c>
    </row>
    <row r="5" spans="1:7" ht="14.25" hidden="1" outlineLevel="2">
      <c r="A5" s="8">
        <v>10</v>
      </c>
      <c r="B5" s="8">
        <v>2015</v>
      </c>
      <c r="C5" s="9" t="s">
        <v>70</v>
      </c>
      <c r="D5" s="9" t="s">
        <v>24</v>
      </c>
      <c r="E5" s="9" t="s">
        <v>90</v>
      </c>
      <c r="F5" s="10">
        <v>-275399.25</v>
      </c>
      <c r="G5" t="str">
        <f>VLOOKUP(D5,Lookup!A$1:B$84,2,FALSE)</f>
        <v>FERC</v>
      </c>
    </row>
    <row r="6" spans="1:7" ht="14.25" hidden="1" outlineLevel="2">
      <c r="A6" s="8">
        <v>10</v>
      </c>
      <c r="B6" s="8">
        <v>2015</v>
      </c>
      <c r="C6" s="9" t="s">
        <v>70</v>
      </c>
      <c r="D6" s="9" t="s">
        <v>40</v>
      </c>
      <c r="E6" s="9" t="s">
        <v>105</v>
      </c>
      <c r="F6" s="10">
        <v>90140.24</v>
      </c>
      <c r="G6" t="str">
        <f>VLOOKUP(D6,Lookup!A$1:B$84,2,FALSE)</f>
        <v>FERC</v>
      </c>
    </row>
    <row r="7" spans="1:7" ht="14.25" hidden="1" outlineLevel="2">
      <c r="A7" s="8">
        <v>10</v>
      </c>
      <c r="B7" s="8">
        <v>2015</v>
      </c>
      <c r="C7" s="9" t="s">
        <v>106</v>
      </c>
      <c r="D7" s="9" t="s">
        <v>40</v>
      </c>
      <c r="E7" s="9" t="s">
        <v>105</v>
      </c>
      <c r="F7" s="10">
        <v>-102050.69</v>
      </c>
      <c r="G7" t="str">
        <f>VLOOKUP(D7,Lookup!A$1:B$84,2,FALSE)</f>
        <v>FERC</v>
      </c>
    </row>
    <row r="8" spans="1:7" ht="14.25" outlineLevel="1" collapsed="1">
      <c r="A8" s="8"/>
      <c r="B8" s="8"/>
      <c r="C8" s="9"/>
      <c r="D8" s="9"/>
      <c r="E8" s="9"/>
      <c r="F8" s="10">
        <f>SUBTOTAL(9,F4:F7)</f>
        <v>-493072.42</v>
      </c>
      <c r="G8" s="7" t="s">
        <v>127</v>
      </c>
    </row>
    <row r="9" spans="1:7" ht="14.25" hidden="1" outlineLevel="2">
      <c r="A9" s="8">
        <v>10</v>
      </c>
      <c r="B9" s="8">
        <v>2015</v>
      </c>
      <c r="C9" s="9" t="s">
        <v>70</v>
      </c>
      <c r="D9" s="9" t="s">
        <v>19</v>
      </c>
      <c r="E9" s="9" t="s">
        <v>87</v>
      </c>
      <c r="F9" s="10">
        <v>-1075359.52</v>
      </c>
      <c r="G9" t="str">
        <f>VLOOKUP(D9,Lookup!A$1:B$84,2,FALSE)</f>
        <v>Non-Physical</v>
      </c>
    </row>
    <row r="10" spans="1:7" ht="14.25" hidden="1" outlineLevel="2">
      <c r="A10" s="8">
        <v>10</v>
      </c>
      <c r="B10" s="8">
        <v>2015</v>
      </c>
      <c r="C10" s="9" t="s">
        <v>70</v>
      </c>
      <c r="D10" s="9" t="s">
        <v>21</v>
      </c>
      <c r="E10" s="9" t="s">
        <v>88</v>
      </c>
      <c r="F10" s="10">
        <v>730198.7</v>
      </c>
      <c r="G10" t="str">
        <f>VLOOKUP(D10,Lookup!A$1:B$84,2,FALSE)</f>
        <v>Non-Physical</v>
      </c>
    </row>
    <row r="11" spans="1:7" ht="14.25" hidden="1" outlineLevel="2">
      <c r="A11" s="8">
        <v>10</v>
      </c>
      <c r="B11" s="8">
        <v>2015</v>
      </c>
      <c r="C11" s="9" t="s">
        <v>70</v>
      </c>
      <c r="D11" s="9" t="s">
        <v>25</v>
      </c>
      <c r="E11" s="9" t="s">
        <v>91</v>
      </c>
      <c r="F11" s="10">
        <v>189.97</v>
      </c>
      <c r="G11" t="str">
        <f>VLOOKUP(D11,Lookup!A$1:B$84,2,FALSE)</f>
        <v>Non-Physical</v>
      </c>
    </row>
    <row r="12" spans="1:7" ht="14.25" hidden="1" outlineLevel="2">
      <c r="A12" s="8">
        <v>10</v>
      </c>
      <c r="B12" s="8">
        <v>2015</v>
      </c>
      <c r="C12" s="9" t="s">
        <v>70</v>
      </c>
      <c r="D12" s="9" t="s">
        <v>26</v>
      </c>
      <c r="E12" s="9" t="s">
        <v>92</v>
      </c>
      <c r="F12" s="10">
        <v>247127.7</v>
      </c>
      <c r="G12" t="str">
        <f>VLOOKUP(D12,Lookup!A$1:B$84,2,FALSE)</f>
        <v>Non-Physical</v>
      </c>
    </row>
    <row r="13" spans="1:7" ht="14.25" hidden="1" outlineLevel="2">
      <c r="A13" s="8">
        <v>10</v>
      </c>
      <c r="B13" s="8">
        <v>2015</v>
      </c>
      <c r="C13" s="9" t="s">
        <v>70</v>
      </c>
      <c r="D13" s="9" t="s">
        <v>41</v>
      </c>
      <c r="E13" s="9" t="s">
        <v>133</v>
      </c>
      <c r="F13" s="10">
        <v>-204343.45</v>
      </c>
      <c r="G13" t="str">
        <f>VLOOKUP(D13,Lookup!A$1:B$84,2,FALSE)</f>
        <v>Non-Physical</v>
      </c>
    </row>
    <row r="14" spans="1:7" ht="14.25" hidden="1" outlineLevel="2">
      <c r="A14" s="8">
        <v>10</v>
      </c>
      <c r="B14" s="8">
        <v>2015</v>
      </c>
      <c r="C14" s="9" t="s">
        <v>70</v>
      </c>
      <c r="D14" s="9" t="s">
        <v>43</v>
      </c>
      <c r="E14" s="9" t="s">
        <v>108</v>
      </c>
      <c r="F14" s="10">
        <v>1821.06</v>
      </c>
      <c r="G14" t="str">
        <f>VLOOKUP(D14,Lookup!A$1:B$84,2,FALSE)</f>
        <v>Non-Physical</v>
      </c>
    </row>
    <row r="15" spans="1:7" ht="14.25" hidden="1" outlineLevel="2">
      <c r="A15" s="8">
        <v>10</v>
      </c>
      <c r="B15" s="8">
        <v>2015</v>
      </c>
      <c r="C15" s="9" t="s">
        <v>70</v>
      </c>
      <c r="D15" s="9" t="s">
        <v>54</v>
      </c>
      <c r="E15" s="9" t="s">
        <v>132</v>
      </c>
      <c r="F15" s="10">
        <v>-92.09</v>
      </c>
      <c r="G15" t="str">
        <f>VLOOKUP(D15,Lookup!A$1:B$84,2,FALSE)</f>
        <v>Non-Physical</v>
      </c>
    </row>
    <row r="16" spans="1:7" ht="14.25" hidden="1" outlineLevel="2">
      <c r="A16" s="8">
        <v>10</v>
      </c>
      <c r="B16" s="8">
        <v>2015</v>
      </c>
      <c r="C16" s="9" t="s">
        <v>70</v>
      </c>
      <c r="D16" s="9" t="s">
        <v>55</v>
      </c>
      <c r="E16" s="9" t="s">
        <v>119</v>
      </c>
      <c r="F16" s="10">
        <v>4519.37</v>
      </c>
      <c r="G16" t="str">
        <f>VLOOKUP(D16,Lookup!A$1:B$84,2,FALSE)</f>
        <v>Non-Physical</v>
      </c>
    </row>
    <row r="17" spans="1:7" ht="14.25" hidden="1" outlineLevel="2">
      <c r="A17" s="8">
        <v>10</v>
      </c>
      <c r="B17" s="8">
        <v>2015</v>
      </c>
      <c r="C17" s="9" t="s">
        <v>70</v>
      </c>
      <c r="D17" s="9" t="s">
        <v>56</v>
      </c>
      <c r="E17" s="9" t="s">
        <v>120</v>
      </c>
      <c r="F17" s="10">
        <v>195715.33</v>
      </c>
      <c r="G17" t="str">
        <f>VLOOKUP(D17,Lookup!A$1:B$84,2,FALSE)</f>
        <v>Non-Physical</v>
      </c>
    </row>
    <row r="18" spans="1:7" ht="14.25" outlineLevel="1" collapsed="1">
      <c r="A18" s="8"/>
      <c r="B18" s="8"/>
      <c r="C18" s="9"/>
      <c r="D18" s="9"/>
      <c r="E18" s="9"/>
      <c r="F18" s="10">
        <f>SUBTOTAL(9,F9:F17)</f>
        <v>-100222.93000000014</v>
      </c>
      <c r="G18" s="7" t="s">
        <v>128</v>
      </c>
    </row>
    <row r="19" spans="1:7" ht="14.25" hidden="1" outlineLevel="2">
      <c r="A19" s="8">
        <v>10</v>
      </c>
      <c r="B19" s="8">
        <v>2015</v>
      </c>
      <c r="C19" s="9" t="s">
        <v>70</v>
      </c>
      <c r="D19" s="9" t="s">
        <v>27</v>
      </c>
      <c r="E19" s="9" t="s">
        <v>93</v>
      </c>
      <c r="F19" s="10">
        <v>-65757.7</v>
      </c>
      <c r="G19" t="str">
        <f>VLOOKUP(D19,Lookup!A$1:B$84,2,FALSE)</f>
        <v>OSS</v>
      </c>
    </row>
    <row r="20" spans="1:7" ht="14.25" hidden="1" outlineLevel="2">
      <c r="A20" s="8">
        <v>10</v>
      </c>
      <c r="B20" s="8">
        <v>2015</v>
      </c>
      <c r="C20" s="9" t="s">
        <v>70</v>
      </c>
      <c r="D20" s="9" t="s">
        <v>29</v>
      </c>
      <c r="E20" s="9" t="s">
        <v>94</v>
      </c>
      <c r="F20" s="10">
        <v>4161.48</v>
      </c>
      <c r="G20" t="str">
        <f>VLOOKUP(D20,Lookup!A$1:B$84,2,FALSE)</f>
        <v>OSS</v>
      </c>
    </row>
    <row r="21" spans="1:7" ht="14.25" hidden="1" outlineLevel="2">
      <c r="A21" s="8">
        <v>10</v>
      </c>
      <c r="B21" s="8">
        <v>2015</v>
      </c>
      <c r="C21" s="9" t="s">
        <v>70</v>
      </c>
      <c r="D21" s="9" t="s">
        <v>30</v>
      </c>
      <c r="E21" s="9" t="s">
        <v>95</v>
      </c>
      <c r="F21" s="10">
        <v>-96080.47</v>
      </c>
      <c r="G21" t="str">
        <f>VLOOKUP(D21,Lookup!A$1:B$84,2,FALSE)</f>
        <v>OSS</v>
      </c>
    </row>
    <row r="22" spans="1:7" ht="14.25" hidden="1" outlineLevel="2">
      <c r="A22" s="8">
        <v>10</v>
      </c>
      <c r="B22" s="8">
        <v>2015</v>
      </c>
      <c r="C22" s="9" t="s">
        <v>70</v>
      </c>
      <c r="D22" s="9" t="s">
        <v>31</v>
      </c>
      <c r="E22" s="9" t="s">
        <v>96</v>
      </c>
      <c r="F22" s="10">
        <v>-2481.11</v>
      </c>
      <c r="G22" t="str">
        <f>VLOOKUP(D22,Lookup!A$1:B$84,2,FALSE)</f>
        <v>OSS</v>
      </c>
    </row>
    <row r="23" spans="1:7" ht="14.25" hidden="1" outlineLevel="2">
      <c r="A23" s="8">
        <v>10</v>
      </c>
      <c r="B23" s="8">
        <v>2015</v>
      </c>
      <c r="C23" s="9" t="s">
        <v>70</v>
      </c>
      <c r="D23" s="9" t="s">
        <v>32</v>
      </c>
      <c r="E23" s="9" t="s">
        <v>97</v>
      </c>
      <c r="F23" s="10">
        <v>-531462.41</v>
      </c>
      <c r="G23" t="str">
        <f>VLOOKUP(D23,Lookup!A$1:B$84,2,FALSE)</f>
        <v>OSS</v>
      </c>
    </row>
    <row r="24" spans="1:7" ht="14.25" hidden="1" outlineLevel="2">
      <c r="A24" s="8">
        <v>10</v>
      </c>
      <c r="B24" s="8">
        <v>2015</v>
      </c>
      <c r="C24" s="9" t="s">
        <v>70</v>
      </c>
      <c r="D24" s="9" t="s">
        <v>33</v>
      </c>
      <c r="E24" s="9" t="s">
        <v>98</v>
      </c>
      <c r="F24" s="10">
        <v>1420.79</v>
      </c>
      <c r="G24" t="str">
        <f>VLOOKUP(D24,Lookup!A$1:B$84,2,FALSE)</f>
        <v>OSS</v>
      </c>
    </row>
    <row r="25" spans="1:7" ht="14.25" hidden="1" outlineLevel="2">
      <c r="A25" s="8">
        <v>10</v>
      </c>
      <c r="B25" s="8">
        <v>2015</v>
      </c>
      <c r="C25" s="9" t="s">
        <v>70</v>
      </c>
      <c r="D25" s="9" t="s">
        <v>34</v>
      </c>
      <c r="E25" s="9" t="s">
        <v>99</v>
      </c>
      <c r="F25" s="10">
        <v>196.81</v>
      </c>
      <c r="G25" t="str">
        <f>VLOOKUP(D25,Lookup!A$1:B$84,2,FALSE)</f>
        <v>OSS</v>
      </c>
    </row>
    <row r="26" spans="1:7" ht="14.25" hidden="1" outlineLevel="2">
      <c r="A26" s="8">
        <v>10</v>
      </c>
      <c r="B26" s="8">
        <v>2015</v>
      </c>
      <c r="C26" s="9" t="s">
        <v>70</v>
      </c>
      <c r="D26" s="9" t="s">
        <v>35</v>
      </c>
      <c r="E26" s="9" t="s">
        <v>100</v>
      </c>
      <c r="F26" s="10">
        <v>-182.63</v>
      </c>
      <c r="G26" t="str">
        <f>VLOOKUP(D26,Lookup!A$1:B$84,2,FALSE)</f>
        <v>OSS</v>
      </c>
    </row>
    <row r="27" spans="1:7" ht="14.25" hidden="1" outlineLevel="2">
      <c r="A27" s="8">
        <v>10</v>
      </c>
      <c r="B27" s="8">
        <v>2015</v>
      </c>
      <c r="C27" s="9" t="s">
        <v>70</v>
      </c>
      <c r="D27" s="9" t="s">
        <v>36</v>
      </c>
      <c r="E27" s="9" t="s">
        <v>101</v>
      </c>
      <c r="F27" s="10">
        <v>-1445.95</v>
      </c>
      <c r="G27" t="str">
        <f>VLOOKUP(D27,Lookup!A$1:B$84,2,FALSE)</f>
        <v>OSS</v>
      </c>
    </row>
    <row r="28" spans="1:7" ht="14.25" hidden="1" outlineLevel="2">
      <c r="A28" s="8">
        <v>10</v>
      </c>
      <c r="B28" s="8">
        <v>2015</v>
      </c>
      <c r="C28" s="9" t="s">
        <v>70</v>
      </c>
      <c r="D28" s="9" t="s">
        <v>37</v>
      </c>
      <c r="E28" s="9" t="s">
        <v>102</v>
      </c>
      <c r="F28" s="10">
        <v>18345.05</v>
      </c>
      <c r="G28" t="str">
        <f>VLOOKUP(D28,Lookup!A$1:B$84,2,FALSE)</f>
        <v>OSS</v>
      </c>
    </row>
    <row r="29" spans="1:7" ht="14.25" hidden="1" outlineLevel="2">
      <c r="A29" s="8">
        <v>10</v>
      </c>
      <c r="B29" s="8">
        <v>2015</v>
      </c>
      <c r="C29" s="9" t="s">
        <v>70</v>
      </c>
      <c r="D29" s="9" t="s">
        <v>38</v>
      </c>
      <c r="E29" s="9" t="s">
        <v>103</v>
      </c>
      <c r="F29" s="10">
        <v>3192.93</v>
      </c>
      <c r="G29" t="str">
        <f>VLOOKUP(D29,Lookup!A$1:B$84,2,FALSE)</f>
        <v>OSS</v>
      </c>
    </row>
    <row r="30" spans="1:7" ht="14.25" hidden="1" outlineLevel="2">
      <c r="A30" s="8">
        <v>10</v>
      </c>
      <c r="B30" s="8">
        <v>2015</v>
      </c>
      <c r="C30" s="9" t="s">
        <v>70</v>
      </c>
      <c r="D30" s="9" t="s">
        <v>39</v>
      </c>
      <c r="E30" s="9" t="s">
        <v>104</v>
      </c>
      <c r="F30" s="10">
        <v>-1832.94</v>
      </c>
      <c r="G30" t="str">
        <f>VLOOKUP(D30,Lookup!A$1:B$84,2,FALSE)</f>
        <v>OSS</v>
      </c>
    </row>
    <row r="31" spans="1:7" ht="14.25" hidden="1" outlineLevel="2">
      <c r="A31" s="8">
        <v>10</v>
      </c>
      <c r="B31" s="8">
        <v>2015</v>
      </c>
      <c r="C31" s="9" t="s">
        <v>70</v>
      </c>
      <c r="D31" s="9" t="s">
        <v>44</v>
      </c>
      <c r="E31" s="9" t="s">
        <v>109</v>
      </c>
      <c r="F31" s="10">
        <v>599710.48</v>
      </c>
      <c r="G31" t="str">
        <f>VLOOKUP(D31,Lookup!A$1:B$84,2,FALSE)</f>
        <v>OSS</v>
      </c>
    </row>
    <row r="32" spans="1:7" ht="14.25" hidden="1" outlineLevel="2">
      <c r="A32" s="8">
        <v>10</v>
      </c>
      <c r="B32" s="8">
        <v>2015</v>
      </c>
      <c r="C32" s="9" t="s">
        <v>70</v>
      </c>
      <c r="D32" s="9" t="s">
        <v>45</v>
      </c>
      <c r="E32" s="9" t="s">
        <v>110</v>
      </c>
      <c r="F32" s="10">
        <v>-599710.48</v>
      </c>
      <c r="G32" t="str">
        <f>VLOOKUP(D32,Lookup!A$1:B$84,2,FALSE)</f>
        <v>OSS</v>
      </c>
    </row>
    <row r="33" spans="1:7" ht="14.25" hidden="1" outlineLevel="2">
      <c r="A33" s="8">
        <v>10</v>
      </c>
      <c r="B33" s="8">
        <v>2015</v>
      </c>
      <c r="C33" s="9" t="s">
        <v>70</v>
      </c>
      <c r="D33" s="9" t="s">
        <v>46</v>
      </c>
      <c r="E33" s="9" t="s">
        <v>111</v>
      </c>
      <c r="F33" s="10">
        <v>834.61</v>
      </c>
      <c r="G33" t="str">
        <f>VLOOKUP(D33,Lookup!A$1:B$84,2,FALSE)</f>
        <v>OSS</v>
      </c>
    </row>
    <row r="34" spans="1:7" ht="14.25" hidden="1" outlineLevel="2">
      <c r="A34" s="8">
        <v>10</v>
      </c>
      <c r="B34" s="8">
        <v>2015</v>
      </c>
      <c r="C34" s="9" t="s">
        <v>70</v>
      </c>
      <c r="D34" s="9" t="s">
        <v>47</v>
      </c>
      <c r="E34" s="9" t="s">
        <v>112</v>
      </c>
      <c r="F34" s="10">
        <v>-5946.53</v>
      </c>
      <c r="G34" t="str">
        <f>VLOOKUP(D34,Lookup!A$1:B$84,2,FALSE)</f>
        <v>OSS</v>
      </c>
    </row>
    <row r="35" spans="1:7" ht="14.25" hidden="1" outlineLevel="2">
      <c r="A35" s="8">
        <v>10</v>
      </c>
      <c r="B35" s="8">
        <v>2015</v>
      </c>
      <c r="C35" s="9" t="s">
        <v>70</v>
      </c>
      <c r="D35" s="9" t="s">
        <v>48</v>
      </c>
      <c r="E35" s="9" t="s">
        <v>113</v>
      </c>
      <c r="F35" s="10">
        <v>-996.48</v>
      </c>
      <c r="G35" t="str">
        <f>VLOOKUP(D35,Lookup!A$1:B$84,2,FALSE)</f>
        <v>OSS</v>
      </c>
    </row>
    <row r="36" spans="1:7" ht="14.25" hidden="1" outlineLevel="2">
      <c r="A36" s="8">
        <v>10</v>
      </c>
      <c r="B36" s="8">
        <v>2015</v>
      </c>
      <c r="C36" s="9" t="s">
        <v>70</v>
      </c>
      <c r="D36" s="9" t="s">
        <v>49</v>
      </c>
      <c r="E36" s="9" t="s">
        <v>114</v>
      </c>
      <c r="F36" s="10">
        <v>778.57</v>
      </c>
      <c r="G36" t="str">
        <f>VLOOKUP(D36,Lookup!A$1:B$84,2,FALSE)</f>
        <v>OSS</v>
      </c>
    </row>
    <row r="37" spans="1:7" ht="14.25" hidden="1" outlineLevel="2">
      <c r="A37" s="8">
        <v>10</v>
      </c>
      <c r="B37" s="8">
        <v>2015</v>
      </c>
      <c r="C37" s="9" t="s">
        <v>70</v>
      </c>
      <c r="D37" s="9" t="s">
        <v>50</v>
      </c>
      <c r="E37" s="9" t="s">
        <v>115</v>
      </c>
      <c r="F37" s="10">
        <v>-25178.44</v>
      </c>
      <c r="G37" t="str">
        <f>VLOOKUP(D37,Lookup!A$1:B$84,2,FALSE)</f>
        <v>OSS</v>
      </c>
    </row>
    <row r="38" spans="1:7" ht="14.25" hidden="1" outlineLevel="2">
      <c r="A38" s="8">
        <v>10</v>
      </c>
      <c r="B38" s="8">
        <v>2015</v>
      </c>
      <c r="C38" s="9" t="s">
        <v>70</v>
      </c>
      <c r="D38" s="9" t="s">
        <v>51</v>
      </c>
      <c r="E38" s="9" t="s">
        <v>116</v>
      </c>
      <c r="F38" s="10">
        <v>-35835.58</v>
      </c>
      <c r="G38" t="str">
        <f>VLOOKUP(D38,Lookup!A$1:B$84,2,FALSE)</f>
        <v>OSS</v>
      </c>
    </row>
    <row r="39" spans="1:7" ht="14.25" hidden="1" outlineLevel="2">
      <c r="A39" s="8">
        <v>10</v>
      </c>
      <c r="B39" s="8">
        <v>2015</v>
      </c>
      <c r="C39" s="9" t="s">
        <v>70</v>
      </c>
      <c r="D39" s="9" t="s">
        <v>52</v>
      </c>
      <c r="E39" s="9" t="s">
        <v>117</v>
      </c>
      <c r="F39" s="10">
        <v>-27448.02</v>
      </c>
      <c r="G39" t="str">
        <f>VLOOKUP(D39,Lookup!A$1:B$84,2,FALSE)</f>
        <v>OSS</v>
      </c>
    </row>
    <row r="40" spans="1:7" ht="14.25" hidden="1" outlineLevel="2">
      <c r="A40" s="8">
        <v>10</v>
      </c>
      <c r="B40" s="8">
        <v>2015</v>
      </c>
      <c r="C40" s="9" t="s">
        <v>70</v>
      </c>
      <c r="D40" s="9" t="s">
        <v>53</v>
      </c>
      <c r="E40" s="9" t="s">
        <v>118</v>
      </c>
      <c r="F40" s="10">
        <v>-31.78</v>
      </c>
      <c r="G40" t="str">
        <f>VLOOKUP(D40,Lookup!A$1:B$84,2,FALSE)</f>
        <v>OSS</v>
      </c>
    </row>
    <row r="41" spans="1:7" ht="14.25" hidden="1" outlineLevel="2">
      <c r="A41" s="8">
        <v>10</v>
      </c>
      <c r="B41" s="8">
        <v>2015</v>
      </c>
      <c r="C41" s="9" t="s">
        <v>68</v>
      </c>
      <c r="D41" s="9" t="s">
        <v>57</v>
      </c>
      <c r="E41" s="9" t="s">
        <v>121</v>
      </c>
      <c r="F41" s="10">
        <v>8572.44</v>
      </c>
      <c r="G41" t="str">
        <f>VLOOKUP(D41,Lookup!A$1:B$84,2,FALSE)</f>
        <v>OSS</v>
      </c>
    </row>
    <row r="42" spans="1:7" ht="14.25" hidden="1" outlineLevel="2">
      <c r="A42" s="8">
        <v>10</v>
      </c>
      <c r="B42" s="8">
        <v>2015</v>
      </c>
      <c r="C42" s="9" t="s">
        <v>70</v>
      </c>
      <c r="D42" s="9" t="s">
        <v>58</v>
      </c>
      <c r="E42" s="9" t="s">
        <v>122</v>
      </c>
      <c r="F42" s="10">
        <v>5514.62</v>
      </c>
      <c r="G42" t="str">
        <f>VLOOKUP(D42,Lookup!A$1:B$84,2,FALSE)</f>
        <v>OSS</v>
      </c>
    </row>
    <row r="43" spans="1:7" ht="14.25" hidden="1" outlineLevel="2">
      <c r="A43" s="8">
        <v>10</v>
      </c>
      <c r="B43" s="8">
        <v>2015</v>
      </c>
      <c r="C43" s="9" t="s">
        <v>106</v>
      </c>
      <c r="D43" s="9" t="s">
        <v>59</v>
      </c>
      <c r="E43" s="9" t="s">
        <v>123</v>
      </c>
      <c r="F43" s="10">
        <v>0</v>
      </c>
      <c r="G43" t="str">
        <f>VLOOKUP(D43,Lookup!A$1:B$84,2,FALSE)</f>
        <v>OSS</v>
      </c>
    </row>
    <row r="44" spans="1:7" ht="14.25" hidden="1" outlineLevel="2">
      <c r="A44" s="8">
        <v>10</v>
      </c>
      <c r="B44" s="8">
        <v>2015</v>
      </c>
      <c r="C44" s="9" t="s">
        <v>70</v>
      </c>
      <c r="D44" s="9" t="s">
        <v>60</v>
      </c>
      <c r="E44" s="9" t="s">
        <v>124</v>
      </c>
      <c r="F44" s="10">
        <v>920.06</v>
      </c>
      <c r="G44" t="str">
        <f>VLOOKUP(D44,Lookup!A$1:B$84,2,FALSE)</f>
        <v>OSS</v>
      </c>
    </row>
    <row r="45" spans="1:7" ht="14.25" hidden="1" outlineLevel="2">
      <c r="A45" s="8">
        <v>10</v>
      </c>
      <c r="B45" s="8">
        <v>2015</v>
      </c>
      <c r="C45" s="9" t="s">
        <v>70</v>
      </c>
      <c r="D45" s="9" t="s">
        <v>61</v>
      </c>
      <c r="E45" s="9" t="s">
        <v>125</v>
      </c>
      <c r="F45" s="10">
        <v>-80446.31</v>
      </c>
      <c r="G45" t="str">
        <f>VLOOKUP(D45,Lookup!A$1:B$84,2,FALSE)</f>
        <v>OSS</v>
      </c>
    </row>
    <row r="46" spans="1:7" ht="14.25" outlineLevel="1" collapsed="1">
      <c r="A46" s="8"/>
      <c r="B46" s="8"/>
      <c r="C46" s="9"/>
      <c r="D46" s="9"/>
      <c r="E46" s="9"/>
      <c r="F46" s="10">
        <f>SUBTOTAL(9,F19:F45)</f>
        <v>-831188.9899999998</v>
      </c>
      <c r="G46" s="7" t="s">
        <v>129</v>
      </c>
    </row>
    <row r="47" spans="1:7" ht="14.25" hidden="1" outlineLevel="2">
      <c r="A47" s="8">
        <v>10</v>
      </c>
      <c r="B47" s="8">
        <v>2015</v>
      </c>
      <c r="C47" s="9" t="s">
        <v>68</v>
      </c>
      <c r="D47" s="9" t="s">
        <v>0</v>
      </c>
      <c r="E47" s="9" t="s">
        <v>69</v>
      </c>
      <c r="F47" s="10">
        <v>-7178904.22</v>
      </c>
      <c r="G47" t="str">
        <f>VLOOKUP(D47,Lookup!A$1:B$84,2,FALSE)</f>
        <v>Retail</v>
      </c>
    </row>
    <row r="48" spans="1:7" ht="14.25" hidden="1" outlineLevel="2">
      <c r="A48" s="8">
        <v>10</v>
      </c>
      <c r="B48" s="8">
        <v>2015</v>
      </c>
      <c r="C48" s="9" t="s">
        <v>70</v>
      </c>
      <c r="D48" s="9" t="s">
        <v>0</v>
      </c>
      <c r="E48" s="9" t="s">
        <v>69</v>
      </c>
      <c r="F48" s="10">
        <v>227.63</v>
      </c>
      <c r="G48" t="str">
        <f>VLOOKUP(D48,Lookup!A$1:B$84,2,FALSE)</f>
        <v>Retail</v>
      </c>
    </row>
    <row r="49" spans="1:7" ht="13.5" customHeight="1" hidden="1" outlineLevel="2">
      <c r="A49" s="8">
        <v>10</v>
      </c>
      <c r="B49" s="8">
        <v>2015</v>
      </c>
      <c r="C49" s="9" t="s">
        <v>68</v>
      </c>
      <c r="D49" s="9" t="s">
        <v>2</v>
      </c>
      <c r="E49" s="9" t="s">
        <v>71</v>
      </c>
      <c r="F49" s="10">
        <v>-3913837.09</v>
      </c>
      <c r="G49" t="str">
        <f>VLOOKUP(D49,Lookup!A$1:B$84,2,FALSE)</f>
        <v>Retail</v>
      </c>
    </row>
    <row r="50" spans="1:7" ht="14.25" hidden="1" outlineLevel="2">
      <c r="A50" s="8">
        <v>10</v>
      </c>
      <c r="B50" s="8">
        <v>2015</v>
      </c>
      <c r="C50" s="9" t="s">
        <v>70</v>
      </c>
      <c r="D50" s="9" t="s">
        <v>2</v>
      </c>
      <c r="E50" s="9" t="s">
        <v>71</v>
      </c>
      <c r="F50" s="10">
        <v>272.06</v>
      </c>
      <c r="G50" t="str">
        <f>VLOOKUP(D50,Lookup!A$1:B$84,2,FALSE)</f>
        <v>Retail</v>
      </c>
    </row>
    <row r="51" spans="1:7" ht="14.25" hidden="1" outlineLevel="2">
      <c r="A51" s="8">
        <v>10</v>
      </c>
      <c r="B51" s="8">
        <v>2015</v>
      </c>
      <c r="C51" s="9" t="s">
        <v>68</v>
      </c>
      <c r="D51" s="9" t="s">
        <v>3</v>
      </c>
      <c r="E51" s="9" t="s">
        <v>72</v>
      </c>
      <c r="F51" s="10">
        <v>-3686832.83</v>
      </c>
      <c r="G51" t="str">
        <f>VLOOKUP(D51,Lookup!A$1:B$84,2,FALSE)</f>
        <v>Retail</v>
      </c>
    </row>
    <row r="52" spans="1:7" ht="14.25" hidden="1" outlineLevel="2">
      <c r="A52" s="8">
        <v>10</v>
      </c>
      <c r="B52" s="8">
        <v>2015</v>
      </c>
      <c r="C52" s="9" t="s">
        <v>68</v>
      </c>
      <c r="D52" s="9" t="s">
        <v>4</v>
      </c>
      <c r="E52" s="9" t="s">
        <v>73</v>
      </c>
      <c r="F52" s="10">
        <v>-6618589.51</v>
      </c>
      <c r="G52" t="str">
        <f>VLOOKUP(D52,Lookup!A$1:B$84,2,FALSE)</f>
        <v>Retail</v>
      </c>
    </row>
    <row r="53" spans="1:7" ht="14.25" hidden="1" outlineLevel="2">
      <c r="A53" s="8">
        <v>10</v>
      </c>
      <c r="B53" s="8">
        <v>2015</v>
      </c>
      <c r="C53" s="9" t="s">
        <v>70</v>
      </c>
      <c r="D53" s="9" t="s">
        <v>4</v>
      </c>
      <c r="E53" s="9" t="s">
        <v>73</v>
      </c>
      <c r="F53" s="10">
        <v>-54.96</v>
      </c>
      <c r="G53" t="str">
        <f>VLOOKUP(D53,Lookup!A$1:B$84,2,FALSE)</f>
        <v>Retail</v>
      </c>
    </row>
    <row r="54" spans="1:7" ht="14.25" hidden="1" outlineLevel="2">
      <c r="A54" s="8">
        <v>10</v>
      </c>
      <c r="B54" s="8">
        <v>2015</v>
      </c>
      <c r="C54" s="9" t="s">
        <v>68</v>
      </c>
      <c r="D54" s="9" t="s">
        <v>5</v>
      </c>
      <c r="E54" s="9" t="s">
        <v>74</v>
      </c>
      <c r="F54" s="10">
        <v>-5700561.48</v>
      </c>
      <c r="G54" t="str">
        <f>VLOOKUP(D54,Lookup!A$1:B$84,2,FALSE)</f>
        <v>Retail</v>
      </c>
    </row>
    <row r="55" spans="1:7" ht="14.25" hidden="1" outlineLevel="2">
      <c r="A55" s="8">
        <v>10</v>
      </c>
      <c r="B55" s="8">
        <v>2015</v>
      </c>
      <c r="C55" s="9" t="s">
        <v>70</v>
      </c>
      <c r="D55" s="9" t="s">
        <v>5</v>
      </c>
      <c r="E55" s="9" t="s">
        <v>74</v>
      </c>
      <c r="F55" s="10">
        <v>-6850.86</v>
      </c>
      <c r="G55" t="str">
        <f>VLOOKUP(D55,Lookup!A$1:B$84,2,FALSE)</f>
        <v>Retail</v>
      </c>
    </row>
    <row r="56" spans="1:7" ht="14.25" hidden="1" outlineLevel="2">
      <c r="A56" s="8">
        <v>10</v>
      </c>
      <c r="B56" s="8">
        <v>2015</v>
      </c>
      <c r="C56" s="9" t="s">
        <v>68</v>
      </c>
      <c r="D56" s="9" t="s">
        <v>6</v>
      </c>
      <c r="E56" s="9" t="s">
        <v>75</v>
      </c>
      <c r="F56" s="10">
        <v>-2523142.17</v>
      </c>
      <c r="G56" t="str">
        <f>VLOOKUP(D56,Lookup!A$1:B$84,2,FALSE)</f>
        <v>Retail</v>
      </c>
    </row>
    <row r="57" spans="1:7" ht="14.25" hidden="1" outlineLevel="2">
      <c r="A57" s="8">
        <v>10</v>
      </c>
      <c r="B57" s="8">
        <v>2015</v>
      </c>
      <c r="C57" s="9" t="s">
        <v>70</v>
      </c>
      <c r="D57" s="9" t="s">
        <v>6</v>
      </c>
      <c r="E57" s="9" t="s">
        <v>75</v>
      </c>
      <c r="F57" s="10">
        <v>-774.12</v>
      </c>
      <c r="G57" t="str">
        <f>VLOOKUP(D57,Lookup!A$1:B$84,2,FALSE)</f>
        <v>Retail</v>
      </c>
    </row>
    <row r="58" spans="1:7" ht="14.25" hidden="1" outlineLevel="2">
      <c r="A58" s="8">
        <v>10</v>
      </c>
      <c r="B58" s="8">
        <v>2015</v>
      </c>
      <c r="C58" s="9" t="s">
        <v>68</v>
      </c>
      <c r="D58" s="9" t="s">
        <v>7</v>
      </c>
      <c r="E58" s="9" t="s">
        <v>76</v>
      </c>
      <c r="F58" s="10">
        <v>0</v>
      </c>
      <c r="G58" t="str">
        <f>VLOOKUP(D58,Lookup!A$1:B$84,2,FALSE)</f>
        <v>Retail</v>
      </c>
    </row>
    <row r="59" spans="1:7" ht="14.25" hidden="1" outlineLevel="2">
      <c r="A59" s="8">
        <v>10</v>
      </c>
      <c r="B59" s="8">
        <v>2015</v>
      </c>
      <c r="C59" s="9" t="s">
        <v>68</v>
      </c>
      <c r="D59" s="9" t="s">
        <v>8</v>
      </c>
      <c r="E59" s="9" t="s">
        <v>77</v>
      </c>
      <c r="F59" s="10">
        <v>-1231373.19</v>
      </c>
      <c r="G59" t="str">
        <f>VLOOKUP(D59,Lookup!A$1:B$84,2,FALSE)</f>
        <v>Retail</v>
      </c>
    </row>
    <row r="60" spans="1:7" ht="14.25" hidden="1" outlineLevel="2">
      <c r="A60" s="8">
        <v>10</v>
      </c>
      <c r="B60" s="8">
        <v>2015</v>
      </c>
      <c r="C60" s="9" t="s">
        <v>70</v>
      </c>
      <c r="D60" s="9" t="s">
        <v>8</v>
      </c>
      <c r="E60" s="9" t="s">
        <v>77</v>
      </c>
      <c r="F60" s="10">
        <v>-506.85</v>
      </c>
      <c r="G60" t="str">
        <f>VLOOKUP(D60,Lookup!A$1:B$84,2,FALSE)</f>
        <v>Retail</v>
      </c>
    </row>
    <row r="61" spans="1:7" ht="14.25" hidden="1" outlineLevel="2">
      <c r="A61" s="8">
        <v>10</v>
      </c>
      <c r="B61" s="8">
        <v>2015</v>
      </c>
      <c r="C61" s="9" t="s">
        <v>68</v>
      </c>
      <c r="D61" s="9" t="s">
        <v>9</v>
      </c>
      <c r="E61" s="9" t="s">
        <v>78</v>
      </c>
      <c r="F61" s="10">
        <v>-1261437.88</v>
      </c>
      <c r="G61" t="str">
        <f>VLOOKUP(D61,Lookup!A$1:B$84,2,FALSE)</f>
        <v>Retail</v>
      </c>
    </row>
    <row r="62" spans="1:7" ht="14.25" hidden="1" outlineLevel="2">
      <c r="A62" s="8">
        <v>10</v>
      </c>
      <c r="B62" s="8">
        <v>2015</v>
      </c>
      <c r="C62" s="9" t="s">
        <v>70</v>
      </c>
      <c r="D62" s="9" t="s">
        <v>9</v>
      </c>
      <c r="E62" s="9" t="s">
        <v>78</v>
      </c>
      <c r="F62" s="10">
        <v>4.83</v>
      </c>
      <c r="G62" t="str">
        <f>VLOOKUP(D62,Lookup!A$1:B$84,2,FALSE)</f>
        <v>Retail</v>
      </c>
    </row>
    <row r="63" spans="1:7" ht="14.25" hidden="1" outlineLevel="2">
      <c r="A63" s="8">
        <v>10</v>
      </c>
      <c r="B63" s="8">
        <v>2015</v>
      </c>
      <c r="C63" s="9" t="s">
        <v>68</v>
      </c>
      <c r="D63" s="9" t="s">
        <v>10</v>
      </c>
      <c r="E63" s="9" t="s">
        <v>79</v>
      </c>
      <c r="F63" s="10">
        <v>-3028399.79</v>
      </c>
      <c r="G63" t="str">
        <f>VLOOKUP(D63,Lookup!A$1:B$84,2,FALSE)</f>
        <v>Retail</v>
      </c>
    </row>
    <row r="64" spans="1:7" ht="14.25" hidden="1" outlineLevel="2">
      <c r="A64" s="8">
        <v>10</v>
      </c>
      <c r="B64" s="8">
        <v>2015</v>
      </c>
      <c r="C64" s="9" t="s">
        <v>68</v>
      </c>
      <c r="D64" s="9" t="s">
        <v>11</v>
      </c>
      <c r="E64" s="9" t="s">
        <v>80</v>
      </c>
      <c r="F64" s="10">
        <v>-5687191.24</v>
      </c>
      <c r="G64" t="str">
        <f>VLOOKUP(D64,Lookup!A$1:B$84,2,FALSE)</f>
        <v>Retail</v>
      </c>
    </row>
    <row r="65" spans="1:7" ht="14.25" hidden="1" outlineLevel="2">
      <c r="A65" s="8">
        <v>10</v>
      </c>
      <c r="B65" s="8">
        <v>2015</v>
      </c>
      <c r="C65" s="9" t="s">
        <v>68</v>
      </c>
      <c r="D65" s="9" t="s">
        <v>12</v>
      </c>
      <c r="E65" s="9" t="s">
        <v>81</v>
      </c>
      <c r="F65" s="10">
        <v>0</v>
      </c>
      <c r="G65" t="str">
        <f>VLOOKUP(D65,Lookup!A$1:B$84,2,FALSE)</f>
        <v>Retail</v>
      </c>
    </row>
    <row r="66" spans="1:7" ht="14.25" hidden="1" outlineLevel="2">
      <c r="A66" s="8">
        <v>10</v>
      </c>
      <c r="B66" s="8">
        <v>2015</v>
      </c>
      <c r="C66" s="9" t="s">
        <v>68</v>
      </c>
      <c r="D66" s="9" t="s">
        <v>13</v>
      </c>
      <c r="E66" s="9" t="s">
        <v>82</v>
      </c>
      <c r="F66" s="10">
        <v>-135274.28</v>
      </c>
      <c r="G66" t="str">
        <f>VLOOKUP(D66,Lookup!A$1:B$84,2,FALSE)</f>
        <v>Retail</v>
      </c>
    </row>
    <row r="67" spans="1:7" ht="14.25" hidden="1" outlineLevel="2">
      <c r="A67" s="8">
        <v>10</v>
      </c>
      <c r="B67" s="8">
        <v>2015</v>
      </c>
      <c r="C67" s="9" t="s">
        <v>70</v>
      </c>
      <c r="D67" s="9" t="s">
        <v>13</v>
      </c>
      <c r="E67" s="9" t="s">
        <v>82</v>
      </c>
      <c r="F67" s="10">
        <v>0</v>
      </c>
      <c r="G67" t="str">
        <f>VLOOKUP(D67,Lookup!A$1:B$84,2,FALSE)</f>
        <v>Retail</v>
      </c>
    </row>
    <row r="68" spans="1:7" ht="14.25" hidden="1" outlineLevel="2">
      <c r="A68" s="8">
        <v>10</v>
      </c>
      <c r="B68" s="8">
        <v>2015</v>
      </c>
      <c r="C68" s="9" t="s">
        <v>68</v>
      </c>
      <c r="D68" s="9" t="s">
        <v>14</v>
      </c>
      <c r="E68" s="9" t="s">
        <v>83</v>
      </c>
      <c r="F68" s="10">
        <v>-28642.35</v>
      </c>
      <c r="G68" t="str">
        <f>VLOOKUP(D68,Lookup!A$1:B$84,2,FALSE)</f>
        <v>Retail</v>
      </c>
    </row>
    <row r="69" spans="1:7" ht="14.25" hidden="1" outlineLevel="2">
      <c r="A69" s="8">
        <v>10</v>
      </c>
      <c r="B69" s="8">
        <v>2015</v>
      </c>
      <c r="C69" s="9" t="s">
        <v>68</v>
      </c>
      <c r="D69" s="9" t="s">
        <v>15</v>
      </c>
      <c r="E69" s="9" t="s">
        <v>84</v>
      </c>
      <c r="F69" s="10">
        <v>0</v>
      </c>
      <c r="G69" t="str">
        <f>VLOOKUP(D69,Lookup!A$1:B$84,2,FALSE)</f>
        <v>Retail</v>
      </c>
    </row>
    <row r="70" spans="1:7" ht="14.25" hidden="1" outlineLevel="2">
      <c r="A70" s="8">
        <v>10</v>
      </c>
      <c r="B70" s="8">
        <v>2015</v>
      </c>
      <c r="C70" s="9" t="s">
        <v>68</v>
      </c>
      <c r="D70" s="9" t="s">
        <v>16</v>
      </c>
      <c r="E70" s="9" t="s">
        <v>85</v>
      </c>
      <c r="F70" s="10">
        <v>0</v>
      </c>
      <c r="G70" t="str">
        <f>VLOOKUP(D70,Lookup!A$1:B$84,2,FALSE)</f>
        <v>Retail</v>
      </c>
    </row>
    <row r="71" spans="1:7" ht="14.25" outlineLevel="1" collapsed="1">
      <c r="A71" s="8"/>
      <c r="B71" s="8"/>
      <c r="C71" s="9"/>
      <c r="D71" s="9"/>
      <c r="E71" s="9"/>
      <c r="F71" s="10">
        <f>SUBTOTAL(9,F47:F70)</f>
        <v>-41001868.30000001</v>
      </c>
      <c r="G71" s="7" t="s">
        <v>130</v>
      </c>
    </row>
    <row r="72" spans="1:7" ht="14.25">
      <c r="A72" s="8"/>
      <c r="B72" s="8"/>
      <c r="C72" s="9"/>
      <c r="D72" s="9"/>
      <c r="E72" s="9"/>
      <c r="F72" s="10">
        <f>SUBTOTAL(9,F2:F70)</f>
        <v>-42431264.96000001</v>
      </c>
      <c r="G72" s="7" t="s">
        <v>131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Q40"/>
  <sheetViews>
    <sheetView view="pageBreakPreview" zoomScale="60" zoomScalePageLayoutView="0" workbookViewId="0" topLeftCell="A1">
      <pane ySplit="12" topLeftCell="A13" activePane="bottomLeft" state="frozen"/>
      <selection pane="topLeft" activeCell="M33" sqref="M33"/>
      <selection pane="bottomLeft" activeCell="M33" sqref="M33"/>
    </sheetView>
  </sheetViews>
  <sheetFormatPr defaultColWidth="9.140625" defaultRowHeight="15"/>
  <cols>
    <col min="1" max="1" width="3.7109375" style="12" customWidth="1"/>
    <col min="2" max="2" width="4.421875" style="11" bestFit="1" customWidth="1"/>
    <col min="3" max="3" width="0.71875" style="11" customWidth="1"/>
    <col min="4" max="4" width="1.28515625" style="11" customWidth="1"/>
    <col min="5" max="5" width="35.7109375" style="12" customWidth="1"/>
    <col min="6" max="6" width="0.2890625" style="12" customWidth="1"/>
    <col min="7" max="7" width="30.7109375" style="12" customWidth="1"/>
    <col min="8" max="8" width="0.2890625" style="12" customWidth="1"/>
    <col min="9" max="9" width="22.7109375" style="12" customWidth="1"/>
    <col min="10" max="10" width="18.7109375" style="12" customWidth="1"/>
    <col min="11" max="11" width="20.00390625" style="12" customWidth="1"/>
    <col min="12" max="12" width="8.8515625" style="12" customWidth="1"/>
    <col min="13" max="13" width="14.421875" style="12" bestFit="1" customWidth="1"/>
    <col min="14" max="14" width="14.28125" style="12" customWidth="1"/>
    <col min="15" max="16384" width="8.8515625" style="12" customWidth="1"/>
  </cols>
  <sheetData>
    <row r="1" ht="12.75">
      <c r="I1" s="13" t="s">
        <v>134</v>
      </c>
    </row>
    <row r="4" spans="2:15" ht="12.75">
      <c r="B4" s="277" t="s">
        <v>135</v>
      </c>
      <c r="C4" s="277"/>
      <c r="D4" s="277"/>
      <c r="E4" s="277"/>
      <c r="F4" s="277"/>
      <c r="G4" s="277"/>
      <c r="H4" s="277"/>
      <c r="I4" s="277"/>
      <c r="J4" s="15"/>
      <c r="K4" s="15"/>
      <c r="L4" s="15"/>
      <c r="M4" s="15"/>
      <c r="N4" s="15"/>
      <c r="O4" s="15"/>
    </row>
    <row r="5" spans="2:15" ht="12.75">
      <c r="B5" s="278" t="s">
        <v>136</v>
      </c>
      <c r="C5" s="278"/>
      <c r="D5" s="278"/>
      <c r="E5" s="278"/>
      <c r="F5" s="278"/>
      <c r="G5" s="278"/>
      <c r="H5" s="278"/>
      <c r="I5" s="278"/>
      <c r="J5" s="15"/>
      <c r="K5" s="15"/>
      <c r="L5" s="15"/>
      <c r="M5" s="15"/>
      <c r="N5" s="15"/>
      <c r="O5" s="15"/>
    </row>
    <row r="6" spans="2:15" ht="12.75">
      <c r="B6" s="278" t="s">
        <v>137</v>
      </c>
      <c r="C6" s="278"/>
      <c r="D6" s="278"/>
      <c r="E6" s="278"/>
      <c r="F6" s="278"/>
      <c r="G6" s="278"/>
      <c r="H6" s="278"/>
      <c r="I6" s="278"/>
      <c r="J6" s="15"/>
      <c r="K6" s="15"/>
      <c r="L6" s="15"/>
      <c r="M6" s="15"/>
      <c r="N6" s="15"/>
      <c r="O6" s="15"/>
    </row>
    <row r="7" spans="2:15" ht="12.75">
      <c r="B7" s="279" t="s">
        <v>138</v>
      </c>
      <c r="C7" s="279"/>
      <c r="D7" s="279"/>
      <c r="E7" s="279"/>
      <c r="F7" s="279"/>
      <c r="G7" s="279"/>
      <c r="H7" s="279"/>
      <c r="I7" s="279"/>
      <c r="J7" s="15"/>
      <c r="K7" s="15"/>
      <c r="L7" s="15"/>
      <c r="M7" s="15"/>
      <c r="N7" s="15"/>
      <c r="O7" s="15"/>
    </row>
    <row r="8" spans="6:15" ht="12.75">
      <c r="F8" s="15"/>
      <c r="G8" s="17"/>
      <c r="H8" s="15"/>
      <c r="I8" s="15"/>
      <c r="J8" s="15"/>
      <c r="K8" s="15"/>
      <c r="L8" s="15"/>
      <c r="M8" s="15"/>
      <c r="N8" s="15"/>
      <c r="O8" s="15"/>
    </row>
    <row r="9" spans="2:15" ht="12.75">
      <c r="B9" s="280" t="str">
        <f>+'[1]ES 1.0'!E7</f>
        <v>For the Expense Month of October 2015</v>
      </c>
      <c r="C9" s="280"/>
      <c r="D9" s="280"/>
      <c r="E9" s="280"/>
      <c r="F9" s="280"/>
      <c r="G9" s="280"/>
      <c r="H9" s="280"/>
      <c r="I9" s="280"/>
      <c r="J9" s="15"/>
      <c r="K9" s="15"/>
      <c r="L9" s="15"/>
      <c r="M9" s="15"/>
      <c r="N9" s="15"/>
      <c r="O9" s="15"/>
    </row>
    <row r="10" spans="6:15" ht="12.75"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2:15" ht="12.75">
      <c r="B11" s="281" t="s">
        <v>139</v>
      </c>
      <c r="C11" s="281"/>
      <c r="D11" s="281"/>
      <c r="E11" s="281"/>
      <c r="F11" s="281"/>
      <c r="G11" s="281"/>
      <c r="H11" s="281"/>
      <c r="I11" s="281"/>
      <c r="J11" s="15"/>
      <c r="K11" s="15"/>
      <c r="L11" s="15"/>
      <c r="M11" s="15"/>
      <c r="N11" s="15"/>
      <c r="O11" s="15"/>
    </row>
    <row r="12" ht="13.5" thickBot="1"/>
    <row r="13" spans="2:11" ht="30" customHeight="1" thickBot="1">
      <c r="B13" s="18" t="s">
        <v>140</v>
      </c>
      <c r="C13" s="19"/>
      <c r="D13" s="20"/>
      <c r="E13" s="21" t="s">
        <v>141</v>
      </c>
      <c r="F13" s="22"/>
      <c r="G13" s="23" t="s">
        <v>164</v>
      </c>
      <c r="H13" s="24"/>
      <c r="I13" s="23" t="s">
        <v>165</v>
      </c>
      <c r="J13" s="68" t="s">
        <v>163</v>
      </c>
      <c r="K13" s="96" t="s">
        <v>143</v>
      </c>
    </row>
    <row r="14" spans="2:13" ht="18" customHeight="1">
      <c r="B14" s="26"/>
      <c r="C14" s="27"/>
      <c r="D14" s="28"/>
      <c r="E14" s="29"/>
      <c r="F14" s="30"/>
      <c r="G14" s="31"/>
      <c r="H14" s="32"/>
      <c r="I14" s="90"/>
      <c r="J14" s="33"/>
      <c r="K14" s="33"/>
      <c r="M14" s="34"/>
    </row>
    <row r="15" spans="2:11" ht="12.75">
      <c r="B15" s="35">
        <v>1</v>
      </c>
      <c r="C15" s="36"/>
      <c r="D15" s="37"/>
      <c r="E15" s="38" t="s">
        <v>144</v>
      </c>
      <c r="F15" s="39"/>
      <c r="G15" s="40">
        <v>41001868.3</v>
      </c>
      <c r="H15" s="41"/>
      <c r="I15" s="91">
        <f>ROUND(G15/$G$20,3)</f>
        <v>0.975</v>
      </c>
      <c r="J15" s="97">
        <f>-'October 2015'!F71</f>
        <v>41001868.30000001</v>
      </c>
      <c r="K15" s="42">
        <f>ROUND(J15/$J$20,3)</f>
        <v>0.969</v>
      </c>
    </row>
    <row r="16" spans="2:11" ht="12.75">
      <c r="B16" s="35">
        <f>+B15+1</f>
        <v>2</v>
      </c>
      <c r="C16" s="36"/>
      <c r="D16" s="37"/>
      <c r="E16" s="38" t="s">
        <v>145</v>
      </c>
      <c r="F16" s="39"/>
      <c r="G16" s="40">
        <v>493072</v>
      </c>
      <c r="H16" s="43"/>
      <c r="I16" s="92">
        <f>ROUND(G16/$G$20,3)</f>
        <v>0.012</v>
      </c>
      <c r="J16" s="98">
        <f>-'October 2015'!F8</f>
        <v>493072.42</v>
      </c>
      <c r="K16" s="42">
        <f>ROUND(J16/$J$20,3)</f>
        <v>0.012</v>
      </c>
    </row>
    <row r="17" spans="2:11" ht="12.75">
      <c r="B17" s="35">
        <f>+B16+1</f>
        <v>3</v>
      </c>
      <c r="C17" s="36"/>
      <c r="D17" s="37"/>
      <c r="E17" s="38" t="s">
        <v>147</v>
      </c>
      <c r="F17" s="39"/>
      <c r="G17" s="46">
        <v>4912</v>
      </c>
      <c r="H17" s="43"/>
      <c r="I17" s="92">
        <f>ROUND(G17/$G$20,3)</f>
        <v>0</v>
      </c>
      <c r="J17" s="97">
        <f>-'October 2015'!F3</f>
        <v>4912.32</v>
      </c>
      <c r="K17" s="42">
        <f>ROUND(J17/$J$20,3)</f>
        <v>0</v>
      </c>
    </row>
    <row r="18" spans="2:11" ht="12.75">
      <c r="B18" s="35">
        <f>+B17+1</f>
        <v>4</v>
      </c>
      <c r="C18" s="36"/>
      <c r="D18" s="37"/>
      <c r="E18" s="38" t="s">
        <v>148</v>
      </c>
      <c r="F18" s="39"/>
      <c r="G18" s="46">
        <v>536030</v>
      </c>
      <c r="H18" s="43"/>
      <c r="I18" s="92">
        <f>ROUND(G18/$G$20,3)</f>
        <v>0.013</v>
      </c>
      <c r="J18" s="97">
        <f>-'October 2015'!F46</f>
        <v>831188.9899999998</v>
      </c>
      <c r="K18" s="42">
        <f>ROUND(J18/$J$20,3)</f>
        <v>0.02</v>
      </c>
    </row>
    <row r="19" spans="2:11" ht="12.75" customHeight="1">
      <c r="B19" s="35"/>
      <c r="C19" s="36"/>
      <c r="D19" s="37"/>
      <c r="E19" s="38"/>
      <c r="F19" s="39"/>
      <c r="G19" s="47" t="s">
        <v>149</v>
      </c>
      <c r="H19" s="48"/>
      <c r="I19" s="93" t="s">
        <v>149</v>
      </c>
      <c r="J19" s="58"/>
      <c r="K19" s="58"/>
    </row>
    <row r="20" spans="2:11" ht="12.75">
      <c r="B20" s="35">
        <f>+B18+1</f>
        <v>5</v>
      </c>
      <c r="C20" s="36"/>
      <c r="D20" s="37"/>
      <c r="E20" s="50" t="s">
        <v>150</v>
      </c>
      <c r="F20" s="51"/>
      <c r="G20" s="46">
        <f>SUM(G15:G18)</f>
        <v>42035882.3</v>
      </c>
      <c r="H20" s="43"/>
      <c r="I20" s="92">
        <f>SUM(I15:I18)</f>
        <v>1</v>
      </c>
      <c r="J20" s="46">
        <f>SUM(J15:J18)</f>
        <v>42331042.030000016</v>
      </c>
      <c r="K20" s="58"/>
    </row>
    <row r="21" spans="2:11" ht="12.75">
      <c r="B21" s="35"/>
      <c r="C21" s="36"/>
      <c r="D21" s="37"/>
      <c r="E21" s="50"/>
      <c r="F21" s="51"/>
      <c r="G21" s="46"/>
      <c r="H21" s="43"/>
      <c r="I21" s="92"/>
      <c r="J21" s="58"/>
      <c r="K21" s="58"/>
    </row>
    <row r="22" spans="2:11" ht="12.75">
      <c r="B22" s="35">
        <f>+B20+1</f>
        <v>6</v>
      </c>
      <c r="C22" s="36"/>
      <c r="D22" s="37"/>
      <c r="E22" s="50" t="s">
        <v>151</v>
      </c>
      <c r="F22" s="51"/>
      <c r="G22" s="52">
        <v>395382</v>
      </c>
      <c r="H22" s="43"/>
      <c r="I22" s="92"/>
      <c r="J22" s="97">
        <v>100223</v>
      </c>
      <c r="K22" s="58"/>
    </row>
    <row r="23" spans="2:11" ht="12.75">
      <c r="B23" s="53"/>
      <c r="C23" s="54"/>
      <c r="D23" s="55"/>
      <c r="E23" s="38"/>
      <c r="F23" s="39"/>
      <c r="G23" s="56"/>
      <c r="H23" s="57"/>
      <c r="I23" s="94"/>
      <c r="J23" s="58"/>
      <c r="K23" s="58"/>
    </row>
    <row r="24" spans="2:11" ht="13.5" thickBot="1">
      <c r="B24" s="35">
        <f>+B22+1</f>
        <v>7</v>
      </c>
      <c r="C24" s="59"/>
      <c r="D24" s="55"/>
      <c r="E24" s="38" t="s">
        <v>152</v>
      </c>
      <c r="F24" s="39"/>
      <c r="G24" s="46">
        <f>+G20+G22</f>
        <v>42431264.3</v>
      </c>
      <c r="H24" s="57"/>
      <c r="I24" s="94"/>
      <c r="J24" s="46">
        <f>+J20+J22</f>
        <v>42431265.030000016</v>
      </c>
      <c r="K24" s="58"/>
    </row>
    <row r="25" spans="2:11" ht="13.5" thickBot="1">
      <c r="B25" s="60"/>
      <c r="C25" s="59"/>
      <c r="D25" s="61"/>
      <c r="E25" s="62"/>
      <c r="F25" s="63"/>
      <c r="G25" s="64"/>
      <c r="H25" s="65"/>
      <c r="I25" s="95"/>
      <c r="J25" s="66"/>
      <c r="K25" s="66"/>
    </row>
    <row r="26" ht="15" customHeight="1">
      <c r="D26" s="67"/>
    </row>
    <row r="27" ht="18" customHeight="1"/>
    <row r="28" spans="4:5" ht="12.75">
      <c r="D28" s="89" t="s">
        <v>146</v>
      </c>
      <c r="E28" s="45" t="s">
        <v>146</v>
      </c>
    </row>
    <row r="29" ht="12.75">
      <c r="E29" s="45" t="s">
        <v>146</v>
      </c>
    </row>
    <row r="35" ht="12.75">
      <c r="E35" s="45" t="s">
        <v>146</v>
      </c>
    </row>
    <row r="40" ht="12.75">
      <c r="Q40" s="12" t="s">
        <v>146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customWidth="1"/>
    <col min="2" max="2" width="15.28125" style="104" customWidth="1"/>
    <col min="3" max="3" width="12.7109375" style="104" customWidth="1"/>
    <col min="4" max="4" width="15.8515625" style="104" customWidth="1"/>
    <col min="5" max="6" width="18.7109375" style="104" customWidth="1"/>
    <col min="7" max="7" width="14.8515625" style="0" customWidth="1"/>
    <col min="8" max="8" width="15.7109375" style="0" customWidth="1"/>
  </cols>
  <sheetData>
    <row r="3" spans="2:6" ht="14.25">
      <c r="B3" s="269" t="s">
        <v>333</v>
      </c>
      <c r="C3" s="269" t="s">
        <v>334</v>
      </c>
      <c r="D3" s="269" t="s">
        <v>183</v>
      </c>
      <c r="E3" s="106"/>
      <c r="F3" s="107"/>
    </row>
    <row r="4" spans="1:8" ht="28.5" customHeight="1">
      <c r="A4" s="7" t="s">
        <v>176</v>
      </c>
      <c r="B4" s="269"/>
      <c r="C4" s="269"/>
      <c r="D4" s="269"/>
      <c r="E4" s="106" t="s">
        <v>184</v>
      </c>
      <c r="F4" s="106" t="s">
        <v>335</v>
      </c>
      <c r="G4" s="107" t="s">
        <v>336</v>
      </c>
      <c r="H4" s="7" t="s">
        <v>178</v>
      </c>
    </row>
    <row r="5" spans="6:8" ht="14.25">
      <c r="F5" s="104" t="s">
        <v>185</v>
      </c>
      <c r="G5" s="104" t="s">
        <v>186</v>
      </c>
      <c r="H5" s="183" t="s">
        <v>146</v>
      </c>
    </row>
    <row r="6" spans="1:8" ht="14.25">
      <c r="A6" s="105">
        <v>42155</v>
      </c>
      <c r="B6" s="177">
        <f>'May ES 3.30'!H15</f>
        <v>0.86</v>
      </c>
      <c r="C6" s="177">
        <f>'May ES 3.30'!K15</f>
        <v>0.858</v>
      </c>
      <c r="D6" s="176">
        <f aca="true" t="shared" si="0" ref="D6:D11">B6-C6</f>
        <v>0.0020000000000000018</v>
      </c>
      <c r="E6" s="184">
        <v>-2099813</v>
      </c>
      <c r="F6" s="185">
        <f aca="true" t="shared" si="1" ref="F6:F11">E6*B6</f>
        <v>-1805839.18</v>
      </c>
      <c r="G6" s="186">
        <f aca="true" t="shared" si="2" ref="G6:G11">E6*C6</f>
        <v>-1801639.554</v>
      </c>
      <c r="H6" s="186">
        <f aca="true" t="shared" si="3" ref="H6:H11">F6-G6</f>
        <v>-4199.625999999931</v>
      </c>
    </row>
    <row r="7" spans="1:8" ht="14.25">
      <c r="A7" s="105">
        <f aca="true" t="shared" si="4" ref="A7:A13">+EOMONTH(A6,1)</f>
        <v>42185</v>
      </c>
      <c r="B7" s="176">
        <f>'June ES 3.30'!I15</f>
        <v>0.887</v>
      </c>
      <c r="C7" s="176">
        <f>'June ES 3.30'!L15</f>
        <v>0.883</v>
      </c>
      <c r="D7" s="176">
        <f t="shared" si="0"/>
        <v>0.0040000000000000036</v>
      </c>
      <c r="E7" s="184">
        <f>'ES--Pro-Rated Dollars'!AH49</f>
        <v>-1241847.6543828996</v>
      </c>
      <c r="F7" s="185">
        <f t="shared" si="1"/>
        <v>-1101518.869437632</v>
      </c>
      <c r="G7" s="186">
        <f t="shared" si="2"/>
        <v>-1096551.4788201004</v>
      </c>
      <c r="H7" s="186">
        <f t="shared" si="3"/>
        <v>-4967.390617531491</v>
      </c>
    </row>
    <row r="8" spans="1:8" ht="14.25">
      <c r="A8" s="105">
        <f t="shared" si="4"/>
        <v>42216</v>
      </c>
      <c r="B8" s="176">
        <f>'July ES 3.30'!I15</f>
        <v>0.812</v>
      </c>
      <c r="C8" s="176">
        <f>'July ES 3.30'!L15</f>
        <v>0.807</v>
      </c>
      <c r="D8" s="176">
        <f t="shared" si="0"/>
        <v>0.0050000000000000044</v>
      </c>
      <c r="E8" s="184">
        <f>'ES--Pro-Rated Dollars'!AH70</f>
        <v>1636615.6240214002</v>
      </c>
      <c r="F8" s="185">
        <f t="shared" si="1"/>
        <v>1328931.8867053771</v>
      </c>
      <c r="G8" s="186">
        <f t="shared" si="2"/>
        <v>1320748.80858527</v>
      </c>
      <c r="H8" s="186">
        <f t="shared" si="3"/>
        <v>8183.078120107064</v>
      </c>
    </row>
    <row r="9" spans="1:8" ht="14.25">
      <c r="A9" s="105">
        <f t="shared" si="4"/>
        <v>42247</v>
      </c>
      <c r="B9" s="176">
        <f>'Aug ES 3.30'!I15</f>
        <v>0.86</v>
      </c>
      <c r="C9" s="176">
        <f>'Aug ES 3.30'!L15</f>
        <v>0.85</v>
      </c>
      <c r="D9" s="176">
        <f t="shared" si="0"/>
        <v>0.010000000000000009</v>
      </c>
      <c r="E9" s="184">
        <v>4254899.290645169</v>
      </c>
      <c r="F9" s="185">
        <f t="shared" si="1"/>
        <v>3659213.3899548454</v>
      </c>
      <c r="G9" s="187">
        <f t="shared" si="2"/>
        <v>3616664.3970483937</v>
      </c>
      <c r="H9" s="186">
        <f t="shared" si="3"/>
        <v>42548.99290645169</v>
      </c>
    </row>
    <row r="10" spans="1:8" ht="14.25">
      <c r="A10" s="105">
        <f t="shared" si="4"/>
        <v>42277</v>
      </c>
      <c r="B10" s="176">
        <f>'Sep ES 3.30'!I15</f>
        <v>0.903</v>
      </c>
      <c r="C10" s="176">
        <f>'Sep ES 3.30'!L15</f>
        <v>0.901</v>
      </c>
      <c r="D10" s="176">
        <f t="shared" si="0"/>
        <v>0.0020000000000000018</v>
      </c>
      <c r="E10" s="184">
        <v>4299911.3251487445</v>
      </c>
      <c r="F10" s="185">
        <f t="shared" si="1"/>
        <v>3882819.9266093164</v>
      </c>
      <c r="G10" s="186">
        <f t="shared" si="2"/>
        <v>3874220.103959019</v>
      </c>
      <c r="H10" s="186">
        <f t="shared" si="3"/>
        <v>8599.822650297545</v>
      </c>
    </row>
    <row r="11" spans="1:8" ht="14.25">
      <c r="A11" s="105">
        <f t="shared" si="4"/>
        <v>42308</v>
      </c>
      <c r="B11" s="176">
        <f>'Oct ES 3.30'!I15</f>
        <v>0.975</v>
      </c>
      <c r="C11" s="176">
        <f>'Oct ES 3.30'!K15</f>
        <v>0.969</v>
      </c>
      <c r="D11" s="176">
        <f t="shared" si="0"/>
        <v>0.006000000000000005</v>
      </c>
      <c r="E11" s="184">
        <v>4229552.384893526</v>
      </c>
      <c r="F11" s="185">
        <f t="shared" si="1"/>
        <v>4123813.5752711883</v>
      </c>
      <c r="G11" s="186">
        <f t="shared" si="2"/>
        <v>4098436.260961827</v>
      </c>
      <c r="H11" s="186">
        <f t="shared" si="3"/>
        <v>25377.31430936139</v>
      </c>
    </row>
    <row r="12" spans="1:8" ht="14.25">
      <c r="A12" s="105">
        <f t="shared" si="4"/>
        <v>42338</v>
      </c>
      <c r="B12" s="175"/>
      <c r="C12" s="175"/>
      <c r="D12" s="175"/>
      <c r="E12" s="185"/>
      <c r="F12" s="185"/>
      <c r="G12" s="186"/>
      <c r="H12" s="186"/>
    </row>
    <row r="13" spans="1:8" ht="14.25">
      <c r="A13" s="105">
        <f t="shared" si="4"/>
        <v>42369</v>
      </c>
      <c r="B13" s="175"/>
      <c r="C13" s="175"/>
      <c r="D13" s="175"/>
      <c r="E13" s="185"/>
      <c r="F13" s="185"/>
      <c r="G13" s="186"/>
      <c r="H13" s="186"/>
    </row>
    <row r="14" spans="1:8" ht="14.25">
      <c r="A14" s="105"/>
      <c r="B14" s="182"/>
      <c r="C14" s="182"/>
      <c r="D14" s="182"/>
      <c r="E14" s="185"/>
      <c r="F14" s="185"/>
      <c r="G14" s="186"/>
      <c r="H14" s="186"/>
    </row>
    <row r="15" spans="1:8" ht="14.25">
      <c r="A15" s="7" t="s">
        <v>177</v>
      </c>
      <c r="B15" s="103"/>
      <c r="C15" s="103"/>
      <c r="D15" s="103"/>
      <c r="E15" s="188"/>
      <c r="F15" s="188">
        <f>SUM(F6:F11)</f>
        <v>10087420.729103096</v>
      </c>
      <c r="G15" s="189">
        <f>SUM(G6:G11)</f>
        <v>10011878.537734408</v>
      </c>
      <c r="H15" s="189">
        <f>SUM(H6:H11)</f>
        <v>75542.19136868627</v>
      </c>
    </row>
    <row r="19" ht="14.25">
      <c r="A19" t="s">
        <v>187</v>
      </c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85" sqref="D85"/>
    </sheetView>
  </sheetViews>
  <sheetFormatPr defaultColWidth="9.140625" defaultRowHeight="15" outlineLevelRow="2"/>
  <cols>
    <col min="1" max="1" width="4.00390625" style="0" bestFit="1" customWidth="1"/>
    <col min="2" max="2" width="6.00390625" style="0" bestFit="1" customWidth="1"/>
    <col min="3" max="3" width="5.140625" style="0" bestFit="1" customWidth="1"/>
    <col min="4" max="4" width="9.140625" style="0" bestFit="1" customWidth="1"/>
    <col min="5" max="5" width="37.00390625" style="0" customWidth="1"/>
    <col min="6" max="6" width="17.140625" style="0" customWidth="1"/>
    <col min="7" max="7" width="12.7109375" style="0" customWidth="1"/>
  </cols>
  <sheetData>
    <row r="1" spans="1:6" s="7" customFormat="1" ht="26.25" thickBot="1">
      <c r="A1" s="179" t="s">
        <v>62</v>
      </c>
      <c r="B1" s="179" t="s">
        <v>63</v>
      </c>
      <c r="C1" s="179" t="s">
        <v>64</v>
      </c>
      <c r="D1" s="179" t="s">
        <v>65</v>
      </c>
      <c r="E1" s="179" t="s">
        <v>66</v>
      </c>
      <c r="F1" s="179" t="s">
        <v>67</v>
      </c>
    </row>
    <row r="2" spans="1:7" s="174" customFormat="1" ht="14.25" hidden="1" outlineLevel="2">
      <c r="A2" s="180">
        <v>5</v>
      </c>
      <c r="B2" s="180">
        <v>2015</v>
      </c>
      <c r="C2" s="178" t="s">
        <v>70</v>
      </c>
      <c r="D2" s="178" t="s">
        <v>22</v>
      </c>
      <c r="E2" s="178" t="s">
        <v>89</v>
      </c>
      <c r="F2" s="181">
        <v>-231560.65</v>
      </c>
      <c r="G2" s="174" t="str">
        <f>VLOOKUP(D2,Lookup!A$1:B$84,2,FALSE)</f>
        <v>FERC</v>
      </c>
    </row>
    <row r="3" spans="1:7" s="174" customFormat="1" ht="14.25" hidden="1" outlineLevel="2">
      <c r="A3" s="180">
        <v>5</v>
      </c>
      <c r="B3" s="180">
        <v>2015</v>
      </c>
      <c r="C3" s="178" t="s">
        <v>70</v>
      </c>
      <c r="D3" s="178" t="s">
        <v>24</v>
      </c>
      <c r="E3" s="178" t="s">
        <v>90</v>
      </c>
      <c r="F3" s="181">
        <v>-220644.91</v>
      </c>
      <c r="G3" s="174" t="str">
        <f>VLOOKUP(D3,Lookup!A$1:B$84,2,FALSE)</f>
        <v>FERC</v>
      </c>
    </row>
    <row r="4" spans="1:7" s="174" customFormat="1" ht="14.25" hidden="1" outlineLevel="2">
      <c r="A4" s="180">
        <v>5</v>
      </c>
      <c r="B4" s="180">
        <v>2015</v>
      </c>
      <c r="C4" s="178" t="s">
        <v>70</v>
      </c>
      <c r="D4" s="178" t="s">
        <v>40</v>
      </c>
      <c r="E4" s="178" t="s">
        <v>105</v>
      </c>
      <c r="F4" s="181">
        <v>83092.99</v>
      </c>
      <c r="G4" s="174" t="str">
        <f>VLOOKUP(D4,Lookup!A$1:B$84,2,FALSE)</f>
        <v>FERC</v>
      </c>
    </row>
    <row r="5" spans="1:7" s="174" customFormat="1" ht="14.25" hidden="1" outlineLevel="2">
      <c r="A5" s="180">
        <v>5</v>
      </c>
      <c r="B5" s="180">
        <v>2015</v>
      </c>
      <c r="C5" s="178" t="s">
        <v>106</v>
      </c>
      <c r="D5" s="178" t="s">
        <v>40</v>
      </c>
      <c r="E5" s="178" t="s">
        <v>105</v>
      </c>
      <c r="F5" s="181">
        <v>-92963.46</v>
      </c>
      <c r="G5" s="174" t="str">
        <f>VLOOKUP(D5,Lookup!A$1:B$84,2,FALSE)</f>
        <v>FERC</v>
      </c>
    </row>
    <row r="6" spans="1:7" s="174" customFormat="1" ht="14.25" outlineLevel="1" collapsed="1">
      <c r="A6" s="180"/>
      <c r="B6" s="180"/>
      <c r="C6" s="178"/>
      <c r="D6" s="178"/>
      <c r="E6" s="178"/>
      <c r="F6" s="181">
        <f>SUBTOTAL(9,F2:F5)</f>
        <v>-462076.03</v>
      </c>
      <c r="G6" s="7" t="s">
        <v>127</v>
      </c>
    </row>
    <row r="7" spans="1:7" s="174" customFormat="1" ht="14.25" hidden="1" outlineLevel="2">
      <c r="A7" s="180">
        <v>5</v>
      </c>
      <c r="B7" s="180">
        <v>2015</v>
      </c>
      <c r="C7" s="178" t="s">
        <v>70</v>
      </c>
      <c r="D7" s="178" t="s">
        <v>19</v>
      </c>
      <c r="E7" s="178" t="s">
        <v>87</v>
      </c>
      <c r="F7" s="181">
        <v>-901114.82</v>
      </c>
      <c r="G7" s="174" t="str">
        <f>VLOOKUP(D7,Lookup!A$1:B$84,2,FALSE)</f>
        <v>Non-Physical</v>
      </c>
    </row>
    <row r="8" spans="1:7" s="174" customFormat="1" ht="14.25" hidden="1" outlineLevel="2">
      <c r="A8" s="180">
        <v>5</v>
      </c>
      <c r="B8" s="180">
        <v>2015</v>
      </c>
      <c r="C8" s="178" t="s">
        <v>70</v>
      </c>
      <c r="D8" s="178" t="s">
        <v>21</v>
      </c>
      <c r="E8" s="178" t="s">
        <v>88</v>
      </c>
      <c r="F8" s="181">
        <v>604124.09</v>
      </c>
      <c r="G8" s="174" t="str">
        <f>VLOOKUP(D8,Lookup!A$1:B$84,2,FALSE)</f>
        <v>Non-Physical</v>
      </c>
    </row>
    <row r="9" spans="1:7" s="174" customFormat="1" ht="14.25" hidden="1" outlineLevel="2">
      <c r="A9" s="180">
        <v>5</v>
      </c>
      <c r="B9" s="180">
        <v>2015</v>
      </c>
      <c r="C9" s="178" t="s">
        <v>70</v>
      </c>
      <c r="D9" s="178" t="s">
        <v>25</v>
      </c>
      <c r="E9" s="178" t="s">
        <v>91</v>
      </c>
      <c r="F9" s="181">
        <v>200.072</v>
      </c>
      <c r="G9" s="174" t="str">
        <f>VLOOKUP(D9,Lookup!A$1:B$84,2,FALSE)</f>
        <v>Non-Physical</v>
      </c>
    </row>
    <row r="10" spans="1:7" s="174" customFormat="1" ht="14.25" hidden="1" outlineLevel="2">
      <c r="A10" s="180">
        <v>5</v>
      </c>
      <c r="B10" s="180">
        <v>2015</v>
      </c>
      <c r="C10" s="178" t="s">
        <v>70</v>
      </c>
      <c r="D10" s="178" t="s">
        <v>26</v>
      </c>
      <c r="E10" s="178" t="s">
        <v>92</v>
      </c>
      <c r="F10" s="181">
        <v>138555.77</v>
      </c>
      <c r="G10" s="174" t="str">
        <f>VLOOKUP(D10,Lookup!A$1:B$84,2,FALSE)</f>
        <v>Non-Physical</v>
      </c>
    </row>
    <row r="11" spans="1:7" s="174" customFormat="1" ht="14.25" hidden="1" outlineLevel="2">
      <c r="A11" s="180">
        <v>5</v>
      </c>
      <c r="B11" s="180">
        <v>2015</v>
      </c>
      <c r="C11" s="178" t="s">
        <v>70</v>
      </c>
      <c r="D11" s="178" t="s">
        <v>42</v>
      </c>
      <c r="E11" s="178" t="s">
        <v>182</v>
      </c>
      <c r="F11" s="181">
        <v>505.61</v>
      </c>
      <c r="G11" s="174" t="str">
        <f>VLOOKUP(D11,Lookup!A$1:B$84,2,FALSE)</f>
        <v>Non-Physical</v>
      </c>
    </row>
    <row r="12" spans="1:7" s="174" customFormat="1" ht="14.25" hidden="1" outlineLevel="2">
      <c r="A12" s="180">
        <v>5</v>
      </c>
      <c r="B12" s="180">
        <v>2015</v>
      </c>
      <c r="C12" s="178" t="s">
        <v>70</v>
      </c>
      <c r="D12" s="178" t="s">
        <v>43</v>
      </c>
      <c r="E12" s="178" t="s">
        <v>108</v>
      </c>
      <c r="F12" s="181">
        <v>302.59</v>
      </c>
      <c r="G12" s="174" t="str">
        <f>VLOOKUP(D12,Lookup!A$1:B$84,2,FALSE)</f>
        <v>Non-Physical</v>
      </c>
    </row>
    <row r="13" spans="1:7" s="174" customFormat="1" ht="14.25" hidden="1" outlineLevel="2">
      <c r="A13" s="180">
        <v>5</v>
      </c>
      <c r="B13" s="180">
        <v>2015</v>
      </c>
      <c r="C13" s="178" t="s">
        <v>70</v>
      </c>
      <c r="D13" s="178" t="s">
        <v>54</v>
      </c>
      <c r="E13" s="178" t="s">
        <v>132</v>
      </c>
      <c r="F13" s="181">
        <v>-175.85</v>
      </c>
      <c r="G13" s="174" t="str">
        <f>VLOOKUP(D13,Lookup!A$1:B$84,2,FALSE)</f>
        <v>Non-Physical</v>
      </c>
    </row>
    <row r="14" spans="1:7" s="174" customFormat="1" ht="14.25" hidden="1" outlineLevel="2">
      <c r="A14" s="180">
        <v>5</v>
      </c>
      <c r="B14" s="180">
        <v>2015</v>
      </c>
      <c r="C14" s="178" t="s">
        <v>70</v>
      </c>
      <c r="D14" s="178" t="s">
        <v>55</v>
      </c>
      <c r="E14" s="178" t="s">
        <v>119</v>
      </c>
      <c r="F14" s="181">
        <v>5731.47</v>
      </c>
      <c r="G14" s="174" t="str">
        <f>VLOOKUP(D14,Lookup!A$1:B$84,2,FALSE)</f>
        <v>Non-Physical</v>
      </c>
    </row>
    <row r="15" spans="1:7" s="174" customFormat="1" ht="14.25" hidden="1" outlineLevel="2">
      <c r="A15" s="180">
        <v>5</v>
      </c>
      <c r="B15" s="180">
        <v>2015</v>
      </c>
      <c r="C15" s="178" t="s">
        <v>70</v>
      </c>
      <c r="D15" s="178" t="s">
        <v>56</v>
      </c>
      <c r="E15" s="178" t="s">
        <v>120</v>
      </c>
      <c r="F15" s="181">
        <v>38580.43</v>
      </c>
      <c r="G15" s="174" t="str">
        <f>VLOOKUP(D15,Lookup!A$1:B$84,2,FALSE)</f>
        <v>Non-Physical</v>
      </c>
    </row>
    <row r="16" spans="1:7" s="174" customFormat="1" ht="14.25" outlineLevel="1" collapsed="1">
      <c r="A16" s="180"/>
      <c r="B16" s="180"/>
      <c r="C16" s="178"/>
      <c r="D16" s="178"/>
      <c r="E16" s="178"/>
      <c r="F16" s="181">
        <f>SUBTOTAL(9,F7:F15)</f>
        <v>-113290.63800000004</v>
      </c>
      <c r="G16" s="7" t="s">
        <v>128</v>
      </c>
    </row>
    <row r="17" spans="1:7" s="174" customFormat="1" ht="14.25" hidden="1" outlineLevel="2">
      <c r="A17" s="180">
        <v>5</v>
      </c>
      <c r="B17" s="180">
        <v>2015</v>
      </c>
      <c r="C17" s="178" t="s">
        <v>70</v>
      </c>
      <c r="D17" s="178" t="s">
        <v>27</v>
      </c>
      <c r="E17" s="178" t="s">
        <v>93</v>
      </c>
      <c r="F17" s="181">
        <v>-2130912.38</v>
      </c>
      <c r="G17" s="174" t="str">
        <f>VLOOKUP(D17,Lookup!A$1:B$84,2,FALSE)</f>
        <v>OSS</v>
      </c>
    </row>
    <row r="18" spans="1:7" s="174" customFormat="1" ht="14.25" hidden="1" outlineLevel="2">
      <c r="A18" s="180">
        <v>5</v>
      </c>
      <c r="B18" s="180">
        <v>2015</v>
      </c>
      <c r="C18" s="178" t="s">
        <v>70</v>
      </c>
      <c r="D18" s="178" t="s">
        <v>29</v>
      </c>
      <c r="E18" s="178" t="s">
        <v>94</v>
      </c>
      <c r="F18" s="181">
        <v>31343.59</v>
      </c>
      <c r="G18" s="174" t="str">
        <f>VLOOKUP(D18,Lookup!A$1:B$84,2,FALSE)</f>
        <v>OSS</v>
      </c>
    </row>
    <row r="19" spans="1:7" s="174" customFormat="1" ht="14.25" hidden="1" outlineLevel="2">
      <c r="A19" s="180">
        <v>5</v>
      </c>
      <c r="B19" s="180">
        <v>2015</v>
      </c>
      <c r="C19" s="178" t="s">
        <v>70</v>
      </c>
      <c r="D19" s="178" t="s">
        <v>30</v>
      </c>
      <c r="E19" s="178" t="s">
        <v>95</v>
      </c>
      <c r="F19" s="181">
        <v>-56850.32</v>
      </c>
      <c r="G19" s="174" t="str">
        <f>VLOOKUP(D19,Lookup!A$1:B$84,2,FALSE)</f>
        <v>OSS</v>
      </c>
    </row>
    <row r="20" spans="1:7" s="174" customFormat="1" ht="14.25" hidden="1" outlineLevel="2">
      <c r="A20" s="180">
        <v>5</v>
      </c>
      <c r="B20" s="180">
        <v>2015</v>
      </c>
      <c r="C20" s="178" t="s">
        <v>70</v>
      </c>
      <c r="D20" s="178" t="s">
        <v>31</v>
      </c>
      <c r="E20" s="178" t="s">
        <v>96</v>
      </c>
      <c r="F20" s="181">
        <v>-26746.06</v>
      </c>
      <c r="G20" s="174" t="str">
        <f>VLOOKUP(D20,Lookup!A$1:B$84,2,FALSE)</f>
        <v>OSS</v>
      </c>
    </row>
    <row r="21" spans="1:7" s="174" customFormat="1" ht="14.25" hidden="1" outlineLevel="2">
      <c r="A21" s="180">
        <v>5</v>
      </c>
      <c r="B21" s="180">
        <v>2015</v>
      </c>
      <c r="C21" s="178" t="s">
        <v>70</v>
      </c>
      <c r="D21" s="178" t="s">
        <v>32</v>
      </c>
      <c r="E21" s="178" t="s">
        <v>97</v>
      </c>
      <c r="F21" s="181">
        <v>-4459669.85</v>
      </c>
      <c r="G21" s="174" t="str">
        <f>VLOOKUP(D21,Lookup!A$1:B$84,2,FALSE)</f>
        <v>OSS</v>
      </c>
    </row>
    <row r="22" spans="1:7" s="174" customFormat="1" ht="14.25" hidden="1" outlineLevel="2">
      <c r="A22" s="180">
        <v>5</v>
      </c>
      <c r="B22" s="180">
        <v>2015</v>
      </c>
      <c r="C22" s="178" t="s">
        <v>70</v>
      </c>
      <c r="D22" s="178" t="s">
        <v>33</v>
      </c>
      <c r="E22" s="178" t="s">
        <v>98</v>
      </c>
      <c r="F22" s="181">
        <v>1708.51</v>
      </c>
      <c r="G22" s="174" t="str">
        <f>VLOOKUP(D22,Lookup!A$1:B$84,2,FALSE)</f>
        <v>OSS</v>
      </c>
    </row>
    <row r="23" spans="1:7" s="174" customFormat="1" ht="14.25" hidden="1" outlineLevel="2">
      <c r="A23" s="180">
        <v>5</v>
      </c>
      <c r="B23" s="180">
        <v>2015</v>
      </c>
      <c r="C23" s="178" t="s">
        <v>70</v>
      </c>
      <c r="D23" s="178" t="s">
        <v>34</v>
      </c>
      <c r="E23" s="178" t="s">
        <v>99</v>
      </c>
      <c r="F23" s="181">
        <v>-86.09</v>
      </c>
      <c r="G23" s="174" t="str">
        <f>VLOOKUP(D23,Lookup!A$1:B$84,2,FALSE)</f>
        <v>OSS</v>
      </c>
    </row>
    <row r="24" spans="1:7" s="174" customFormat="1" ht="14.25" hidden="1" outlineLevel="2">
      <c r="A24" s="180">
        <v>5</v>
      </c>
      <c r="B24" s="180">
        <v>2015</v>
      </c>
      <c r="C24" s="178" t="s">
        <v>70</v>
      </c>
      <c r="D24" s="178" t="s">
        <v>35</v>
      </c>
      <c r="E24" s="178" t="s">
        <v>100</v>
      </c>
      <c r="F24" s="181">
        <v>-290216.71</v>
      </c>
      <c r="G24" s="174" t="str">
        <f>VLOOKUP(D24,Lookup!A$1:B$84,2,FALSE)</f>
        <v>OSS</v>
      </c>
    </row>
    <row r="25" spans="1:7" s="174" customFormat="1" ht="14.25" hidden="1" outlineLevel="2">
      <c r="A25" s="180">
        <v>5</v>
      </c>
      <c r="B25" s="180">
        <v>2015</v>
      </c>
      <c r="C25" s="178" t="s">
        <v>70</v>
      </c>
      <c r="D25" s="178" t="s">
        <v>36</v>
      </c>
      <c r="E25" s="178" t="s">
        <v>101</v>
      </c>
      <c r="F25" s="181">
        <v>-574.66</v>
      </c>
      <c r="G25" s="174" t="str">
        <f>VLOOKUP(D25,Lookup!A$1:B$84,2,FALSE)</f>
        <v>OSS</v>
      </c>
    </row>
    <row r="26" spans="1:7" s="174" customFormat="1" ht="14.25" hidden="1" outlineLevel="2">
      <c r="A26" s="180">
        <v>5</v>
      </c>
      <c r="B26" s="180">
        <v>2015</v>
      </c>
      <c r="C26" s="178" t="s">
        <v>70</v>
      </c>
      <c r="D26" s="178" t="s">
        <v>37</v>
      </c>
      <c r="E26" s="178" t="s">
        <v>102</v>
      </c>
      <c r="F26" s="181">
        <v>417971.61</v>
      </c>
      <c r="G26" s="174" t="str">
        <f>VLOOKUP(D26,Lookup!A$1:B$84,2,FALSE)</f>
        <v>OSS</v>
      </c>
    </row>
    <row r="27" spans="1:7" s="174" customFormat="1" ht="14.25" hidden="1" outlineLevel="2">
      <c r="A27" s="180">
        <v>5</v>
      </c>
      <c r="B27" s="180">
        <v>2015</v>
      </c>
      <c r="C27" s="178" t="s">
        <v>70</v>
      </c>
      <c r="D27" s="178" t="s">
        <v>38</v>
      </c>
      <c r="E27" s="178" t="s">
        <v>103</v>
      </c>
      <c r="F27" s="181">
        <v>245075.48</v>
      </c>
      <c r="G27" s="174" t="str">
        <f>VLOOKUP(D27,Lookup!A$1:B$84,2,FALSE)</f>
        <v>OSS</v>
      </c>
    </row>
    <row r="28" spans="1:7" s="174" customFormat="1" ht="14.25" hidden="1" outlineLevel="2">
      <c r="A28" s="180">
        <v>5</v>
      </c>
      <c r="B28" s="180">
        <v>2015</v>
      </c>
      <c r="C28" s="178" t="s">
        <v>70</v>
      </c>
      <c r="D28" s="178" t="s">
        <v>39</v>
      </c>
      <c r="E28" s="178" t="s">
        <v>104</v>
      </c>
      <c r="F28" s="181">
        <v>53015.84</v>
      </c>
      <c r="G28" s="174" t="str">
        <f>VLOOKUP(D28,Lookup!A$1:B$84,2,FALSE)</f>
        <v>OSS</v>
      </c>
    </row>
    <row r="29" spans="1:7" s="174" customFormat="1" ht="14.25" hidden="1" outlineLevel="2">
      <c r="A29" s="180">
        <v>5</v>
      </c>
      <c r="B29" s="180">
        <v>2015</v>
      </c>
      <c r="C29" s="178" t="s">
        <v>70</v>
      </c>
      <c r="D29" s="178" t="s">
        <v>44</v>
      </c>
      <c r="E29" s="178" t="s">
        <v>109</v>
      </c>
      <c r="F29" s="181">
        <v>-5911.88</v>
      </c>
      <c r="G29" s="174" t="str">
        <f>VLOOKUP(D29,Lookup!A$1:B$84,2,FALSE)</f>
        <v>OSS</v>
      </c>
    </row>
    <row r="30" spans="1:7" s="174" customFormat="1" ht="14.25" hidden="1" outlineLevel="2">
      <c r="A30" s="180">
        <v>5</v>
      </c>
      <c r="B30" s="180">
        <v>2015</v>
      </c>
      <c r="C30" s="178" t="s">
        <v>70</v>
      </c>
      <c r="D30" s="178" t="s">
        <v>45</v>
      </c>
      <c r="E30" s="178" t="s">
        <v>110</v>
      </c>
      <c r="F30" s="181">
        <v>5911.88</v>
      </c>
      <c r="G30" s="174" t="str">
        <f>VLOOKUP(D30,Lookup!A$1:B$84,2,FALSE)</f>
        <v>OSS</v>
      </c>
    </row>
    <row r="31" spans="1:7" s="174" customFormat="1" ht="14.25" hidden="1" outlineLevel="2">
      <c r="A31" s="180">
        <v>5</v>
      </c>
      <c r="B31" s="180">
        <v>2015</v>
      </c>
      <c r="C31" s="178" t="s">
        <v>70</v>
      </c>
      <c r="D31" s="178" t="s">
        <v>46</v>
      </c>
      <c r="E31" s="178" t="s">
        <v>111</v>
      </c>
      <c r="F31" s="181">
        <v>-22092.31</v>
      </c>
      <c r="G31" s="174" t="str">
        <f>VLOOKUP(D31,Lookup!A$1:B$84,2,FALSE)</f>
        <v>OSS</v>
      </c>
    </row>
    <row r="32" spans="1:7" s="174" customFormat="1" ht="14.25" hidden="1" outlineLevel="2">
      <c r="A32" s="180">
        <v>5</v>
      </c>
      <c r="B32" s="180">
        <v>2015</v>
      </c>
      <c r="C32" s="178" t="s">
        <v>70</v>
      </c>
      <c r="D32" s="178" t="s">
        <v>47</v>
      </c>
      <c r="E32" s="178" t="s">
        <v>112</v>
      </c>
      <c r="F32" s="181">
        <v>238005.99</v>
      </c>
      <c r="G32" s="174" t="str">
        <f>VLOOKUP(D32,Lookup!A$1:B$84,2,FALSE)</f>
        <v>OSS</v>
      </c>
    </row>
    <row r="33" spans="1:7" s="174" customFormat="1" ht="14.25" hidden="1" outlineLevel="2">
      <c r="A33" s="180">
        <v>5</v>
      </c>
      <c r="B33" s="180">
        <v>2015</v>
      </c>
      <c r="C33" s="178" t="s">
        <v>70</v>
      </c>
      <c r="D33" s="178" t="s">
        <v>48</v>
      </c>
      <c r="E33" s="178" t="s">
        <v>113</v>
      </c>
      <c r="F33" s="181">
        <v>-5.92</v>
      </c>
      <c r="G33" s="174" t="str">
        <f>VLOOKUP(D33,Lookup!A$1:B$84,2,FALSE)</f>
        <v>OSS</v>
      </c>
    </row>
    <row r="34" spans="1:7" s="174" customFormat="1" ht="14.25" hidden="1" outlineLevel="2">
      <c r="A34" s="180">
        <v>5</v>
      </c>
      <c r="B34" s="180">
        <v>2015</v>
      </c>
      <c r="C34" s="178" t="s">
        <v>70</v>
      </c>
      <c r="D34" s="178" t="s">
        <v>49</v>
      </c>
      <c r="E34" s="178" t="s">
        <v>114</v>
      </c>
      <c r="F34" s="181">
        <v>0.9</v>
      </c>
      <c r="G34" s="174" t="str">
        <f>VLOOKUP(D34,Lookup!A$1:B$84,2,FALSE)</f>
        <v>OSS</v>
      </c>
    </row>
    <row r="35" spans="1:7" s="174" customFormat="1" ht="14.25" hidden="1" outlineLevel="2">
      <c r="A35" s="180">
        <v>5</v>
      </c>
      <c r="B35" s="180">
        <v>2015</v>
      </c>
      <c r="C35" s="178" t="s">
        <v>70</v>
      </c>
      <c r="D35" s="178" t="s">
        <v>50</v>
      </c>
      <c r="E35" s="178" t="s">
        <v>115</v>
      </c>
      <c r="F35" s="181">
        <v>-72716.2</v>
      </c>
      <c r="G35" s="174" t="str">
        <f>VLOOKUP(D35,Lookup!A$1:B$84,2,FALSE)</f>
        <v>OSS</v>
      </c>
    </row>
    <row r="36" spans="1:7" s="174" customFormat="1" ht="14.25" hidden="1" outlineLevel="2">
      <c r="A36" s="180">
        <v>5</v>
      </c>
      <c r="B36" s="180">
        <v>2015</v>
      </c>
      <c r="C36" s="178" t="s">
        <v>70</v>
      </c>
      <c r="D36" s="178" t="s">
        <v>51</v>
      </c>
      <c r="E36" s="178" t="s">
        <v>116</v>
      </c>
      <c r="F36" s="181">
        <v>-33119.57</v>
      </c>
      <c r="G36" s="174" t="str">
        <f>VLOOKUP(D36,Lookup!A$1:B$84,2,FALSE)</f>
        <v>OSS</v>
      </c>
    </row>
    <row r="37" spans="1:7" s="174" customFormat="1" ht="14.25" hidden="1" outlineLevel="2">
      <c r="A37" s="180">
        <v>5</v>
      </c>
      <c r="B37" s="180">
        <v>2015</v>
      </c>
      <c r="C37" s="178" t="s">
        <v>70</v>
      </c>
      <c r="D37" s="178" t="s">
        <v>53</v>
      </c>
      <c r="E37" s="178" t="s">
        <v>118</v>
      </c>
      <c r="F37" s="181">
        <v>865.22</v>
      </c>
      <c r="G37" s="174" t="str">
        <f>VLOOKUP(D37,Lookup!A$1:B$84,2,FALSE)</f>
        <v>OSS</v>
      </c>
    </row>
    <row r="38" spans="1:7" s="174" customFormat="1" ht="14.25" hidden="1" outlineLevel="2">
      <c r="A38" s="180">
        <v>5</v>
      </c>
      <c r="B38" s="180">
        <v>2015</v>
      </c>
      <c r="C38" s="178" t="s">
        <v>68</v>
      </c>
      <c r="D38" s="178" t="s">
        <v>57</v>
      </c>
      <c r="E38" s="178" t="s">
        <v>121</v>
      </c>
      <c r="F38" s="181">
        <v>58.11</v>
      </c>
      <c r="G38" s="174" t="str">
        <f>VLOOKUP(D38,Lookup!A$1:B$84,2,FALSE)</f>
        <v>OSS</v>
      </c>
    </row>
    <row r="39" spans="1:7" s="174" customFormat="1" ht="14.25" hidden="1" outlineLevel="2">
      <c r="A39" s="180">
        <v>5</v>
      </c>
      <c r="B39" s="180">
        <v>2015</v>
      </c>
      <c r="C39" s="178" t="s">
        <v>70</v>
      </c>
      <c r="D39" s="178" t="s">
        <v>58</v>
      </c>
      <c r="E39" s="178" t="s">
        <v>122</v>
      </c>
      <c r="F39" s="181">
        <v>23236.34</v>
      </c>
      <c r="G39" s="174" t="str">
        <f>VLOOKUP(D39,Lookup!A$1:B$84,2,FALSE)</f>
        <v>OSS</v>
      </c>
    </row>
    <row r="40" spans="1:7" s="174" customFormat="1" ht="14.25" hidden="1" outlineLevel="2">
      <c r="A40" s="180">
        <v>5</v>
      </c>
      <c r="B40" s="180">
        <v>2015</v>
      </c>
      <c r="C40" s="178" t="s">
        <v>106</v>
      </c>
      <c r="D40" s="178" t="s">
        <v>59</v>
      </c>
      <c r="E40" s="178" t="s">
        <v>123</v>
      </c>
      <c r="F40" s="181">
        <v>0</v>
      </c>
      <c r="G40" s="174" t="str">
        <f>VLOOKUP(D40,Lookup!A$1:B$84,2,FALSE)</f>
        <v>OSS</v>
      </c>
    </row>
    <row r="41" spans="1:7" s="174" customFormat="1" ht="14.25" hidden="1" outlineLevel="2">
      <c r="A41" s="180">
        <v>5</v>
      </c>
      <c r="B41" s="180">
        <v>2015</v>
      </c>
      <c r="C41" s="178" t="s">
        <v>70</v>
      </c>
      <c r="D41" s="178" t="s">
        <v>60</v>
      </c>
      <c r="E41" s="178" t="s">
        <v>124</v>
      </c>
      <c r="F41" s="181">
        <v>5251.24</v>
      </c>
      <c r="G41" s="174" t="str">
        <f>VLOOKUP(D41,Lookup!A$1:B$84,2,FALSE)</f>
        <v>OSS</v>
      </c>
    </row>
    <row r="42" spans="1:7" s="174" customFormat="1" ht="14.25" hidden="1" outlineLevel="2">
      <c r="A42" s="180">
        <v>5</v>
      </c>
      <c r="B42" s="180">
        <v>2015</v>
      </c>
      <c r="C42" s="178" t="s">
        <v>70</v>
      </c>
      <c r="D42" s="178" t="s">
        <v>61</v>
      </c>
      <c r="E42" s="178" t="s">
        <v>125</v>
      </c>
      <c r="F42" s="181">
        <v>20210.53</v>
      </c>
      <c r="G42" s="174" t="str">
        <f>VLOOKUP(D42,Lookup!A$1:B$84,2,FALSE)</f>
        <v>OSS</v>
      </c>
    </row>
    <row r="43" spans="1:7" s="174" customFormat="1" ht="14.25" outlineLevel="1" collapsed="1">
      <c r="A43" s="180"/>
      <c r="B43" s="180"/>
      <c r="C43" s="178"/>
      <c r="D43" s="178"/>
      <c r="E43" s="178"/>
      <c r="F43" s="181">
        <f>SUBTOTAL(9,F17:F42)</f>
        <v>-6056246.709999998</v>
      </c>
      <c r="G43" s="7" t="s">
        <v>129</v>
      </c>
    </row>
    <row r="44" spans="1:7" s="174" customFormat="1" ht="14.25" hidden="1" outlineLevel="2">
      <c r="A44" s="180">
        <v>5</v>
      </c>
      <c r="B44" s="180">
        <v>2015</v>
      </c>
      <c r="C44" s="178" t="s">
        <v>68</v>
      </c>
      <c r="D44" s="178" t="s">
        <v>0</v>
      </c>
      <c r="E44" s="178" t="s">
        <v>69</v>
      </c>
      <c r="F44" s="181">
        <v>-5833232.35</v>
      </c>
      <c r="G44" s="174" t="str">
        <f>VLOOKUP(D44,Lookup!A$1:B$84,2,FALSE)</f>
        <v>Retail</v>
      </c>
    </row>
    <row r="45" spans="1:7" s="174" customFormat="1" ht="14.25" hidden="1" outlineLevel="2">
      <c r="A45" s="180">
        <v>5</v>
      </c>
      <c r="B45" s="180">
        <v>2015</v>
      </c>
      <c r="C45" s="178" t="s">
        <v>70</v>
      </c>
      <c r="D45" s="178" t="s">
        <v>0</v>
      </c>
      <c r="E45" s="178" t="s">
        <v>69</v>
      </c>
      <c r="F45" s="181">
        <v>-1241623.68</v>
      </c>
      <c r="G45" s="174" t="str">
        <f>VLOOKUP(D45,Lookup!A$1:B$84,2,FALSE)</f>
        <v>Retail</v>
      </c>
    </row>
    <row r="46" spans="1:7" s="174" customFormat="1" ht="14.25" hidden="1" outlineLevel="2">
      <c r="A46" s="180">
        <v>5</v>
      </c>
      <c r="B46" s="180">
        <v>2015</v>
      </c>
      <c r="C46" s="178" t="s">
        <v>68</v>
      </c>
      <c r="D46" s="178" t="s">
        <v>2</v>
      </c>
      <c r="E46" s="178" t="s">
        <v>71</v>
      </c>
      <c r="F46" s="181">
        <v>-2946512.03</v>
      </c>
      <c r="G46" s="174" t="str">
        <f>VLOOKUP(D46,Lookup!A$1:B$84,2,FALSE)</f>
        <v>Retail</v>
      </c>
    </row>
    <row r="47" spans="1:7" s="174" customFormat="1" ht="14.25" hidden="1" outlineLevel="2">
      <c r="A47" s="180">
        <v>5</v>
      </c>
      <c r="B47" s="180">
        <v>2015</v>
      </c>
      <c r="C47" s="178" t="s">
        <v>70</v>
      </c>
      <c r="D47" s="178" t="s">
        <v>2</v>
      </c>
      <c r="E47" s="178" t="s">
        <v>71</v>
      </c>
      <c r="F47" s="181">
        <v>-329347.96</v>
      </c>
      <c r="G47" s="174" t="str">
        <f>VLOOKUP(D47,Lookup!A$1:B$84,2,FALSE)</f>
        <v>Retail</v>
      </c>
    </row>
    <row r="48" spans="1:7" s="174" customFormat="1" ht="14.25" hidden="1" outlineLevel="2">
      <c r="A48" s="180">
        <v>5</v>
      </c>
      <c r="B48" s="180">
        <v>2015</v>
      </c>
      <c r="C48" s="178" t="s">
        <v>68</v>
      </c>
      <c r="D48" s="178" t="s">
        <v>3</v>
      </c>
      <c r="E48" s="178" t="s">
        <v>72</v>
      </c>
      <c r="F48" s="181">
        <v>-3816836.56</v>
      </c>
      <c r="G48" s="174" t="str">
        <f>VLOOKUP(D48,Lookup!A$1:B$84,2,FALSE)</f>
        <v>Retail</v>
      </c>
    </row>
    <row r="49" spans="1:7" s="174" customFormat="1" ht="14.25" hidden="1" outlineLevel="2">
      <c r="A49" s="180">
        <v>5</v>
      </c>
      <c r="B49" s="180">
        <v>2015</v>
      </c>
      <c r="C49" s="178" t="s">
        <v>68</v>
      </c>
      <c r="D49" s="178" t="s">
        <v>4</v>
      </c>
      <c r="E49" s="178" t="s">
        <v>73</v>
      </c>
      <c r="F49" s="181">
        <v>-5131294.65</v>
      </c>
      <c r="G49" s="174" t="str">
        <f>VLOOKUP(D49,Lookup!A$1:B$84,2,FALSE)</f>
        <v>Retail</v>
      </c>
    </row>
    <row r="50" spans="1:7" s="174" customFormat="1" ht="14.25" hidden="1" outlineLevel="2">
      <c r="A50" s="180">
        <v>5</v>
      </c>
      <c r="B50" s="180">
        <v>2015</v>
      </c>
      <c r="C50" s="178" t="s">
        <v>70</v>
      </c>
      <c r="D50" s="178" t="s">
        <v>4</v>
      </c>
      <c r="E50" s="178" t="s">
        <v>73</v>
      </c>
      <c r="F50" s="181">
        <v>-590806.39</v>
      </c>
      <c r="G50" s="174" t="str">
        <f>VLOOKUP(D50,Lookup!A$1:B$84,2,FALSE)</f>
        <v>Retail</v>
      </c>
    </row>
    <row r="51" spans="1:7" s="174" customFormat="1" ht="14.25" hidden="1" outlineLevel="2">
      <c r="A51" s="180">
        <v>5</v>
      </c>
      <c r="B51" s="180">
        <v>2015</v>
      </c>
      <c r="C51" s="178" t="s">
        <v>68</v>
      </c>
      <c r="D51" s="178" t="s">
        <v>5</v>
      </c>
      <c r="E51" s="178" t="s">
        <v>74</v>
      </c>
      <c r="F51" s="181">
        <v>-4710008.77</v>
      </c>
      <c r="G51" s="174" t="str">
        <f>VLOOKUP(D51,Lookup!A$1:B$84,2,FALSE)</f>
        <v>Retail</v>
      </c>
    </row>
    <row r="52" spans="1:7" s="174" customFormat="1" ht="14.25" hidden="1" outlineLevel="2">
      <c r="A52" s="180">
        <v>5</v>
      </c>
      <c r="B52" s="180">
        <v>2015</v>
      </c>
      <c r="C52" s="178" t="s">
        <v>70</v>
      </c>
      <c r="D52" s="178" t="s">
        <v>5</v>
      </c>
      <c r="E52" s="178" t="s">
        <v>74</v>
      </c>
      <c r="F52" s="181">
        <v>-525280.89</v>
      </c>
      <c r="G52" s="174" t="str">
        <f>VLOOKUP(D52,Lookup!A$1:B$84,2,FALSE)</f>
        <v>Retail</v>
      </c>
    </row>
    <row r="53" spans="1:7" s="174" customFormat="1" ht="14.25" hidden="1" outlineLevel="2">
      <c r="A53" s="180">
        <v>5</v>
      </c>
      <c r="B53" s="180">
        <v>2015</v>
      </c>
      <c r="C53" s="178" t="s">
        <v>68</v>
      </c>
      <c r="D53" s="178" t="s">
        <v>6</v>
      </c>
      <c r="E53" s="178" t="s">
        <v>75</v>
      </c>
      <c r="F53" s="181">
        <v>-1958470.28</v>
      </c>
      <c r="G53" s="174" t="str">
        <f>VLOOKUP(D53,Lookup!A$1:B$84,2,FALSE)</f>
        <v>Retail</v>
      </c>
    </row>
    <row r="54" spans="1:7" s="174" customFormat="1" ht="14.25" hidden="1" outlineLevel="2">
      <c r="A54" s="180">
        <v>5</v>
      </c>
      <c r="B54" s="180">
        <v>2015</v>
      </c>
      <c r="C54" s="178" t="s">
        <v>70</v>
      </c>
      <c r="D54" s="178" t="s">
        <v>6</v>
      </c>
      <c r="E54" s="178" t="s">
        <v>75</v>
      </c>
      <c r="F54" s="181">
        <v>-174511.29</v>
      </c>
      <c r="G54" s="174" t="str">
        <f>VLOOKUP(D54,Lookup!A$1:B$84,2,FALSE)</f>
        <v>Retail</v>
      </c>
    </row>
    <row r="55" spans="1:7" s="174" customFormat="1" ht="14.25" hidden="1" outlineLevel="2">
      <c r="A55" s="180">
        <v>5</v>
      </c>
      <c r="B55" s="180">
        <v>2015</v>
      </c>
      <c r="C55" s="178" t="s">
        <v>68</v>
      </c>
      <c r="D55" s="178" t="s">
        <v>7</v>
      </c>
      <c r="E55" s="178" t="s">
        <v>76</v>
      </c>
      <c r="F55" s="181">
        <v>0</v>
      </c>
      <c r="G55" s="174" t="str">
        <f>VLOOKUP(D55,Lookup!A$1:B$84,2,FALSE)</f>
        <v>Retail</v>
      </c>
    </row>
    <row r="56" spans="1:7" s="174" customFormat="1" ht="14.25" hidden="1" outlineLevel="2">
      <c r="A56" s="180">
        <v>5</v>
      </c>
      <c r="B56" s="180">
        <v>2015</v>
      </c>
      <c r="C56" s="178" t="s">
        <v>68</v>
      </c>
      <c r="D56" s="178" t="s">
        <v>8</v>
      </c>
      <c r="E56" s="178" t="s">
        <v>77</v>
      </c>
      <c r="F56" s="181">
        <v>-928071.97</v>
      </c>
      <c r="G56" s="174" t="str">
        <f>VLOOKUP(D56,Lookup!A$1:B$84,2,FALSE)</f>
        <v>Retail</v>
      </c>
    </row>
    <row r="57" spans="1:7" s="174" customFormat="1" ht="14.25" hidden="1" outlineLevel="2">
      <c r="A57" s="180">
        <v>5</v>
      </c>
      <c r="B57" s="180">
        <v>2015</v>
      </c>
      <c r="C57" s="178" t="s">
        <v>70</v>
      </c>
      <c r="D57" s="178" t="s">
        <v>8</v>
      </c>
      <c r="E57" s="178" t="s">
        <v>77</v>
      </c>
      <c r="F57" s="181">
        <v>-104445.78</v>
      </c>
      <c r="G57" s="174" t="str">
        <f>VLOOKUP(D57,Lookup!A$1:B$84,2,FALSE)</f>
        <v>Retail</v>
      </c>
    </row>
    <row r="58" spans="1:7" ht="14.25" hidden="1" outlineLevel="2">
      <c r="A58" s="180">
        <v>5</v>
      </c>
      <c r="B58" s="180">
        <v>2015</v>
      </c>
      <c r="C58" s="178" t="s">
        <v>68</v>
      </c>
      <c r="D58" s="178" t="s">
        <v>9</v>
      </c>
      <c r="E58" s="178" t="s">
        <v>78</v>
      </c>
      <c r="F58" s="181">
        <v>-988062.43</v>
      </c>
      <c r="G58" s="174" t="str">
        <f>VLOOKUP(D58,Lookup!A$1:B$84,2,FALSE)</f>
        <v>Retail</v>
      </c>
    </row>
    <row r="59" spans="1:7" ht="14.25" hidden="1" outlineLevel="2">
      <c r="A59" s="180">
        <v>5</v>
      </c>
      <c r="B59" s="180">
        <v>2015</v>
      </c>
      <c r="C59" s="178" t="s">
        <v>70</v>
      </c>
      <c r="D59" s="178" t="s">
        <v>9</v>
      </c>
      <c r="E59" s="178" t="s">
        <v>78</v>
      </c>
      <c r="F59" s="181">
        <v>-66581.11</v>
      </c>
      <c r="G59" s="174" t="str">
        <f>VLOOKUP(D59,Lookup!A$1:B$84,2,FALSE)</f>
        <v>Retail</v>
      </c>
    </row>
    <row r="60" spans="1:7" ht="14.25" hidden="1" outlineLevel="2">
      <c r="A60" s="180">
        <v>5</v>
      </c>
      <c r="B60" s="180">
        <v>2015</v>
      </c>
      <c r="C60" s="178" t="s">
        <v>68</v>
      </c>
      <c r="D60" s="178" t="s">
        <v>10</v>
      </c>
      <c r="E60" s="178" t="s">
        <v>79</v>
      </c>
      <c r="F60" s="181">
        <v>-2932366.48</v>
      </c>
      <c r="G60" s="174" t="str">
        <f>VLOOKUP(D60,Lookup!A$1:B$84,2,FALSE)</f>
        <v>Retail</v>
      </c>
    </row>
    <row r="61" spans="1:7" ht="14.25" hidden="1" outlineLevel="2">
      <c r="A61" s="180">
        <v>5</v>
      </c>
      <c r="B61" s="180">
        <v>2015</v>
      </c>
      <c r="C61" s="178" t="s">
        <v>68</v>
      </c>
      <c r="D61" s="178" t="s">
        <v>11</v>
      </c>
      <c r="E61" s="178" t="s">
        <v>80</v>
      </c>
      <c r="F61" s="181">
        <v>-6948574.56</v>
      </c>
      <c r="G61" s="174" t="str">
        <f>VLOOKUP(D61,Lookup!A$1:B$84,2,FALSE)</f>
        <v>Retail</v>
      </c>
    </row>
    <row r="62" spans="1:7" ht="14.25" hidden="1" outlineLevel="2">
      <c r="A62" s="180">
        <v>5</v>
      </c>
      <c r="B62" s="180">
        <v>2015</v>
      </c>
      <c r="C62" s="178" t="s">
        <v>68</v>
      </c>
      <c r="D62" s="178" t="s">
        <v>12</v>
      </c>
      <c r="E62" s="178" t="s">
        <v>81</v>
      </c>
      <c r="F62" s="181">
        <v>0</v>
      </c>
      <c r="G62" s="174" t="str">
        <f>VLOOKUP(D62,Lookup!A$1:B$84,2,FALSE)</f>
        <v>Retail</v>
      </c>
    </row>
    <row r="63" spans="1:7" ht="14.25" hidden="1" outlineLevel="2">
      <c r="A63" s="180">
        <v>5</v>
      </c>
      <c r="B63" s="180">
        <v>2015</v>
      </c>
      <c r="C63" s="178" t="s">
        <v>68</v>
      </c>
      <c r="D63" s="178" t="s">
        <v>13</v>
      </c>
      <c r="E63" s="178" t="s">
        <v>82</v>
      </c>
      <c r="F63" s="181">
        <v>-113118.42</v>
      </c>
      <c r="G63" s="174" t="str">
        <f>VLOOKUP(D63,Lookup!A$1:B$84,2,FALSE)</f>
        <v>Retail</v>
      </c>
    </row>
    <row r="64" spans="1:7" ht="14.25" hidden="1" outlineLevel="2">
      <c r="A64" s="180">
        <v>5</v>
      </c>
      <c r="B64" s="180">
        <v>2015</v>
      </c>
      <c r="C64" s="178" t="s">
        <v>70</v>
      </c>
      <c r="D64" s="178" t="s">
        <v>13</v>
      </c>
      <c r="E64" s="178" t="s">
        <v>82</v>
      </c>
      <c r="F64" s="181">
        <v>-11737.01</v>
      </c>
      <c r="G64" s="174" t="str">
        <f>VLOOKUP(D64,Lookup!A$1:B$84,2,FALSE)</f>
        <v>Retail</v>
      </c>
    </row>
    <row r="65" spans="1:7" ht="14.25" hidden="1" outlineLevel="2">
      <c r="A65" s="180">
        <v>5</v>
      </c>
      <c r="B65" s="180">
        <v>2015</v>
      </c>
      <c r="C65" s="178" t="s">
        <v>68</v>
      </c>
      <c r="D65" s="178" t="s">
        <v>14</v>
      </c>
      <c r="E65" s="178" t="s">
        <v>83</v>
      </c>
      <c r="F65" s="181">
        <v>-21549.87</v>
      </c>
      <c r="G65" s="174" t="str">
        <f>VLOOKUP(D65,Lookup!A$1:B$84,2,FALSE)</f>
        <v>Retail</v>
      </c>
    </row>
    <row r="66" spans="1:7" ht="14.25" hidden="1" outlineLevel="2">
      <c r="A66" s="180">
        <v>5</v>
      </c>
      <c r="B66" s="180">
        <v>2015</v>
      </c>
      <c r="C66" s="178" t="s">
        <v>68</v>
      </c>
      <c r="D66" s="178" t="s">
        <v>15</v>
      </c>
      <c r="E66" s="178" t="s">
        <v>84</v>
      </c>
      <c r="F66" s="181">
        <v>0</v>
      </c>
      <c r="G66" s="174" t="str">
        <f>VLOOKUP(D66,Lookup!A$1:B$84,2,FALSE)</f>
        <v>Retail</v>
      </c>
    </row>
    <row r="67" spans="1:7" ht="14.25" hidden="1" outlineLevel="2">
      <c r="A67" s="180">
        <v>5</v>
      </c>
      <c r="B67" s="180">
        <v>2015</v>
      </c>
      <c r="C67" s="178" t="s">
        <v>68</v>
      </c>
      <c r="D67" s="178" t="s">
        <v>16</v>
      </c>
      <c r="E67" s="178" t="s">
        <v>85</v>
      </c>
      <c r="F67" s="181">
        <v>0</v>
      </c>
      <c r="G67" s="174" t="str">
        <f>VLOOKUP(D67,Lookup!A$1:B$84,2,FALSE)</f>
        <v>Retail</v>
      </c>
    </row>
    <row r="68" spans="1:7" ht="14.25" outlineLevel="1" collapsed="1">
      <c r="A68" s="180"/>
      <c r="B68" s="180"/>
      <c r="C68" s="178"/>
      <c r="D68" s="178"/>
      <c r="E68" s="178"/>
      <c r="F68" s="181">
        <f>SUBTOTAL(9,F44:F67)</f>
        <v>-39372432.48</v>
      </c>
      <c r="G68" s="7" t="s">
        <v>130</v>
      </c>
    </row>
    <row r="69" spans="1:7" ht="14.25">
      <c r="A69" s="180"/>
      <c r="B69" s="180"/>
      <c r="C69" s="178"/>
      <c r="D69" s="178"/>
      <c r="E69" s="178"/>
      <c r="F69" s="181">
        <f>SUBTOTAL(9,F2:F67)</f>
        <v>-46004045.85799999</v>
      </c>
      <c r="G69" s="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O59"/>
  <sheetViews>
    <sheetView zoomScalePageLayoutView="0" workbookViewId="0" topLeftCell="D1">
      <pane ySplit="12" topLeftCell="A13" activePane="bottomLeft" state="frozen"/>
      <selection pane="topLeft" activeCell="K7" sqref="K7"/>
      <selection pane="bottomLeft" activeCell="N30" sqref="N30"/>
    </sheetView>
  </sheetViews>
  <sheetFormatPr defaultColWidth="9.140625" defaultRowHeight="15"/>
  <cols>
    <col min="1" max="1" width="3.7109375" style="109" customWidth="1"/>
    <col min="2" max="2" width="4.421875" style="108" bestFit="1" customWidth="1"/>
    <col min="3" max="3" width="0.2890625" style="108" customWidth="1"/>
    <col min="4" max="4" width="35.7109375" style="109" customWidth="1"/>
    <col min="5" max="5" width="0.2890625" style="109" customWidth="1"/>
    <col min="6" max="6" width="30.7109375" style="109" customWidth="1"/>
    <col min="7" max="7" width="0.2890625" style="109" customWidth="1"/>
    <col min="8" max="8" width="22.7109375" style="109" customWidth="1"/>
    <col min="9" max="9" width="21.7109375" style="109" customWidth="1"/>
    <col min="10" max="10" width="0.2890625" style="109" customWidth="1"/>
    <col min="11" max="11" width="17.28125" style="109" customWidth="1"/>
    <col min="12" max="12" width="14.28125" style="109" customWidth="1"/>
    <col min="13" max="16384" width="8.8515625" style="109" customWidth="1"/>
  </cols>
  <sheetData>
    <row r="2" ht="12.75">
      <c r="H2" s="110" t="s">
        <v>134</v>
      </c>
    </row>
    <row r="4" spans="5:13" ht="12.75">
      <c r="E4" s="111"/>
      <c r="F4" s="112" t="s">
        <v>135</v>
      </c>
      <c r="G4" s="111"/>
      <c r="H4" s="111"/>
      <c r="I4" s="111"/>
      <c r="J4" s="111"/>
      <c r="K4" s="111"/>
      <c r="L4" s="111"/>
      <c r="M4" s="111"/>
    </row>
    <row r="5" spans="5:13" ht="12.75">
      <c r="E5" s="111"/>
      <c r="F5" s="112" t="s">
        <v>136</v>
      </c>
      <c r="G5" s="111"/>
      <c r="H5" s="111"/>
      <c r="I5" s="111"/>
      <c r="J5" s="111"/>
      <c r="K5" s="111"/>
      <c r="L5" s="111"/>
      <c r="M5" s="111"/>
    </row>
    <row r="6" spans="5:13" ht="12.75">
      <c r="E6" s="111"/>
      <c r="F6" s="112" t="s">
        <v>137</v>
      </c>
      <c r="G6" s="111"/>
      <c r="H6" s="111"/>
      <c r="I6" s="111"/>
      <c r="J6" s="111"/>
      <c r="K6" s="111"/>
      <c r="L6" s="111"/>
      <c r="M6" s="111"/>
    </row>
    <row r="7" spans="5:13" ht="12.75">
      <c r="E7" s="111"/>
      <c r="F7" s="112" t="s">
        <v>179</v>
      </c>
      <c r="G7" s="111"/>
      <c r="H7" s="111"/>
      <c r="I7" s="111"/>
      <c r="J7" s="111"/>
      <c r="K7" s="111"/>
      <c r="L7" s="111"/>
      <c r="M7" s="111"/>
    </row>
    <row r="8" spans="5:13" ht="12.75">
      <c r="E8" s="111"/>
      <c r="F8" s="113"/>
      <c r="G8" s="111"/>
      <c r="H8" s="111"/>
      <c r="I8" s="111"/>
      <c r="J8" s="111"/>
      <c r="K8" s="111"/>
      <c r="L8" s="111"/>
      <c r="M8" s="111"/>
    </row>
    <row r="9" spans="5:13" ht="12.75">
      <c r="E9" s="111"/>
      <c r="F9" s="114" t="str">
        <f>+'[9]ES 1.0'!E7</f>
        <v>For the Expense Month of May 2015</v>
      </c>
      <c r="G9" s="111"/>
      <c r="H9" s="111"/>
      <c r="I9" s="111"/>
      <c r="J9" s="111"/>
      <c r="K9" s="111"/>
      <c r="L9" s="111"/>
      <c r="M9" s="111"/>
    </row>
    <row r="10" spans="5:13" ht="12.75">
      <c r="E10" s="111"/>
      <c r="F10" s="112"/>
      <c r="G10" s="111"/>
      <c r="H10" s="111"/>
      <c r="I10" s="111"/>
      <c r="J10" s="111"/>
      <c r="K10" s="111"/>
      <c r="L10" s="111"/>
      <c r="M10" s="111"/>
    </row>
    <row r="11" spans="5:13" ht="12.75">
      <c r="E11" s="115"/>
      <c r="F11" s="116" t="s">
        <v>139</v>
      </c>
      <c r="G11" s="111"/>
      <c r="H11" s="111"/>
      <c r="I11" s="111"/>
      <c r="J11" s="111"/>
      <c r="K11" s="111"/>
      <c r="L11" s="111"/>
      <c r="M11" s="111"/>
    </row>
    <row r="12" ht="13.5" thickBot="1"/>
    <row r="13" spans="2:11" ht="30" customHeight="1" thickBot="1">
      <c r="B13" s="117" t="s">
        <v>140</v>
      </c>
      <c r="C13" s="118"/>
      <c r="D13" s="119" t="s">
        <v>141</v>
      </c>
      <c r="E13" s="120"/>
      <c r="F13" s="121" t="s">
        <v>142</v>
      </c>
      <c r="G13" s="122"/>
      <c r="H13" s="123" t="s">
        <v>143</v>
      </c>
      <c r="I13" s="23" t="s">
        <v>168</v>
      </c>
      <c r="J13" s="24"/>
      <c r="K13" s="25" t="s">
        <v>169</v>
      </c>
    </row>
    <row r="14" spans="2:11" ht="12.75">
      <c r="B14" s="124"/>
      <c r="C14" s="125"/>
      <c r="D14" s="126"/>
      <c r="E14" s="127"/>
      <c r="F14" s="126"/>
      <c r="G14" s="128"/>
      <c r="H14" s="129"/>
      <c r="I14" s="31"/>
      <c r="J14" s="32"/>
      <c r="K14" s="33"/>
    </row>
    <row r="15" spans="2:11" ht="12.75">
      <c r="B15" s="130">
        <v>1</v>
      </c>
      <c r="C15" s="131"/>
      <c r="D15" s="132" t="s">
        <v>144</v>
      </c>
      <c r="E15" s="133"/>
      <c r="F15" s="134">
        <f>-'[9]ECR Revenues'!F25</f>
        <v>39372432.48</v>
      </c>
      <c r="G15" s="135"/>
      <c r="H15" s="136">
        <f>ROUND(F15/$F$20,3)</f>
        <v>0.86</v>
      </c>
      <c r="I15" s="40">
        <f>-'May 2015'!F68</f>
        <v>39372432.48</v>
      </c>
      <c r="J15" s="41"/>
      <c r="K15" s="42">
        <f>ROUND(I15/$I$20,3)</f>
        <v>0.858</v>
      </c>
    </row>
    <row r="16" spans="2:11" ht="12.75">
      <c r="B16" s="130">
        <f>+B15+1</f>
        <v>2</v>
      </c>
      <c r="C16" s="131"/>
      <c r="D16" s="132" t="s">
        <v>145</v>
      </c>
      <c r="E16" s="133"/>
      <c r="F16" s="134">
        <f>-'[9]ECR Revenues'!F32</f>
        <v>462076.03</v>
      </c>
      <c r="G16" s="135"/>
      <c r="H16" s="137">
        <f>ROUND(F16/$F$20,3)</f>
        <v>0.01</v>
      </c>
      <c r="I16" s="40">
        <f>-'May 2015'!F6</f>
        <v>462076.03</v>
      </c>
      <c r="J16" s="43"/>
      <c r="K16" s="42">
        <f>ROUND(I16/$I$20,3)</f>
        <v>0.01</v>
      </c>
    </row>
    <row r="17" spans="2:11" ht="12.75">
      <c r="B17" s="130">
        <f>+B16+1</f>
        <v>3</v>
      </c>
      <c r="C17" s="131"/>
      <c r="D17" s="132" t="s">
        <v>147</v>
      </c>
      <c r="E17" s="133"/>
      <c r="F17" s="138">
        <v>0</v>
      </c>
      <c r="G17" s="135"/>
      <c r="H17" s="137">
        <f>ROUND(F17/$F$20,3)</f>
        <v>0</v>
      </c>
      <c r="I17" s="46">
        <f>0</f>
        <v>0</v>
      </c>
      <c r="J17" s="43"/>
      <c r="K17" s="42">
        <f>ROUND(I17/$I$20,3)</f>
        <v>0</v>
      </c>
    </row>
    <row r="18" spans="2:11" ht="12.75">
      <c r="B18" s="130">
        <f>+B17+1</f>
        <v>4</v>
      </c>
      <c r="C18" s="131"/>
      <c r="D18" s="132" t="s">
        <v>148</v>
      </c>
      <c r="E18" s="133"/>
      <c r="F18" s="138">
        <f>-'[9]ECR Revenues'!F58</f>
        <v>5963043.839999999</v>
      </c>
      <c r="G18" s="135"/>
      <c r="H18" s="137">
        <f>ROUND(F18/$F$20,3)</f>
        <v>0.13</v>
      </c>
      <c r="I18" s="46">
        <f>-'May 2015'!F43</f>
        <v>6056246.709999998</v>
      </c>
      <c r="J18" s="43"/>
      <c r="K18" s="42">
        <f>ROUND(I18/$I$20,3)</f>
        <v>0.132</v>
      </c>
    </row>
    <row r="19" spans="2:11" ht="12.75" customHeight="1">
      <c r="B19" s="130"/>
      <c r="C19" s="131"/>
      <c r="D19" s="132"/>
      <c r="E19" s="133"/>
      <c r="F19" s="139" t="s">
        <v>149</v>
      </c>
      <c r="G19" s="140"/>
      <c r="H19" s="141" t="s">
        <v>149</v>
      </c>
      <c r="I19" s="47" t="s">
        <v>149</v>
      </c>
      <c r="J19" s="48"/>
      <c r="K19" s="49" t="s">
        <v>149</v>
      </c>
    </row>
    <row r="20" spans="2:11" ht="12.75">
      <c r="B20" s="130">
        <f>+B18+1</f>
        <v>5</v>
      </c>
      <c r="C20" s="131"/>
      <c r="D20" s="142" t="s">
        <v>150</v>
      </c>
      <c r="E20" s="143"/>
      <c r="F20" s="144">
        <f>SUM(F15:F18)</f>
        <v>45797552.349999994</v>
      </c>
      <c r="G20" s="135"/>
      <c r="H20" s="137">
        <f>SUM(H15:H18)</f>
        <v>1</v>
      </c>
      <c r="I20" s="46">
        <f>SUM(I15:I18)</f>
        <v>45890755.22</v>
      </c>
      <c r="J20" s="43"/>
      <c r="K20" s="44">
        <f>SUM(K15:K18)</f>
        <v>1</v>
      </c>
    </row>
    <row r="21" spans="2:11" ht="12.75">
      <c r="B21" s="130"/>
      <c r="C21" s="131"/>
      <c r="D21" s="142"/>
      <c r="E21" s="143"/>
      <c r="F21" s="144"/>
      <c r="G21" s="135"/>
      <c r="H21" s="137"/>
      <c r="I21" s="46"/>
      <c r="J21" s="43"/>
      <c r="K21" s="44"/>
    </row>
    <row r="22" spans="2:11" ht="12.75">
      <c r="B22" s="130">
        <f>+B20+1</f>
        <v>6</v>
      </c>
      <c r="C22" s="131"/>
      <c r="D22" s="142" t="s">
        <v>151</v>
      </c>
      <c r="E22" s="143"/>
      <c r="F22" s="138">
        <f>-'[9]ECR Revenues'!F76</f>
        <v>206493.50800000006</v>
      </c>
      <c r="G22" s="135"/>
      <c r="H22" s="137"/>
      <c r="I22" s="52">
        <f>-'May 2015'!F16</f>
        <v>113290.63800000004</v>
      </c>
      <c r="J22" s="43"/>
      <c r="K22" s="44"/>
    </row>
    <row r="23" spans="2:11" ht="12.75">
      <c r="B23" s="145"/>
      <c r="C23" s="146"/>
      <c r="D23" s="132"/>
      <c r="E23" s="133"/>
      <c r="F23" s="147"/>
      <c r="G23" s="148"/>
      <c r="H23" s="149"/>
      <c r="I23" s="56"/>
      <c r="J23" s="57"/>
      <c r="K23" s="58"/>
    </row>
    <row r="24" spans="2:11" ht="13.5" thickBot="1">
      <c r="B24" s="130">
        <f>+B22+1</f>
        <v>7</v>
      </c>
      <c r="C24" s="150"/>
      <c r="D24" s="132" t="s">
        <v>152</v>
      </c>
      <c r="E24" s="133"/>
      <c r="F24" s="144">
        <f>+F20+F22</f>
        <v>46004045.857999995</v>
      </c>
      <c r="G24" s="148"/>
      <c r="H24" s="149"/>
      <c r="I24" s="46">
        <f>+I20+I22</f>
        <v>46004045.857999995</v>
      </c>
      <c r="J24" s="57"/>
      <c r="K24" s="58"/>
    </row>
    <row r="25" spans="2:11" ht="13.5" thickBot="1">
      <c r="B25" s="151"/>
      <c r="C25" s="150"/>
      <c r="D25" s="152"/>
      <c r="E25" s="153"/>
      <c r="F25" s="154"/>
      <c r="G25" s="155"/>
      <c r="H25" s="156"/>
      <c r="I25" s="64"/>
      <c r="J25" s="65"/>
      <c r="K25" s="66"/>
    </row>
    <row r="26" ht="15" customHeight="1"/>
    <row r="28" ht="12.75">
      <c r="D28" s="109" t="s">
        <v>153</v>
      </c>
    </row>
    <row r="29" ht="12.75">
      <c r="D29" s="109" t="s">
        <v>173</v>
      </c>
    </row>
    <row r="30" ht="12.75">
      <c r="D30" s="109" t="s">
        <v>155</v>
      </c>
    </row>
    <row r="31" ht="12.75">
      <c r="D31" s="109" t="s">
        <v>156</v>
      </c>
    </row>
    <row r="34" spans="4:8" ht="12.75">
      <c r="D34" s="157" t="s">
        <v>157</v>
      </c>
      <c r="E34" s="157"/>
      <c r="F34" s="157"/>
      <c r="G34" s="157"/>
      <c r="H34" s="157"/>
    </row>
    <row r="35" ht="13.5" thickBot="1"/>
    <row r="36" spans="2:8" ht="30" customHeight="1" thickBot="1">
      <c r="B36" s="117" t="s">
        <v>140</v>
      </c>
      <c r="C36" s="121"/>
      <c r="D36" s="121" t="s">
        <v>141</v>
      </c>
      <c r="E36" s="158"/>
      <c r="F36" s="158"/>
      <c r="G36" s="159"/>
      <c r="H36" s="160" t="s">
        <v>180</v>
      </c>
    </row>
    <row r="37" spans="2:8" ht="12.75">
      <c r="B37" s="161"/>
      <c r="C37" s="162"/>
      <c r="D37" s="126"/>
      <c r="E37" s="126"/>
      <c r="F37" s="126"/>
      <c r="G37" s="128"/>
      <c r="H37" s="129"/>
    </row>
    <row r="38" spans="2:13" ht="12.75">
      <c r="B38" s="163">
        <v>1</v>
      </c>
      <c r="C38" s="164"/>
      <c r="D38" s="132" t="s">
        <v>159</v>
      </c>
      <c r="E38" s="132"/>
      <c r="F38" s="132"/>
      <c r="G38" s="148"/>
      <c r="H38" s="165">
        <v>0</v>
      </c>
      <c r="M38" s="166"/>
    </row>
    <row r="39" spans="2:8" ht="12.75">
      <c r="B39" s="163"/>
      <c r="C39" s="164"/>
      <c r="D39" s="132"/>
      <c r="E39" s="132"/>
      <c r="F39" s="132"/>
      <c r="G39" s="148"/>
      <c r="H39" s="167" t="s">
        <v>146</v>
      </c>
    </row>
    <row r="40" spans="2:14" ht="12.75">
      <c r="B40" s="163">
        <v>2</v>
      </c>
      <c r="C40" s="164"/>
      <c r="D40" s="168" t="s">
        <v>160</v>
      </c>
      <c r="E40" s="132"/>
      <c r="F40" s="132"/>
      <c r="G40" s="148"/>
      <c r="H40" s="169">
        <v>0</v>
      </c>
      <c r="K40" s="270" t="s">
        <v>146</v>
      </c>
      <c r="L40" s="270" t="s">
        <v>146</v>
      </c>
      <c r="N40" s="109" t="s">
        <v>146</v>
      </c>
    </row>
    <row r="41" spans="2:12" ht="12.75">
      <c r="B41" s="163"/>
      <c r="C41" s="164"/>
      <c r="D41" s="132"/>
      <c r="E41" s="132"/>
      <c r="F41" s="132"/>
      <c r="G41" s="148"/>
      <c r="H41" s="141" t="s">
        <v>149</v>
      </c>
      <c r="K41" s="270"/>
      <c r="L41" s="270"/>
    </row>
    <row r="42" spans="2:8" ht="12.75">
      <c r="B42" s="163">
        <v>3</v>
      </c>
      <c r="C42" s="164"/>
      <c r="D42" s="168" t="s">
        <v>161</v>
      </c>
      <c r="E42" s="132"/>
      <c r="F42" s="132"/>
      <c r="G42" s="148"/>
      <c r="H42" s="170">
        <f>H38-H40</f>
        <v>0</v>
      </c>
    </row>
    <row r="43" spans="2:8" ht="13.5" thickBot="1">
      <c r="B43" s="171"/>
      <c r="C43" s="172"/>
      <c r="D43" s="152"/>
      <c r="E43" s="152"/>
      <c r="F43" s="152"/>
      <c r="G43" s="155"/>
      <c r="H43" s="156"/>
    </row>
    <row r="45" ht="12.75">
      <c r="D45" s="109" t="s">
        <v>181</v>
      </c>
    </row>
    <row r="47" ht="12.75">
      <c r="D47" s="173" t="s">
        <v>146</v>
      </c>
    </row>
    <row r="48" ht="12.75">
      <c r="D48" s="157" t="s">
        <v>146</v>
      </c>
    </row>
    <row r="59" ht="12.75">
      <c r="O59" s="109" t="s">
        <v>146</v>
      </c>
    </row>
  </sheetData>
  <sheetProtection/>
  <mergeCells count="2">
    <mergeCell ref="K40:K41"/>
    <mergeCell ref="L40:L41"/>
  </mergeCells>
  <printOptions horizontalCentered="1"/>
  <pageMargins left="0" right="0" top="0.5" bottom="0.5" header="0.5" footer="0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75"/>
  <sheetViews>
    <sheetView zoomScalePageLayoutView="0" workbookViewId="0" topLeftCell="J1">
      <pane ySplit="7" topLeftCell="A38" activePane="bottomLeft" state="frozen"/>
      <selection pane="topLeft" activeCell="A1" sqref="A1"/>
      <selection pane="bottomLeft" activeCell="AH49" sqref="AH49"/>
    </sheetView>
  </sheetViews>
  <sheetFormatPr defaultColWidth="9.140625" defaultRowHeight="15"/>
  <cols>
    <col min="1" max="1" width="3.28125" style="12" bestFit="1" customWidth="1"/>
    <col min="2" max="2" width="7.28125" style="12" customWidth="1"/>
    <col min="3" max="3" width="10.8515625" style="12" bestFit="1" customWidth="1"/>
    <col min="4" max="4" width="2.28125" style="12" customWidth="1"/>
    <col min="5" max="5" width="15.421875" style="12" customWidth="1"/>
    <col min="6" max="6" width="2.28125" style="12" customWidth="1"/>
    <col min="7" max="7" width="15.7109375" style="190" customWidth="1"/>
    <col min="8" max="8" width="2.28125" style="12" customWidth="1"/>
    <col min="9" max="9" width="13.28125" style="12" bestFit="1" customWidth="1"/>
    <col min="10" max="10" width="2.28125" style="12" customWidth="1"/>
    <col min="11" max="11" width="7.8515625" style="11" bestFit="1" customWidth="1"/>
    <col min="12" max="12" width="2.28125" style="12" customWidth="1"/>
    <col min="13" max="13" width="9.421875" style="12" bestFit="1" customWidth="1"/>
    <col min="14" max="14" width="2.28125" style="12" customWidth="1"/>
    <col min="15" max="15" width="8.28125" style="11" bestFit="1" customWidth="1"/>
    <col min="16" max="16" width="2.28125" style="12" customWidth="1"/>
    <col min="17" max="17" width="9.421875" style="12" bestFit="1" customWidth="1"/>
    <col min="18" max="18" width="2.28125" style="12" customWidth="1"/>
    <col min="19" max="19" width="8.8515625" style="11" customWidth="1"/>
    <col min="20" max="20" width="2.28125" style="12" customWidth="1"/>
    <col min="21" max="21" width="14.140625" style="12" customWidth="1"/>
    <col min="22" max="22" width="2.28125" style="12" customWidth="1"/>
    <col min="23" max="23" width="12.8515625" style="12" customWidth="1"/>
    <col min="24" max="24" width="2.28125" style="12" customWidth="1"/>
    <col min="25" max="25" width="12.140625" style="12" customWidth="1"/>
    <col min="26" max="26" width="12.8515625" style="12" hidden="1" customWidth="1"/>
    <col min="27" max="27" width="2.28125" style="12" hidden="1" customWidth="1"/>
    <col min="28" max="28" width="12.8515625" style="12" hidden="1" customWidth="1"/>
    <col min="29" max="29" width="2.28125" style="12" hidden="1" customWidth="1"/>
    <col min="30" max="30" width="12.140625" style="12" hidden="1" customWidth="1"/>
    <col min="31" max="31" width="8.8515625" style="191" customWidth="1"/>
    <col min="32" max="32" width="10.00390625" style="191" customWidth="1"/>
    <col min="33" max="33" width="7.28125" style="191" customWidth="1"/>
    <col min="34" max="34" width="15.28125" style="191" customWidth="1"/>
    <col min="35" max="160" width="8.8515625" style="191" customWidth="1"/>
    <col min="161" max="16384" width="8.8515625" style="190" customWidth="1"/>
  </cols>
  <sheetData>
    <row r="1" ht="12.75">
      <c r="S1" s="16"/>
    </row>
    <row r="2" spans="1:25" ht="12.75" customHeight="1">
      <c r="A2" s="271" t="s">
        <v>188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12.75" customHeight="1">
      <c r="A3" s="272" t="s">
        <v>189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</row>
    <row r="4" spans="1:25" ht="12.75" customHeight="1">
      <c r="A4" s="272" t="s">
        <v>190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6" spans="2:34" ht="114.75">
      <c r="B6" s="11" t="s">
        <v>191</v>
      </c>
      <c r="C6" s="14" t="s">
        <v>192</v>
      </c>
      <c r="D6" s="14"/>
      <c r="E6" s="192" t="s">
        <v>193</v>
      </c>
      <c r="F6" s="14"/>
      <c r="G6" s="193" t="s">
        <v>194</v>
      </c>
      <c r="H6" s="14"/>
      <c r="I6" s="192" t="s">
        <v>195</v>
      </c>
      <c r="J6" s="14"/>
      <c r="K6" s="14" t="s">
        <v>196</v>
      </c>
      <c r="L6" s="14"/>
      <c r="M6" s="192" t="s">
        <v>197</v>
      </c>
      <c r="O6" s="14" t="s">
        <v>198</v>
      </c>
      <c r="Q6" s="192" t="s">
        <v>199</v>
      </c>
      <c r="S6" s="14" t="s">
        <v>200</v>
      </c>
      <c r="U6" s="194" t="s">
        <v>331</v>
      </c>
      <c r="V6" s="194"/>
      <c r="W6" s="194" t="s">
        <v>332</v>
      </c>
      <c r="X6" s="194"/>
      <c r="Y6" s="267" t="s">
        <v>330</v>
      </c>
      <c r="Z6" s="194" t="s">
        <v>201</v>
      </c>
      <c r="AA6" s="194"/>
      <c r="AB6" s="194" t="s">
        <v>202</v>
      </c>
      <c r="AC6" s="194"/>
      <c r="AD6" s="194" t="s">
        <v>203</v>
      </c>
      <c r="AF6" s="195"/>
      <c r="AG6" s="195"/>
      <c r="AH6" s="195"/>
    </row>
    <row r="7" spans="1:160" s="201" customFormat="1" ht="12.75">
      <c r="A7" s="196"/>
      <c r="B7" s="197">
        <v>-1</v>
      </c>
      <c r="C7" s="198">
        <f>B7-1</f>
        <v>-2</v>
      </c>
      <c r="D7" s="198"/>
      <c r="E7" s="198">
        <f>C7-1</f>
        <v>-3</v>
      </c>
      <c r="F7" s="198"/>
      <c r="G7" s="199">
        <f>E7-1</f>
        <v>-4</v>
      </c>
      <c r="H7" s="198"/>
      <c r="I7" s="198">
        <f>G7-1</f>
        <v>-5</v>
      </c>
      <c r="J7" s="198"/>
      <c r="K7" s="198">
        <f>I7-1</f>
        <v>-6</v>
      </c>
      <c r="L7" s="198"/>
      <c r="M7" s="198">
        <f>K7-1</f>
        <v>-7</v>
      </c>
      <c r="N7" s="196"/>
      <c r="O7" s="199">
        <f>M7-1</f>
        <v>-8</v>
      </c>
      <c r="P7" s="196"/>
      <c r="Q7" s="198">
        <f>O7-1</f>
        <v>-9</v>
      </c>
      <c r="R7" s="196"/>
      <c r="S7" s="198">
        <f>Q7-1</f>
        <v>-10</v>
      </c>
      <c r="T7" s="196"/>
      <c r="U7" s="198">
        <f>S7-1</f>
        <v>-11</v>
      </c>
      <c r="V7" s="198"/>
      <c r="W7" s="198">
        <f>U7-1</f>
        <v>-12</v>
      </c>
      <c r="X7" s="198"/>
      <c r="Y7" s="198">
        <f>W7-1</f>
        <v>-13</v>
      </c>
      <c r="Z7" s="198">
        <f>Y7-1</f>
        <v>-14</v>
      </c>
      <c r="AA7" s="198"/>
      <c r="AB7" s="198">
        <f>Z7-1</f>
        <v>-15</v>
      </c>
      <c r="AC7" s="198"/>
      <c r="AD7" s="198">
        <f>AB7-1</f>
        <v>-16</v>
      </c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</row>
    <row r="8" spans="1:30" ht="12.75" hidden="1">
      <c r="A8" s="273" t="s">
        <v>204</v>
      </c>
      <c r="B8" s="202">
        <v>1</v>
      </c>
      <c r="C8" s="203" t="s">
        <v>205</v>
      </c>
      <c r="D8" s="203"/>
      <c r="E8" s="204" t="s">
        <v>206</v>
      </c>
      <c r="F8" s="203"/>
      <c r="G8" s="205" t="s">
        <v>207</v>
      </c>
      <c r="H8" s="203"/>
      <c r="I8" s="204" t="s">
        <v>208</v>
      </c>
      <c r="J8" s="203"/>
      <c r="K8" s="206">
        <f>+I8-E8+1</f>
        <v>32</v>
      </c>
      <c r="L8" s="203"/>
      <c r="M8" s="204" t="s">
        <v>209</v>
      </c>
      <c r="N8" s="38"/>
      <c r="O8" s="207">
        <f>MIN(MAX(M8-E8+1,0),K8)</f>
        <v>32</v>
      </c>
      <c r="P8" s="38"/>
      <c r="Q8" s="204" t="s">
        <v>210</v>
      </c>
      <c r="R8" s="38"/>
      <c r="S8" s="207">
        <f aca="true" t="shared" si="0" ref="S8:S28">MAX(MIN(G8-Q8,K8),0)</f>
        <v>0</v>
      </c>
      <c r="U8" s="208">
        <v>0</v>
      </c>
      <c r="V8" s="208"/>
      <c r="W8" s="208"/>
      <c r="X8" s="208"/>
      <c r="Y8" s="208">
        <f>ROUND((U8*O8+W8*S8)/K8,7)</f>
        <v>0</v>
      </c>
      <c r="Z8" s="208">
        <v>0</v>
      </c>
      <c r="AA8" s="208"/>
      <c r="AB8" s="208"/>
      <c r="AC8" s="208"/>
      <c r="AD8" s="208" t="e">
        <f aca="true" t="shared" si="1" ref="AD8:AD28">ROUND((Z8*T8+AB8*X8)/P8,7)</f>
        <v>#DIV/0!</v>
      </c>
    </row>
    <row r="9" spans="1:30" ht="12.75" hidden="1">
      <c r="A9" s="274"/>
      <c r="B9" s="209">
        <f>+B8+1</f>
        <v>2</v>
      </c>
      <c r="C9" s="203" t="s">
        <v>211</v>
      </c>
      <c r="D9" s="203"/>
      <c r="E9" s="204" t="s">
        <v>212</v>
      </c>
      <c r="F9" s="203"/>
      <c r="G9" s="205" t="s">
        <v>213</v>
      </c>
      <c r="H9" s="203"/>
      <c r="I9" s="204" t="s">
        <v>207</v>
      </c>
      <c r="J9" s="203"/>
      <c r="K9" s="206">
        <f aca="true" t="shared" si="2" ref="K9:K28">+I9-E9+1</f>
        <v>32</v>
      </c>
      <c r="L9" s="203"/>
      <c r="M9" s="204" t="s">
        <v>209</v>
      </c>
      <c r="N9" s="38"/>
      <c r="O9" s="207">
        <f aca="true" t="shared" si="3" ref="O9:O28">MIN(MAX(M9-E9+1,0),K9)</f>
        <v>32</v>
      </c>
      <c r="P9" s="38"/>
      <c r="Q9" s="204" t="s">
        <v>210</v>
      </c>
      <c r="R9" s="38"/>
      <c r="S9" s="207">
        <f t="shared" si="0"/>
        <v>0</v>
      </c>
      <c r="U9" s="208">
        <v>0</v>
      </c>
      <c r="V9" s="208"/>
      <c r="W9" s="208"/>
      <c r="X9" s="208"/>
      <c r="Y9" s="208">
        <f aca="true" t="shared" si="4" ref="Y9:Y70">ROUND((U9*O9+W9*S9)/K9,7)</f>
        <v>0</v>
      </c>
      <c r="Z9" s="208">
        <v>0</v>
      </c>
      <c r="AA9" s="208"/>
      <c r="AB9" s="208"/>
      <c r="AC9" s="208"/>
      <c r="AD9" s="208" t="e">
        <f t="shared" si="1"/>
        <v>#DIV/0!</v>
      </c>
    </row>
    <row r="10" spans="1:30" ht="12.75" hidden="1">
      <c r="A10" s="274"/>
      <c r="B10" s="209">
        <f aca="true" t="shared" si="5" ref="B10:B28">+B9+1</f>
        <v>3</v>
      </c>
      <c r="C10" s="203" t="s">
        <v>214</v>
      </c>
      <c r="D10" s="203"/>
      <c r="E10" s="204" t="s">
        <v>215</v>
      </c>
      <c r="F10" s="203"/>
      <c r="G10" s="205" t="s">
        <v>216</v>
      </c>
      <c r="H10" s="203"/>
      <c r="I10" s="204" t="s">
        <v>213</v>
      </c>
      <c r="J10" s="203"/>
      <c r="K10" s="206">
        <f t="shared" si="2"/>
        <v>30</v>
      </c>
      <c r="L10" s="203"/>
      <c r="M10" s="204" t="s">
        <v>209</v>
      </c>
      <c r="N10" s="38"/>
      <c r="O10" s="207">
        <f t="shared" si="3"/>
        <v>30</v>
      </c>
      <c r="P10" s="38"/>
      <c r="Q10" s="204" t="s">
        <v>210</v>
      </c>
      <c r="R10" s="38"/>
      <c r="S10" s="207">
        <f t="shared" si="0"/>
        <v>0</v>
      </c>
      <c r="U10" s="208">
        <v>0</v>
      </c>
      <c r="V10" s="208"/>
      <c r="W10" s="208"/>
      <c r="X10" s="208"/>
      <c r="Y10" s="208">
        <f t="shared" si="4"/>
        <v>0</v>
      </c>
      <c r="Z10" s="208">
        <v>0</v>
      </c>
      <c r="AA10" s="208"/>
      <c r="AB10" s="208"/>
      <c r="AC10" s="208"/>
      <c r="AD10" s="208" t="e">
        <f t="shared" si="1"/>
        <v>#DIV/0!</v>
      </c>
    </row>
    <row r="11" spans="1:30" ht="12.75" hidden="1">
      <c r="A11" s="274"/>
      <c r="B11" s="209">
        <f t="shared" si="5"/>
        <v>4</v>
      </c>
      <c r="C11" s="203" t="s">
        <v>217</v>
      </c>
      <c r="D11" s="203"/>
      <c r="E11" s="204" t="s">
        <v>218</v>
      </c>
      <c r="F11" s="203"/>
      <c r="G11" s="205" t="s">
        <v>219</v>
      </c>
      <c r="H11" s="203"/>
      <c r="I11" s="204" t="s">
        <v>216</v>
      </c>
      <c r="J11" s="203"/>
      <c r="K11" s="206">
        <f t="shared" si="2"/>
        <v>30</v>
      </c>
      <c r="L11" s="203"/>
      <c r="M11" s="204" t="s">
        <v>209</v>
      </c>
      <c r="N11" s="38"/>
      <c r="O11" s="207">
        <f t="shared" si="3"/>
        <v>30</v>
      </c>
      <c r="P11" s="38"/>
      <c r="Q11" s="204" t="s">
        <v>210</v>
      </c>
      <c r="R11" s="38"/>
      <c r="S11" s="207">
        <f t="shared" si="0"/>
        <v>0</v>
      </c>
      <c r="U11" s="208">
        <v>0</v>
      </c>
      <c r="V11" s="208"/>
      <c r="W11" s="208"/>
      <c r="X11" s="208"/>
      <c r="Y11" s="208">
        <f t="shared" si="4"/>
        <v>0</v>
      </c>
      <c r="Z11" s="208">
        <v>0</v>
      </c>
      <c r="AA11" s="208"/>
      <c r="AB11" s="208"/>
      <c r="AC11" s="208"/>
      <c r="AD11" s="208" t="e">
        <f t="shared" si="1"/>
        <v>#DIV/0!</v>
      </c>
    </row>
    <row r="12" spans="1:30" ht="12.75" hidden="1">
      <c r="A12" s="274"/>
      <c r="B12" s="209">
        <f t="shared" si="5"/>
        <v>5</v>
      </c>
      <c r="C12" s="203" t="s">
        <v>220</v>
      </c>
      <c r="D12" s="203"/>
      <c r="E12" s="204" t="s">
        <v>221</v>
      </c>
      <c r="F12" s="203"/>
      <c r="G12" s="205" t="s">
        <v>222</v>
      </c>
      <c r="H12" s="203"/>
      <c r="I12" s="204" t="s">
        <v>219</v>
      </c>
      <c r="J12" s="203"/>
      <c r="K12" s="206">
        <f t="shared" si="2"/>
        <v>30</v>
      </c>
      <c r="L12" s="203"/>
      <c r="M12" s="204" t="s">
        <v>209</v>
      </c>
      <c r="N12" s="38"/>
      <c r="O12" s="207">
        <f t="shared" si="3"/>
        <v>30</v>
      </c>
      <c r="P12" s="38"/>
      <c r="Q12" s="204" t="s">
        <v>210</v>
      </c>
      <c r="R12" s="38"/>
      <c r="S12" s="207">
        <f t="shared" si="0"/>
        <v>0</v>
      </c>
      <c r="U12" s="208">
        <v>0</v>
      </c>
      <c r="V12" s="208"/>
      <c r="W12" s="208"/>
      <c r="X12" s="208"/>
      <c r="Y12" s="208">
        <f t="shared" si="4"/>
        <v>0</v>
      </c>
      <c r="Z12" s="208">
        <v>0</v>
      </c>
      <c r="AA12" s="208"/>
      <c r="AB12" s="208"/>
      <c r="AC12" s="208"/>
      <c r="AD12" s="208" t="e">
        <f t="shared" si="1"/>
        <v>#DIV/0!</v>
      </c>
    </row>
    <row r="13" spans="1:30" ht="12.75" hidden="1">
      <c r="A13" s="274"/>
      <c r="B13" s="209">
        <f t="shared" si="5"/>
        <v>6</v>
      </c>
      <c r="C13" s="203" t="s">
        <v>205</v>
      </c>
      <c r="D13" s="203"/>
      <c r="E13" s="204" t="s">
        <v>223</v>
      </c>
      <c r="F13" s="203"/>
      <c r="G13" s="205" t="s">
        <v>224</v>
      </c>
      <c r="H13" s="203"/>
      <c r="I13" s="204" t="s">
        <v>225</v>
      </c>
      <c r="J13" s="203"/>
      <c r="K13" s="206">
        <f t="shared" si="2"/>
        <v>32</v>
      </c>
      <c r="L13" s="203"/>
      <c r="M13" s="204" t="s">
        <v>209</v>
      </c>
      <c r="N13" s="38"/>
      <c r="O13" s="207">
        <f t="shared" si="3"/>
        <v>32</v>
      </c>
      <c r="P13" s="38"/>
      <c r="Q13" s="204" t="s">
        <v>210</v>
      </c>
      <c r="R13" s="38"/>
      <c r="S13" s="207">
        <f t="shared" si="0"/>
        <v>0</v>
      </c>
      <c r="U13" s="208">
        <v>0</v>
      </c>
      <c r="V13" s="208"/>
      <c r="W13" s="208"/>
      <c r="X13" s="208"/>
      <c r="Y13" s="208">
        <f t="shared" si="4"/>
        <v>0</v>
      </c>
      <c r="Z13" s="208">
        <v>0</v>
      </c>
      <c r="AA13" s="208"/>
      <c r="AB13" s="208"/>
      <c r="AC13" s="208"/>
      <c r="AD13" s="208" t="e">
        <f t="shared" si="1"/>
        <v>#DIV/0!</v>
      </c>
    </row>
    <row r="14" spans="1:30" ht="12.75" hidden="1">
      <c r="A14" s="274"/>
      <c r="B14" s="209">
        <f t="shared" si="5"/>
        <v>7</v>
      </c>
      <c r="C14" s="203" t="s">
        <v>211</v>
      </c>
      <c r="D14" s="203"/>
      <c r="E14" s="204" t="s">
        <v>226</v>
      </c>
      <c r="F14" s="203"/>
      <c r="G14" s="205" t="s">
        <v>227</v>
      </c>
      <c r="H14" s="203"/>
      <c r="I14" s="204" t="s">
        <v>224</v>
      </c>
      <c r="J14" s="203"/>
      <c r="K14" s="206">
        <f t="shared" si="2"/>
        <v>32</v>
      </c>
      <c r="L14" s="203"/>
      <c r="M14" s="204" t="s">
        <v>209</v>
      </c>
      <c r="N14" s="38"/>
      <c r="O14" s="207">
        <f t="shared" si="3"/>
        <v>32</v>
      </c>
      <c r="P14" s="38"/>
      <c r="Q14" s="204" t="s">
        <v>210</v>
      </c>
      <c r="R14" s="38"/>
      <c r="S14" s="207">
        <f t="shared" si="0"/>
        <v>0</v>
      </c>
      <c r="U14" s="208">
        <v>0</v>
      </c>
      <c r="V14" s="208"/>
      <c r="W14" s="208"/>
      <c r="X14" s="208"/>
      <c r="Y14" s="208">
        <f t="shared" si="4"/>
        <v>0</v>
      </c>
      <c r="Z14" s="208">
        <v>0</v>
      </c>
      <c r="AA14" s="208"/>
      <c r="AB14" s="208"/>
      <c r="AC14" s="208"/>
      <c r="AD14" s="208" t="e">
        <f t="shared" si="1"/>
        <v>#DIV/0!</v>
      </c>
    </row>
    <row r="15" spans="1:30" ht="12.75" hidden="1">
      <c r="A15" s="274"/>
      <c r="B15" s="209">
        <f t="shared" si="5"/>
        <v>8</v>
      </c>
      <c r="C15" s="203" t="s">
        <v>214</v>
      </c>
      <c r="D15" s="203"/>
      <c r="E15" s="204" t="s">
        <v>228</v>
      </c>
      <c r="F15" s="203"/>
      <c r="G15" s="205" t="s">
        <v>229</v>
      </c>
      <c r="H15" s="203"/>
      <c r="I15" s="204" t="s">
        <v>227</v>
      </c>
      <c r="J15" s="203"/>
      <c r="K15" s="206">
        <f t="shared" si="2"/>
        <v>30</v>
      </c>
      <c r="L15" s="203"/>
      <c r="M15" s="204" t="s">
        <v>209</v>
      </c>
      <c r="N15" s="38"/>
      <c r="O15" s="207">
        <f t="shared" si="3"/>
        <v>30</v>
      </c>
      <c r="P15" s="38"/>
      <c r="Q15" s="204" t="s">
        <v>210</v>
      </c>
      <c r="R15" s="38"/>
      <c r="S15" s="207">
        <f t="shared" si="0"/>
        <v>0</v>
      </c>
      <c r="U15" s="208">
        <v>0</v>
      </c>
      <c r="V15" s="208"/>
      <c r="W15" s="208"/>
      <c r="X15" s="208"/>
      <c r="Y15" s="208">
        <f t="shared" si="4"/>
        <v>0</v>
      </c>
      <c r="Z15" s="208">
        <v>0</v>
      </c>
      <c r="AA15" s="208"/>
      <c r="AB15" s="208"/>
      <c r="AC15" s="208"/>
      <c r="AD15" s="208" t="e">
        <f t="shared" si="1"/>
        <v>#DIV/0!</v>
      </c>
    </row>
    <row r="16" spans="1:30" ht="12.75" hidden="1">
      <c r="A16" s="274"/>
      <c r="B16" s="209">
        <f t="shared" si="5"/>
        <v>9</v>
      </c>
      <c r="C16" s="203" t="s">
        <v>217</v>
      </c>
      <c r="D16" s="203"/>
      <c r="E16" s="204" t="s">
        <v>230</v>
      </c>
      <c r="F16" s="203"/>
      <c r="G16" s="205" t="s">
        <v>231</v>
      </c>
      <c r="H16" s="203"/>
      <c r="I16" s="204" t="s">
        <v>229</v>
      </c>
      <c r="J16" s="203"/>
      <c r="K16" s="206">
        <f t="shared" si="2"/>
        <v>30</v>
      </c>
      <c r="L16" s="203"/>
      <c r="M16" s="204" t="s">
        <v>209</v>
      </c>
      <c r="N16" s="38"/>
      <c r="O16" s="207">
        <f t="shared" si="3"/>
        <v>30</v>
      </c>
      <c r="P16" s="38"/>
      <c r="Q16" s="204" t="s">
        <v>210</v>
      </c>
      <c r="R16" s="38"/>
      <c r="S16" s="207">
        <f t="shared" si="0"/>
        <v>0</v>
      </c>
      <c r="U16" s="208">
        <v>0</v>
      </c>
      <c r="V16" s="208"/>
      <c r="W16" s="208"/>
      <c r="X16" s="208"/>
      <c r="Y16" s="208">
        <f t="shared" si="4"/>
        <v>0</v>
      </c>
      <c r="Z16" s="208">
        <v>0</v>
      </c>
      <c r="AA16" s="208"/>
      <c r="AB16" s="208"/>
      <c r="AC16" s="208"/>
      <c r="AD16" s="208" t="e">
        <f t="shared" si="1"/>
        <v>#DIV/0!</v>
      </c>
    </row>
    <row r="17" spans="1:30" ht="12.75" hidden="1">
      <c r="A17" s="274"/>
      <c r="B17" s="209">
        <f t="shared" si="5"/>
        <v>10</v>
      </c>
      <c r="C17" s="203" t="s">
        <v>220</v>
      </c>
      <c r="D17" s="203"/>
      <c r="E17" s="204" t="s">
        <v>232</v>
      </c>
      <c r="F17" s="203"/>
      <c r="G17" s="205" t="s">
        <v>233</v>
      </c>
      <c r="H17" s="203"/>
      <c r="I17" s="204" t="s">
        <v>231</v>
      </c>
      <c r="J17" s="203"/>
      <c r="K17" s="206">
        <f t="shared" si="2"/>
        <v>30</v>
      </c>
      <c r="L17" s="203"/>
      <c r="M17" s="204" t="s">
        <v>209</v>
      </c>
      <c r="N17" s="38"/>
      <c r="O17" s="207">
        <f t="shared" si="3"/>
        <v>30</v>
      </c>
      <c r="P17" s="38"/>
      <c r="Q17" s="204" t="s">
        <v>210</v>
      </c>
      <c r="R17" s="38"/>
      <c r="S17" s="207">
        <f t="shared" si="0"/>
        <v>0</v>
      </c>
      <c r="U17" s="208">
        <v>0</v>
      </c>
      <c r="V17" s="208"/>
      <c r="W17" s="208"/>
      <c r="X17" s="208"/>
      <c r="Y17" s="208">
        <f t="shared" si="4"/>
        <v>0</v>
      </c>
      <c r="Z17" s="208">
        <v>0</v>
      </c>
      <c r="AA17" s="208"/>
      <c r="AB17" s="208"/>
      <c r="AC17" s="208"/>
      <c r="AD17" s="208" t="e">
        <f t="shared" si="1"/>
        <v>#DIV/0!</v>
      </c>
    </row>
    <row r="18" spans="1:30" ht="12.75" hidden="1">
      <c r="A18" s="274"/>
      <c r="B18" s="209">
        <f t="shared" si="5"/>
        <v>11</v>
      </c>
      <c r="C18" s="203" t="s">
        <v>205</v>
      </c>
      <c r="D18" s="203"/>
      <c r="E18" s="204" t="s">
        <v>234</v>
      </c>
      <c r="F18" s="203"/>
      <c r="G18" s="205" t="s">
        <v>235</v>
      </c>
      <c r="H18" s="203"/>
      <c r="I18" s="204" t="s">
        <v>236</v>
      </c>
      <c r="J18" s="203"/>
      <c r="K18" s="206">
        <f t="shared" si="2"/>
        <v>32</v>
      </c>
      <c r="L18" s="203"/>
      <c r="M18" s="204" t="s">
        <v>209</v>
      </c>
      <c r="N18" s="38"/>
      <c r="O18" s="207">
        <f t="shared" si="3"/>
        <v>32</v>
      </c>
      <c r="P18" s="38"/>
      <c r="Q18" s="204" t="s">
        <v>210</v>
      </c>
      <c r="R18" s="38"/>
      <c r="S18" s="207">
        <f t="shared" si="0"/>
        <v>0</v>
      </c>
      <c r="U18" s="208">
        <v>0</v>
      </c>
      <c r="V18" s="208"/>
      <c r="W18" s="208"/>
      <c r="X18" s="208"/>
      <c r="Y18" s="208">
        <f t="shared" si="4"/>
        <v>0</v>
      </c>
      <c r="Z18" s="208">
        <v>0</v>
      </c>
      <c r="AA18" s="208"/>
      <c r="AB18" s="208"/>
      <c r="AC18" s="208"/>
      <c r="AD18" s="208" t="e">
        <f t="shared" si="1"/>
        <v>#DIV/0!</v>
      </c>
    </row>
    <row r="19" spans="1:30" ht="12.75" hidden="1">
      <c r="A19" s="274"/>
      <c r="B19" s="209">
        <f t="shared" si="5"/>
        <v>12</v>
      </c>
      <c r="C19" s="203" t="s">
        <v>211</v>
      </c>
      <c r="D19" s="203"/>
      <c r="E19" s="204" t="s">
        <v>237</v>
      </c>
      <c r="F19" s="203"/>
      <c r="G19" s="205" t="s">
        <v>238</v>
      </c>
      <c r="H19" s="203"/>
      <c r="I19" s="204" t="s">
        <v>235</v>
      </c>
      <c r="J19" s="203"/>
      <c r="K19" s="206">
        <f t="shared" si="2"/>
        <v>32</v>
      </c>
      <c r="L19" s="203"/>
      <c r="M19" s="204" t="s">
        <v>209</v>
      </c>
      <c r="N19" s="38"/>
      <c r="O19" s="207">
        <f t="shared" si="3"/>
        <v>32</v>
      </c>
      <c r="P19" s="38"/>
      <c r="Q19" s="204" t="s">
        <v>210</v>
      </c>
      <c r="R19" s="38"/>
      <c r="S19" s="207">
        <f t="shared" si="0"/>
        <v>0</v>
      </c>
      <c r="U19" s="208">
        <v>0</v>
      </c>
      <c r="V19" s="208"/>
      <c r="W19" s="208"/>
      <c r="X19" s="208"/>
      <c r="Y19" s="208">
        <f t="shared" si="4"/>
        <v>0</v>
      </c>
      <c r="Z19" s="208">
        <v>0</v>
      </c>
      <c r="AA19" s="208"/>
      <c r="AB19" s="208"/>
      <c r="AC19" s="208"/>
      <c r="AD19" s="208" t="e">
        <f t="shared" si="1"/>
        <v>#DIV/0!</v>
      </c>
    </row>
    <row r="20" spans="1:30" ht="12.75" hidden="1">
      <c r="A20" s="274"/>
      <c r="B20" s="209">
        <f t="shared" si="5"/>
        <v>13</v>
      </c>
      <c r="C20" s="203" t="s">
        <v>214</v>
      </c>
      <c r="D20" s="203"/>
      <c r="E20" s="204" t="s">
        <v>239</v>
      </c>
      <c r="F20" s="203"/>
      <c r="G20" s="205" t="s">
        <v>240</v>
      </c>
      <c r="H20" s="203"/>
      <c r="I20" s="204" t="s">
        <v>238</v>
      </c>
      <c r="J20" s="203"/>
      <c r="K20" s="206">
        <f t="shared" si="2"/>
        <v>30</v>
      </c>
      <c r="L20" s="203"/>
      <c r="M20" s="204" t="s">
        <v>209</v>
      </c>
      <c r="N20" s="38"/>
      <c r="O20" s="207">
        <f t="shared" si="3"/>
        <v>30</v>
      </c>
      <c r="P20" s="38"/>
      <c r="Q20" s="204" t="s">
        <v>210</v>
      </c>
      <c r="R20" s="38"/>
      <c r="S20" s="207">
        <f t="shared" si="0"/>
        <v>0</v>
      </c>
      <c r="U20" s="208">
        <v>0</v>
      </c>
      <c r="V20" s="208"/>
      <c r="W20" s="208"/>
      <c r="X20" s="208"/>
      <c r="Y20" s="208">
        <f t="shared" si="4"/>
        <v>0</v>
      </c>
      <c r="Z20" s="208">
        <v>0</v>
      </c>
      <c r="AA20" s="208"/>
      <c r="AB20" s="208"/>
      <c r="AC20" s="208"/>
      <c r="AD20" s="208" t="e">
        <f t="shared" si="1"/>
        <v>#DIV/0!</v>
      </c>
    </row>
    <row r="21" spans="1:30" ht="12.75" hidden="1">
      <c r="A21" s="274"/>
      <c r="B21" s="209">
        <f t="shared" si="5"/>
        <v>14</v>
      </c>
      <c r="C21" s="203" t="s">
        <v>217</v>
      </c>
      <c r="D21" s="203"/>
      <c r="E21" s="204" t="s">
        <v>241</v>
      </c>
      <c r="F21" s="203"/>
      <c r="G21" s="205" t="s">
        <v>242</v>
      </c>
      <c r="H21" s="203"/>
      <c r="I21" s="204" t="s">
        <v>240</v>
      </c>
      <c r="J21" s="203"/>
      <c r="K21" s="206">
        <f t="shared" si="2"/>
        <v>30</v>
      </c>
      <c r="L21" s="203"/>
      <c r="M21" s="204" t="s">
        <v>209</v>
      </c>
      <c r="N21" s="38"/>
      <c r="O21" s="207">
        <f t="shared" si="3"/>
        <v>30</v>
      </c>
      <c r="P21" s="38"/>
      <c r="Q21" s="204" t="s">
        <v>210</v>
      </c>
      <c r="R21" s="38"/>
      <c r="S21" s="207">
        <f t="shared" si="0"/>
        <v>0</v>
      </c>
      <c r="U21" s="208">
        <v>0</v>
      </c>
      <c r="V21" s="208"/>
      <c r="W21" s="208"/>
      <c r="X21" s="208"/>
      <c r="Y21" s="208">
        <f t="shared" si="4"/>
        <v>0</v>
      </c>
      <c r="Z21" s="208">
        <v>0</v>
      </c>
      <c r="AA21" s="208"/>
      <c r="AB21" s="208"/>
      <c r="AC21" s="208"/>
      <c r="AD21" s="208" t="e">
        <f t="shared" si="1"/>
        <v>#DIV/0!</v>
      </c>
    </row>
    <row r="22" spans="1:30" ht="12.75" hidden="1">
      <c r="A22" s="274"/>
      <c r="B22" s="209">
        <f t="shared" si="5"/>
        <v>15</v>
      </c>
      <c r="C22" s="203" t="s">
        <v>220</v>
      </c>
      <c r="D22" s="203"/>
      <c r="E22" s="204" t="s">
        <v>243</v>
      </c>
      <c r="F22" s="203"/>
      <c r="G22" s="205" t="s">
        <v>244</v>
      </c>
      <c r="H22" s="203"/>
      <c r="I22" s="204" t="s">
        <v>242</v>
      </c>
      <c r="J22" s="203"/>
      <c r="K22" s="206">
        <f t="shared" si="2"/>
        <v>30</v>
      </c>
      <c r="L22" s="203"/>
      <c r="M22" s="204" t="s">
        <v>209</v>
      </c>
      <c r="N22" s="38"/>
      <c r="O22" s="207">
        <f t="shared" si="3"/>
        <v>30</v>
      </c>
      <c r="P22" s="38"/>
      <c r="Q22" s="204" t="s">
        <v>210</v>
      </c>
      <c r="R22" s="38"/>
      <c r="S22" s="207">
        <f t="shared" si="0"/>
        <v>0</v>
      </c>
      <c r="U22" s="208">
        <v>0</v>
      </c>
      <c r="V22" s="208"/>
      <c r="W22" s="208"/>
      <c r="X22" s="208"/>
      <c r="Y22" s="208">
        <f t="shared" si="4"/>
        <v>0</v>
      </c>
      <c r="Z22" s="208">
        <v>0</v>
      </c>
      <c r="AA22" s="208"/>
      <c r="AB22" s="208"/>
      <c r="AC22" s="208"/>
      <c r="AD22" s="208" t="e">
        <f t="shared" si="1"/>
        <v>#DIV/0!</v>
      </c>
    </row>
    <row r="23" spans="1:30" ht="12.75" hidden="1">
      <c r="A23" s="274"/>
      <c r="B23" s="209">
        <f t="shared" si="5"/>
        <v>16</v>
      </c>
      <c r="C23" s="203" t="s">
        <v>205</v>
      </c>
      <c r="D23" s="203"/>
      <c r="E23" s="204" t="s">
        <v>245</v>
      </c>
      <c r="F23" s="203"/>
      <c r="G23" s="205" t="s">
        <v>246</v>
      </c>
      <c r="H23" s="203"/>
      <c r="I23" s="204" t="s">
        <v>247</v>
      </c>
      <c r="J23" s="203"/>
      <c r="K23" s="206">
        <f t="shared" si="2"/>
        <v>32</v>
      </c>
      <c r="L23" s="203"/>
      <c r="M23" s="204" t="s">
        <v>209</v>
      </c>
      <c r="N23" s="38"/>
      <c r="O23" s="207">
        <f t="shared" si="3"/>
        <v>32</v>
      </c>
      <c r="P23" s="38"/>
      <c r="Q23" s="204" t="s">
        <v>210</v>
      </c>
      <c r="R23" s="38"/>
      <c r="S23" s="207">
        <f t="shared" si="0"/>
        <v>0</v>
      </c>
      <c r="U23" s="208">
        <v>0</v>
      </c>
      <c r="V23" s="208"/>
      <c r="W23" s="208"/>
      <c r="X23" s="208"/>
      <c r="Y23" s="208">
        <f t="shared" si="4"/>
        <v>0</v>
      </c>
      <c r="Z23" s="208">
        <v>0</v>
      </c>
      <c r="AA23" s="208"/>
      <c r="AB23" s="208"/>
      <c r="AC23" s="208"/>
      <c r="AD23" s="208" t="e">
        <f t="shared" si="1"/>
        <v>#DIV/0!</v>
      </c>
    </row>
    <row r="24" spans="1:30" ht="12.75" hidden="1">
      <c r="A24" s="274"/>
      <c r="B24" s="209">
        <f t="shared" si="5"/>
        <v>17</v>
      </c>
      <c r="C24" s="203" t="s">
        <v>211</v>
      </c>
      <c r="D24" s="203"/>
      <c r="E24" s="204" t="s">
        <v>248</v>
      </c>
      <c r="F24" s="203"/>
      <c r="G24" s="205" t="s">
        <v>249</v>
      </c>
      <c r="H24" s="203"/>
      <c r="I24" s="204" t="s">
        <v>246</v>
      </c>
      <c r="J24" s="203"/>
      <c r="K24" s="206">
        <f t="shared" si="2"/>
        <v>32</v>
      </c>
      <c r="L24" s="203"/>
      <c r="M24" s="204" t="s">
        <v>209</v>
      </c>
      <c r="N24" s="38"/>
      <c r="O24" s="207">
        <f t="shared" si="3"/>
        <v>32</v>
      </c>
      <c r="P24" s="38"/>
      <c r="Q24" s="204" t="s">
        <v>210</v>
      </c>
      <c r="R24" s="38"/>
      <c r="S24" s="207">
        <f t="shared" si="0"/>
        <v>0</v>
      </c>
      <c r="U24" s="208">
        <v>0</v>
      </c>
      <c r="V24" s="208"/>
      <c r="W24" s="208">
        <v>0</v>
      </c>
      <c r="X24" s="208"/>
      <c r="Y24" s="208">
        <f t="shared" si="4"/>
        <v>0</v>
      </c>
      <c r="Z24" s="208">
        <v>0</v>
      </c>
      <c r="AA24" s="208"/>
      <c r="AB24" s="208">
        <v>0</v>
      </c>
      <c r="AC24" s="208"/>
      <c r="AD24" s="208" t="e">
        <f t="shared" si="1"/>
        <v>#DIV/0!</v>
      </c>
    </row>
    <row r="25" spans="1:30" ht="12.75" hidden="1">
      <c r="A25" s="274"/>
      <c r="B25" s="209">
        <f t="shared" si="5"/>
        <v>18</v>
      </c>
      <c r="C25" s="203" t="s">
        <v>217</v>
      </c>
      <c r="D25" s="203"/>
      <c r="E25" s="204" t="s">
        <v>250</v>
      </c>
      <c r="F25" s="203"/>
      <c r="G25" s="205" t="s">
        <v>251</v>
      </c>
      <c r="H25" s="203"/>
      <c r="I25" s="204" t="s">
        <v>249</v>
      </c>
      <c r="J25" s="203"/>
      <c r="K25" s="206">
        <f t="shared" si="2"/>
        <v>29</v>
      </c>
      <c r="L25" s="203"/>
      <c r="M25" s="204" t="s">
        <v>209</v>
      </c>
      <c r="N25" s="38"/>
      <c r="O25" s="207">
        <f t="shared" si="3"/>
        <v>29</v>
      </c>
      <c r="P25" s="38"/>
      <c r="Q25" s="204" t="s">
        <v>210</v>
      </c>
      <c r="R25" s="38"/>
      <c r="S25" s="207">
        <f t="shared" si="0"/>
        <v>0</v>
      </c>
      <c r="U25" s="208">
        <v>0</v>
      </c>
      <c r="V25" s="208"/>
      <c r="W25" s="208">
        <v>0</v>
      </c>
      <c r="X25" s="208"/>
      <c r="Y25" s="208">
        <f t="shared" si="4"/>
        <v>0</v>
      </c>
      <c r="Z25" s="208">
        <v>0</v>
      </c>
      <c r="AA25" s="208"/>
      <c r="AB25" s="208">
        <v>0</v>
      </c>
      <c r="AC25" s="208"/>
      <c r="AD25" s="208" t="e">
        <f t="shared" si="1"/>
        <v>#DIV/0!</v>
      </c>
    </row>
    <row r="26" spans="1:30" ht="12.75" hidden="1">
      <c r="A26" s="274"/>
      <c r="B26" s="209">
        <f t="shared" si="5"/>
        <v>19</v>
      </c>
      <c r="C26" s="203" t="s">
        <v>220</v>
      </c>
      <c r="D26" s="203"/>
      <c r="E26" s="204" t="s">
        <v>252</v>
      </c>
      <c r="F26" s="203"/>
      <c r="G26" s="205" t="s">
        <v>253</v>
      </c>
      <c r="H26" s="203"/>
      <c r="I26" s="204" t="s">
        <v>251</v>
      </c>
      <c r="J26" s="203"/>
      <c r="K26" s="206">
        <f t="shared" si="2"/>
        <v>29</v>
      </c>
      <c r="L26" s="203"/>
      <c r="M26" s="204" t="s">
        <v>209</v>
      </c>
      <c r="N26" s="38"/>
      <c r="O26" s="207">
        <f t="shared" si="3"/>
        <v>29</v>
      </c>
      <c r="P26" s="38"/>
      <c r="Q26" s="204" t="s">
        <v>210</v>
      </c>
      <c r="R26" s="38"/>
      <c r="S26" s="207">
        <f t="shared" si="0"/>
        <v>0</v>
      </c>
      <c r="U26" s="208">
        <v>0</v>
      </c>
      <c r="V26" s="208"/>
      <c r="W26" s="208">
        <v>0</v>
      </c>
      <c r="X26" s="208"/>
      <c r="Y26" s="208">
        <f t="shared" si="4"/>
        <v>0</v>
      </c>
      <c r="Z26" s="208">
        <v>0</v>
      </c>
      <c r="AA26" s="208"/>
      <c r="AB26" s="208">
        <v>0</v>
      </c>
      <c r="AC26" s="208"/>
      <c r="AD26" s="208" t="e">
        <f t="shared" si="1"/>
        <v>#DIV/0!</v>
      </c>
    </row>
    <row r="27" spans="1:30" ht="12.75" hidden="1">
      <c r="A27" s="274"/>
      <c r="B27" s="209">
        <f t="shared" si="5"/>
        <v>20</v>
      </c>
      <c r="C27" s="203" t="s">
        <v>205</v>
      </c>
      <c r="D27" s="203"/>
      <c r="E27" s="204" t="s">
        <v>254</v>
      </c>
      <c r="F27" s="203"/>
      <c r="G27" s="205" t="s">
        <v>255</v>
      </c>
      <c r="H27" s="203"/>
      <c r="I27" s="204" t="s">
        <v>253</v>
      </c>
      <c r="J27" s="203"/>
      <c r="K27" s="206">
        <f t="shared" si="2"/>
        <v>29</v>
      </c>
      <c r="L27" s="203"/>
      <c r="M27" s="204" t="s">
        <v>209</v>
      </c>
      <c r="N27" s="38"/>
      <c r="O27" s="207">
        <f t="shared" si="3"/>
        <v>29</v>
      </c>
      <c r="P27" s="38"/>
      <c r="Q27" s="204" t="s">
        <v>210</v>
      </c>
      <c r="R27" s="38"/>
      <c r="S27" s="207">
        <f t="shared" si="0"/>
        <v>0</v>
      </c>
      <c r="U27" s="208">
        <v>0</v>
      </c>
      <c r="V27" s="208"/>
      <c r="W27" s="208">
        <v>0</v>
      </c>
      <c r="X27" s="208"/>
      <c r="Y27" s="208">
        <f t="shared" si="4"/>
        <v>0</v>
      </c>
      <c r="Z27" s="208">
        <v>0</v>
      </c>
      <c r="AA27" s="208"/>
      <c r="AB27" s="208">
        <v>0</v>
      </c>
      <c r="AC27" s="208"/>
      <c r="AD27" s="208" t="e">
        <f t="shared" si="1"/>
        <v>#DIV/0!</v>
      </c>
    </row>
    <row r="28" spans="1:30" ht="12.75" hidden="1">
      <c r="A28" s="275"/>
      <c r="B28" s="210">
        <f t="shared" si="5"/>
        <v>21</v>
      </c>
      <c r="C28" s="211" t="s">
        <v>211</v>
      </c>
      <c r="D28" s="211"/>
      <c r="E28" s="212" t="s">
        <v>256</v>
      </c>
      <c r="F28" s="211"/>
      <c r="G28" s="213" t="s">
        <v>209</v>
      </c>
      <c r="H28" s="211"/>
      <c r="I28" s="204" t="s">
        <v>257</v>
      </c>
      <c r="J28" s="211"/>
      <c r="K28" s="206">
        <f t="shared" si="2"/>
        <v>31</v>
      </c>
      <c r="L28" s="211"/>
      <c r="M28" s="204" t="s">
        <v>209</v>
      </c>
      <c r="N28" s="214"/>
      <c r="O28" s="207">
        <f t="shared" si="3"/>
        <v>31</v>
      </c>
      <c r="P28" s="214"/>
      <c r="Q28" s="204" t="s">
        <v>210</v>
      </c>
      <c r="R28" s="38"/>
      <c r="S28" s="207">
        <f t="shared" si="0"/>
        <v>0</v>
      </c>
      <c r="T28" s="214"/>
      <c r="U28" s="215">
        <v>0</v>
      </c>
      <c r="V28" s="215"/>
      <c r="W28" s="215">
        <v>0</v>
      </c>
      <c r="X28" s="215"/>
      <c r="Y28" s="215">
        <f t="shared" si="4"/>
        <v>0</v>
      </c>
      <c r="Z28" s="215">
        <v>0</v>
      </c>
      <c r="AA28" s="215"/>
      <c r="AB28" s="215">
        <v>0</v>
      </c>
      <c r="AC28" s="215"/>
      <c r="AD28" s="215" t="e">
        <f t="shared" si="1"/>
        <v>#DIV/0!</v>
      </c>
    </row>
    <row r="29" spans="1:30" ht="14.25">
      <c r="A29" s="276" t="s">
        <v>258</v>
      </c>
      <c r="B29" s="216">
        <v>1</v>
      </c>
      <c r="C29" s="217" t="s">
        <v>205</v>
      </c>
      <c r="D29" s="217"/>
      <c r="E29" s="218" t="s">
        <v>259</v>
      </c>
      <c r="F29" s="217"/>
      <c r="G29" s="219" t="s">
        <v>210</v>
      </c>
      <c r="H29" s="217"/>
      <c r="I29" s="220">
        <f>E29-1</f>
        <v>42214</v>
      </c>
      <c r="J29" s="217"/>
      <c r="K29" s="206">
        <f>E29-G29</f>
        <v>30</v>
      </c>
      <c r="L29" s="217"/>
      <c r="M29" s="204" t="s">
        <v>260</v>
      </c>
      <c r="N29" s="221"/>
      <c r="O29" s="207">
        <f>K29-S29</f>
        <v>30</v>
      </c>
      <c r="P29" s="221"/>
      <c r="Q29" s="204" t="s">
        <v>261</v>
      </c>
      <c r="R29" s="203"/>
      <c r="S29" s="222">
        <f>MAX(MIN(E29-Q29+1,K29),0)</f>
        <v>0</v>
      </c>
      <c r="U29" s="223">
        <f>-2080300/31</f>
        <v>-67106.45161290323</v>
      </c>
      <c r="V29" s="223"/>
      <c r="W29" s="223">
        <f>4536624/31</f>
        <v>146342.70967741936</v>
      </c>
      <c r="X29" s="223"/>
      <c r="Y29" s="223">
        <f t="shared" si="4"/>
        <v>-67106.4516129</v>
      </c>
      <c r="Z29" s="223">
        <v>0</v>
      </c>
      <c r="AA29" s="223"/>
      <c r="AB29" s="223">
        <v>0</v>
      </c>
      <c r="AC29" s="223"/>
      <c r="AD29" s="223">
        <f>ROUND((Z29*O29+AB29*S29)/K29,7)</f>
        <v>0</v>
      </c>
    </row>
    <row r="30" spans="1:30" ht="14.25">
      <c r="A30" s="274"/>
      <c r="B30" s="209">
        <f>+B29+1</f>
        <v>2</v>
      </c>
      <c r="C30" s="203" t="s">
        <v>211</v>
      </c>
      <c r="D30" s="203"/>
      <c r="E30" s="204" t="s">
        <v>262</v>
      </c>
      <c r="F30" s="203"/>
      <c r="G30" s="205" t="s">
        <v>263</v>
      </c>
      <c r="H30" s="203"/>
      <c r="I30" s="220">
        <f aca="true" t="shared" si="6" ref="I30:I49">E30-1</f>
        <v>42215</v>
      </c>
      <c r="J30" s="203"/>
      <c r="K30" s="206">
        <f aca="true" t="shared" si="7" ref="K30:K70">E30-G30</f>
        <v>30</v>
      </c>
      <c r="L30" s="203"/>
      <c r="M30" s="204" t="s">
        <v>260</v>
      </c>
      <c r="N30" s="38"/>
      <c r="O30" s="207">
        <f aca="true" t="shared" si="8" ref="O30:O44">K30-S30</f>
        <v>30</v>
      </c>
      <c r="P30" s="38"/>
      <c r="Q30" s="204" t="s">
        <v>261</v>
      </c>
      <c r="R30" s="203"/>
      <c r="S30" s="222">
        <f aca="true" t="shared" si="9" ref="S30:S70">MAX(MIN(E30-Q30+1,K30),0)</f>
        <v>0</v>
      </c>
      <c r="U30" s="223">
        <f aca="true" t="shared" si="10" ref="U30:U49">-2080300/31</f>
        <v>-67106.45161290323</v>
      </c>
      <c r="V30" s="223"/>
      <c r="W30" s="223">
        <f aca="true" t="shared" si="11" ref="W30:W49">4536624/31</f>
        <v>146342.70967741936</v>
      </c>
      <c r="X30" s="223"/>
      <c r="Y30" s="223">
        <f t="shared" si="4"/>
        <v>-67106.4516129</v>
      </c>
      <c r="Z30" s="223">
        <v>0</v>
      </c>
      <c r="AA30" s="223"/>
      <c r="AB30" s="223">
        <v>0</v>
      </c>
      <c r="AC30" s="223"/>
      <c r="AD30" s="223">
        <f aca="true" t="shared" si="12" ref="AD30:AD70">ROUND((Z30*O30+AB30*S30)/K30,7)</f>
        <v>0</v>
      </c>
    </row>
    <row r="31" spans="1:30" ht="15.75" customHeight="1">
      <c r="A31" s="274"/>
      <c r="B31" s="209">
        <f aca="true" t="shared" si="13" ref="B31:B49">+B30+1</f>
        <v>3</v>
      </c>
      <c r="C31" s="203" t="s">
        <v>264</v>
      </c>
      <c r="D31" s="203"/>
      <c r="E31" s="204" t="s">
        <v>265</v>
      </c>
      <c r="F31" s="203"/>
      <c r="G31" s="205" t="s">
        <v>266</v>
      </c>
      <c r="H31" s="203"/>
      <c r="I31" s="220">
        <f t="shared" si="6"/>
        <v>42218</v>
      </c>
      <c r="J31" s="203"/>
      <c r="K31" s="206">
        <f t="shared" si="7"/>
        <v>32</v>
      </c>
      <c r="L31" s="203"/>
      <c r="M31" s="204" t="s">
        <v>260</v>
      </c>
      <c r="N31" s="38"/>
      <c r="O31" s="207">
        <f t="shared" si="8"/>
        <v>32</v>
      </c>
      <c r="P31" s="38"/>
      <c r="Q31" s="204" t="s">
        <v>261</v>
      </c>
      <c r="R31" s="203"/>
      <c r="S31" s="222">
        <f t="shared" si="9"/>
        <v>0</v>
      </c>
      <c r="U31" s="223">
        <f t="shared" si="10"/>
        <v>-67106.45161290323</v>
      </c>
      <c r="V31" s="223"/>
      <c r="W31" s="223">
        <f t="shared" si="11"/>
        <v>146342.70967741936</v>
      </c>
      <c r="X31" s="223"/>
      <c r="Y31" s="223">
        <f t="shared" si="4"/>
        <v>-67106.4516129</v>
      </c>
      <c r="Z31" s="223">
        <v>0</v>
      </c>
      <c r="AA31" s="223"/>
      <c r="AB31" s="223">
        <v>0</v>
      </c>
      <c r="AC31" s="223"/>
      <c r="AD31" s="223">
        <f t="shared" si="12"/>
        <v>0</v>
      </c>
    </row>
    <row r="32" spans="1:30" ht="14.25">
      <c r="A32" s="274"/>
      <c r="B32" s="209">
        <f t="shared" si="13"/>
        <v>4</v>
      </c>
      <c r="C32" s="203" t="s">
        <v>217</v>
      </c>
      <c r="D32" s="203"/>
      <c r="E32" s="204" t="s">
        <v>267</v>
      </c>
      <c r="F32" s="203"/>
      <c r="G32" s="205" t="s">
        <v>268</v>
      </c>
      <c r="H32" s="203"/>
      <c r="I32" s="220">
        <f t="shared" si="6"/>
        <v>42219</v>
      </c>
      <c r="J32" s="203"/>
      <c r="K32" s="206">
        <f t="shared" si="7"/>
        <v>29</v>
      </c>
      <c r="L32" s="203"/>
      <c r="M32" s="204" t="s">
        <v>260</v>
      </c>
      <c r="N32" s="38"/>
      <c r="O32" s="207">
        <f t="shared" si="8"/>
        <v>29</v>
      </c>
      <c r="P32" s="38"/>
      <c r="Q32" s="204" t="s">
        <v>261</v>
      </c>
      <c r="R32" s="203"/>
      <c r="S32" s="222">
        <f t="shared" si="9"/>
        <v>0</v>
      </c>
      <c r="U32" s="223">
        <f t="shared" si="10"/>
        <v>-67106.45161290323</v>
      </c>
      <c r="V32" s="223"/>
      <c r="W32" s="223">
        <f t="shared" si="11"/>
        <v>146342.70967741936</v>
      </c>
      <c r="X32" s="223"/>
      <c r="Y32" s="223">
        <f t="shared" si="4"/>
        <v>-67106.4516129</v>
      </c>
      <c r="Z32" s="223">
        <v>0</v>
      </c>
      <c r="AA32" s="223"/>
      <c r="AB32" s="223">
        <v>0</v>
      </c>
      <c r="AC32" s="223"/>
      <c r="AD32" s="223">
        <f t="shared" si="12"/>
        <v>0</v>
      </c>
    </row>
    <row r="33" spans="1:30" ht="14.25">
      <c r="A33" s="274"/>
      <c r="B33" s="209">
        <f t="shared" si="13"/>
        <v>5</v>
      </c>
      <c r="C33" s="203" t="s">
        <v>220</v>
      </c>
      <c r="D33" s="203"/>
      <c r="E33" s="204" t="s">
        <v>269</v>
      </c>
      <c r="F33" s="203"/>
      <c r="G33" s="205" t="s">
        <v>270</v>
      </c>
      <c r="H33" s="203"/>
      <c r="I33" s="220">
        <f t="shared" si="6"/>
        <v>42220</v>
      </c>
      <c r="J33" s="203"/>
      <c r="K33" s="206">
        <f t="shared" si="7"/>
        <v>29</v>
      </c>
      <c r="L33" s="203"/>
      <c r="M33" s="204" t="s">
        <v>260</v>
      </c>
      <c r="N33" s="38"/>
      <c r="O33" s="207">
        <f t="shared" si="8"/>
        <v>29</v>
      </c>
      <c r="P33" s="38"/>
      <c r="Q33" s="204" t="s">
        <v>261</v>
      </c>
      <c r="R33" s="203"/>
      <c r="S33" s="222">
        <f t="shared" si="9"/>
        <v>0</v>
      </c>
      <c r="U33" s="223">
        <f t="shared" si="10"/>
        <v>-67106.45161290323</v>
      </c>
      <c r="V33" s="223"/>
      <c r="W33" s="223">
        <f t="shared" si="11"/>
        <v>146342.70967741936</v>
      </c>
      <c r="X33" s="223"/>
      <c r="Y33" s="223">
        <f t="shared" si="4"/>
        <v>-67106.4516129</v>
      </c>
      <c r="Z33" s="223">
        <v>0</v>
      </c>
      <c r="AA33" s="223"/>
      <c r="AB33" s="223">
        <v>0</v>
      </c>
      <c r="AC33" s="223"/>
      <c r="AD33" s="223">
        <f t="shared" si="12"/>
        <v>0</v>
      </c>
    </row>
    <row r="34" spans="1:30" ht="14.25">
      <c r="A34" s="274"/>
      <c r="B34" s="209">
        <f t="shared" si="13"/>
        <v>6</v>
      </c>
      <c r="C34" s="203" t="s">
        <v>205</v>
      </c>
      <c r="D34" s="203"/>
      <c r="E34" s="204" t="s">
        <v>271</v>
      </c>
      <c r="F34" s="203"/>
      <c r="G34" s="205" t="s">
        <v>272</v>
      </c>
      <c r="H34" s="203"/>
      <c r="I34" s="220">
        <f t="shared" si="6"/>
        <v>42221</v>
      </c>
      <c r="J34" s="203"/>
      <c r="K34" s="206">
        <f t="shared" si="7"/>
        <v>29</v>
      </c>
      <c r="L34" s="203"/>
      <c r="M34" s="204" t="s">
        <v>260</v>
      </c>
      <c r="N34" s="38"/>
      <c r="O34" s="207">
        <f t="shared" si="8"/>
        <v>29</v>
      </c>
      <c r="P34" s="38"/>
      <c r="Q34" s="204" t="s">
        <v>261</v>
      </c>
      <c r="R34" s="203"/>
      <c r="S34" s="222">
        <f t="shared" si="9"/>
        <v>0</v>
      </c>
      <c r="U34" s="223">
        <f t="shared" si="10"/>
        <v>-67106.45161290323</v>
      </c>
      <c r="V34" s="223"/>
      <c r="W34" s="223">
        <f t="shared" si="11"/>
        <v>146342.70967741936</v>
      </c>
      <c r="X34" s="223"/>
      <c r="Y34" s="223">
        <f t="shared" si="4"/>
        <v>-67106.4516129</v>
      </c>
      <c r="Z34" s="223">
        <v>0</v>
      </c>
      <c r="AA34" s="223"/>
      <c r="AB34" s="223">
        <v>0</v>
      </c>
      <c r="AC34" s="223"/>
      <c r="AD34" s="223">
        <f t="shared" si="12"/>
        <v>0</v>
      </c>
    </row>
    <row r="35" spans="1:30" ht="14.25">
      <c r="A35" s="274"/>
      <c r="B35" s="209">
        <f t="shared" si="13"/>
        <v>7</v>
      </c>
      <c r="C35" s="203" t="s">
        <v>211</v>
      </c>
      <c r="D35" s="203"/>
      <c r="E35" s="204" t="s">
        <v>273</v>
      </c>
      <c r="F35" s="203"/>
      <c r="G35" s="205" t="s">
        <v>274</v>
      </c>
      <c r="H35" s="203"/>
      <c r="I35" s="220">
        <f t="shared" si="6"/>
        <v>42222</v>
      </c>
      <c r="J35" s="203"/>
      <c r="K35" s="206">
        <f t="shared" si="7"/>
        <v>29</v>
      </c>
      <c r="L35" s="203"/>
      <c r="M35" s="204" t="s">
        <v>260</v>
      </c>
      <c r="N35" s="38"/>
      <c r="O35" s="207">
        <f t="shared" si="8"/>
        <v>29</v>
      </c>
      <c r="P35" s="38"/>
      <c r="Q35" s="204" t="s">
        <v>261</v>
      </c>
      <c r="R35" s="203"/>
      <c r="S35" s="222">
        <f t="shared" si="9"/>
        <v>0</v>
      </c>
      <c r="U35" s="223">
        <f t="shared" si="10"/>
        <v>-67106.45161290323</v>
      </c>
      <c r="V35" s="223"/>
      <c r="W35" s="223">
        <f t="shared" si="11"/>
        <v>146342.70967741936</v>
      </c>
      <c r="X35" s="223"/>
      <c r="Y35" s="223">
        <f t="shared" si="4"/>
        <v>-67106.4516129</v>
      </c>
      <c r="Z35" s="223">
        <v>0</v>
      </c>
      <c r="AA35" s="223"/>
      <c r="AB35" s="223">
        <v>0</v>
      </c>
      <c r="AC35" s="223"/>
      <c r="AD35" s="223">
        <f t="shared" si="12"/>
        <v>0</v>
      </c>
    </row>
    <row r="36" spans="1:30" ht="14.25">
      <c r="A36" s="274"/>
      <c r="B36" s="209">
        <f t="shared" si="13"/>
        <v>8</v>
      </c>
      <c r="C36" s="203" t="s">
        <v>214</v>
      </c>
      <c r="D36" s="203"/>
      <c r="E36" s="204" t="s">
        <v>275</v>
      </c>
      <c r="F36" s="203"/>
      <c r="G36" s="205" t="s">
        <v>276</v>
      </c>
      <c r="H36" s="203"/>
      <c r="I36" s="220">
        <f t="shared" si="6"/>
        <v>42225</v>
      </c>
      <c r="J36" s="203"/>
      <c r="K36" s="206">
        <f t="shared" si="7"/>
        <v>31</v>
      </c>
      <c r="L36" s="203"/>
      <c r="M36" s="204" t="s">
        <v>260</v>
      </c>
      <c r="N36" s="38"/>
      <c r="O36" s="207">
        <f t="shared" si="8"/>
        <v>31</v>
      </c>
      <c r="P36" s="38"/>
      <c r="Q36" s="204" t="s">
        <v>261</v>
      </c>
      <c r="R36" s="203"/>
      <c r="S36" s="222">
        <f t="shared" si="9"/>
        <v>0</v>
      </c>
      <c r="U36" s="223">
        <f t="shared" si="10"/>
        <v>-67106.45161290323</v>
      </c>
      <c r="V36" s="223"/>
      <c r="W36" s="223">
        <f t="shared" si="11"/>
        <v>146342.70967741936</v>
      </c>
      <c r="X36" s="223"/>
      <c r="Y36" s="223">
        <f t="shared" si="4"/>
        <v>-67106.4516129</v>
      </c>
      <c r="Z36" s="223">
        <v>0</v>
      </c>
      <c r="AA36" s="223"/>
      <c r="AB36" s="223">
        <v>0</v>
      </c>
      <c r="AC36" s="223"/>
      <c r="AD36" s="223">
        <f t="shared" si="12"/>
        <v>0</v>
      </c>
    </row>
    <row r="37" spans="1:30" ht="14.25">
      <c r="A37" s="274"/>
      <c r="B37" s="209">
        <f t="shared" si="13"/>
        <v>9</v>
      </c>
      <c r="C37" s="203" t="s">
        <v>217</v>
      </c>
      <c r="D37" s="203"/>
      <c r="E37" s="204" t="s">
        <v>277</v>
      </c>
      <c r="F37" s="203"/>
      <c r="G37" s="205" t="s">
        <v>278</v>
      </c>
      <c r="H37" s="203"/>
      <c r="I37" s="220">
        <f t="shared" si="6"/>
        <v>42226</v>
      </c>
      <c r="J37" s="203"/>
      <c r="K37" s="206">
        <f t="shared" si="7"/>
        <v>29</v>
      </c>
      <c r="L37" s="203"/>
      <c r="M37" s="204" t="s">
        <v>260</v>
      </c>
      <c r="N37" s="38"/>
      <c r="O37" s="207">
        <f t="shared" si="8"/>
        <v>29</v>
      </c>
      <c r="P37" s="38"/>
      <c r="Q37" s="204" t="s">
        <v>261</v>
      </c>
      <c r="R37" s="203"/>
      <c r="S37" s="222">
        <f t="shared" si="9"/>
        <v>0</v>
      </c>
      <c r="U37" s="223">
        <f t="shared" si="10"/>
        <v>-67106.45161290323</v>
      </c>
      <c r="V37" s="223"/>
      <c r="W37" s="223">
        <f t="shared" si="11"/>
        <v>146342.70967741936</v>
      </c>
      <c r="X37" s="223"/>
      <c r="Y37" s="223">
        <f t="shared" si="4"/>
        <v>-67106.4516129</v>
      </c>
      <c r="Z37" s="223">
        <v>0</v>
      </c>
      <c r="AA37" s="223"/>
      <c r="AB37" s="223">
        <v>0</v>
      </c>
      <c r="AC37" s="223"/>
      <c r="AD37" s="223">
        <f t="shared" si="12"/>
        <v>0</v>
      </c>
    </row>
    <row r="38" spans="1:30" ht="14.25">
      <c r="A38" s="274"/>
      <c r="B38" s="209">
        <f t="shared" si="13"/>
        <v>10</v>
      </c>
      <c r="C38" s="203" t="s">
        <v>220</v>
      </c>
      <c r="D38" s="203"/>
      <c r="E38" s="204" t="s">
        <v>279</v>
      </c>
      <c r="F38" s="203"/>
      <c r="G38" s="205" t="s">
        <v>280</v>
      </c>
      <c r="H38" s="203"/>
      <c r="I38" s="220">
        <f t="shared" si="6"/>
        <v>42227</v>
      </c>
      <c r="J38" s="203"/>
      <c r="K38" s="206">
        <f t="shared" si="7"/>
        <v>29</v>
      </c>
      <c r="L38" s="203"/>
      <c r="M38" s="204" t="s">
        <v>260</v>
      </c>
      <c r="N38" s="38"/>
      <c r="O38" s="207">
        <f t="shared" si="8"/>
        <v>29</v>
      </c>
      <c r="P38" s="38"/>
      <c r="Q38" s="204" t="s">
        <v>261</v>
      </c>
      <c r="R38" s="203"/>
      <c r="S38" s="222">
        <f t="shared" si="9"/>
        <v>0</v>
      </c>
      <c r="U38" s="223">
        <f t="shared" si="10"/>
        <v>-67106.45161290323</v>
      </c>
      <c r="V38" s="223"/>
      <c r="W38" s="223">
        <f t="shared" si="11"/>
        <v>146342.70967741936</v>
      </c>
      <c r="X38" s="223"/>
      <c r="Y38" s="223">
        <f t="shared" si="4"/>
        <v>-67106.4516129</v>
      </c>
      <c r="Z38" s="223">
        <v>0</v>
      </c>
      <c r="AA38" s="223"/>
      <c r="AB38" s="223">
        <v>0</v>
      </c>
      <c r="AC38" s="223"/>
      <c r="AD38" s="223">
        <f t="shared" si="12"/>
        <v>0</v>
      </c>
    </row>
    <row r="39" spans="1:30" ht="14.25">
      <c r="A39" s="274"/>
      <c r="B39" s="209">
        <f t="shared" si="13"/>
        <v>11</v>
      </c>
      <c r="C39" s="203" t="s">
        <v>205</v>
      </c>
      <c r="D39" s="203"/>
      <c r="E39" s="204" t="s">
        <v>281</v>
      </c>
      <c r="F39" s="203"/>
      <c r="G39" s="205" t="s">
        <v>282</v>
      </c>
      <c r="H39" s="203"/>
      <c r="I39" s="220">
        <f t="shared" si="6"/>
        <v>42228</v>
      </c>
      <c r="J39" s="203"/>
      <c r="K39" s="206">
        <f t="shared" si="7"/>
        <v>29</v>
      </c>
      <c r="L39" s="203"/>
      <c r="M39" s="204" t="s">
        <v>260</v>
      </c>
      <c r="N39" s="38"/>
      <c r="O39" s="207">
        <f t="shared" si="8"/>
        <v>29</v>
      </c>
      <c r="P39" s="38"/>
      <c r="Q39" s="204" t="s">
        <v>261</v>
      </c>
      <c r="R39" s="203"/>
      <c r="S39" s="222">
        <f t="shared" si="9"/>
        <v>0</v>
      </c>
      <c r="U39" s="223">
        <f t="shared" si="10"/>
        <v>-67106.45161290323</v>
      </c>
      <c r="V39" s="223"/>
      <c r="W39" s="223">
        <f t="shared" si="11"/>
        <v>146342.70967741936</v>
      </c>
      <c r="X39" s="223"/>
      <c r="Y39" s="223">
        <f t="shared" si="4"/>
        <v>-67106.4516129</v>
      </c>
      <c r="Z39" s="223">
        <v>0</v>
      </c>
      <c r="AA39" s="223"/>
      <c r="AB39" s="223">
        <v>0</v>
      </c>
      <c r="AC39" s="223"/>
      <c r="AD39" s="223">
        <f t="shared" si="12"/>
        <v>0</v>
      </c>
    </row>
    <row r="40" spans="1:30" ht="14.25">
      <c r="A40" s="274"/>
      <c r="B40" s="209">
        <f t="shared" si="13"/>
        <v>12</v>
      </c>
      <c r="C40" s="203" t="s">
        <v>211</v>
      </c>
      <c r="D40" s="203"/>
      <c r="E40" s="204" t="s">
        <v>283</v>
      </c>
      <c r="F40" s="203"/>
      <c r="G40" s="205" t="s">
        <v>284</v>
      </c>
      <c r="H40" s="203"/>
      <c r="I40" s="220">
        <f t="shared" si="6"/>
        <v>42229</v>
      </c>
      <c r="J40" s="203"/>
      <c r="K40" s="206">
        <f t="shared" si="7"/>
        <v>29</v>
      </c>
      <c r="L40" s="203"/>
      <c r="M40" s="204" t="s">
        <v>260</v>
      </c>
      <c r="N40" s="38"/>
      <c r="O40" s="207">
        <f t="shared" si="8"/>
        <v>29</v>
      </c>
      <c r="P40" s="38"/>
      <c r="Q40" s="204" t="s">
        <v>261</v>
      </c>
      <c r="R40" s="203"/>
      <c r="S40" s="222">
        <f t="shared" si="9"/>
        <v>0</v>
      </c>
      <c r="U40" s="223">
        <f t="shared" si="10"/>
        <v>-67106.45161290323</v>
      </c>
      <c r="V40" s="223"/>
      <c r="W40" s="223">
        <f t="shared" si="11"/>
        <v>146342.70967741936</v>
      </c>
      <c r="X40" s="223"/>
      <c r="Y40" s="223">
        <f t="shared" si="4"/>
        <v>-67106.4516129</v>
      </c>
      <c r="Z40" s="223">
        <v>0</v>
      </c>
      <c r="AA40" s="223"/>
      <c r="AB40" s="223">
        <v>0</v>
      </c>
      <c r="AC40" s="223"/>
      <c r="AD40" s="223">
        <f t="shared" si="12"/>
        <v>0</v>
      </c>
    </row>
    <row r="41" spans="1:30" ht="14.25">
      <c r="A41" s="274"/>
      <c r="B41" s="209">
        <f t="shared" si="13"/>
        <v>13</v>
      </c>
      <c r="C41" s="203" t="s">
        <v>214</v>
      </c>
      <c r="D41" s="203"/>
      <c r="E41" s="204" t="s">
        <v>285</v>
      </c>
      <c r="F41" s="203"/>
      <c r="G41" s="205" t="s">
        <v>286</v>
      </c>
      <c r="H41" s="203"/>
      <c r="I41" s="220">
        <f t="shared" si="6"/>
        <v>42232</v>
      </c>
      <c r="J41" s="203"/>
      <c r="K41" s="206">
        <f t="shared" si="7"/>
        <v>31</v>
      </c>
      <c r="L41" s="203"/>
      <c r="M41" s="204" t="s">
        <v>260</v>
      </c>
      <c r="N41" s="38"/>
      <c r="O41" s="207">
        <f t="shared" si="8"/>
        <v>31</v>
      </c>
      <c r="P41" s="38"/>
      <c r="Q41" s="204" t="s">
        <v>261</v>
      </c>
      <c r="R41" s="203"/>
      <c r="S41" s="222">
        <f t="shared" si="9"/>
        <v>0</v>
      </c>
      <c r="U41" s="223">
        <f t="shared" si="10"/>
        <v>-67106.45161290323</v>
      </c>
      <c r="V41" s="223"/>
      <c r="W41" s="223">
        <f t="shared" si="11"/>
        <v>146342.70967741936</v>
      </c>
      <c r="X41" s="223"/>
      <c r="Y41" s="223">
        <f t="shared" si="4"/>
        <v>-67106.4516129</v>
      </c>
      <c r="Z41" s="223">
        <v>0</v>
      </c>
      <c r="AA41" s="223"/>
      <c r="AB41" s="223">
        <v>0</v>
      </c>
      <c r="AC41" s="223"/>
      <c r="AD41" s="223">
        <f t="shared" si="12"/>
        <v>0</v>
      </c>
    </row>
    <row r="42" spans="1:30" ht="14.25">
      <c r="A42" s="274"/>
      <c r="B42" s="209">
        <f t="shared" si="13"/>
        <v>14</v>
      </c>
      <c r="C42" s="203" t="s">
        <v>217</v>
      </c>
      <c r="D42" s="203"/>
      <c r="E42" s="204" t="s">
        <v>287</v>
      </c>
      <c r="F42" s="203"/>
      <c r="G42" s="205" t="s">
        <v>288</v>
      </c>
      <c r="H42" s="203"/>
      <c r="I42" s="220">
        <f t="shared" si="6"/>
        <v>42233</v>
      </c>
      <c r="J42" s="203"/>
      <c r="K42" s="206">
        <f t="shared" si="7"/>
        <v>29</v>
      </c>
      <c r="L42" s="203"/>
      <c r="M42" s="204" t="s">
        <v>260</v>
      </c>
      <c r="N42" s="38"/>
      <c r="O42" s="207">
        <f t="shared" si="8"/>
        <v>29</v>
      </c>
      <c r="P42" s="38"/>
      <c r="Q42" s="204" t="s">
        <v>261</v>
      </c>
      <c r="R42" s="203"/>
      <c r="S42" s="222">
        <f t="shared" si="9"/>
        <v>0</v>
      </c>
      <c r="U42" s="223">
        <f t="shared" si="10"/>
        <v>-67106.45161290323</v>
      </c>
      <c r="V42" s="223"/>
      <c r="W42" s="223">
        <f t="shared" si="11"/>
        <v>146342.70967741936</v>
      </c>
      <c r="X42" s="223"/>
      <c r="Y42" s="223">
        <f t="shared" si="4"/>
        <v>-67106.4516129</v>
      </c>
      <c r="Z42" s="223">
        <v>0</v>
      </c>
      <c r="AA42" s="223"/>
      <c r="AB42" s="223">
        <v>0</v>
      </c>
      <c r="AC42" s="223"/>
      <c r="AD42" s="223">
        <f t="shared" si="12"/>
        <v>0</v>
      </c>
    </row>
    <row r="43" spans="1:30" ht="14.25">
      <c r="A43" s="274"/>
      <c r="B43" s="209">
        <f t="shared" si="13"/>
        <v>15</v>
      </c>
      <c r="C43" s="203" t="s">
        <v>220</v>
      </c>
      <c r="D43" s="203"/>
      <c r="E43" s="204" t="s">
        <v>289</v>
      </c>
      <c r="F43" s="203"/>
      <c r="G43" s="205" t="s">
        <v>290</v>
      </c>
      <c r="H43" s="203"/>
      <c r="I43" s="220">
        <f t="shared" si="6"/>
        <v>42234</v>
      </c>
      <c r="J43" s="203"/>
      <c r="K43" s="206">
        <f t="shared" si="7"/>
        <v>29</v>
      </c>
      <c r="L43" s="203"/>
      <c r="M43" s="204" t="s">
        <v>260</v>
      </c>
      <c r="N43" s="38"/>
      <c r="O43" s="207">
        <f t="shared" si="8"/>
        <v>29</v>
      </c>
      <c r="P43" s="38"/>
      <c r="Q43" s="204" t="s">
        <v>261</v>
      </c>
      <c r="R43" s="203"/>
      <c r="S43" s="222">
        <f t="shared" si="9"/>
        <v>0</v>
      </c>
      <c r="U43" s="223">
        <f t="shared" si="10"/>
        <v>-67106.45161290323</v>
      </c>
      <c r="V43" s="223"/>
      <c r="W43" s="223">
        <f t="shared" si="11"/>
        <v>146342.70967741936</v>
      </c>
      <c r="X43" s="223"/>
      <c r="Y43" s="223">
        <f t="shared" si="4"/>
        <v>-67106.4516129</v>
      </c>
      <c r="Z43" s="223">
        <v>0</v>
      </c>
      <c r="AA43" s="223"/>
      <c r="AB43" s="223">
        <v>0</v>
      </c>
      <c r="AC43" s="223"/>
      <c r="AD43" s="223">
        <f t="shared" si="12"/>
        <v>0</v>
      </c>
    </row>
    <row r="44" spans="1:30" ht="14.25">
      <c r="A44" s="274"/>
      <c r="B44" s="209">
        <f t="shared" si="13"/>
        <v>16</v>
      </c>
      <c r="C44" s="203" t="s">
        <v>205</v>
      </c>
      <c r="D44" s="203"/>
      <c r="E44" s="204" t="s">
        <v>260</v>
      </c>
      <c r="F44" s="203"/>
      <c r="G44" s="205" t="s">
        <v>291</v>
      </c>
      <c r="H44" s="203"/>
      <c r="I44" s="220">
        <f t="shared" si="6"/>
        <v>42235</v>
      </c>
      <c r="J44" s="203"/>
      <c r="K44" s="206">
        <f t="shared" si="7"/>
        <v>29</v>
      </c>
      <c r="L44" s="203"/>
      <c r="M44" s="204" t="s">
        <v>260</v>
      </c>
      <c r="N44" s="38"/>
      <c r="O44" s="207">
        <f t="shared" si="8"/>
        <v>29</v>
      </c>
      <c r="P44" s="38"/>
      <c r="Q44" s="204" t="s">
        <v>261</v>
      </c>
      <c r="R44" s="203"/>
      <c r="S44" s="222">
        <f t="shared" si="9"/>
        <v>0</v>
      </c>
      <c r="U44" s="223">
        <f t="shared" si="10"/>
        <v>-67106.45161290323</v>
      </c>
      <c r="V44" s="223"/>
      <c r="W44" s="223">
        <f t="shared" si="11"/>
        <v>146342.70967741936</v>
      </c>
      <c r="X44" s="223"/>
      <c r="Y44" s="223">
        <f t="shared" si="4"/>
        <v>-67106.4516129</v>
      </c>
      <c r="Z44" s="223">
        <v>0</v>
      </c>
      <c r="AA44" s="223"/>
      <c r="AB44" s="223">
        <v>0</v>
      </c>
      <c r="AC44" s="223"/>
      <c r="AD44" s="223">
        <f t="shared" si="12"/>
        <v>0</v>
      </c>
    </row>
    <row r="45" spans="1:30" ht="14.25">
      <c r="A45" s="274"/>
      <c r="B45" s="224">
        <f t="shared" si="13"/>
        <v>17</v>
      </c>
      <c r="C45" s="225" t="s">
        <v>211</v>
      </c>
      <c r="D45" s="225"/>
      <c r="E45" s="226" t="s">
        <v>261</v>
      </c>
      <c r="F45" s="225"/>
      <c r="G45" s="226" t="s">
        <v>292</v>
      </c>
      <c r="H45" s="225"/>
      <c r="I45" s="227">
        <f t="shared" si="6"/>
        <v>42236</v>
      </c>
      <c r="J45" s="225"/>
      <c r="K45" s="228">
        <f t="shared" si="7"/>
        <v>29</v>
      </c>
      <c r="L45" s="225"/>
      <c r="M45" s="226" t="s">
        <v>260</v>
      </c>
      <c r="N45" s="229"/>
      <c r="O45" s="228">
        <f>K45-S45</f>
        <v>28</v>
      </c>
      <c r="P45" s="229"/>
      <c r="Q45" s="226" t="s">
        <v>261</v>
      </c>
      <c r="R45" s="225"/>
      <c r="S45" s="230">
        <f t="shared" si="9"/>
        <v>1</v>
      </c>
      <c r="T45" s="231"/>
      <c r="U45" s="265">
        <f t="shared" si="10"/>
        <v>-67106.45161290323</v>
      </c>
      <c r="V45" s="265"/>
      <c r="W45" s="265">
        <f t="shared" si="11"/>
        <v>146342.70967741936</v>
      </c>
      <c r="X45" s="265"/>
      <c r="Y45" s="265">
        <f t="shared" si="4"/>
        <v>-59746.1357063</v>
      </c>
      <c r="Z45" s="223">
        <v>0</v>
      </c>
      <c r="AA45" s="232"/>
      <c r="AB45" s="223">
        <v>0</v>
      </c>
      <c r="AC45" s="232"/>
      <c r="AD45" s="232">
        <f t="shared" si="12"/>
        <v>0</v>
      </c>
    </row>
    <row r="46" spans="1:34" ht="14.25">
      <c r="A46" s="274"/>
      <c r="B46" s="224">
        <f t="shared" si="13"/>
        <v>18</v>
      </c>
      <c r="C46" s="225" t="s">
        <v>214</v>
      </c>
      <c r="D46" s="225"/>
      <c r="E46" s="226" t="s">
        <v>293</v>
      </c>
      <c r="F46" s="225"/>
      <c r="G46" s="226" t="s">
        <v>294</v>
      </c>
      <c r="H46" s="225"/>
      <c r="I46" s="227">
        <f t="shared" si="6"/>
        <v>42239</v>
      </c>
      <c r="J46" s="225"/>
      <c r="K46" s="228">
        <f t="shared" si="7"/>
        <v>31</v>
      </c>
      <c r="L46" s="225"/>
      <c r="M46" s="226" t="s">
        <v>260</v>
      </c>
      <c r="N46" s="229"/>
      <c r="O46" s="228">
        <f aca="true" t="shared" si="14" ref="O46:O70">K46-S46</f>
        <v>27</v>
      </c>
      <c r="P46" s="229"/>
      <c r="Q46" s="226" t="s">
        <v>261</v>
      </c>
      <c r="R46" s="225"/>
      <c r="S46" s="230">
        <f t="shared" si="9"/>
        <v>4</v>
      </c>
      <c r="T46" s="231"/>
      <c r="U46" s="265">
        <f t="shared" si="10"/>
        <v>-67106.45161290323</v>
      </c>
      <c r="V46" s="265"/>
      <c r="W46" s="265">
        <f t="shared" si="11"/>
        <v>146342.70967741936</v>
      </c>
      <c r="X46" s="265"/>
      <c r="Y46" s="265">
        <f t="shared" si="4"/>
        <v>-39564.6243496</v>
      </c>
      <c r="Z46" s="223">
        <v>0</v>
      </c>
      <c r="AA46" s="232"/>
      <c r="AB46" s="223">
        <v>0</v>
      </c>
      <c r="AC46" s="232"/>
      <c r="AD46" s="232">
        <f t="shared" si="12"/>
        <v>0</v>
      </c>
      <c r="AF46" s="233"/>
      <c r="AG46" s="233"/>
      <c r="AH46" s="233"/>
    </row>
    <row r="47" spans="1:30" ht="14.25">
      <c r="A47" s="274"/>
      <c r="B47" s="224">
        <f t="shared" si="13"/>
        <v>19</v>
      </c>
      <c r="C47" s="225" t="s">
        <v>217</v>
      </c>
      <c r="D47" s="225"/>
      <c r="E47" s="226" t="s">
        <v>295</v>
      </c>
      <c r="F47" s="225"/>
      <c r="G47" s="226" t="s">
        <v>296</v>
      </c>
      <c r="H47" s="225"/>
      <c r="I47" s="227">
        <f t="shared" si="6"/>
        <v>42240</v>
      </c>
      <c r="J47" s="225"/>
      <c r="K47" s="228">
        <f t="shared" si="7"/>
        <v>29</v>
      </c>
      <c r="L47" s="225"/>
      <c r="M47" s="226" t="s">
        <v>260</v>
      </c>
      <c r="N47" s="229"/>
      <c r="O47" s="228">
        <f t="shared" si="14"/>
        <v>24</v>
      </c>
      <c r="P47" s="229"/>
      <c r="Q47" s="226" t="s">
        <v>261</v>
      </c>
      <c r="R47" s="225"/>
      <c r="S47" s="230">
        <f t="shared" si="9"/>
        <v>5</v>
      </c>
      <c r="T47" s="231"/>
      <c r="U47" s="265">
        <f t="shared" si="10"/>
        <v>-67106.45161290323</v>
      </c>
      <c r="V47" s="265"/>
      <c r="W47" s="265">
        <f t="shared" si="11"/>
        <v>146342.70967741936</v>
      </c>
      <c r="X47" s="265"/>
      <c r="Y47" s="265">
        <f t="shared" si="4"/>
        <v>-30304.8720801</v>
      </c>
      <c r="Z47" s="223">
        <v>0</v>
      </c>
      <c r="AA47" s="232"/>
      <c r="AB47" s="223">
        <v>0</v>
      </c>
      <c r="AC47" s="232"/>
      <c r="AD47" s="232">
        <f t="shared" si="12"/>
        <v>0</v>
      </c>
    </row>
    <row r="48" spans="1:30" ht="14.25">
      <c r="A48" s="274"/>
      <c r="B48" s="224">
        <f t="shared" si="13"/>
        <v>20</v>
      </c>
      <c r="C48" s="225" t="s">
        <v>220</v>
      </c>
      <c r="D48" s="225"/>
      <c r="E48" s="226" t="s">
        <v>297</v>
      </c>
      <c r="F48" s="225"/>
      <c r="G48" s="226" t="s">
        <v>298</v>
      </c>
      <c r="H48" s="225"/>
      <c r="I48" s="227">
        <f t="shared" si="6"/>
        <v>42241</v>
      </c>
      <c r="J48" s="225"/>
      <c r="K48" s="228">
        <f t="shared" si="7"/>
        <v>29</v>
      </c>
      <c r="L48" s="225"/>
      <c r="M48" s="226" t="s">
        <v>260</v>
      </c>
      <c r="N48" s="229"/>
      <c r="O48" s="228">
        <f t="shared" si="14"/>
        <v>23</v>
      </c>
      <c r="P48" s="229"/>
      <c r="Q48" s="226" t="s">
        <v>261</v>
      </c>
      <c r="R48" s="225"/>
      <c r="S48" s="230">
        <f t="shared" si="9"/>
        <v>6</v>
      </c>
      <c r="T48" s="231"/>
      <c r="U48" s="265">
        <f t="shared" si="10"/>
        <v>-67106.45161290323</v>
      </c>
      <c r="V48" s="265"/>
      <c r="W48" s="265">
        <f t="shared" si="11"/>
        <v>146342.70967741936</v>
      </c>
      <c r="X48" s="265"/>
      <c r="Y48" s="265">
        <f t="shared" si="4"/>
        <v>-22944.5561735</v>
      </c>
      <c r="Z48" s="223">
        <v>0</v>
      </c>
      <c r="AA48" s="232"/>
      <c r="AB48" s="223">
        <v>0</v>
      </c>
      <c r="AC48" s="232"/>
      <c r="AD48" s="232">
        <f t="shared" si="12"/>
        <v>0</v>
      </c>
    </row>
    <row r="49" spans="1:34" s="191" customFormat="1" ht="14.25">
      <c r="A49" s="275"/>
      <c r="B49" s="224">
        <f t="shared" si="13"/>
        <v>21</v>
      </c>
      <c r="C49" s="225" t="s">
        <v>205</v>
      </c>
      <c r="D49" s="225"/>
      <c r="E49" s="226" t="s">
        <v>299</v>
      </c>
      <c r="F49" s="225"/>
      <c r="G49" s="226" t="s">
        <v>300</v>
      </c>
      <c r="H49" s="225"/>
      <c r="I49" s="227">
        <f t="shared" si="6"/>
        <v>42242</v>
      </c>
      <c r="J49" s="225"/>
      <c r="K49" s="228">
        <f t="shared" si="7"/>
        <v>29</v>
      </c>
      <c r="L49" s="225"/>
      <c r="M49" s="226" t="s">
        <v>260</v>
      </c>
      <c r="N49" s="229"/>
      <c r="O49" s="228">
        <f t="shared" si="14"/>
        <v>22</v>
      </c>
      <c r="P49" s="229"/>
      <c r="Q49" s="226" t="s">
        <v>261</v>
      </c>
      <c r="R49" s="225"/>
      <c r="S49" s="230">
        <f t="shared" si="9"/>
        <v>7</v>
      </c>
      <c r="T49" s="229"/>
      <c r="U49" s="265">
        <f t="shared" si="10"/>
        <v>-67106.45161290323</v>
      </c>
      <c r="V49" s="266"/>
      <c r="W49" s="265">
        <f t="shared" si="11"/>
        <v>146342.70967741936</v>
      </c>
      <c r="X49" s="268"/>
      <c r="Y49" s="268">
        <f t="shared" si="4"/>
        <v>-15584.240267</v>
      </c>
      <c r="Z49" s="223">
        <v>0</v>
      </c>
      <c r="AA49" s="234"/>
      <c r="AB49" s="223">
        <v>0</v>
      </c>
      <c r="AC49" s="234"/>
      <c r="AD49" s="234">
        <f t="shared" si="12"/>
        <v>0</v>
      </c>
      <c r="AF49" s="233" t="s">
        <v>301</v>
      </c>
      <c r="AG49" s="233"/>
      <c r="AH49" s="236">
        <f>SUM(Y29:Y49)+SUM(AD29:AD49)</f>
        <v>-1241847.6543828996</v>
      </c>
    </row>
    <row r="50" spans="1:34" s="245" customFormat="1" ht="14.25">
      <c r="A50" s="276" t="s">
        <v>302</v>
      </c>
      <c r="B50" s="237">
        <v>1</v>
      </c>
      <c r="C50" s="225" t="s">
        <v>211</v>
      </c>
      <c r="D50" s="238"/>
      <c r="E50" s="239" t="s">
        <v>303</v>
      </c>
      <c r="F50" s="238"/>
      <c r="G50" s="239" t="s">
        <v>259</v>
      </c>
      <c r="H50" s="238"/>
      <c r="I50" s="240">
        <f>E50-1</f>
        <v>42243</v>
      </c>
      <c r="J50" s="238"/>
      <c r="K50" s="241">
        <f t="shared" si="7"/>
        <v>29</v>
      </c>
      <c r="L50" s="238"/>
      <c r="M50" s="239" t="s">
        <v>260</v>
      </c>
      <c r="N50" s="242"/>
      <c r="O50" s="241">
        <f t="shared" si="14"/>
        <v>21</v>
      </c>
      <c r="P50" s="242"/>
      <c r="Q50" s="239" t="s">
        <v>261</v>
      </c>
      <c r="R50" s="238"/>
      <c r="S50" s="243">
        <f t="shared" si="9"/>
        <v>8</v>
      </c>
      <c r="T50" s="242"/>
      <c r="U50" s="232">
        <f>-3678422/30</f>
        <v>-122614.06666666667</v>
      </c>
      <c r="V50" s="244"/>
      <c r="W50" s="235">
        <f>4430894/30</f>
        <v>147696.46666666667</v>
      </c>
      <c r="X50" s="235"/>
      <c r="Y50" s="235">
        <f t="shared" si="4"/>
        <v>-48045.6436782</v>
      </c>
      <c r="Z50" s="235">
        <v>0</v>
      </c>
      <c r="AA50" s="235"/>
      <c r="AB50" s="235">
        <v>0</v>
      </c>
      <c r="AC50" s="235"/>
      <c r="AD50" s="235">
        <f t="shared" si="12"/>
        <v>0</v>
      </c>
      <c r="AG50" s="246"/>
      <c r="AH50" s="247"/>
    </row>
    <row r="51" spans="1:30" ht="14.25">
      <c r="A51" s="274"/>
      <c r="B51" s="224">
        <f>+B50+1</f>
        <v>2</v>
      </c>
      <c r="C51" s="225" t="s">
        <v>264</v>
      </c>
      <c r="D51" s="225"/>
      <c r="E51" s="226" t="s">
        <v>304</v>
      </c>
      <c r="F51" s="225"/>
      <c r="G51" s="226" t="s">
        <v>262</v>
      </c>
      <c r="H51" s="225"/>
      <c r="I51" s="227">
        <f aca="true" t="shared" si="15" ref="I51:I70">E51-1</f>
        <v>42246</v>
      </c>
      <c r="J51" s="225"/>
      <c r="K51" s="228">
        <f t="shared" si="7"/>
        <v>31</v>
      </c>
      <c r="L51" s="225"/>
      <c r="M51" s="226" t="s">
        <v>260</v>
      </c>
      <c r="N51" s="229"/>
      <c r="O51" s="228">
        <f t="shared" si="14"/>
        <v>20</v>
      </c>
      <c r="P51" s="229"/>
      <c r="Q51" s="226" t="s">
        <v>261</v>
      </c>
      <c r="R51" s="225"/>
      <c r="S51" s="230">
        <f t="shared" si="9"/>
        <v>11</v>
      </c>
      <c r="T51" s="229"/>
      <c r="U51" s="232">
        <f aca="true" t="shared" si="16" ref="U51:U70">-3678422/30</f>
        <v>-122614.06666666667</v>
      </c>
      <c r="V51" s="248"/>
      <c r="W51" s="235">
        <f aca="true" t="shared" si="17" ref="W51:W70">4430894/30</f>
        <v>147696.46666666667</v>
      </c>
      <c r="X51" s="248"/>
      <c r="Y51" s="235">
        <f t="shared" si="4"/>
        <v>-26697.4258065</v>
      </c>
      <c r="Z51" s="235">
        <v>0</v>
      </c>
      <c r="AA51" s="248"/>
      <c r="AB51" s="235">
        <v>0</v>
      </c>
      <c r="AC51" s="248"/>
      <c r="AD51" s="235">
        <f t="shared" si="12"/>
        <v>0</v>
      </c>
    </row>
    <row r="52" spans="1:30" ht="14.25">
      <c r="A52" s="274"/>
      <c r="B52" s="224">
        <f aca="true" t="shared" si="18" ref="B52:B70">+B51+1</f>
        <v>3</v>
      </c>
      <c r="C52" s="225" t="s">
        <v>217</v>
      </c>
      <c r="D52" s="225"/>
      <c r="E52" s="226" t="s">
        <v>305</v>
      </c>
      <c r="F52" s="225"/>
      <c r="G52" s="226" t="s">
        <v>265</v>
      </c>
      <c r="H52" s="225"/>
      <c r="I52" s="227">
        <f t="shared" si="15"/>
        <v>42247</v>
      </c>
      <c r="J52" s="225"/>
      <c r="K52" s="228">
        <f t="shared" si="7"/>
        <v>29</v>
      </c>
      <c r="L52" s="225"/>
      <c r="M52" s="226" t="s">
        <v>260</v>
      </c>
      <c r="N52" s="229"/>
      <c r="O52" s="228">
        <f t="shared" si="14"/>
        <v>17</v>
      </c>
      <c r="P52" s="229"/>
      <c r="Q52" s="226" t="s">
        <v>261</v>
      </c>
      <c r="R52" s="225"/>
      <c r="S52" s="230">
        <f t="shared" si="9"/>
        <v>12</v>
      </c>
      <c r="T52" s="229"/>
      <c r="U52" s="232">
        <f t="shared" si="16"/>
        <v>-122614.06666666667</v>
      </c>
      <c r="V52" s="248"/>
      <c r="W52" s="235">
        <f t="shared" si="17"/>
        <v>147696.46666666667</v>
      </c>
      <c r="X52" s="248"/>
      <c r="Y52" s="235">
        <f t="shared" si="4"/>
        <v>-10761.4321839</v>
      </c>
      <c r="Z52" s="235">
        <v>0</v>
      </c>
      <c r="AA52" s="248"/>
      <c r="AB52" s="235">
        <v>0</v>
      </c>
      <c r="AC52" s="248"/>
      <c r="AD52" s="235">
        <f t="shared" si="12"/>
        <v>0</v>
      </c>
    </row>
    <row r="53" spans="1:30" ht="14.25">
      <c r="A53" s="274"/>
      <c r="B53" s="224">
        <f t="shared" si="18"/>
        <v>4</v>
      </c>
      <c r="C53" s="225" t="s">
        <v>220</v>
      </c>
      <c r="D53" s="225"/>
      <c r="E53" s="226" t="s">
        <v>306</v>
      </c>
      <c r="F53" s="225"/>
      <c r="G53" s="226" t="s">
        <v>267</v>
      </c>
      <c r="H53" s="225"/>
      <c r="I53" s="227">
        <f t="shared" si="15"/>
        <v>42248</v>
      </c>
      <c r="J53" s="225"/>
      <c r="K53" s="228">
        <f t="shared" si="7"/>
        <v>29</v>
      </c>
      <c r="L53" s="225"/>
      <c r="M53" s="226" t="s">
        <v>260</v>
      </c>
      <c r="N53" s="229"/>
      <c r="O53" s="228">
        <f t="shared" si="14"/>
        <v>16</v>
      </c>
      <c r="P53" s="229"/>
      <c r="Q53" s="226" t="s">
        <v>261</v>
      </c>
      <c r="R53" s="225"/>
      <c r="S53" s="230">
        <f t="shared" si="9"/>
        <v>13</v>
      </c>
      <c r="T53" s="229"/>
      <c r="U53" s="232">
        <f t="shared" si="16"/>
        <v>-122614.06666666667</v>
      </c>
      <c r="V53" s="248"/>
      <c r="W53" s="235">
        <f t="shared" si="17"/>
        <v>147696.46666666667</v>
      </c>
      <c r="X53" s="248"/>
      <c r="Y53" s="235">
        <f t="shared" si="4"/>
        <v>-1440.3793103</v>
      </c>
      <c r="Z53" s="235">
        <v>0</v>
      </c>
      <c r="AA53" s="248"/>
      <c r="AB53" s="235">
        <v>0</v>
      </c>
      <c r="AC53" s="248"/>
      <c r="AD53" s="235">
        <f t="shared" si="12"/>
        <v>0</v>
      </c>
    </row>
    <row r="54" spans="1:30" ht="14.25">
      <c r="A54" s="274"/>
      <c r="B54" s="224">
        <f t="shared" si="18"/>
        <v>5</v>
      </c>
      <c r="C54" s="225" t="s">
        <v>205</v>
      </c>
      <c r="D54" s="225"/>
      <c r="E54" s="226" t="s">
        <v>307</v>
      </c>
      <c r="F54" s="225"/>
      <c r="G54" s="226" t="s">
        <v>308</v>
      </c>
      <c r="H54" s="225"/>
      <c r="I54" s="227">
        <f t="shared" si="15"/>
        <v>42249</v>
      </c>
      <c r="J54" s="225"/>
      <c r="K54" s="228">
        <f t="shared" si="7"/>
        <v>29</v>
      </c>
      <c r="L54" s="225"/>
      <c r="M54" s="226" t="s">
        <v>260</v>
      </c>
      <c r="N54" s="229"/>
      <c r="O54" s="228">
        <f t="shared" si="14"/>
        <v>15</v>
      </c>
      <c r="P54" s="229"/>
      <c r="Q54" s="226" t="s">
        <v>261</v>
      </c>
      <c r="R54" s="225"/>
      <c r="S54" s="230">
        <f t="shared" si="9"/>
        <v>14</v>
      </c>
      <c r="T54" s="229"/>
      <c r="U54" s="232">
        <f t="shared" si="16"/>
        <v>-122614.06666666667</v>
      </c>
      <c r="V54" s="248"/>
      <c r="W54" s="235">
        <f t="shared" si="17"/>
        <v>147696.46666666667</v>
      </c>
      <c r="X54" s="248"/>
      <c r="Y54" s="235">
        <f t="shared" si="4"/>
        <v>7880.6735632</v>
      </c>
      <c r="Z54" s="235">
        <v>0</v>
      </c>
      <c r="AA54" s="248"/>
      <c r="AB54" s="235">
        <v>0</v>
      </c>
      <c r="AC54" s="248"/>
      <c r="AD54" s="235">
        <f t="shared" si="12"/>
        <v>0</v>
      </c>
    </row>
    <row r="55" spans="1:30" ht="14.25">
      <c r="A55" s="274"/>
      <c r="B55" s="224">
        <f t="shared" si="18"/>
        <v>6</v>
      </c>
      <c r="C55" s="225" t="s">
        <v>211</v>
      </c>
      <c r="D55" s="225"/>
      <c r="E55" s="226" t="s">
        <v>309</v>
      </c>
      <c r="F55" s="225"/>
      <c r="G55" s="226" t="s">
        <v>271</v>
      </c>
      <c r="H55" s="225"/>
      <c r="I55" s="227">
        <f t="shared" si="15"/>
        <v>42250</v>
      </c>
      <c r="J55" s="225"/>
      <c r="K55" s="228">
        <f t="shared" si="7"/>
        <v>29</v>
      </c>
      <c r="L55" s="225"/>
      <c r="M55" s="226" t="s">
        <v>260</v>
      </c>
      <c r="N55" s="229"/>
      <c r="O55" s="228">
        <f t="shared" si="14"/>
        <v>14</v>
      </c>
      <c r="P55" s="229"/>
      <c r="Q55" s="226" t="s">
        <v>261</v>
      </c>
      <c r="R55" s="225"/>
      <c r="S55" s="230">
        <f t="shared" si="9"/>
        <v>15</v>
      </c>
      <c r="T55" s="229"/>
      <c r="U55" s="232">
        <f t="shared" si="16"/>
        <v>-122614.06666666667</v>
      </c>
      <c r="V55" s="248"/>
      <c r="W55" s="235">
        <f t="shared" si="17"/>
        <v>147696.46666666667</v>
      </c>
      <c r="X55" s="248"/>
      <c r="Y55" s="235">
        <f t="shared" si="4"/>
        <v>17201.7264368</v>
      </c>
      <c r="Z55" s="235">
        <v>0</v>
      </c>
      <c r="AA55" s="248"/>
      <c r="AB55" s="235">
        <v>0</v>
      </c>
      <c r="AC55" s="248"/>
      <c r="AD55" s="235">
        <f t="shared" si="12"/>
        <v>0</v>
      </c>
    </row>
    <row r="56" spans="1:30" ht="14.25">
      <c r="A56" s="274"/>
      <c r="B56" s="224">
        <f t="shared" si="18"/>
        <v>7</v>
      </c>
      <c r="C56" s="225" t="s">
        <v>214</v>
      </c>
      <c r="D56" s="225"/>
      <c r="E56" s="226" t="s">
        <v>310</v>
      </c>
      <c r="F56" s="225"/>
      <c r="G56" s="226" t="s">
        <v>311</v>
      </c>
      <c r="H56" s="225"/>
      <c r="I56" s="227">
        <f t="shared" si="15"/>
        <v>42254</v>
      </c>
      <c r="J56" s="225"/>
      <c r="K56" s="228">
        <f t="shared" si="7"/>
        <v>32</v>
      </c>
      <c r="L56" s="225"/>
      <c r="M56" s="226" t="s">
        <v>260</v>
      </c>
      <c r="N56" s="229"/>
      <c r="O56" s="228">
        <f t="shared" si="14"/>
        <v>13</v>
      </c>
      <c r="P56" s="229"/>
      <c r="Q56" s="226" t="s">
        <v>261</v>
      </c>
      <c r="R56" s="225"/>
      <c r="S56" s="230">
        <f t="shared" si="9"/>
        <v>19</v>
      </c>
      <c r="T56" s="229"/>
      <c r="U56" s="232">
        <f t="shared" si="16"/>
        <v>-122614.06666666667</v>
      </c>
      <c r="V56" s="248"/>
      <c r="W56" s="235">
        <f t="shared" si="17"/>
        <v>147696.46666666667</v>
      </c>
      <c r="X56" s="248"/>
      <c r="Y56" s="235">
        <f t="shared" si="4"/>
        <v>37882.8125</v>
      </c>
      <c r="Z56" s="235">
        <v>0</v>
      </c>
      <c r="AA56" s="248"/>
      <c r="AB56" s="235">
        <v>0</v>
      </c>
      <c r="AC56" s="248"/>
      <c r="AD56" s="235">
        <f t="shared" si="12"/>
        <v>0</v>
      </c>
    </row>
    <row r="57" spans="1:30" ht="14.25">
      <c r="A57" s="274"/>
      <c r="B57" s="224">
        <f t="shared" si="18"/>
        <v>8</v>
      </c>
      <c r="C57" s="225" t="s">
        <v>217</v>
      </c>
      <c r="D57" s="225"/>
      <c r="E57" s="226" t="s">
        <v>312</v>
      </c>
      <c r="F57" s="225"/>
      <c r="G57" s="226" t="s">
        <v>275</v>
      </c>
      <c r="H57" s="225"/>
      <c r="I57" s="227">
        <f t="shared" si="15"/>
        <v>42255</v>
      </c>
      <c r="J57" s="225"/>
      <c r="K57" s="228">
        <f t="shared" si="7"/>
        <v>30</v>
      </c>
      <c r="L57" s="225"/>
      <c r="M57" s="226" t="s">
        <v>260</v>
      </c>
      <c r="N57" s="229"/>
      <c r="O57" s="228">
        <f t="shared" si="14"/>
        <v>10</v>
      </c>
      <c r="P57" s="229"/>
      <c r="Q57" s="226" t="s">
        <v>261</v>
      </c>
      <c r="R57" s="225"/>
      <c r="S57" s="230">
        <f t="shared" si="9"/>
        <v>20</v>
      </c>
      <c r="T57" s="229"/>
      <c r="U57" s="232">
        <f t="shared" si="16"/>
        <v>-122614.06666666667</v>
      </c>
      <c r="V57" s="248"/>
      <c r="W57" s="235">
        <f t="shared" si="17"/>
        <v>147696.46666666667</v>
      </c>
      <c r="X57" s="248"/>
      <c r="Y57" s="235">
        <f t="shared" si="4"/>
        <v>57592.9555556</v>
      </c>
      <c r="Z57" s="235">
        <v>0</v>
      </c>
      <c r="AA57" s="248"/>
      <c r="AB57" s="235">
        <v>0</v>
      </c>
      <c r="AC57" s="248"/>
      <c r="AD57" s="235">
        <f t="shared" si="12"/>
        <v>0</v>
      </c>
    </row>
    <row r="58" spans="1:30" ht="14.25">
      <c r="A58" s="274"/>
      <c r="B58" s="224">
        <f t="shared" si="18"/>
        <v>9</v>
      </c>
      <c r="C58" s="225" t="s">
        <v>220</v>
      </c>
      <c r="D58" s="225"/>
      <c r="E58" s="226" t="s">
        <v>313</v>
      </c>
      <c r="F58" s="225"/>
      <c r="G58" s="226" t="s">
        <v>277</v>
      </c>
      <c r="H58" s="225"/>
      <c r="I58" s="227">
        <f t="shared" si="15"/>
        <v>42256</v>
      </c>
      <c r="J58" s="225"/>
      <c r="K58" s="228">
        <f t="shared" si="7"/>
        <v>30</v>
      </c>
      <c r="L58" s="225"/>
      <c r="M58" s="226" t="s">
        <v>260</v>
      </c>
      <c r="N58" s="229"/>
      <c r="O58" s="228">
        <f t="shared" si="14"/>
        <v>9</v>
      </c>
      <c r="P58" s="229"/>
      <c r="Q58" s="226" t="s">
        <v>261</v>
      </c>
      <c r="R58" s="225"/>
      <c r="S58" s="230">
        <f t="shared" si="9"/>
        <v>21</v>
      </c>
      <c r="T58" s="229"/>
      <c r="U58" s="232">
        <f t="shared" si="16"/>
        <v>-122614.06666666667</v>
      </c>
      <c r="V58" s="248"/>
      <c r="W58" s="235">
        <f t="shared" si="17"/>
        <v>147696.46666666667</v>
      </c>
      <c r="X58" s="248"/>
      <c r="Y58" s="235">
        <f t="shared" si="4"/>
        <v>66603.3066667</v>
      </c>
      <c r="Z58" s="235">
        <v>0</v>
      </c>
      <c r="AA58" s="248"/>
      <c r="AB58" s="235">
        <v>0</v>
      </c>
      <c r="AC58" s="248"/>
      <c r="AD58" s="235">
        <f t="shared" si="12"/>
        <v>0</v>
      </c>
    </row>
    <row r="59" spans="1:30" ht="14.25">
      <c r="A59" s="274"/>
      <c r="B59" s="224">
        <f t="shared" si="18"/>
        <v>10</v>
      </c>
      <c r="C59" s="225" t="s">
        <v>205</v>
      </c>
      <c r="D59" s="225"/>
      <c r="E59" s="226" t="s">
        <v>314</v>
      </c>
      <c r="F59" s="225"/>
      <c r="G59" s="226" t="s">
        <v>315</v>
      </c>
      <c r="H59" s="225"/>
      <c r="I59" s="227">
        <f t="shared" si="15"/>
        <v>42257</v>
      </c>
      <c r="J59" s="225"/>
      <c r="K59" s="228">
        <f t="shared" si="7"/>
        <v>30</v>
      </c>
      <c r="L59" s="225"/>
      <c r="M59" s="226" t="s">
        <v>260</v>
      </c>
      <c r="N59" s="229"/>
      <c r="O59" s="228">
        <f t="shared" si="14"/>
        <v>8</v>
      </c>
      <c r="P59" s="229"/>
      <c r="Q59" s="226" t="s">
        <v>261</v>
      </c>
      <c r="R59" s="225"/>
      <c r="S59" s="230">
        <f t="shared" si="9"/>
        <v>22</v>
      </c>
      <c r="T59" s="229"/>
      <c r="U59" s="232">
        <f t="shared" si="16"/>
        <v>-122614.06666666667</v>
      </c>
      <c r="V59" s="248"/>
      <c r="W59" s="235">
        <f t="shared" si="17"/>
        <v>147696.46666666667</v>
      </c>
      <c r="X59" s="248"/>
      <c r="Y59" s="235">
        <f t="shared" si="4"/>
        <v>75613.6577778</v>
      </c>
      <c r="Z59" s="235">
        <v>0</v>
      </c>
      <c r="AA59" s="248"/>
      <c r="AB59" s="235">
        <v>0</v>
      </c>
      <c r="AC59" s="248"/>
      <c r="AD59" s="235">
        <f t="shared" si="12"/>
        <v>0</v>
      </c>
    </row>
    <row r="60" spans="1:30" ht="14.25">
      <c r="A60" s="274"/>
      <c r="B60" s="224">
        <f t="shared" si="18"/>
        <v>11</v>
      </c>
      <c r="C60" s="225" t="s">
        <v>211</v>
      </c>
      <c r="D60" s="225"/>
      <c r="E60" s="226" t="s">
        <v>316</v>
      </c>
      <c r="F60" s="225"/>
      <c r="G60" s="226" t="s">
        <v>281</v>
      </c>
      <c r="H60" s="225"/>
      <c r="I60" s="227">
        <f t="shared" si="15"/>
        <v>42260</v>
      </c>
      <c r="J60" s="225"/>
      <c r="K60" s="228">
        <f t="shared" si="7"/>
        <v>32</v>
      </c>
      <c r="L60" s="225"/>
      <c r="M60" s="226" t="s">
        <v>260</v>
      </c>
      <c r="N60" s="229"/>
      <c r="O60" s="228">
        <f t="shared" si="14"/>
        <v>7</v>
      </c>
      <c r="P60" s="229"/>
      <c r="Q60" s="226" t="s">
        <v>261</v>
      </c>
      <c r="R60" s="225"/>
      <c r="S60" s="230">
        <f t="shared" si="9"/>
        <v>25</v>
      </c>
      <c r="T60" s="229"/>
      <c r="U60" s="232">
        <f t="shared" si="16"/>
        <v>-122614.06666666667</v>
      </c>
      <c r="V60" s="248"/>
      <c r="W60" s="235">
        <f t="shared" si="17"/>
        <v>147696.46666666667</v>
      </c>
      <c r="X60" s="248"/>
      <c r="Y60" s="235">
        <f t="shared" si="4"/>
        <v>88566.0375</v>
      </c>
      <c r="Z60" s="235">
        <v>0</v>
      </c>
      <c r="AA60" s="248"/>
      <c r="AB60" s="235">
        <v>0</v>
      </c>
      <c r="AC60" s="248"/>
      <c r="AD60" s="235">
        <f t="shared" si="12"/>
        <v>0</v>
      </c>
    </row>
    <row r="61" spans="1:30" ht="14.25">
      <c r="A61" s="274"/>
      <c r="B61" s="224">
        <f t="shared" si="18"/>
        <v>12</v>
      </c>
      <c r="C61" s="225" t="s">
        <v>214</v>
      </c>
      <c r="D61" s="225"/>
      <c r="E61" s="226" t="s">
        <v>317</v>
      </c>
      <c r="F61" s="225"/>
      <c r="G61" s="226" t="s">
        <v>283</v>
      </c>
      <c r="H61" s="225"/>
      <c r="I61" s="227">
        <f t="shared" si="15"/>
        <v>42261</v>
      </c>
      <c r="J61" s="225"/>
      <c r="K61" s="228">
        <f t="shared" si="7"/>
        <v>32</v>
      </c>
      <c r="L61" s="225"/>
      <c r="M61" s="226" t="s">
        <v>260</v>
      </c>
      <c r="N61" s="229"/>
      <c r="O61" s="228">
        <f t="shared" si="14"/>
        <v>6</v>
      </c>
      <c r="P61" s="229"/>
      <c r="Q61" s="226" t="s">
        <v>261</v>
      </c>
      <c r="R61" s="225"/>
      <c r="S61" s="230">
        <f t="shared" si="9"/>
        <v>26</v>
      </c>
      <c r="T61" s="229"/>
      <c r="U61" s="232">
        <f t="shared" si="16"/>
        <v>-122614.06666666667</v>
      </c>
      <c r="V61" s="248"/>
      <c r="W61" s="235">
        <f t="shared" si="17"/>
        <v>147696.46666666667</v>
      </c>
      <c r="X61" s="248"/>
      <c r="Y61" s="235">
        <f t="shared" si="4"/>
        <v>97013.2416667</v>
      </c>
      <c r="Z61" s="235">
        <v>0</v>
      </c>
      <c r="AA61" s="248"/>
      <c r="AB61" s="235">
        <v>0</v>
      </c>
      <c r="AC61" s="248"/>
      <c r="AD61" s="235">
        <f t="shared" si="12"/>
        <v>0</v>
      </c>
    </row>
    <row r="62" spans="1:30" ht="14.25">
      <c r="A62" s="274"/>
      <c r="B62" s="224">
        <f t="shared" si="18"/>
        <v>13</v>
      </c>
      <c r="C62" s="225" t="s">
        <v>217</v>
      </c>
      <c r="D62" s="225"/>
      <c r="E62" s="226" t="s">
        <v>318</v>
      </c>
      <c r="F62" s="225"/>
      <c r="G62" s="226" t="s">
        <v>285</v>
      </c>
      <c r="H62" s="225"/>
      <c r="I62" s="227">
        <f t="shared" si="15"/>
        <v>42262</v>
      </c>
      <c r="J62" s="225"/>
      <c r="K62" s="228">
        <f t="shared" si="7"/>
        <v>30</v>
      </c>
      <c r="L62" s="225"/>
      <c r="M62" s="226" t="s">
        <v>260</v>
      </c>
      <c r="N62" s="229"/>
      <c r="O62" s="228">
        <f t="shared" si="14"/>
        <v>3</v>
      </c>
      <c r="P62" s="229"/>
      <c r="Q62" s="226" t="s">
        <v>261</v>
      </c>
      <c r="R62" s="225"/>
      <c r="S62" s="230">
        <f t="shared" si="9"/>
        <v>27</v>
      </c>
      <c r="T62" s="229"/>
      <c r="U62" s="232">
        <f t="shared" si="16"/>
        <v>-122614.06666666667</v>
      </c>
      <c r="V62" s="248"/>
      <c r="W62" s="235">
        <f t="shared" si="17"/>
        <v>147696.46666666667</v>
      </c>
      <c r="X62" s="248"/>
      <c r="Y62" s="235">
        <f t="shared" si="4"/>
        <v>120665.4133333</v>
      </c>
      <c r="Z62" s="235">
        <v>0</v>
      </c>
      <c r="AA62" s="248"/>
      <c r="AB62" s="235">
        <v>0</v>
      </c>
      <c r="AC62" s="248"/>
      <c r="AD62" s="235">
        <f t="shared" si="12"/>
        <v>0</v>
      </c>
    </row>
    <row r="63" spans="1:32" ht="14.25">
      <c r="A63" s="274"/>
      <c r="B63" s="224">
        <f t="shared" si="18"/>
        <v>14</v>
      </c>
      <c r="C63" s="225" t="s">
        <v>220</v>
      </c>
      <c r="D63" s="225"/>
      <c r="E63" s="226" t="s">
        <v>319</v>
      </c>
      <c r="F63" s="225"/>
      <c r="G63" s="226" t="s">
        <v>287</v>
      </c>
      <c r="H63" s="225"/>
      <c r="I63" s="227">
        <f t="shared" si="15"/>
        <v>42263</v>
      </c>
      <c r="J63" s="225"/>
      <c r="K63" s="228">
        <f t="shared" si="7"/>
        <v>30</v>
      </c>
      <c r="L63" s="225"/>
      <c r="M63" s="226" t="s">
        <v>260</v>
      </c>
      <c r="N63" s="229"/>
      <c r="O63" s="228">
        <f t="shared" si="14"/>
        <v>2</v>
      </c>
      <c r="P63" s="229"/>
      <c r="Q63" s="226" t="s">
        <v>261</v>
      </c>
      <c r="R63" s="225"/>
      <c r="S63" s="230">
        <f t="shared" si="9"/>
        <v>28</v>
      </c>
      <c r="T63" s="229"/>
      <c r="U63" s="232">
        <f t="shared" si="16"/>
        <v>-122614.06666666667</v>
      </c>
      <c r="V63" s="248"/>
      <c r="W63" s="235">
        <f t="shared" si="17"/>
        <v>147696.46666666667</v>
      </c>
      <c r="X63" s="248"/>
      <c r="Y63" s="235">
        <f t="shared" si="4"/>
        <v>129675.7644444</v>
      </c>
      <c r="Z63" s="235">
        <v>0</v>
      </c>
      <c r="AA63" s="248"/>
      <c r="AB63" s="235">
        <v>0</v>
      </c>
      <c r="AC63" s="248"/>
      <c r="AD63" s="235">
        <f t="shared" si="12"/>
        <v>0</v>
      </c>
      <c r="AF63" s="191" t="s">
        <v>146</v>
      </c>
    </row>
    <row r="64" spans="1:32" ht="14.25">
      <c r="A64" s="274"/>
      <c r="B64" s="224">
        <f t="shared" si="18"/>
        <v>15</v>
      </c>
      <c r="C64" s="225" t="s">
        <v>205</v>
      </c>
      <c r="D64" s="225"/>
      <c r="E64" s="226" t="s">
        <v>320</v>
      </c>
      <c r="F64" s="225"/>
      <c r="G64" s="226" t="s">
        <v>289</v>
      </c>
      <c r="H64" s="225"/>
      <c r="I64" s="227">
        <f t="shared" si="15"/>
        <v>42264</v>
      </c>
      <c r="J64" s="225"/>
      <c r="K64" s="228">
        <f t="shared" si="7"/>
        <v>30</v>
      </c>
      <c r="L64" s="225"/>
      <c r="M64" s="226" t="s">
        <v>260</v>
      </c>
      <c r="N64" s="229"/>
      <c r="O64" s="228">
        <f t="shared" si="14"/>
        <v>1</v>
      </c>
      <c r="P64" s="229"/>
      <c r="Q64" s="226" t="s">
        <v>261</v>
      </c>
      <c r="R64" s="225"/>
      <c r="S64" s="230">
        <f t="shared" si="9"/>
        <v>29</v>
      </c>
      <c r="T64" s="229"/>
      <c r="U64" s="232">
        <f t="shared" si="16"/>
        <v>-122614.06666666667</v>
      </c>
      <c r="V64" s="248"/>
      <c r="W64" s="235">
        <f t="shared" si="17"/>
        <v>147696.46666666667</v>
      </c>
      <c r="X64" s="248"/>
      <c r="Y64" s="235">
        <f t="shared" si="4"/>
        <v>138686.1155556</v>
      </c>
      <c r="Z64" s="235">
        <v>0</v>
      </c>
      <c r="AA64" s="248"/>
      <c r="AB64" s="235">
        <v>0</v>
      </c>
      <c r="AC64" s="248"/>
      <c r="AD64" s="235">
        <f t="shared" si="12"/>
        <v>0</v>
      </c>
      <c r="AF64" s="191" t="s">
        <v>146</v>
      </c>
    </row>
    <row r="65" spans="1:30" ht="15.75" customHeight="1">
      <c r="A65" s="274"/>
      <c r="B65" s="209">
        <f t="shared" si="18"/>
        <v>16</v>
      </c>
      <c r="C65" s="203" t="s">
        <v>211</v>
      </c>
      <c r="D65" s="203"/>
      <c r="E65" s="205" t="s">
        <v>321</v>
      </c>
      <c r="F65" s="203"/>
      <c r="G65" s="205" t="s">
        <v>260</v>
      </c>
      <c r="H65" s="203"/>
      <c r="I65" s="220">
        <f t="shared" si="15"/>
        <v>42267</v>
      </c>
      <c r="J65" s="203"/>
      <c r="K65" s="206">
        <f t="shared" si="7"/>
        <v>32</v>
      </c>
      <c r="L65" s="203"/>
      <c r="M65" s="204" t="s">
        <v>260</v>
      </c>
      <c r="N65" s="38"/>
      <c r="O65" s="249">
        <f t="shared" si="14"/>
        <v>0</v>
      </c>
      <c r="P65" s="38"/>
      <c r="Q65" s="204" t="s">
        <v>261</v>
      </c>
      <c r="R65" s="203"/>
      <c r="S65" s="250">
        <f t="shared" si="9"/>
        <v>32</v>
      </c>
      <c r="U65" s="232">
        <f t="shared" si="16"/>
        <v>-122614.06666666667</v>
      </c>
      <c r="V65" s="252"/>
      <c r="W65" s="235">
        <f t="shared" si="17"/>
        <v>147696.46666666667</v>
      </c>
      <c r="X65" s="252"/>
      <c r="Y65" s="251">
        <f t="shared" si="4"/>
        <v>147696.4666667</v>
      </c>
      <c r="Z65" s="235">
        <v>0</v>
      </c>
      <c r="AA65" s="252"/>
      <c r="AB65" s="235">
        <v>0</v>
      </c>
      <c r="AC65" s="252"/>
      <c r="AD65" s="251">
        <f t="shared" si="12"/>
        <v>0</v>
      </c>
    </row>
    <row r="66" spans="1:30" ht="14.25">
      <c r="A66" s="274"/>
      <c r="B66" s="209">
        <f t="shared" si="18"/>
        <v>17</v>
      </c>
      <c r="C66" s="203" t="s">
        <v>214</v>
      </c>
      <c r="D66" s="203"/>
      <c r="E66" s="205" t="s">
        <v>322</v>
      </c>
      <c r="F66" s="203"/>
      <c r="G66" s="205" t="s">
        <v>261</v>
      </c>
      <c r="H66" s="203"/>
      <c r="I66" s="220">
        <f t="shared" si="15"/>
        <v>42268</v>
      </c>
      <c r="J66" s="203"/>
      <c r="K66" s="206">
        <f t="shared" si="7"/>
        <v>32</v>
      </c>
      <c r="L66" s="203"/>
      <c r="M66" s="204" t="s">
        <v>260</v>
      </c>
      <c r="N66" s="38"/>
      <c r="O66" s="249">
        <f t="shared" si="14"/>
        <v>0</v>
      </c>
      <c r="P66" s="38"/>
      <c r="Q66" s="204" t="s">
        <v>261</v>
      </c>
      <c r="R66" s="203"/>
      <c r="S66" s="250">
        <f t="shared" si="9"/>
        <v>32</v>
      </c>
      <c r="U66" s="232">
        <f t="shared" si="16"/>
        <v>-122614.06666666667</v>
      </c>
      <c r="V66" s="252"/>
      <c r="W66" s="235">
        <f t="shared" si="17"/>
        <v>147696.46666666667</v>
      </c>
      <c r="X66" s="252"/>
      <c r="Y66" s="251">
        <f t="shared" si="4"/>
        <v>147696.4666667</v>
      </c>
      <c r="Z66" s="235">
        <v>0</v>
      </c>
      <c r="AA66" s="252"/>
      <c r="AB66" s="235">
        <v>0</v>
      </c>
      <c r="AC66" s="252"/>
      <c r="AD66" s="251">
        <f t="shared" si="12"/>
        <v>0</v>
      </c>
    </row>
    <row r="67" spans="1:30" ht="14.25">
      <c r="A67" s="274"/>
      <c r="B67" s="209">
        <f t="shared" si="18"/>
        <v>18</v>
      </c>
      <c r="C67" s="203" t="s">
        <v>217</v>
      </c>
      <c r="D67" s="203"/>
      <c r="E67" s="205" t="s">
        <v>323</v>
      </c>
      <c r="F67" s="203"/>
      <c r="G67" s="205" t="s">
        <v>293</v>
      </c>
      <c r="H67" s="203"/>
      <c r="I67" s="220">
        <f t="shared" si="15"/>
        <v>42269</v>
      </c>
      <c r="J67" s="203"/>
      <c r="K67" s="206">
        <f t="shared" si="7"/>
        <v>30</v>
      </c>
      <c r="L67" s="203"/>
      <c r="M67" s="204" t="s">
        <v>260</v>
      </c>
      <c r="N67" s="38"/>
      <c r="O67" s="249">
        <f t="shared" si="14"/>
        <v>0</v>
      </c>
      <c r="P67" s="38"/>
      <c r="Q67" s="204" t="s">
        <v>261</v>
      </c>
      <c r="R67" s="203"/>
      <c r="S67" s="250">
        <f t="shared" si="9"/>
        <v>30</v>
      </c>
      <c r="U67" s="232">
        <f t="shared" si="16"/>
        <v>-122614.06666666667</v>
      </c>
      <c r="V67" s="252"/>
      <c r="W67" s="235">
        <f t="shared" si="17"/>
        <v>147696.46666666667</v>
      </c>
      <c r="X67" s="252"/>
      <c r="Y67" s="251">
        <f t="shared" si="4"/>
        <v>147696.4666667</v>
      </c>
      <c r="Z67" s="235">
        <v>0</v>
      </c>
      <c r="AA67" s="252"/>
      <c r="AB67" s="235">
        <v>0</v>
      </c>
      <c r="AC67" s="252"/>
      <c r="AD67" s="251">
        <f t="shared" si="12"/>
        <v>0</v>
      </c>
    </row>
    <row r="68" spans="1:30" ht="14.25">
      <c r="A68" s="274"/>
      <c r="B68" s="209">
        <f t="shared" si="18"/>
        <v>19</v>
      </c>
      <c r="C68" s="203" t="s">
        <v>220</v>
      </c>
      <c r="D68" s="203"/>
      <c r="E68" s="205" t="s">
        <v>324</v>
      </c>
      <c r="F68" s="203"/>
      <c r="G68" s="205" t="s">
        <v>295</v>
      </c>
      <c r="H68" s="203"/>
      <c r="I68" s="220">
        <f t="shared" si="15"/>
        <v>42270</v>
      </c>
      <c r="J68" s="203"/>
      <c r="K68" s="206">
        <f t="shared" si="7"/>
        <v>30</v>
      </c>
      <c r="L68" s="203"/>
      <c r="M68" s="204" t="s">
        <v>260</v>
      </c>
      <c r="N68" s="38"/>
      <c r="O68" s="249">
        <f t="shared" si="14"/>
        <v>0</v>
      </c>
      <c r="P68" s="38"/>
      <c r="Q68" s="204" t="s">
        <v>261</v>
      </c>
      <c r="R68" s="203"/>
      <c r="S68" s="250">
        <f t="shared" si="9"/>
        <v>30</v>
      </c>
      <c r="U68" s="232">
        <f t="shared" si="16"/>
        <v>-122614.06666666667</v>
      </c>
      <c r="V68" s="252"/>
      <c r="W68" s="235">
        <f t="shared" si="17"/>
        <v>147696.46666666667</v>
      </c>
      <c r="X68" s="252"/>
      <c r="Y68" s="251">
        <f t="shared" si="4"/>
        <v>147696.4666667</v>
      </c>
      <c r="Z68" s="235">
        <v>0</v>
      </c>
      <c r="AA68" s="252"/>
      <c r="AB68" s="235">
        <v>0</v>
      </c>
      <c r="AC68" s="252"/>
      <c r="AD68" s="251">
        <f t="shared" si="12"/>
        <v>0</v>
      </c>
    </row>
    <row r="69" spans="1:30" ht="14.25">
      <c r="A69" s="274"/>
      <c r="B69" s="209">
        <f t="shared" si="18"/>
        <v>20</v>
      </c>
      <c r="C69" s="253" t="s">
        <v>205</v>
      </c>
      <c r="D69" s="203"/>
      <c r="E69" s="205" t="s">
        <v>325</v>
      </c>
      <c r="F69" s="203"/>
      <c r="G69" s="205" t="s">
        <v>297</v>
      </c>
      <c r="H69" s="203"/>
      <c r="I69" s="220">
        <f t="shared" si="15"/>
        <v>42271</v>
      </c>
      <c r="J69" s="203"/>
      <c r="K69" s="206">
        <f t="shared" si="7"/>
        <v>30</v>
      </c>
      <c r="L69" s="203"/>
      <c r="M69" s="204" t="s">
        <v>260</v>
      </c>
      <c r="N69" s="38"/>
      <c r="O69" s="249">
        <f t="shared" si="14"/>
        <v>0</v>
      </c>
      <c r="P69" s="38"/>
      <c r="Q69" s="204" t="s">
        <v>261</v>
      </c>
      <c r="R69" s="203"/>
      <c r="S69" s="250">
        <f t="shared" si="9"/>
        <v>30</v>
      </c>
      <c r="U69" s="232">
        <f t="shared" si="16"/>
        <v>-122614.06666666667</v>
      </c>
      <c r="V69" s="252"/>
      <c r="W69" s="235">
        <f t="shared" si="17"/>
        <v>147696.46666666667</v>
      </c>
      <c r="X69" s="252"/>
      <c r="Y69" s="251">
        <f t="shared" si="4"/>
        <v>147696.4666667</v>
      </c>
      <c r="Z69" s="235">
        <v>0</v>
      </c>
      <c r="AA69" s="252"/>
      <c r="AB69" s="235">
        <v>0</v>
      </c>
      <c r="AC69" s="252"/>
      <c r="AD69" s="251">
        <f t="shared" si="12"/>
        <v>0</v>
      </c>
    </row>
    <row r="70" spans="1:34" s="260" customFormat="1" ht="14.25">
      <c r="A70" s="275"/>
      <c r="B70" s="210">
        <f t="shared" si="18"/>
        <v>21</v>
      </c>
      <c r="C70" s="214"/>
      <c r="D70" s="211"/>
      <c r="E70" s="213" t="s">
        <v>326</v>
      </c>
      <c r="F70" s="211"/>
      <c r="G70" s="213" t="s">
        <v>299</v>
      </c>
      <c r="H70" s="211"/>
      <c r="I70" s="254">
        <f t="shared" si="15"/>
        <v>42274</v>
      </c>
      <c r="J70" s="211"/>
      <c r="K70" s="255">
        <f t="shared" si="7"/>
        <v>32</v>
      </c>
      <c r="L70" s="211"/>
      <c r="M70" s="212" t="s">
        <v>260</v>
      </c>
      <c r="N70" s="214"/>
      <c r="O70" s="256">
        <f t="shared" si="14"/>
        <v>0</v>
      </c>
      <c r="P70" s="214"/>
      <c r="Q70" s="212" t="s">
        <v>261</v>
      </c>
      <c r="R70" s="211"/>
      <c r="S70" s="257">
        <f t="shared" si="9"/>
        <v>32</v>
      </c>
      <c r="T70" s="214"/>
      <c r="U70" s="232">
        <f t="shared" si="16"/>
        <v>-122614.06666666667</v>
      </c>
      <c r="V70" s="259"/>
      <c r="W70" s="235">
        <f t="shared" si="17"/>
        <v>147696.46666666667</v>
      </c>
      <c r="X70" s="259"/>
      <c r="Y70" s="258">
        <f t="shared" si="4"/>
        <v>147696.4666667</v>
      </c>
      <c r="Z70" s="235">
        <v>0</v>
      </c>
      <c r="AA70" s="259"/>
      <c r="AB70" s="235">
        <v>0</v>
      </c>
      <c r="AC70" s="259"/>
      <c r="AD70" s="258">
        <f t="shared" si="12"/>
        <v>0</v>
      </c>
      <c r="AF70" s="261" t="s">
        <v>327</v>
      </c>
      <c r="AH70" s="262">
        <f>SUM(Y50:Y70)</f>
        <v>1636615.6240214002</v>
      </c>
    </row>
    <row r="74" spans="2:3" ht="12.75">
      <c r="B74" s="263" t="s">
        <v>146</v>
      </c>
      <c r="C74" s="264" t="s">
        <v>328</v>
      </c>
    </row>
    <row r="75" spans="2:3" ht="12.75">
      <c r="B75" s="263" t="s">
        <v>146</v>
      </c>
      <c r="C75" s="264" t="s">
        <v>329</v>
      </c>
    </row>
  </sheetData>
  <sheetProtection/>
  <mergeCells count="6">
    <mergeCell ref="A2:Y2"/>
    <mergeCell ref="A3:Y3"/>
    <mergeCell ref="A4:Y4"/>
    <mergeCell ref="A8:A28"/>
    <mergeCell ref="A29:A49"/>
    <mergeCell ref="A50:A70"/>
  </mergeCells>
  <conditionalFormatting sqref="S8:S28">
    <cfRule type="cellIs" priority="2" dxfId="0" operator="equal" stopIfTrue="1">
      <formula>0</formula>
    </cfRule>
  </conditionalFormatting>
  <conditionalFormatting sqref="O8:O70">
    <cfRule type="cellIs" priority="1" dxfId="0" operator="equal" stopIfTrue="1">
      <formula>0</formula>
    </cfRule>
  </conditionalFormatting>
  <printOptions horizontalCentered="1"/>
  <pageMargins left="0.25" right="0.25" top="0.5" bottom="0.5" header="0" footer="0"/>
  <pageSetup fitToHeight="1" fitToWidth="1" horizontalDpi="600" verticalDpi="6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K7" sqref="K7"/>
    </sheetView>
  </sheetViews>
  <sheetFormatPr defaultColWidth="9.140625" defaultRowHeight="15" outlineLevelRow="2"/>
  <cols>
    <col min="1" max="1" width="3.8515625" style="0" customWidth="1"/>
    <col min="2" max="2" width="5.8515625" style="0" customWidth="1"/>
    <col min="3" max="3" width="4.8515625" style="0" bestFit="1" customWidth="1"/>
    <col min="4" max="4" width="8.57421875" style="0" bestFit="1" customWidth="1"/>
    <col min="5" max="5" width="28.140625" style="0" bestFit="1" customWidth="1"/>
    <col min="6" max="6" width="12.8515625" style="0" bestFit="1" customWidth="1"/>
    <col min="7" max="10" width="29.28125" style="0" customWidth="1"/>
    <col min="11" max="36" width="28.28125" style="0" customWidth="1"/>
  </cols>
  <sheetData>
    <row r="1" spans="1:6" ht="26.25" thickBo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4.25" outlineLevel="2">
      <c r="A2" s="4">
        <v>6</v>
      </c>
      <c r="B2" s="4">
        <v>2015</v>
      </c>
      <c r="C2" s="5" t="s">
        <v>70</v>
      </c>
      <c r="D2" s="5" t="s">
        <v>17</v>
      </c>
      <c r="E2" s="5" t="s">
        <v>86</v>
      </c>
      <c r="F2" s="6">
        <v>-365739.86</v>
      </c>
      <c r="G2" t="str">
        <f>VLOOKUP(D2,Lookup!A$1:B$84,2,FALSE)</f>
        <v>Associated</v>
      </c>
    </row>
    <row r="3" spans="1:7" ht="14.25" outlineLevel="1">
      <c r="A3" s="4"/>
      <c r="B3" s="4"/>
      <c r="C3" s="5"/>
      <c r="D3" s="5"/>
      <c r="E3" s="5"/>
      <c r="F3" s="6">
        <f>SUBTOTAL(9,F2:F2)</f>
        <v>-365739.86</v>
      </c>
      <c r="G3" s="7" t="s">
        <v>126</v>
      </c>
    </row>
    <row r="4" spans="1:7" ht="14.25" outlineLevel="2">
      <c r="A4" s="4">
        <v>6</v>
      </c>
      <c r="B4" s="4">
        <v>2015</v>
      </c>
      <c r="C4" s="5" t="s">
        <v>70</v>
      </c>
      <c r="D4" s="5" t="s">
        <v>22</v>
      </c>
      <c r="E4" s="5" t="s">
        <v>89</v>
      </c>
      <c r="F4" s="6">
        <v>-237649.29</v>
      </c>
      <c r="G4" t="str">
        <f>VLOOKUP(D4,Lookup!A$1:B$84,2,FALSE)</f>
        <v>FERC</v>
      </c>
    </row>
    <row r="5" spans="1:7" ht="14.25" outlineLevel="2">
      <c r="A5" s="4">
        <v>6</v>
      </c>
      <c r="B5" s="4">
        <v>2015</v>
      </c>
      <c r="C5" s="5" t="s">
        <v>70</v>
      </c>
      <c r="D5" s="5" t="s">
        <v>24</v>
      </c>
      <c r="E5" s="5" t="s">
        <v>90</v>
      </c>
      <c r="F5" s="6">
        <v>-2082883.63</v>
      </c>
      <c r="G5" t="str">
        <f>VLOOKUP(D5,Lookup!A$1:B$84,2,FALSE)</f>
        <v>FERC</v>
      </c>
    </row>
    <row r="6" spans="1:7" ht="14.25" outlineLevel="2">
      <c r="A6" s="4">
        <v>6</v>
      </c>
      <c r="B6" s="4">
        <v>2015</v>
      </c>
      <c r="C6" s="5" t="s">
        <v>70</v>
      </c>
      <c r="D6" s="5" t="s">
        <v>40</v>
      </c>
      <c r="E6" s="5" t="s">
        <v>105</v>
      </c>
      <c r="F6" s="6">
        <v>141724.41</v>
      </c>
      <c r="G6" t="str">
        <f>VLOOKUP(D6,Lookup!A$1:B$84,2,FALSE)</f>
        <v>FERC</v>
      </c>
    </row>
    <row r="7" spans="1:7" ht="14.25" outlineLevel="2">
      <c r="A7" s="4">
        <v>6</v>
      </c>
      <c r="B7" s="4">
        <v>2015</v>
      </c>
      <c r="C7" s="5" t="s">
        <v>106</v>
      </c>
      <c r="D7" s="5" t="s">
        <v>40</v>
      </c>
      <c r="E7" s="5" t="s">
        <v>105</v>
      </c>
      <c r="F7" s="6">
        <v>-89982.63</v>
      </c>
      <c r="G7" t="str">
        <f>VLOOKUP(D7,Lookup!A$1:B$84,2,FALSE)</f>
        <v>FERC</v>
      </c>
    </row>
    <row r="8" spans="1:7" ht="14.25" outlineLevel="1">
      <c r="A8" s="4"/>
      <c r="B8" s="4"/>
      <c r="C8" s="5"/>
      <c r="D8" s="5"/>
      <c r="E8" s="5"/>
      <c r="F8" s="6">
        <f>SUBTOTAL(9,F4:F7)</f>
        <v>-2268791.1399999997</v>
      </c>
      <c r="G8" s="7" t="s">
        <v>127</v>
      </c>
    </row>
    <row r="9" spans="1:7" ht="14.25" outlineLevel="2">
      <c r="A9" s="4">
        <v>6</v>
      </c>
      <c r="B9" s="4">
        <v>2015</v>
      </c>
      <c r="C9" s="5" t="s">
        <v>70</v>
      </c>
      <c r="D9" s="5" t="s">
        <v>19</v>
      </c>
      <c r="E9" s="5" t="s">
        <v>87</v>
      </c>
      <c r="F9" s="6">
        <v>-1308859.01</v>
      </c>
      <c r="G9" t="str">
        <f>VLOOKUP(D9,Lookup!A$1:B$84,2,FALSE)</f>
        <v>Non-Physical</v>
      </c>
    </row>
    <row r="10" spans="1:7" ht="14.25" outlineLevel="2">
      <c r="A10" s="4">
        <v>6</v>
      </c>
      <c r="B10" s="4">
        <v>2015</v>
      </c>
      <c r="C10" s="5" t="s">
        <v>70</v>
      </c>
      <c r="D10" s="5" t="s">
        <v>21</v>
      </c>
      <c r="E10" s="5" t="s">
        <v>88</v>
      </c>
      <c r="F10" s="6">
        <v>910488.35</v>
      </c>
      <c r="G10" t="str">
        <f>VLOOKUP(D10,Lookup!A$1:B$84,2,FALSE)</f>
        <v>Non-Physical</v>
      </c>
    </row>
    <row r="11" spans="1:7" ht="14.25" outlineLevel="2">
      <c r="A11" s="4">
        <v>6</v>
      </c>
      <c r="B11" s="4">
        <v>2015</v>
      </c>
      <c r="C11" s="5" t="s">
        <v>70</v>
      </c>
      <c r="D11" s="5" t="s">
        <v>25</v>
      </c>
      <c r="E11" s="5" t="s">
        <v>91</v>
      </c>
      <c r="F11" s="6">
        <v>744.38</v>
      </c>
      <c r="G11" t="str">
        <f>VLOOKUP(D11,Lookup!A$1:B$84,2,FALSE)</f>
        <v>Non-Physical</v>
      </c>
    </row>
    <row r="12" spans="1:7" ht="14.25" outlineLevel="2">
      <c r="A12" s="4">
        <v>6</v>
      </c>
      <c r="B12" s="4">
        <v>2015</v>
      </c>
      <c r="C12" s="5" t="s">
        <v>70</v>
      </c>
      <c r="D12" s="5" t="s">
        <v>26</v>
      </c>
      <c r="E12" s="5" t="s">
        <v>92</v>
      </c>
      <c r="F12" s="6">
        <v>298964.74</v>
      </c>
      <c r="G12" t="str">
        <f>VLOOKUP(D12,Lookup!A$1:B$84,2,FALSE)</f>
        <v>Non-Physical</v>
      </c>
    </row>
    <row r="13" spans="1:7" ht="14.25" outlineLevel="2">
      <c r="A13" s="4">
        <v>6</v>
      </c>
      <c r="B13" s="4">
        <v>2015</v>
      </c>
      <c r="C13" s="5" t="s">
        <v>70</v>
      </c>
      <c r="D13" s="5" t="s">
        <v>171</v>
      </c>
      <c r="E13" s="5" t="s">
        <v>172</v>
      </c>
      <c r="F13" s="6">
        <v>-1417.52</v>
      </c>
      <c r="G13" t="s">
        <v>20</v>
      </c>
    </row>
    <row r="14" spans="1:7" ht="14.25" outlineLevel="2">
      <c r="A14" s="4">
        <v>6</v>
      </c>
      <c r="B14" s="4">
        <v>2015</v>
      </c>
      <c r="C14" s="5" t="s">
        <v>70</v>
      </c>
      <c r="D14" s="5" t="s">
        <v>41</v>
      </c>
      <c r="E14" s="5" t="s">
        <v>107</v>
      </c>
      <c r="F14" s="6">
        <v>-241831.63</v>
      </c>
      <c r="G14" t="str">
        <f>VLOOKUP(D14,Lookup!A$1:B$84,2,FALSE)</f>
        <v>Non-Physical</v>
      </c>
    </row>
    <row r="15" spans="1:7" ht="14.25" outlineLevel="2">
      <c r="A15" s="4">
        <v>6</v>
      </c>
      <c r="B15" s="4">
        <v>2015</v>
      </c>
      <c r="C15" s="5" t="s">
        <v>70</v>
      </c>
      <c r="D15" s="5" t="s">
        <v>43</v>
      </c>
      <c r="E15" s="5" t="s">
        <v>108</v>
      </c>
      <c r="F15" s="6">
        <v>1821.06</v>
      </c>
      <c r="G15" t="str">
        <f>VLOOKUP(D15,Lookup!A$1:B$84,2,FALSE)</f>
        <v>Non-Physical</v>
      </c>
    </row>
    <row r="16" spans="1:7" ht="14.25" outlineLevel="2">
      <c r="A16" s="4">
        <v>6</v>
      </c>
      <c r="B16" s="4">
        <v>2015</v>
      </c>
      <c r="C16" s="5" t="s">
        <v>70</v>
      </c>
      <c r="D16" s="5" t="s">
        <v>54</v>
      </c>
      <c r="E16" s="5" t="s">
        <v>132</v>
      </c>
      <c r="F16" s="6">
        <v>-3125.02</v>
      </c>
      <c r="G16" t="str">
        <f>VLOOKUP(D16,Lookup!A$1:B$84,2,FALSE)</f>
        <v>Non-Physical</v>
      </c>
    </row>
    <row r="17" spans="1:7" ht="14.25" outlineLevel="2">
      <c r="A17" s="4">
        <v>6</v>
      </c>
      <c r="B17" s="4">
        <v>2015</v>
      </c>
      <c r="C17" s="5" t="s">
        <v>70</v>
      </c>
      <c r="D17" s="5" t="s">
        <v>55</v>
      </c>
      <c r="E17" s="5" t="s">
        <v>119</v>
      </c>
      <c r="F17" s="6">
        <v>4519.37</v>
      </c>
      <c r="G17" t="str">
        <f>VLOOKUP(D17,Lookup!A$1:B$84,2,FALSE)</f>
        <v>Non-Physical</v>
      </c>
    </row>
    <row r="18" spans="1:7" ht="14.25" outlineLevel="2">
      <c r="A18" s="4">
        <v>6</v>
      </c>
      <c r="B18" s="4">
        <v>2015</v>
      </c>
      <c r="C18" s="5" t="s">
        <v>70</v>
      </c>
      <c r="D18" s="5" t="s">
        <v>56</v>
      </c>
      <c r="E18" s="5" t="s">
        <v>120</v>
      </c>
      <c r="F18" s="6">
        <v>194948.18</v>
      </c>
      <c r="G18" t="str">
        <f>VLOOKUP(D18,Lookup!A$1:B$84,2,FALSE)</f>
        <v>Non-Physical</v>
      </c>
    </row>
    <row r="19" spans="1:7" ht="14.25" outlineLevel="1">
      <c r="A19" s="4"/>
      <c r="B19" s="4"/>
      <c r="C19" s="5"/>
      <c r="D19" s="5"/>
      <c r="E19" s="5"/>
      <c r="F19" s="6">
        <f>SUBTOTAL(9,F9:F18)</f>
        <v>-143747.1000000001</v>
      </c>
      <c r="G19" s="7" t="s">
        <v>128</v>
      </c>
    </row>
    <row r="20" spans="1:7" ht="14.25" outlineLevel="2">
      <c r="A20" s="4">
        <v>6</v>
      </c>
      <c r="B20" s="4">
        <v>2015</v>
      </c>
      <c r="C20" s="5" t="s">
        <v>70</v>
      </c>
      <c r="D20" s="5" t="s">
        <v>27</v>
      </c>
      <c r="E20" s="5" t="s">
        <v>93</v>
      </c>
      <c r="F20" s="6">
        <v>-293816.06</v>
      </c>
      <c r="G20" t="str">
        <f>VLOOKUP(D20,Lookup!A$1:B$84,2,FALSE)</f>
        <v>OSS</v>
      </c>
    </row>
    <row r="21" spans="1:7" ht="14.25" outlineLevel="2">
      <c r="A21" s="4">
        <v>6</v>
      </c>
      <c r="B21" s="4">
        <v>2015</v>
      </c>
      <c r="C21" s="5" t="s">
        <v>70</v>
      </c>
      <c r="D21" s="5" t="s">
        <v>29</v>
      </c>
      <c r="E21" s="5" t="s">
        <v>94</v>
      </c>
      <c r="F21" s="6">
        <v>12782.56</v>
      </c>
      <c r="G21" t="str">
        <f>VLOOKUP(D21,Lookup!A$1:B$84,2,FALSE)</f>
        <v>OSS</v>
      </c>
    </row>
    <row r="22" spans="1:7" ht="14.25" outlineLevel="2">
      <c r="A22" s="4">
        <v>6</v>
      </c>
      <c r="B22" s="4">
        <v>2015</v>
      </c>
      <c r="C22" s="5" t="s">
        <v>70</v>
      </c>
      <c r="D22" s="5" t="s">
        <v>30</v>
      </c>
      <c r="E22" s="5" t="s">
        <v>95</v>
      </c>
      <c r="F22" s="6">
        <v>-90344.57</v>
      </c>
      <c r="G22" t="str">
        <f>VLOOKUP(D22,Lookup!A$1:B$84,2,FALSE)</f>
        <v>OSS</v>
      </c>
    </row>
    <row r="23" spans="1:7" ht="14.25" outlineLevel="2">
      <c r="A23" s="4">
        <v>6</v>
      </c>
      <c r="B23" s="4">
        <v>2015</v>
      </c>
      <c r="C23" s="5" t="s">
        <v>70</v>
      </c>
      <c r="D23" s="5" t="s">
        <v>31</v>
      </c>
      <c r="E23" s="5" t="s">
        <v>96</v>
      </c>
      <c r="F23" s="6">
        <v>-75697.37</v>
      </c>
      <c r="G23" t="str">
        <f>VLOOKUP(D23,Lookup!A$1:B$84,2,FALSE)</f>
        <v>OSS</v>
      </c>
    </row>
    <row r="24" spans="1:7" ht="14.25" outlineLevel="2">
      <c r="A24" s="4">
        <v>6</v>
      </c>
      <c r="B24" s="4">
        <v>2015</v>
      </c>
      <c r="C24" s="5" t="s">
        <v>70</v>
      </c>
      <c r="D24" s="5" t="s">
        <v>32</v>
      </c>
      <c r="E24" s="5" t="s">
        <v>97</v>
      </c>
      <c r="F24" s="6">
        <v>-2011134.87</v>
      </c>
      <c r="G24" t="str">
        <f>VLOOKUP(D24,Lookup!A$1:B$84,2,FALSE)</f>
        <v>OSS</v>
      </c>
    </row>
    <row r="25" spans="1:7" ht="14.25" outlineLevel="2">
      <c r="A25" s="4">
        <v>6</v>
      </c>
      <c r="B25" s="4">
        <v>2015</v>
      </c>
      <c r="C25" s="5" t="s">
        <v>70</v>
      </c>
      <c r="D25" s="5" t="s">
        <v>33</v>
      </c>
      <c r="E25" s="5" t="s">
        <v>98</v>
      </c>
      <c r="F25" s="6">
        <v>1660.28</v>
      </c>
      <c r="G25" t="str">
        <f>VLOOKUP(D25,Lookup!A$1:B$84,2,FALSE)</f>
        <v>OSS</v>
      </c>
    </row>
    <row r="26" spans="1:7" ht="14.25" outlineLevel="2">
      <c r="A26" s="4">
        <v>6</v>
      </c>
      <c r="B26" s="4">
        <v>2015</v>
      </c>
      <c r="C26" s="5" t="s">
        <v>70</v>
      </c>
      <c r="D26" s="5" t="s">
        <v>34</v>
      </c>
      <c r="E26" s="5" t="s">
        <v>99</v>
      </c>
      <c r="F26" s="6">
        <v>98.67</v>
      </c>
      <c r="G26" t="str">
        <f>VLOOKUP(D26,Lookup!A$1:B$84,2,FALSE)</f>
        <v>OSS</v>
      </c>
    </row>
    <row r="27" spans="1:7" ht="14.25" outlineLevel="2">
      <c r="A27" s="4">
        <v>6</v>
      </c>
      <c r="B27" s="4">
        <v>2015</v>
      </c>
      <c r="C27" s="5" t="s">
        <v>70</v>
      </c>
      <c r="D27" s="5" t="s">
        <v>35</v>
      </c>
      <c r="E27" s="5" t="s">
        <v>100</v>
      </c>
      <c r="F27" s="6">
        <v>-418692.88</v>
      </c>
      <c r="G27" t="str">
        <f>VLOOKUP(D27,Lookup!A$1:B$84,2,FALSE)</f>
        <v>OSS</v>
      </c>
    </row>
    <row r="28" spans="1:7" ht="14.25" outlineLevel="2">
      <c r="A28" s="4">
        <v>6</v>
      </c>
      <c r="B28" s="4">
        <v>2015</v>
      </c>
      <c r="C28" s="5" t="s">
        <v>70</v>
      </c>
      <c r="D28" s="5" t="s">
        <v>36</v>
      </c>
      <c r="E28" s="5" t="s">
        <v>101</v>
      </c>
      <c r="F28" s="6">
        <v>946.41</v>
      </c>
      <c r="G28" t="str">
        <f>VLOOKUP(D28,Lookup!A$1:B$84,2,FALSE)</f>
        <v>OSS</v>
      </c>
    </row>
    <row r="29" spans="1:7" ht="14.25" outlineLevel="2">
      <c r="A29" s="4">
        <v>6</v>
      </c>
      <c r="B29" s="4">
        <v>2015</v>
      </c>
      <c r="C29" s="5" t="s">
        <v>70</v>
      </c>
      <c r="D29" s="5" t="s">
        <v>37</v>
      </c>
      <c r="E29" s="5" t="s">
        <v>102</v>
      </c>
      <c r="F29" s="6">
        <v>-3670.48</v>
      </c>
      <c r="G29" t="str">
        <f>VLOOKUP(D29,Lookup!A$1:B$84,2,FALSE)</f>
        <v>OSS</v>
      </c>
    </row>
    <row r="30" spans="1:7" ht="14.25" outlineLevel="2">
      <c r="A30" s="4">
        <v>6</v>
      </c>
      <c r="B30" s="4">
        <v>2015</v>
      </c>
      <c r="C30" s="5" t="s">
        <v>70</v>
      </c>
      <c r="D30" s="5" t="s">
        <v>38</v>
      </c>
      <c r="E30" s="5" t="s">
        <v>103</v>
      </c>
      <c r="F30" s="6">
        <v>649319.74</v>
      </c>
      <c r="G30" t="str">
        <f>VLOOKUP(D30,Lookup!A$1:B$84,2,FALSE)</f>
        <v>OSS</v>
      </c>
    </row>
    <row r="31" spans="1:7" ht="14.25" outlineLevel="2">
      <c r="A31" s="4">
        <v>6</v>
      </c>
      <c r="B31" s="4">
        <v>2015</v>
      </c>
      <c r="C31" s="5" t="s">
        <v>70</v>
      </c>
      <c r="D31" s="5" t="s">
        <v>39</v>
      </c>
      <c r="E31" s="5" t="s">
        <v>104</v>
      </c>
      <c r="F31" s="6">
        <v>-71301.88</v>
      </c>
      <c r="G31" t="str">
        <f>VLOOKUP(D31,Lookup!A$1:B$84,2,FALSE)</f>
        <v>OSS</v>
      </c>
    </row>
    <row r="32" spans="1:7" ht="14.25" outlineLevel="2">
      <c r="A32" s="4">
        <v>6</v>
      </c>
      <c r="B32" s="4">
        <v>2015</v>
      </c>
      <c r="C32" s="5" t="s">
        <v>70</v>
      </c>
      <c r="D32" s="5" t="s">
        <v>44</v>
      </c>
      <c r="E32" s="5" t="s">
        <v>109</v>
      </c>
      <c r="F32" s="6">
        <v>-284493.26</v>
      </c>
      <c r="G32" t="str">
        <f>VLOOKUP(D32,Lookup!A$1:B$84,2,FALSE)</f>
        <v>OSS</v>
      </c>
    </row>
    <row r="33" spans="1:7" ht="14.25" outlineLevel="2">
      <c r="A33" s="4">
        <v>6</v>
      </c>
      <c r="B33" s="4">
        <v>2015</v>
      </c>
      <c r="C33" s="5" t="s">
        <v>70</v>
      </c>
      <c r="D33" s="5" t="s">
        <v>45</v>
      </c>
      <c r="E33" s="5" t="s">
        <v>110</v>
      </c>
      <c r="F33" s="6">
        <v>284493.26</v>
      </c>
      <c r="G33" t="str">
        <f>VLOOKUP(D33,Lookup!A$1:B$84,2,FALSE)</f>
        <v>OSS</v>
      </c>
    </row>
    <row r="34" spans="1:7" ht="14.25" outlineLevel="2">
      <c r="A34" s="4">
        <v>6</v>
      </c>
      <c r="B34" s="4">
        <v>2015</v>
      </c>
      <c r="C34" s="5" t="s">
        <v>70</v>
      </c>
      <c r="D34" s="5" t="s">
        <v>46</v>
      </c>
      <c r="E34" s="5" t="s">
        <v>111</v>
      </c>
      <c r="F34" s="6">
        <v>-13984.47</v>
      </c>
      <c r="G34" t="str">
        <f>VLOOKUP(D34,Lookup!A$1:B$84,2,FALSE)</f>
        <v>OSS</v>
      </c>
    </row>
    <row r="35" spans="1:7" ht="14.25" outlineLevel="2">
      <c r="A35" s="4">
        <v>6</v>
      </c>
      <c r="B35" s="4">
        <v>2015</v>
      </c>
      <c r="C35" s="5" t="s">
        <v>70</v>
      </c>
      <c r="D35" s="5" t="s">
        <v>47</v>
      </c>
      <c r="E35" s="5" t="s">
        <v>112</v>
      </c>
      <c r="F35" s="6">
        <v>59932.43</v>
      </c>
      <c r="G35" t="str">
        <f>VLOOKUP(D35,Lookup!A$1:B$84,2,FALSE)</f>
        <v>OSS</v>
      </c>
    </row>
    <row r="36" spans="1:7" ht="14.25" outlineLevel="2">
      <c r="A36" s="4">
        <v>6</v>
      </c>
      <c r="B36" s="4">
        <v>2015</v>
      </c>
      <c r="C36" s="5" t="s">
        <v>70</v>
      </c>
      <c r="D36" s="5" t="s">
        <v>48</v>
      </c>
      <c r="E36" s="5" t="s">
        <v>113</v>
      </c>
      <c r="F36" s="6">
        <v>-55032.52</v>
      </c>
      <c r="G36" t="str">
        <f>VLOOKUP(D36,Lookup!A$1:B$84,2,FALSE)</f>
        <v>OSS</v>
      </c>
    </row>
    <row r="37" spans="1:7" ht="14.25" outlineLevel="2">
      <c r="A37" s="4">
        <v>6</v>
      </c>
      <c r="B37" s="4">
        <v>2015</v>
      </c>
      <c r="C37" s="5" t="s">
        <v>70</v>
      </c>
      <c r="D37" s="5" t="s">
        <v>49</v>
      </c>
      <c r="E37" s="5" t="s">
        <v>114</v>
      </c>
      <c r="F37" s="6">
        <v>34465.37</v>
      </c>
      <c r="G37" t="str">
        <f>VLOOKUP(D37,Lookup!A$1:B$84,2,FALSE)</f>
        <v>OSS</v>
      </c>
    </row>
    <row r="38" spans="1:7" ht="14.25" outlineLevel="2">
      <c r="A38" s="4">
        <v>6</v>
      </c>
      <c r="B38" s="4">
        <v>2015</v>
      </c>
      <c r="C38" s="5" t="s">
        <v>70</v>
      </c>
      <c r="D38" s="5" t="s">
        <v>50</v>
      </c>
      <c r="E38" s="5" t="s">
        <v>115</v>
      </c>
      <c r="F38" s="6">
        <v>-6782</v>
      </c>
      <c r="G38" t="str">
        <f>VLOOKUP(D38,Lookup!A$1:B$84,2,FALSE)</f>
        <v>OSS</v>
      </c>
    </row>
    <row r="39" spans="1:7" ht="14.25" outlineLevel="2">
      <c r="A39" s="4">
        <v>6</v>
      </c>
      <c r="B39" s="4">
        <v>2015</v>
      </c>
      <c r="C39" s="5" t="s">
        <v>70</v>
      </c>
      <c r="D39" s="5" t="s">
        <v>51</v>
      </c>
      <c r="E39" s="5" t="s">
        <v>116</v>
      </c>
      <c r="F39" s="6">
        <v>-172.29</v>
      </c>
      <c r="G39" t="str">
        <f>VLOOKUP(D39,Lookup!A$1:B$84,2,FALSE)</f>
        <v>OSS</v>
      </c>
    </row>
    <row r="40" spans="1:7" ht="14.25" outlineLevel="2">
      <c r="A40" s="4">
        <v>6</v>
      </c>
      <c r="B40" s="4">
        <v>2015</v>
      </c>
      <c r="C40" s="5" t="s">
        <v>70</v>
      </c>
      <c r="D40" s="5" t="s">
        <v>53</v>
      </c>
      <c r="E40" s="5" t="s">
        <v>118</v>
      </c>
      <c r="F40" s="6">
        <v>21.34</v>
      </c>
      <c r="G40" t="str">
        <f>VLOOKUP(D40,Lookup!A$1:B$84,2,FALSE)</f>
        <v>OSS</v>
      </c>
    </row>
    <row r="41" spans="1:7" ht="14.25" outlineLevel="2">
      <c r="A41" s="4">
        <v>6</v>
      </c>
      <c r="B41" s="4">
        <v>2015</v>
      </c>
      <c r="C41" s="5" t="s">
        <v>68</v>
      </c>
      <c r="D41" s="5" t="s">
        <v>57</v>
      </c>
      <c r="E41" s="5" t="s">
        <v>121</v>
      </c>
      <c r="F41" s="6">
        <v>640.73</v>
      </c>
      <c r="G41" t="str">
        <f>VLOOKUP(D41,Lookup!A$1:B$84,2,FALSE)</f>
        <v>OSS</v>
      </c>
    </row>
    <row r="42" spans="1:7" ht="14.25" outlineLevel="2">
      <c r="A42" s="4">
        <v>6</v>
      </c>
      <c r="B42" s="4">
        <v>2015</v>
      </c>
      <c r="C42" s="5" t="s">
        <v>70</v>
      </c>
      <c r="D42" s="5" t="s">
        <v>58</v>
      </c>
      <c r="E42" s="5" t="s">
        <v>122</v>
      </c>
      <c r="F42" s="6">
        <v>12330.41</v>
      </c>
      <c r="G42" t="str">
        <f>VLOOKUP(D42,Lookup!A$1:B$84,2,FALSE)</f>
        <v>OSS</v>
      </c>
    </row>
    <row r="43" spans="1:7" ht="14.25" outlineLevel="2">
      <c r="A43" s="4">
        <v>6</v>
      </c>
      <c r="B43" s="4">
        <v>2015</v>
      </c>
      <c r="C43" s="5" t="s">
        <v>106</v>
      </c>
      <c r="D43" s="5" t="s">
        <v>59</v>
      </c>
      <c r="E43" s="5" t="s">
        <v>123</v>
      </c>
      <c r="F43" s="6">
        <v>0</v>
      </c>
      <c r="G43" t="str">
        <f>VLOOKUP(D43,Lookup!A$1:B$84,2,FALSE)</f>
        <v>OSS</v>
      </c>
    </row>
    <row r="44" spans="1:7" ht="14.25" outlineLevel="2">
      <c r="A44" s="4">
        <v>6</v>
      </c>
      <c r="B44" s="4">
        <v>2015</v>
      </c>
      <c r="C44" s="5" t="s">
        <v>70</v>
      </c>
      <c r="D44" s="5" t="s">
        <v>60</v>
      </c>
      <c r="E44" s="5" t="s">
        <v>124</v>
      </c>
      <c r="F44" s="6">
        <v>2674.53</v>
      </c>
      <c r="G44" t="str">
        <f>VLOOKUP(D44,Lookup!A$1:B$84,2,FALSE)</f>
        <v>OSS</v>
      </c>
    </row>
    <row r="45" spans="1:7" ht="14.25" outlineLevel="2">
      <c r="A45" s="4">
        <v>6</v>
      </c>
      <c r="B45" s="4">
        <v>2015</v>
      </c>
      <c r="C45" s="5" t="s">
        <v>70</v>
      </c>
      <c r="D45" s="5" t="s">
        <v>61</v>
      </c>
      <c r="E45" s="5" t="s">
        <v>125</v>
      </c>
      <c r="F45" s="6">
        <v>9695.17</v>
      </c>
      <c r="G45" t="str">
        <f>VLOOKUP(D45,Lookup!A$1:B$84,2,FALSE)</f>
        <v>OSS</v>
      </c>
    </row>
    <row r="46" spans="1:7" ht="14.25" outlineLevel="1">
      <c r="A46" s="4"/>
      <c r="B46" s="4"/>
      <c r="C46" s="5"/>
      <c r="D46" s="5"/>
      <c r="E46" s="5"/>
      <c r="F46" s="6">
        <f>SUBTOTAL(9,F20:F45)</f>
        <v>-2256061.7500000005</v>
      </c>
      <c r="G46" s="7" t="s">
        <v>129</v>
      </c>
    </row>
    <row r="47" spans="1:7" ht="14.25" outlineLevel="2">
      <c r="A47" s="4">
        <v>6</v>
      </c>
      <c r="B47" s="4">
        <v>2015</v>
      </c>
      <c r="C47" s="5" t="s">
        <v>68</v>
      </c>
      <c r="D47" s="5" t="s">
        <v>0</v>
      </c>
      <c r="E47" s="5" t="s">
        <v>69</v>
      </c>
      <c r="F47" s="6">
        <v>-8181333.12</v>
      </c>
      <c r="G47" t="str">
        <f>VLOOKUP(D47,Lookup!A$1:B$84,2,FALSE)</f>
        <v>Retail</v>
      </c>
    </row>
    <row r="48" spans="1:7" ht="14.25" outlineLevel="2">
      <c r="A48" s="4">
        <v>6</v>
      </c>
      <c r="B48" s="4">
        <v>2015</v>
      </c>
      <c r="C48" s="5" t="s">
        <v>70</v>
      </c>
      <c r="D48" s="5" t="s">
        <v>0</v>
      </c>
      <c r="E48" s="5" t="s">
        <v>69</v>
      </c>
      <c r="F48" s="6">
        <v>1195251.25</v>
      </c>
      <c r="G48" t="str">
        <f>VLOOKUP(D48,Lookup!A$1:B$84,2,FALSE)</f>
        <v>Retail</v>
      </c>
    </row>
    <row r="49" spans="1:7" ht="15" customHeight="1" outlineLevel="2">
      <c r="A49" s="4">
        <v>6</v>
      </c>
      <c r="B49" s="4">
        <v>2015</v>
      </c>
      <c r="C49" s="5" t="s">
        <v>68</v>
      </c>
      <c r="D49" s="5" t="s">
        <v>2</v>
      </c>
      <c r="E49" s="5" t="s">
        <v>71</v>
      </c>
      <c r="F49" s="6">
        <v>-4512564.64</v>
      </c>
      <c r="G49" t="str">
        <f>VLOOKUP(D49,Lookup!A$1:B$84,2,FALSE)</f>
        <v>Retail</v>
      </c>
    </row>
    <row r="50" spans="1:7" ht="14.25" outlineLevel="2">
      <c r="A50" s="4">
        <v>6</v>
      </c>
      <c r="B50" s="4">
        <v>2015</v>
      </c>
      <c r="C50" s="5" t="s">
        <v>70</v>
      </c>
      <c r="D50" s="5" t="s">
        <v>2</v>
      </c>
      <c r="E50" s="5" t="s">
        <v>71</v>
      </c>
      <c r="F50" s="6">
        <v>658207.36</v>
      </c>
      <c r="G50" t="str">
        <f>VLOOKUP(D50,Lookup!A$1:B$84,2,FALSE)</f>
        <v>Retail</v>
      </c>
    </row>
    <row r="51" spans="1:7" ht="14.25" outlineLevel="2">
      <c r="A51" s="4">
        <v>6</v>
      </c>
      <c r="B51" s="4">
        <v>2015</v>
      </c>
      <c r="C51" s="5" t="s">
        <v>68</v>
      </c>
      <c r="D51" s="5" t="s">
        <v>3</v>
      </c>
      <c r="E51" s="5" t="s">
        <v>72</v>
      </c>
      <c r="F51" s="6">
        <v>-3429259.82</v>
      </c>
      <c r="G51" t="str">
        <f>VLOOKUP(D51,Lookup!A$1:B$84,2,FALSE)</f>
        <v>Retail</v>
      </c>
    </row>
    <row r="52" spans="1:7" ht="14.25" outlineLevel="2">
      <c r="A52" s="4">
        <v>6</v>
      </c>
      <c r="B52" s="4">
        <v>2015</v>
      </c>
      <c r="C52" s="5" t="s">
        <v>68</v>
      </c>
      <c r="D52" s="5" t="s">
        <v>4</v>
      </c>
      <c r="E52" s="5" t="s">
        <v>73</v>
      </c>
      <c r="F52" s="6">
        <v>-6458092.05</v>
      </c>
      <c r="G52" t="str">
        <f>VLOOKUP(D52,Lookup!A$1:B$84,2,FALSE)</f>
        <v>Retail</v>
      </c>
    </row>
    <row r="53" spans="1:7" ht="14.25" outlineLevel="2">
      <c r="A53" s="4">
        <v>6</v>
      </c>
      <c r="B53" s="4">
        <v>2015</v>
      </c>
      <c r="C53" s="5" t="s">
        <v>70</v>
      </c>
      <c r="D53" s="5" t="s">
        <v>4</v>
      </c>
      <c r="E53" s="5" t="s">
        <v>73</v>
      </c>
      <c r="F53" s="6">
        <v>536347.65</v>
      </c>
      <c r="G53" t="str">
        <f>VLOOKUP(D53,Lookup!A$1:B$84,2,FALSE)</f>
        <v>Retail</v>
      </c>
    </row>
    <row r="54" spans="1:7" ht="14.25" outlineLevel="2">
      <c r="A54" s="4">
        <v>6</v>
      </c>
      <c r="B54" s="4">
        <v>2015</v>
      </c>
      <c r="C54" s="5" t="s">
        <v>68</v>
      </c>
      <c r="D54" s="5" t="s">
        <v>5</v>
      </c>
      <c r="E54" s="5" t="s">
        <v>74</v>
      </c>
      <c r="F54" s="6">
        <v>-5356163.63</v>
      </c>
      <c r="G54" t="str">
        <f>VLOOKUP(D54,Lookup!A$1:B$84,2,FALSE)</f>
        <v>Retail</v>
      </c>
    </row>
    <row r="55" spans="1:7" ht="14.25" outlineLevel="2">
      <c r="A55" s="4">
        <v>6</v>
      </c>
      <c r="B55" s="4">
        <v>2015</v>
      </c>
      <c r="C55" s="5" t="s">
        <v>70</v>
      </c>
      <c r="D55" s="5" t="s">
        <v>5</v>
      </c>
      <c r="E55" s="5" t="s">
        <v>74</v>
      </c>
      <c r="F55" s="6">
        <v>430983.16</v>
      </c>
      <c r="G55" t="str">
        <f>VLOOKUP(D55,Lookup!A$1:B$84,2,FALSE)</f>
        <v>Retail</v>
      </c>
    </row>
    <row r="56" spans="1:7" ht="14.25" outlineLevel="2">
      <c r="A56" s="4">
        <v>6</v>
      </c>
      <c r="B56" s="4">
        <v>2015</v>
      </c>
      <c r="C56" s="5" t="s">
        <v>68</v>
      </c>
      <c r="D56" s="5" t="s">
        <v>6</v>
      </c>
      <c r="E56" s="5" t="s">
        <v>75</v>
      </c>
      <c r="F56" s="6">
        <v>-2349594.2</v>
      </c>
      <c r="G56" t="str">
        <f>VLOOKUP(D56,Lookup!A$1:B$84,2,FALSE)</f>
        <v>Retail</v>
      </c>
    </row>
    <row r="57" spans="1:7" ht="14.25" outlineLevel="2">
      <c r="A57" s="4">
        <v>6</v>
      </c>
      <c r="B57" s="4">
        <v>2015</v>
      </c>
      <c r="C57" s="5" t="s">
        <v>70</v>
      </c>
      <c r="D57" s="5" t="s">
        <v>6</v>
      </c>
      <c r="E57" s="5" t="s">
        <v>75</v>
      </c>
      <c r="F57" s="6">
        <v>180776.21</v>
      </c>
      <c r="G57" t="str">
        <f>VLOOKUP(D57,Lookup!A$1:B$84,2,FALSE)</f>
        <v>Retail</v>
      </c>
    </row>
    <row r="58" spans="1:7" ht="14.25" outlineLevel="2">
      <c r="A58" s="4">
        <v>6</v>
      </c>
      <c r="B58" s="4">
        <v>2015</v>
      </c>
      <c r="C58" s="5" t="s">
        <v>68</v>
      </c>
      <c r="D58" s="5" t="s">
        <v>7</v>
      </c>
      <c r="E58" s="5" t="s">
        <v>76</v>
      </c>
      <c r="F58" s="6">
        <v>0</v>
      </c>
      <c r="G58" t="str">
        <f>VLOOKUP(D58,Lookup!A$1:B$84,2,FALSE)</f>
        <v>Retail</v>
      </c>
    </row>
    <row r="59" spans="1:7" ht="14.25" outlineLevel="2">
      <c r="A59" s="4">
        <v>6</v>
      </c>
      <c r="B59" s="4">
        <v>2015</v>
      </c>
      <c r="C59" s="5" t="s">
        <v>68</v>
      </c>
      <c r="D59" s="5" t="s">
        <v>8</v>
      </c>
      <c r="E59" s="5" t="s">
        <v>77</v>
      </c>
      <c r="F59" s="6">
        <v>-1118616.16</v>
      </c>
      <c r="G59" t="str">
        <f>VLOOKUP(D59,Lookup!A$1:B$84,2,FALSE)</f>
        <v>Retail</v>
      </c>
    </row>
    <row r="60" spans="1:7" ht="14.25" outlineLevel="2">
      <c r="A60" s="4">
        <v>6</v>
      </c>
      <c r="B60" s="4">
        <v>2015</v>
      </c>
      <c r="C60" s="5" t="s">
        <v>70</v>
      </c>
      <c r="D60" s="5" t="s">
        <v>8</v>
      </c>
      <c r="E60" s="5" t="s">
        <v>77</v>
      </c>
      <c r="F60" s="6">
        <v>90889.68</v>
      </c>
      <c r="G60" t="str">
        <f>VLOOKUP(D60,Lookup!A$1:B$84,2,FALSE)</f>
        <v>Retail</v>
      </c>
    </row>
    <row r="61" spans="1:7" ht="14.25" outlineLevel="2">
      <c r="A61" s="4">
        <v>6</v>
      </c>
      <c r="B61" s="4">
        <v>2015</v>
      </c>
      <c r="C61" s="5" t="s">
        <v>68</v>
      </c>
      <c r="D61" s="5" t="s">
        <v>9</v>
      </c>
      <c r="E61" s="5" t="s">
        <v>78</v>
      </c>
      <c r="F61" s="6">
        <v>-1230434.35</v>
      </c>
      <c r="G61" t="str">
        <f>VLOOKUP(D61,Lookup!A$1:B$84,2,FALSE)</f>
        <v>Retail</v>
      </c>
    </row>
    <row r="62" spans="1:7" ht="14.25" outlineLevel="2">
      <c r="A62" s="4">
        <v>6</v>
      </c>
      <c r="B62" s="4">
        <v>2015</v>
      </c>
      <c r="C62" s="5" t="s">
        <v>70</v>
      </c>
      <c r="D62" s="5" t="s">
        <v>9</v>
      </c>
      <c r="E62" s="5" t="s">
        <v>78</v>
      </c>
      <c r="F62" s="6">
        <v>109504.75</v>
      </c>
      <c r="G62" t="str">
        <f>VLOOKUP(D62,Lookup!A$1:B$84,2,FALSE)</f>
        <v>Retail</v>
      </c>
    </row>
    <row r="63" spans="1:7" ht="14.25" outlineLevel="2">
      <c r="A63" s="4">
        <v>6</v>
      </c>
      <c r="B63" s="4">
        <v>2015</v>
      </c>
      <c r="C63" s="5" t="s">
        <v>68</v>
      </c>
      <c r="D63" s="5" t="s">
        <v>10</v>
      </c>
      <c r="E63" s="5" t="s">
        <v>79</v>
      </c>
      <c r="F63" s="6">
        <v>-2499839.58</v>
      </c>
      <c r="G63" t="str">
        <f>VLOOKUP(D63,Lookup!A$1:B$84,2,FALSE)</f>
        <v>Retail</v>
      </c>
    </row>
    <row r="64" spans="1:7" ht="14.25" outlineLevel="2">
      <c r="A64" s="4">
        <v>6</v>
      </c>
      <c r="B64" s="4">
        <v>2015</v>
      </c>
      <c r="C64" s="5" t="s">
        <v>68</v>
      </c>
      <c r="D64" s="5" t="s">
        <v>11</v>
      </c>
      <c r="E64" s="5" t="s">
        <v>80</v>
      </c>
      <c r="F64" s="6">
        <v>-5221046.36</v>
      </c>
      <c r="G64" t="str">
        <f>VLOOKUP(D64,Lookup!A$1:B$84,2,FALSE)</f>
        <v>Retail</v>
      </c>
    </row>
    <row r="65" spans="1:7" ht="14.25" outlineLevel="2">
      <c r="A65" s="4">
        <v>6</v>
      </c>
      <c r="B65" s="4">
        <v>2015</v>
      </c>
      <c r="C65" s="5" t="s">
        <v>68</v>
      </c>
      <c r="D65" s="5" t="s">
        <v>12</v>
      </c>
      <c r="E65" s="5" t="s">
        <v>81</v>
      </c>
      <c r="F65" s="6">
        <v>0</v>
      </c>
      <c r="G65" t="str">
        <f>VLOOKUP(D65,Lookup!A$1:B$84,2,FALSE)</f>
        <v>Retail</v>
      </c>
    </row>
    <row r="66" spans="1:7" ht="14.25" outlineLevel="2">
      <c r="A66" s="4">
        <v>6</v>
      </c>
      <c r="B66" s="4">
        <v>2015</v>
      </c>
      <c r="C66" s="5" t="s">
        <v>68</v>
      </c>
      <c r="D66" s="5" t="s">
        <v>13</v>
      </c>
      <c r="E66" s="5" t="s">
        <v>82</v>
      </c>
      <c r="F66" s="6">
        <v>-109636.45</v>
      </c>
      <c r="G66" t="str">
        <f>VLOOKUP(D66,Lookup!A$1:B$84,2,FALSE)</f>
        <v>Retail</v>
      </c>
    </row>
    <row r="67" spans="1:7" ht="14.25" outlineLevel="2">
      <c r="A67" s="4">
        <v>6</v>
      </c>
      <c r="B67" s="4">
        <v>2015</v>
      </c>
      <c r="C67" s="5" t="s">
        <v>70</v>
      </c>
      <c r="D67" s="5" t="s">
        <v>13</v>
      </c>
      <c r="E67" s="5" t="s">
        <v>82</v>
      </c>
      <c r="F67" s="6">
        <v>6160.6</v>
      </c>
      <c r="G67" t="str">
        <f>VLOOKUP(D67,Lookup!A$1:B$84,2,FALSE)</f>
        <v>Retail</v>
      </c>
    </row>
    <row r="68" spans="1:7" ht="14.25" outlineLevel="2">
      <c r="A68" s="4">
        <v>6</v>
      </c>
      <c r="B68" s="4">
        <v>2015</v>
      </c>
      <c r="C68" s="5" t="s">
        <v>68</v>
      </c>
      <c r="D68" s="5" t="s">
        <v>14</v>
      </c>
      <c r="E68" s="5" t="s">
        <v>83</v>
      </c>
      <c r="F68" s="6">
        <v>-14901.12</v>
      </c>
      <c r="G68" t="str">
        <f>VLOOKUP(D68,Lookup!A$1:B$84,2,FALSE)</f>
        <v>Retail</v>
      </c>
    </row>
    <row r="69" spans="1:7" ht="14.25" outlineLevel="1">
      <c r="A69" s="4"/>
      <c r="B69" s="4"/>
      <c r="C69" s="5"/>
      <c r="D69" s="5"/>
      <c r="E69" s="5"/>
      <c r="F69" s="6">
        <f>SUBTOTAL(9,F47:F68)</f>
        <v>-37273360.82</v>
      </c>
      <c r="G69" s="7" t="s">
        <v>130</v>
      </c>
    </row>
    <row r="70" spans="1:7" ht="14.25">
      <c r="A70" s="4"/>
      <c r="B70" s="4"/>
      <c r="C70" s="5"/>
      <c r="D70" s="5"/>
      <c r="E70" s="5"/>
      <c r="F70" s="6">
        <f>SUBTOTAL(9,F2:F68)</f>
        <v>-42307700.669999994</v>
      </c>
      <c r="G70" s="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34"/>
  <sheetViews>
    <sheetView view="pageBreakPreview" zoomScale="60" zoomScalePageLayoutView="0" workbookViewId="0" topLeftCell="A1">
      <pane ySplit="12" topLeftCell="A13" activePane="bottomLeft" state="frozen"/>
      <selection pane="topLeft" activeCell="M33" sqref="M33"/>
      <selection pane="bottomLeft" activeCell="M33" sqref="M33"/>
    </sheetView>
  </sheetViews>
  <sheetFormatPr defaultColWidth="9.140625" defaultRowHeight="15"/>
  <cols>
    <col min="1" max="1" width="3.7109375" style="12" customWidth="1"/>
    <col min="2" max="2" width="4.421875" style="11" bestFit="1" customWidth="1"/>
    <col min="3" max="3" width="0.71875" style="11" customWidth="1"/>
    <col min="4" max="4" width="1.28515625" style="11" customWidth="1"/>
    <col min="5" max="5" width="35.7109375" style="12" customWidth="1"/>
    <col min="6" max="6" width="0.2890625" style="12" customWidth="1"/>
    <col min="7" max="7" width="30.7109375" style="12" customWidth="1"/>
    <col min="8" max="8" width="0.2890625" style="12" customWidth="1"/>
    <col min="9" max="9" width="22.7109375" style="12" customWidth="1"/>
    <col min="10" max="10" width="21.7109375" style="12" customWidth="1"/>
    <col min="11" max="11" width="0.2890625" style="12" customWidth="1"/>
    <col min="12" max="12" width="17.28125" style="12" customWidth="1"/>
    <col min="13" max="13" width="14.421875" style="12" bestFit="1" customWidth="1"/>
    <col min="14" max="14" width="14.28125" style="12" customWidth="1"/>
    <col min="15" max="16384" width="8.8515625" style="12" customWidth="1"/>
  </cols>
  <sheetData>
    <row r="1" ht="12.75">
      <c r="I1" s="13" t="s">
        <v>134</v>
      </c>
    </row>
    <row r="4" spans="2:15" ht="12.75">
      <c r="B4" s="277" t="s">
        <v>135</v>
      </c>
      <c r="C4" s="277"/>
      <c r="D4" s="277"/>
      <c r="E4" s="277"/>
      <c r="F4" s="277"/>
      <c r="G4" s="277"/>
      <c r="H4" s="277"/>
      <c r="I4" s="277"/>
      <c r="J4" s="15"/>
      <c r="K4" s="15"/>
      <c r="L4" s="15"/>
      <c r="M4" s="15"/>
      <c r="N4" s="15"/>
      <c r="O4" s="15"/>
    </row>
    <row r="5" spans="2:15" ht="12.75">
      <c r="B5" s="278" t="s">
        <v>136</v>
      </c>
      <c r="C5" s="278"/>
      <c r="D5" s="278"/>
      <c r="E5" s="278"/>
      <c r="F5" s="278"/>
      <c r="G5" s="278"/>
      <c r="H5" s="278"/>
      <c r="I5" s="278"/>
      <c r="J5" s="15"/>
      <c r="K5" s="15"/>
      <c r="L5" s="15"/>
      <c r="M5" s="15"/>
      <c r="N5" s="15"/>
      <c r="O5" s="15"/>
    </row>
    <row r="6" spans="2:15" ht="12.75">
      <c r="B6" s="278" t="s">
        <v>137</v>
      </c>
      <c r="C6" s="278"/>
      <c r="D6" s="278"/>
      <c r="E6" s="278"/>
      <c r="F6" s="278"/>
      <c r="G6" s="278"/>
      <c r="H6" s="278"/>
      <c r="I6" s="278"/>
      <c r="J6" s="15"/>
      <c r="K6" s="15"/>
      <c r="L6" s="15"/>
      <c r="M6" s="15"/>
      <c r="N6" s="15"/>
      <c r="O6" s="15"/>
    </row>
    <row r="7" spans="2:15" ht="12.75">
      <c r="B7" s="279" t="s">
        <v>138</v>
      </c>
      <c r="C7" s="279"/>
      <c r="D7" s="279"/>
      <c r="E7" s="279"/>
      <c r="F7" s="279"/>
      <c r="G7" s="279"/>
      <c r="H7" s="279"/>
      <c r="I7" s="279"/>
      <c r="J7" s="15"/>
      <c r="K7" s="15"/>
      <c r="L7" s="15"/>
      <c r="M7" s="15"/>
      <c r="N7" s="15"/>
      <c r="O7" s="15"/>
    </row>
    <row r="8" spans="6:15" ht="12.75">
      <c r="F8" s="15"/>
      <c r="G8" s="17"/>
      <c r="H8" s="15"/>
      <c r="I8" s="15"/>
      <c r="J8" s="15"/>
      <c r="K8" s="15"/>
      <c r="L8" s="15"/>
      <c r="M8" s="15"/>
      <c r="N8" s="15"/>
      <c r="O8" s="15"/>
    </row>
    <row r="9" spans="2:15" ht="12.75">
      <c r="B9" s="280" t="str">
        <f>+'[8]ES 1.0'!E7</f>
        <v>For the Expense Month of June 2015</v>
      </c>
      <c r="C9" s="280"/>
      <c r="D9" s="280"/>
      <c r="E9" s="280"/>
      <c r="F9" s="280"/>
      <c r="G9" s="280"/>
      <c r="H9" s="280"/>
      <c r="I9" s="280"/>
      <c r="J9" s="15"/>
      <c r="K9" s="15"/>
      <c r="L9" s="15"/>
      <c r="M9" s="15"/>
      <c r="N9" s="15"/>
      <c r="O9" s="15"/>
    </row>
    <row r="10" spans="6:15" ht="12.75"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2:15" ht="12.75">
      <c r="B11" s="281" t="s">
        <v>139</v>
      </c>
      <c r="C11" s="281"/>
      <c r="D11" s="281"/>
      <c r="E11" s="281"/>
      <c r="F11" s="281"/>
      <c r="G11" s="281"/>
      <c r="H11" s="281"/>
      <c r="I11" s="281"/>
      <c r="J11" s="15"/>
      <c r="K11" s="15"/>
      <c r="L11" s="15"/>
      <c r="M11" s="15"/>
      <c r="N11" s="15"/>
      <c r="O11" s="15"/>
    </row>
    <row r="12" ht="13.5" thickBot="1"/>
    <row r="13" spans="2:12" ht="30" customHeight="1" thickBot="1">
      <c r="B13" s="18" t="s">
        <v>140</v>
      </c>
      <c r="C13" s="19"/>
      <c r="D13" s="20"/>
      <c r="E13" s="21" t="s">
        <v>141</v>
      </c>
      <c r="F13" s="22"/>
      <c r="G13" s="23" t="s">
        <v>142</v>
      </c>
      <c r="H13" s="24"/>
      <c r="I13" s="25" t="s">
        <v>143</v>
      </c>
      <c r="J13" s="23" t="s">
        <v>168</v>
      </c>
      <c r="K13" s="24"/>
      <c r="L13" s="25" t="s">
        <v>169</v>
      </c>
    </row>
    <row r="14" spans="2:13" ht="18" customHeight="1">
      <c r="B14" s="26"/>
      <c r="C14" s="27"/>
      <c r="D14" s="28"/>
      <c r="E14" s="29"/>
      <c r="F14" s="30"/>
      <c r="G14" s="31"/>
      <c r="H14" s="32"/>
      <c r="I14" s="33"/>
      <c r="J14" s="31"/>
      <c r="K14" s="32"/>
      <c r="L14" s="33"/>
      <c r="M14" s="34"/>
    </row>
    <row r="15" spans="2:12" ht="12.75">
      <c r="B15" s="35">
        <v>1</v>
      </c>
      <c r="C15" s="36"/>
      <c r="D15" s="37"/>
      <c r="E15" s="38" t="s">
        <v>144</v>
      </c>
      <c r="F15" s="39"/>
      <c r="G15" s="40">
        <v>37273361</v>
      </c>
      <c r="H15" s="41"/>
      <c r="I15" s="42">
        <f>ROUND(G15/$G$20,3)</f>
        <v>0.887</v>
      </c>
      <c r="J15" s="40">
        <f>-'June 2015'!F69</f>
        <v>37273360.82</v>
      </c>
      <c r="K15" s="41"/>
      <c r="L15" s="42">
        <f>ROUND(J15/$J$20,3)-0.001</f>
        <v>0.883</v>
      </c>
    </row>
    <row r="16" spans="2:12" ht="12.75">
      <c r="B16" s="35">
        <f>+B15+1</f>
        <v>2</v>
      </c>
      <c r="C16" s="36"/>
      <c r="D16" s="37"/>
      <c r="E16" s="38" t="s">
        <v>145</v>
      </c>
      <c r="F16" s="39"/>
      <c r="G16" s="40">
        <v>2268791</v>
      </c>
      <c r="H16" s="43"/>
      <c r="I16" s="44">
        <f>ROUND(G16/$G$20,3)</f>
        <v>0.054</v>
      </c>
      <c r="J16" s="40">
        <f>-'June 2015'!F8</f>
        <v>2268791.1399999997</v>
      </c>
      <c r="K16" s="43"/>
      <c r="L16" s="42">
        <f>ROUND(J16/$J$20,3)</f>
        <v>0.054</v>
      </c>
    </row>
    <row r="17" spans="2:13" ht="12.75">
      <c r="B17" s="35">
        <f>+B16+1</f>
        <v>3</v>
      </c>
      <c r="C17" s="36"/>
      <c r="D17" s="37"/>
      <c r="E17" s="38" t="s">
        <v>147</v>
      </c>
      <c r="F17" s="39"/>
      <c r="G17" s="46">
        <v>0</v>
      </c>
      <c r="H17" s="43"/>
      <c r="I17" s="44">
        <f>ROUND(G17/$G$20,3)</f>
        <v>0</v>
      </c>
      <c r="J17" s="46">
        <f>-'June 2015'!F3</f>
        <v>365739.86</v>
      </c>
      <c r="K17" s="43"/>
      <c r="L17" s="42">
        <f>ROUND(J17/$J$20,3)</f>
        <v>0.009</v>
      </c>
      <c r="M17" s="12" t="s">
        <v>174</v>
      </c>
    </row>
    <row r="18" spans="2:12" ht="12.75">
      <c r="B18" s="35">
        <f>+B17+1</f>
        <v>4</v>
      </c>
      <c r="C18" s="36"/>
      <c r="D18" s="37"/>
      <c r="E18" s="38" t="s">
        <v>148</v>
      </c>
      <c r="F18" s="39"/>
      <c r="G18" s="46">
        <v>2473971</v>
      </c>
      <c r="H18" s="43"/>
      <c r="I18" s="44">
        <f>ROUND(G18/$G$20,3)</f>
        <v>0.059</v>
      </c>
      <c r="J18" s="46">
        <f>-'June 2015'!F46</f>
        <v>2256061.7500000005</v>
      </c>
      <c r="K18" s="43"/>
      <c r="L18" s="42">
        <f>ROUND(J18/$J$20,3)</f>
        <v>0.054</v>
      </c>
    </row>
    <row r="19" spans="2:12" ht="12.75" customHeight="1">
      <c r="B19" s="35"/>
      <c r="C19" s="36"/>
      <c r="D19" s="37"/>
      <c r="E19" s="38"/>
      <c r="F19" s="39"/>
      <c r="G19" s="47" t="s">
        <v>149</v>
      </c>
      <c r="H19" s="48"/>
      <c r="I19" s="49" t="s">
        <v>149</v>
      </c>
      <c r="J19" s="47" t="s">
        <v>149</v>
      </c>
      <c r="K19" s="48"/>
      <c r="L19" s="49" t="s">
        <v>149</v>
      </c>
    </row>
    <row r="20" spans="2:12" ht="12.75">
      <c r="B20" s="35">
        <f>+B18+1</f>
        <v>5</v>
      </c>
      <c r="C20" s="36"/>
      <c r="D20" s="37"/>
      <c r="E20" s="50" t="s">
        <v>150</v>
      </c>
      <c r="F20" s="51"/>
      <c r="G20" s="46">
        <f>SUM(G15:G18)</f>
        <v>42016123</v>
      </c>
      <c r="H20" s="43"/>
      <c r="I20" s="44">
        <f>SUM(I15:I18)</f>
        <v>1</v>
      </c>
      <c r="J20" s="46">
        <f>SUM(J15:J18)</f>
        <v>42163953.57</v>
      </c>
      <c r="K20" s="43"/>
      <c r="L20" s="44">
        <f>SUM(L15:L18)</f>
        <v>1</v>
      </c>
    </row>
    <row r="21" spans="2:12" ht="12.75">
      <c r="B21" s="35"/>
      <c r="C21" s="36"/>
      <c r="D21" s="37"/>
      <c r="E21" s="50"/>
      <c r="F21" s="51"/>
      <c r="G21" s="46"/>
      <c r="H21" s="43"/>
      <c r="I21" s="44"/>
      <c r="J21" s="46"/>
      <c r="K21" s="43"/>
      <c r="L21" s="44"/>
    </row>
    <row r="22" spans="2:12" ht="12.75">
      <c r="B22" s="35">
        <f>+B20+1</f>
        <v>6</v>
      </c>
      <c r="C22" s="36"/>
      <c r="D22" s="37"/>
      <c r="E22" s="50" t="s">
        <v>151</v>
      </c>
      <c r="F22" s="51"/>
      <c r="G22" s="46">
        <v>291578</v>
      </c>
      <c r="H22" s="43"/>
      <c r="I22" s="44"/>
      <c r="J22" s="52">
        <f>-'June 2015'!F19</f>
        <v>143747.1000000001</v>
      </c>
      <c r="K22" s="43"/>
      <c r="L22" s="44"/>
    </row>
    <row r="23" spans="2:12" ht="12.75">
      <c r="B23" s="53"/>
      <c r="C23" s="54"/>
      <c r="D23" s="55"/>
      <c r="E23" s="38"/>
      <c r="F23" s="39"/>
      <c r="G23" s="56"/>
      <c r="H23" s="57"/>
      <c r="I23" s="58"/>
      <c r="J23" s="56"/>
      <c r="K23" s="57"/>
      <c r="L23" s="58"/>
    </row>
    <row r="24" spans="2:12" ht="13.5" thickBot="1">
      <c r="B24" s="35">
        <f>+B22+1</f>
        <v>7</v>
      </c>
      <c r="C24" s="59"/>
      <c r="D24" s="55"/>
      <c r="E24" s="38" t="s">
        <v>152</v>
      </c>
      <c r="F24" s="39"/>
      <c r="G24" s="46">
        <f>+G20+G22</f>
        <v>42307701</v>
      </c>
      <c r="H24" s="57"/>
      <c r="I24" s="58"/>
      <c r="J24" s="46">
        <f>+J20+J22</f>
        <v>42307700.67</v>
      </c>
      <c r="K24" s="57"/>
      <c r="L24" s="58"/>
    </row>
    <row r="25" spans="2:12" ht="13.5" thickBot="1">
      <c r="B25" s="60"/>
      <c r="C25" s="59"/>
      <c r="D25" s="61"/>
      <c r="E25" s="62"/>
      <c r="F25" s="63"/>
      <c r="G25" s="64"/>
      <c r="H25" s="65"/>
      <c r="I25" s="66"/>
      <c r="J25" s="64"/>
      <c r="K25" s="65"/>
      <c r="L25" s="66"/>
    </row>
    <row r="26" ht="15" customHeight="1">
      <c r="D26" s="67"/>
    </row>
    <row r="29" ht="12.75">
      <c r="A29" s="12" t="s">
        <v>175</v>
      </c>
    </row>
    <row r="34" ht="12.75">
      <c r="Q34" s="12" t="s">
        <v>146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6">
      <selection activeCell="G2" sqref="G2"/>
    </sheetView>
  </sheetViews>
  <sheetFormatPr defaultColWidth="9.140625" defaultRowHeight="15" outlineLevelRow="2"/>
  <cols>
    <col min="1" max="1" width="3.8515625" style="0" customWidth="1"/>
    <col min="2" max="2" width="5.8515625" style="0" customWidth="1"/>
    <col min="3" max="3" width="4.8515625" style="0" bestFit="1" customWidth="1"/>
    <col min="4" max="4" width="8.57421875" style="0" bestFit="1" customWidth="1"/>
    <col min="5" max="5" width="28.140625" style="0" bestFit="1" customWidth="1"/>
    <col min="6" max="6" width="12.8515625" style="0" bestFit="1" customWidth="1"/>
    <col min="7" max="10" width="29.28125" style="0" customWidth="1"/>
    <col min="11" max="36" width="28.28125" style="0" customWidth="1"/>
  </cols>
  <sheetData>
    <row r="1" spans="1:6" ht="26.25" thickBot="1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</row>
    <row r="2" spans="1:7" ht="14.25" outlineLevel="2">
      <c r="A2" s="4">
        <v>7</v>
      </c>
      <c r="B2" s="4">
        <v>2015</v>
      </c>
      <c r="C2" s="5" t="s">
        <v>70</v>
      </c>
      <c r="D2" s="5" t="s">
        <v>17</v>
      </c>
      <c r="E2" s="5" t="s">
        <v>86</v>
      </c>
      <c r="F2" s="6">
        <v>-1074609.03</v>
      </c>
      <c r="G2" t="str">
        <f>VLOOKUP(D2,Lookup!A$1:B$84,2,FALSE)</f>
        <v>Associated</v>
      </c>
    </row>
    <row r="3" spans="1:7" ht="14.25" outlineLevel="1">
      <c r="A3" s="4"/>
      <c r="B3" s="4"/>
      <c r="C3" s="5"/>
      <c r="D3" s="5"/>
      <c r="E3" s="5"/>
      <c r="F3" s="6">
        <f>SUBTOTAL(9,F2:F2)</f>
        <v>-1074609.03</v>
      </c>
      <c r="G3" s="7" t="s">
        <v>126</v>
      </c>
    </row>
    <row r="4" spans="1:7" ht="14.25" outlineLevel="2">
      <c r="A4" s="4">
        <v>7</v>
      </c>
      <c r="B4" s="4">
        <v>2015</v>
      </c>
      <c r="C4" s="5" t="s">
        <v>70</v>
      </c>
      <c r="D4" s="5" t="s">
        <v>22</v>
      </c>
      <c r="E4" s="5" t="s">
        <v>89</v>
      </c>
      <c r="F4" s="6">
        <v>-260162.46</v>
      </c>
      <c r="G4" t="str">
        <f>VLOOKUP(D4,Lookup!A$1:B$84,2,FALSE)</f>
        <v>FERC</v>
      </c>
    </row>
    <row r="5" spans="1:7" ht="14.25" outlineLevel="2">
      <c r="A5" s="4">
        <v>7</v>
      </c>
      <c r="B5" s="4">
        <v>2015</v>
      </c>
      <c r="C5" s="5" t="s">
        <v>70</v>
      </c>
      <c r="D5" s="5" t="s">
        <v>24</v>
      </c>
      <c r="E5" s="5" t="s">
        <v>90</v>
      </c>
      <c r="F5" s="6">
        <v>-363524.54</v>
      </c>
      <c r="G5" t="str">
        <f>VLOOKUP(D5,Lookup!A$1:B$84,2,FALSE)</f>
        <v>FERC</v>
      </c>
    </row>
    <row r="6" spans="1:7" ht="14.25" outlineLevel="2">
      <c r="A6" s="4">
        <v>7</v>
      </c>
      <c r="B6" s="4">
        <v>2015</v>
      </c>
      <c r="C6" s="5" t="s">
        <v>70</v>
      </c>
      <c r="D6" s="5" t="s">
        <v>40</v>
      </c>
      <c r="E6" s="5" t="s">
        <v>105</v>
      </c>
      <c r="F6" s="6">
        <v>90360.6</v>
      </c>
      <c r="G6" t="str">
        <f>VLOOKUP(D6,Lookup!A$1:B$84,2,FALSE)</f>
        <v>FERC</v>
      </c>
    </row>
    <row r="7" spans="1:7" ht="14.25" outlineLevel="2">
      <c r="A7" s="4">
        <v>7</v>
      </c>
      <c r="B7" s="4">
        <v>2015</v>
      </c>
      <c r="C7" s="5" t="s">
        <v>106</v>
      </c>
      <c r="D7" s="5" t="s">
        <v>40</v>
      </c>
      <c r="E7" s="5" t="s">
        <v>105</v>
      </c>
      <c r="F7" s="6">
        <v>-92675.01</v>
      </c>
      <c r="G7" t="str">
        <f>VLOOKUP(D7,Lookup!A$1:B$84,2,FALSE)</f>
        <v>FERC</v>
      </c>
    </row>
    <row r="8" spans="1:7" ht="14.25" outlineLevel="1">
      <c r="A8" s="4"/>
      <c r="B8" s="4"/>
      <c r="C8" s="5"/>
      <c r="D8" s="5"/>
      <c r="E8" s="5"/>
      <c r="F8" s="6">
        <f>SUBTOTAL(9,F4:F7)</f>
        <v>-626001.41</v>
      </c>
      <c r="G8" s="7" t="s">
        <v>127</v>
      </c>
    </row>
    <row r="9" spans="1:7" ht="14.25" outlineLevel="2">
      <c r="A9" s="4">
        <v>7</v>
      </c>
      <c r="B9" s="4">
        <v>2015</v>
      </c>
      <c r="C9" s="5" t="s">
        <v>70</v>
      </c>
      <c r="D9" s="5" t="s">
        <v>19</v>
      </c>
      <c r="E9" s="5" t="s">
        <v>87</v>
      </c>
      <c r="F9" s="6">
        <v>-1540011.97</v>
      </c>
      <c r="G9" t="str">
        <f>VLOOKUP(D9,Lookup!A$1:B$84,2,FALSE)</f>
        <v>Non-Physical</v>
      </c>
    </row>
    <row r="10" spans="1:7" ht="14.25" outlineLevel="2">
      <c r="A10" s="4">
        <v>7</v>
      </c>
      <c r="B10" s="4">
        <v>2015</v>
      </c>
      <c r="C10" s="5" t="s">
        <v>70</v>
      </c>
      <c r="D10" s="5" t="s">
        <v>21</v>
      </c>
      <c r="E10" s="5" t="s">
        <v>88</v>
      </c>
      <c r="F10" s="6">
        <v>1157897.47</v>
      </c>
      <c r="G10" t="str">
        <f>VLOOKUP(D10,Lookup!A$1:B$84,2,FALSE)</f>
        <v>Non-Physical</v>
      </c>
    </row>
    <row r="11" spans="1:7" ht="14.25" outlineLevel="2">
      <c r="A11" s="4">
        <v>7</v>
      </c>
      <c r="B11" s="4">
        <v>2015</v>
      </c>
      <c r="C11" s="5" t="s">
        <v>70</v>
      </c>
      <c r="D11" s="5" t="s">
        <v>25</v>
      </c>
      <c r="E11" s="5" t="s">
        <v>91</v>
      </c>
      <c r="F11" s="6">
        <v>294.85</v>
      </c>
      <c r="G11" t="str">
        <f>VLOOKUP(D11,Lookup!A$1:B$84,2,FALSE)</f>
        <v>Non-Physical</v>
      </c>
    </row>
    <row r="12" spans="1:7" ht="14.25" outlineLevel="2">
      <c r="A12" s="4">
        <v>7</v>
      </c>
      <c r="B12" s="4">
        <v>2015</v>
      </c>
      <c r="C12" s="5" t="s">
        <v>70</v>
      </c>
      <c r="D12" s="5" t="s">
        <v>26</v>
      </c>
      <c r="E12" s="5" t="s">
        <v>92</v>
      </c>
      <c r="F12" s="6">
        <v>403326.73</v>
      </c>
      <c r="G12" t="str">
        <f>VLOOKUP(D12,Lookup!A$1:B$84,2,FALSE)</f>
        <v>Non-Physical</v>
      </c>
    </row>
    <row r="13" spans="1:7" ht="14.25" outlineLevel="2">
      <c r="A13" s="4">
        <v>7</v>
      </c>
      <c r="B13" s="4">
        <v>2015</v>
      </c>
      <c r="C13" s="5" t="s">
        <v>70</v>
      </c>
      <c r="D13" s="5" t="s">
        <v>41</v>
      </c>
      <c r="E13" s="5" t="s">
        <v>107</v>
      </c>
      <c r="F13" s="6">
        <v>-304956.03</v>
      </c>
      <c r="G13" t="str">
        <f>VLOOKUP(D13,Lookup!A$1:B$84,2,FALSE)</f>
        <v>Non-Physical</v>
      </c>
    </row>
    <row r="14" spans="1:7" ht="14.25" outlineLevel="2">
      <c r="A14" s="4">
        <v>7</v>
      </c>
      <c r="B14" s="4">
        <v>2015</v>
      </c>
      <c r="C14" s="5" t="s">
        <v>70</v>
      </c>
      <c r="D14" s="5" t="s">
        <v>43</v>
      </c>
      <c r="E14" s="5" t="s">
        <v>108</v>
      </c>
      <c r="F14" s="6">
        <v>1821.06</v>
      </c>
      <c r="G14" t="str">
        <f>VLOOKUP(D14,Lookup!A$1:B$84,2,FALSE)</f>
        <v>Non-Physical</v>
      </c>
    </row>
    <row r="15" spans="1:7" ht="14.25" outlineLevel="2">
      <c r="A15" s="4">
        <v>7</v>
      </c>
      <c r="B15" s="4">
        <v>2015</v>
      </c>
      <c r="C15" s="5" t="s">
        <v>70</v>
      </c>
      <c r="D15" s="5" t="s">
        <v>55</v>
      </c>
      <c r="E15" s="5" t="s">
        <v>119</v>
      </c>
      <c r="F15" s="6">
        <v>4519.38</v>
      </c>
      <c r="G15" t="str">
        <f>VLOOKUP(D15,Lookup!A$1:B$84,2,FALSE)</f>
        <v>Non-Physical</v>
      </c>
    </row>
    <row r="16" spans="1:7" ht="14.25" outlineLevel="2">
      <c r="A16" s="4">
        <v>7</v>
      </c>
      <c r="B16" s="4">
        <v>2015</v>
      </c>
      <c r="C16" s="5" t="s">
        <v>70</v>
      </c>
      <c r="D16" s="5" t="s">
        <v>56</v>
      </c>
      <c r="E16" s="5" t="s">
        <v>120</v>
      </c>
      <c r="F16" s="6">
        <v>200754.89</v>
      </c>
      <c r="G16" t="str">
        <f>VLOOKUP(D16,Lookup!A$1:B$84,2,FALSE)</f>
        <v>Non-Physical</v>
      </c>
    </row>
    <row r="17" spans="1:7" ht="14.25" outlineLevel="1">
      <c r="A17" s="4"/>
      <c r="B17" s="4"/>
      <c r="C17" s="5"/>
      <c r="D17" s="5"/>
      <c r="E17" s="5"/>
      <c r="F17" s="6">
        <f>SUBTOTAL(9,F9:F16)</f>
        <v>-76353.62000000005</v>
      </c>
      <c r="G17" s="7" t="s">
        <v>128</v>
      </c>
    </row>
    <row r="18" spans="1:7" ht="14.25" outlineLevel="2">
      <c r="A18" s="4">
        <v>7</v>
      </c>
      <c r="B18" s="4">
        <v>2015</v>
      </c>
      <c r="C18" s="5" t="s">
        <v>70</v>
      </c>
      <c r="D18" s="5" t="s">
        <v>27</v>
      </c>
      <c r="E18" s="5" t="s">
        <v>93</v>
      </c>
      <c r="F18" s="6">
        <v>-1702710.193</v>
      </c>
      <c r="G18" t="str">
        <f>VLOOKUP(D18,Lookup!A$1:B$84,2,FALSE)</f>
        <v>OSS</v>
      </c>
    </row>
    <row r="19" spans="1:7" ht="14.25" outlineLevel="2">
      <c r="A19" s="4">
        <v>7</v>
      </c>
      <c r="B19" s="4">
        <v>2015</v>
      </c>
      <c r="C19" s="5" t="s">
        <v>70</v>
      </c>
      <c r="D19" s="5" t="s">
        <v>29</v>
      </c>
      <c r="E19" s="5" t="s">
        <v>94</v>
      </c>
      <c r="F19" s="6">
        <v>26377.92</v>
      </c>
      <c r="G19" t="str">
        <f>VLOOKUP(D19,Lookup!A$1:B$84,2,FALSE)</f>
        <v>OSS</v>
      </c>
    </row>
    <row r="20" spans="1:7" ht="14.25" outlineLevel="2">
      <c r="A20" s="4">
        <v>7</v>
      </c>
      <c r="B20" s="4">
        <v>2015</v>
      </c>
      <c r="C20" s="5" t="s">
        <v>70</v>
      </c>
      <c r="D20" s="5" t="s">
        <v>30</v>
      </c>
      <c r="E20" s="5" t="s">
        <v>95</v>
      </c>
      <c r="F20" s="6">
        <v>-93524.08</v>
      </c>
      <c r="G20" t="str">
        <f>VLOOKUP(D20,Lookup!A$1:B$84,2,FALSE)</f>
        <v>OSS</v>
      </c>
    </row>
    <row r="21" spans="1:7" ht="14.25" outlineLevel="2">
      <c r="A21" s="4">
        <v>7</v>
      </c>
      <c r="B21" s="4">
        <v>2015</v>
      </c>
      <c r="C21" s="5" t="s">
        <v>70</v>
      </c>
      <c r="D21" s="5" t="s">
        <v>31</v>
      </c>
      <c r="E21" s="5" t="s">
        <v>96</v>
      </c>
      <c r="F21" s="6">
        <v>-40798.67</v>
      </c>
      <c r="G21" t="str">
        <f>VLOOKUP(D21,Lookup!A$1:B$84,2,FALSE)</f>
        <v>OSS</v>
      </c>
    </row>
    <row r="22" spans="1:7" ht="14.25" outlineLevel="2">
      <c r="A22" s="4">
        <v>7</v>
      </c>
      <c r="B22" s="4">
        <v>2015</v>
      </c>
      <c r="C22" s="5" t="s">
        <v>70</v>
      </c>
      <c r="D22" s="5" t="s">
        <v>32</v>
      </c>
      <c r="E22" s="5" t="s">
        <v>97</v>
      </c>
      <c r="F22" s="6">
        <v>-6052847.367</v>
      </c>
      <c r="G22" t="str">
        <f>VLOOKUP(D22,Lookup!A$1:B$84,2,FALSE)</f>
        <v>OSS</v>
      </c>
    </row>
    <row r="23" spans="1:7" ht="14.25" outlineLevel="2">
      <c r="A23" s="4">
        <v>7</v>
      </c>
      <c r="B23" s="4">
        <v>2015</v>
      </c>
      <c r="C23" s="5" t="s">
        <v>70</v>
      </c>
      <c r="D23" s="5" t="s">
        <v>33</v>
      </c>
      <c r="E23" s="5" t="s">
        <v>98</v>
      </c>
      <c r="F23" s="6">
        <v>1592.65</v>
      </c>
      <c r="G23" t="str">
        <f>VLOOKUP(D23,Lookup!A$1:B$84,2,FALSE)</f>
        <v>OSS</v>
      </c>
    </row>
    <row r="24" spans="1:7" ht="14.25" outlineLevel="2">
      <c r="A24" s="4">
        <v>7</v>
      </c>
      <c r="B24" s="4">
        <v>2015</v>
      </c>
      <c r="C24" s="5" t="s">
        <v>70</v>
      </c>
      <c r="D24" s="5" t="s">
        <v>34</v>
      </c>
      <c r="E24" s="5" t="s">
        <v>99</v>
      </c>
      <c r="F24" s="6">
        <v>-0.02</v>
      </c>
      <c r="G24" t="str">
        <f>VLOOKUP(D24,Lookup!A$1:B$84,2,FALSE)</f>
        <v>OSS</v>
      </c>
    </row>
    <row r="25" spans="1:7" ht="14.25" outlineLevel="2">
      <c r="A25" s="4">
        <v>7</v>
      </c>
      <c r="B25" s="4">
        <v>2015</v>
      </c>
      <c r="C25" s="5" t="s">
        <v>70</v>
      </c>
      <c r="D25" s="5" t="s">
        <v>35</v>
      </c>
      <c r="E25" s="5" t="s">
        <v>100</v>
      </c>
      <c r="F25" s="6">
        <v>-1148094.34</v>
      </c>
      <c r="G25" t="str">
        <f>VLOOKUP(D25,Lookup!A$1:B$84,2,FALSE)</f>
        <v>OSS</v>
      </c>
    </row>
    <row r="26" spans="1:7" ht="14.25" outlineLevel="2">
      <c r="A26" s="4">
        <v>7</v>
      </c>
      <c r="B26" s="4">
        <v>2015</v>
      </c>
      <c r="C26" s="5" t="s">
        <v>70</v>
      </c>
      <c r="D26" s="5" t="s">
        <v>36</v>
      </c>
      <c r="E26" s="5" t="s">
        <v>101</v>
      </c>
      <c r="F26" s="6">
        <v>-9.89</v>
      </c>
      <c r="G26" t="str">
        <f>VLOOKUP(D26,Lookup!A$1:B$84,2,FALSE)</f>
        <v>OSS</v>
      </c>
    </row>
    <row r="27" spans="1:7" ht="14.25" outlineLevel="2">
      <c r="A27" s="4">
        <v>7</v>
      </c>
      <c r="B27" s="4">
        <v>2015</v>
      </c>
      <c r="C27" s="5" t="s">
        <v>70</v>
      </c>
      <c r="D27" s="5" t="s">
        <v>37</v>
      </c>
      <c r="E27" s="5" t="s">
        <v>102</v>
      </c>
      <c r="F27" s="6">
        <v>-39519.95</v>
      </c>
      <c r="G27" t="str">
        <f>VLOOKUP(D27,Lookup!A$1:B$84,2,FALSE)</f>
        <v>OSS</v>
      </c>
    </row>
    <row r="28" spans="1:7" ht="14.25" outlineLevel="2">
      <c r="A28" s="4">
        <v>7</v>
      </c>
      <c r="B28" s="4">
        <v>2015</v>
      </c>
      <c r="C28" s="5" t="s">
        <v>70</v>
      </c>
      <c r="D28" s="5" t="s">
        <v>38</v>
      </c>
      <c r="E28" s="5" t="s">
        <v>103</v>
      </c>
      <c r="F28" s="6">
        <v>1902472.23</v>
      </c>
      <c r="G28" t="str">
        <f>VLOOKUP(D28,Lookup!A$1:B$84,2,FALSE)</f>
        <v>OSS</v>
      </c>
    </row>
    <row r="29" spans="1:7" ht="14.25" outlineLevel="2">
      <c r="A29" s="4">
        <v>7</v>
      </c>
      <c r="B29" s="4">
        <v>2015</v>
      </c>
      <c r="C29" s="5" t="s">
        <v>70</v>
      </c>
      <c r="D29" s="5" t="s">
        <v>39</v>
      </c>
      <c r="E29" s="5" t="s">
        <v>104</v>
      </c>
      <c r="F29" s="6">
        <v>-743589.31</v>
      </c>
      <c r="G29" t="str">
        <f>VLOOKUP(D29,Lookup!A$1:B$84,2,FALSE)</f>
        <v>OSS</v>
      </c>
    </row>
    <row r="30" spans="1:7" ht="14.25" outlineLevel="2">
      <c r="A30" s="4">
        <v>7</v>
      </c>
      <c r="B30" s="4">
        <v>2015</v>
      </c>
      <c r="C30" s="5" t="s">
        <v>70</v>
      </c>
      <c r="D30" s="5" t="s">
        <v>44</v>
      </c>
      <c r="E30" s="5" t="s">
        <v>109</v>
      </c>
      <c r="F30" s="6">
        <v>-975922.13</v>
      </c>
      <c r="G30" t="str">
        <f>VLOOKUP(D30,Lookup!A$1:B$84,2,FALSE)</f>
        <v>OSS</v>
      </c>
    </row>
    <row r="31" spans="1:7" ht="14.25" outlineLevel="2">
      <c r="A31" s="4">
        <v>7</v>
      </c>
      <c r="B31" s="4">
        <v>2015</v>
      </c>
      <c r="C31" s="5" t="s">
        <v>70</v>
      </c>
      <c r="D31" s="5" t="s">
        <v>45</v>
      </c>
      <c r="E31" s="5" t="s">
        <v>110</v>
      </c>
      <c r="F31" s="6">
        <v>975922.13</v>
      </c>
      <c r="G31" t="str">
        <f>VLOOKUP(D31,Lookup!A$1:B$84,2,FALSE)</f>
        <v>OSS</v>
      </c>
    </row>
    <row r="32" spans="1:7" ht="14.25" outlineLevel="2">
      <c r="A32" s="4">
        <v>7</v>
      </c>
      <c r="B32" s="4">
        <v>2015</v>
      </c>
      <c r="C32" s="5" t="s">
        <v>70</v>
      </c>
      <c r="D32" s="5" t="s">
        <v>46</v>
      </c>
      <c r="E32" s="5" t="s">
        <v>111</v>
      </c>
      <c r="F32" s="6">
        <v>-56585.1</v>
      </c>
      <c r="G32" t="str">
        <f>VLOOKUP(D32,Lookup!A$1:B$84,2,FALSE)</f>
        <v>OSS</v>
      </c>
    </row>
    <row r="33" spans="1:7" ht="14.25" outlineLevel="2">
      <c r="A33" s="4">
        <v>7</v>
      </c>
      <c r="B33" s="4">
        <v>2015</v>
      </c>
      <c r="C33" s="5" t="s">
        <v>70</v>
      </c>
      <c r="D33" s="5" t="s">
        <v>47</v>
      </c>
      <c r="E33" s="5" t="s">
        <v>112</v>
      </c>
      <c r="F33" s="6">
        <v>370011.6</v>
      </c>
      <c r="G33" t="str">
        <f>VLOOKUP(D33,Lookup!A$1:B$84,2,FALSE)</f>
        <v>OSS</v>
      </c>
    </row>
    <row r="34" spans="1:7" ht="14.25" outlineLevel="2">
      <c r="A34" s="4">
        <v>7</v>
      </c>
      <c r="B34" s="4">
        <v>2015</v>
      </c>
      <c r="C34" s="5" t="s">
        <v>70</v>
      </c>
      <c r="D34" s="5" t="s">
        <v>48</v>
      </c>
      <c r="E34" s="5" t="s">
        <v>113</v>
      </c>
      <c r="F34" s="6">
        <v>1388.78</v>
      </c>
      <c r="G34" t="str">
        <f>VLOOKUP(D34,Lookup!A$1:B$84,2,FALSE)</f>
        <v>OSS</v>
      </c>
    </row>
    <row r="35" spans="1:7" ht="14.25" outlineLevel="2">
      <c r="A35" s="4">
        <v>7</v>
      </c>
      <c r="B35" s="4">
        <v>2015</v>
      </c>
      <c r="C35" s="5" t="s">
        <v>70</v>
      </c>
      <c r="D35" s="5" t="s">
        <v>49</v>
      </c>
      <c r="E35" s="5" t="s">
        <v>114</v>
      </c>
      <c r="F35" s="6">
        <v>-1282.31</v>
      </c>
      <c r="G35" t="str">
        <f>VLOOKUP(D35,Lookup!A$1:B$84,2,FALSE)</f>
        <v>OSS</v>
      </c>
    </row>
    <row r="36" spans="1:7" ht="14.25" outlineLevel="2">
      <c r="A36" s="4">
        <v>7</v>
      </c>
      <c r="B36" s="4">
        <v>2015</v>
      </c>
      <c r="C36" s="5" t="s">
        <v>70</v>
      </c>
      <c r="D36" s="5" t="s">
        <v>50</v>
      </c>
      <c r="E36" s="5" t="s">
        <v>115</v>
      </c>
      <c r="F36" s="6">
        <v>-17020.85</v>
      </c>
      <c r="G36" t="str">
        <f>VLOOKUP(D36,Lookup!A$1:B$84,2,FALSE)</f>
        <v>OSS</v>
      </c>
    </row>
    <row r="37" spans="1:7" ht="14.25" outlineLevel="2">
      <c r="A37" s="4">
        <v>7</v>
      </c>
      <c r="B37" s="4">
        <v>2015</v>
      </c>
      <c r="C37" s="5" t="s">
        <v>70</v>
      </c>
      <c r="D37" s="5" t="s">
        <v>51</v>
      </c>
      <c r="E37" s="5" t="s">
        <v>116</v>
      </c>
      <c r="F37" s="6">
        <v>-9185.96</v>
      </c>
      <c r="G37" t="str">
        <f>VLOOKUP(D37,Lookup!A$1:B$84,2,FALSE)</f>
        <v>OSS</v>
      </c>
    </row>
    <row r="38" spans="1:7" ht="14.25" outlineLevel="2">
      <c r="A38" s="4">
        <v>7</v>
      </c>
      <c r="B38" s="4">
        <v>2015</v>
      </c>
      <c r="C38" s="5" t="s">
        <v>70</v>
      </c>
      <c r="D38" s="5" t="s">
        <v>52</v>
      </c>
      <c r="E38" s="5" t="s">
        <v>117</v>
      </c>
      <c r="F38" s="6">
        <v>0</v>
      </c>
      <c r="G38" t="str">
        <f>VLOOKUP(D38,Lookup!A$1:B$84,2,FALSE)</f>
        <v>OSS</v>
      </c>
    </row>
    <row r="39" spans="1:7" ht="14.25" outlineLevel="2">
      <c r="A39" s="4">
        <v>7</v>
      </c>
      <c r="B39" s="4">
        <v>2015</v>
      </c>
      <c r="C39" s="5" t="s">
        <v>70</v>
      </c>
      <c r="D39" s="5" t="s">
        <v>53</v>
      </c>
      <c r="E39" s="5" t="s">
        <v>118</v>
      </c>
      <c r="F39" s="6">
        <v>-115.99</v>
      </c>
      <c r="G39" t="str">
        <f>VLOOKUP(D39,Lookup!A$1:B$84,2,FALSE)</f>
        <v>OSS</v>
      </c>
    </row>
    <row r="40" spans="1:7" ht="14.25" outlineLevel="2">
      <c r="A40" s="4">
        <v>7</v>
      </c>
      <c r="B40" s="4">
        <v>2015</v>
      </c>
      <c r="C40" s="5" t="s">
        <v>68</v>
      </c>
      <c r="D40" s="5" t="s">
        <v>57</v>
      </c>
      <c r="E40" s="5" t="s">
        <v>121</v>
      </c>
      <c r="F40" s="6">
        <v>961.73</v>
      </c>
      <c r="G40" t="str">
        <f>VLOOKUP(D40,Lookup!A$1:B$84,2,FALSE)</f>
        <v>OSS</v>
      </c>
    </row>
    <row r="41" spans="1:7" ht="14.25" outlineLevel="2">
      <c r="A41" s="4">
        <v>7</v>
      </c>
      <c r="B41" s="4">
        <v>2015</v>
      </c>
      <c r="C41" s="5" t="s">
        <v>70</v>
      </c>
      <c r="D41" s="5" t="s">
        <v>58</v>
      </c>
      <c r="E41" s="5" t="s">
        <v>122</v>
      </c>
      <c r="F41" s="6">
        <v>25084.59</v>
      </c>
      <c r="G41" t="str">
        <f>VLOOKUP(D41,Lookup!A$1:B$84,2,FALSE)</f>
        <v>OSS</v>
      </c>
    </row>
    <row r="42" spans="1:7" ht="14.25" outlineLevel="2">
      <c r="A42" s="4">
        <v>7</v>
      </c>
      <c r="B42" s="4">
        <v>2015</v>
      </c>
      <c r="C42" s="5" t="s">
        <v>106</v>
      </c>
      <c r="D42" s="5" t="s">
        <v>59</v>
      </c>
      <c r="E42" s="5" t="s">
        <v>123</v>
      </c>
      <c r="F42" s="6">
        <v>0</v>
      </c>
      <c r="G42" t="str">
        <f>VLOOKUP(D42,Lookup!A$1:B$84,2,FALSE)</f>
        <v>OSS</v>
      </c>
    </row>
    <row r="43" spans="1:7" ht="14.25" outlineLevel="2">
      <c r="A43" s="4">
        <v>7</v>
      </c>
      <c r="B43" s="4">
        <v>2015</v>
      </c>
      <c r="C43" s="5" t="s">
        <v>70</v>
      </c>
      <c r="D43" s="5" t="s">
        <v>60</v>
      </c>
      <c r="E43" s="5" t="s">
        <v>124</v>
      </c>
      <c r="F43" s="6">
        <v>6353.06</v>
      </c>
      <c r="G43" t="str">
        <f>VLOOKUP(D43,Lookup!A$1:B$84,2,FALSE)</f>
        <v>OSS</v>
      </c>
    </row>
    <row r="44" spans="1:7" ht="14.25" outlineLevel="2">
      <c r="A44" s="4">
        <v>7</v>
      </c>
      <c r="B44" s="4">
        <v>2015</v>
      </c>
      <c r="C44" s="5" t="s">
        <v>70</v>
      </c>
      <c r="D44" s="5" t="s">
        <v>61</v>
      </c>
      <c r="E44" s="5" t="s">
        <v>125</v>
      </c>
      <c r="F44" s="6">
        <v>23524.48</v>
      </c>
      <c r="G44" t="str">
        <f>VLOOKUP(D44,Lookup!A$1:B$84,2,FALSE)</f>
        <v>OSS</v>
      </c>
    </row>
    <row r="45" spans="1:7" ht="14.25" outlineLevel="1">
      <c r="A45" s="4"/>
      <c r="B45" s="4"/>
      <c r="C45" s="5"/>
      <c r="D45" s="5"/>
      <c r="E45" s="5"/>
      <c r="F45" s="6">
        <f>SUBTOTAL(9,F18:F44)</f>
        <v>-7547516.989999999</v>
      </c>
      <c r="G45" s="7" t="s">
        <v>129</v>
      </c>
    </row>
    <row r="46" spans="1:7" ht="14.25" outlineLevel="2">
      <c r="A46" s="4">
        <v>7</v>
      </c>
      <c r="B46" s="4">
        <v>2015</v>
      </c>
      <c r="C46" s="5" t="s">
        <v>68</v>
      </c>
      <c r="D46" s="5" t="s">
        <v>0</v>
      </c>
      <c r="E46" s="5" t="s">
        <v>69</v>
      </c>
      <c r="F46" s="6">
        <v>-7667489.05</v>
      </c>
      <c r="G46" t="str">
        <f>VLOOKUP(D46,Lookup!A$1:B$84,2,FALSE)</f>
        <v>Retail</v>
      </c>
    </row>
    <row r="47" spans="1:7" ht="14.25" outlineLevel="2">
      <c r="A47" s="4">
        <v>7</v>
      </c>
      <c r="B47" s="4">
        <v>2015</v>
      </c>
      <c r="C47" s="5" t="s">
        <v>70</v>
      </c>
      <c r="D47" s="5" t="s">
        <v>0</v>
      </c>
      <c r="E47" s="5" t="s">
        <v>69</v>
      </c>
      <c r="F47" s="6">
        <v>15774.64</v>
      </c>
      <c r="G47" t="str">
        <f>VLOOKUP(D47,Lookup!A$1:B$84,2,FALSE)</f>
        <v>Retail</v>
      </c>
    </row>
    <row r="48" spans="1:7" ht="14.25" outlineLevel="2">
      <c r="A48" s="4">
        <v>7</v>
      </c>
      <c r="B48" s="4">
        <v>2015</v>
      </c>
      <c r="C48" s="5" t="s">
        <v>68</v>
      </c>
      <c r="D48" s="5" t="s">
        <v>2</v>
      </c>
      <c r="E48" s="5" t="s">
        <v>71</v>
      </c>
      <c r="F48" s="6">
        <v>-4348919.28</v>
      </c>
      <c r="G48" t="str">
        <f>VLOOKUP(D48,Lookup!A$1:B$84,2,FALSE)</f>
        <v>Retail</v>
      </c>
    </row>
    <row r="49" spans="1:7" ht="13.5" customHeight="1" outlineLevel="2">
      <c r="A49" s="4">
        <v>7</v>
      </c>
      <c r="B49" s="4">
        <v>2015</v>
      </c>
      <c r="C49" s="5" t="s">
        <v>70</v>
      </c>
      <c r="D49" s="5" t="s">
        <v>2</v>
      </c>
      <c r="E49" s="5" t="s">
        <v>71</v>
      </c>
      <c r="F49" s="6">
        <v>18838.16</v>
      </c>
      <c r="G49" t="str">
        <f>VLOOKUP(D49,Lookup!A$1:B$84,2,FALSE)</f>
        <v>Retail</v>
      </c>
    </row>
    <row r="50" spans="1:7" ht="14.25" outlineLevel="2">
      <c r="A50" s="4">
        <v>7</v>
      </c>
      <c r="B50" s="4">
        <v>2015</v>
      </c>
      <c r="C50" s="5" t="s">
        <v>68</v>
      </c>
      <c r="D50" s="5" t="s">
        <v>3</v>
      </c>
      <c r="E50" s="5" t="s">
        <v>72</v>
      </c>
      <c r="F50" s="6">
        <v>-3839575.49</v>
      </c>
      <c r="G50" t="str">
        <f>VLOOKUP(D50,Lookup!A$1:B$84,2,FALSE)</f>
        <v>Retail</v>
      </c>
    </row>
    <row r="51" spans="1:7" ht="14.25" outlineLevel="2">
      <c r="A51" s="4">
        <v>7</v>
      </c>
      <c r="B51" s="4">
        <v>2015</v>
      </c>
      <c r="C51" s="5" t="s">
        <v>68</v>
      </c>
      <c r="D51" s="5" t="s">
        <v>4</v>
      </c>
      <c r="E51" s="5" t="s">
        <v>73</v>
      </c>
      <c r="F51" s="6">
        <v>-6661343.9</v>
      </c>
      <c r="G51" t="str">
        <f>VLOOKUP(D51,Lookup!A$1:B$84,2,FALSE)</f>
        <v>Retail</v>
      </c>
    </row>
    <row r="52" spans="1:7" ht="14.25" outlineLevel="2">
      <c r="A52" s="4">
        <v>7</v>
      </c>
      <c r="B52" s="4">
        <v>2015</v>
      </c>
      <c r="C52" s="5" t="s">
        <v>70</v>
      </c>
      <c r="D52" s="5" t="s">
        <v>4</v>
      </c>
      <c r="E52" s="5" t="s">
        <v>73</v>
      </c>
      <c r="F52" s="6">
        <v>895563.43</v>
      </c>
      <c r="G52" t="str">
        <f>VLOOKUP(D52,Lookup!A$1:B$84,2,FALSE)</f>
        <v>Retail</v>
      </c>
    </row>
    <row r="53" spans="1:7" ht="14.25" outlineLevel="2">
      <c r="A53" s="4">
        <v>7</v>
      </c>
      <c r="B53" s="4">
        <v>2015</v>
      </c>
      <c r="C53" s="5" t="s">
        <v>68</v>
      </c>
      <c r="D53" s="5" t="s">
        <v>5</v>
      </c>
      <c r="E53" s="5" t="s">
        <v>74</v>
      </c>
      <c r="F53" s="6">
        <v>-5693516.72</v>
      </c>
      <c r="G53" t="str">
        <f>VLOOKUP(D53,Lookup!A$1:B$84,2,FALSE)</f>
        <v>Retail</v>
      </c>
    </row>
    <row r="54" spans="1:7" ht="14.25" outlineLevel="2">
      <c r="A54" s="4">
        <v>7</v>
      </c>
      <c r="B54" s="4">
        <v>2015</v>
      </c>
      <c r="C54" s="5" t="s">
        <v>70</v>
      </c>
      <c r="D54" s="5" t="s">
        <v>5</v>
      </c>
      <c r="E54" s="5" t="s">
        <v>74</v>
      </c>
      <c r="F54" s="6">
        <v>658938.81</v>
      </c>
      <c r="G54" t="str">
        <f>VLOOKUP(D54,Lookup!A$1:B$84,2,FALSE)</f>
        <v>Retail</v>
      </c>
    </row>
    <row r="55" spans="1:7" ht="14.25" outlineLevel="2">
      <c r="A55" s="4">
        <v>7</v>
      </c>
      <c r="B55" s="4">
        <v>2015</v>
      </c>
      <c r="C55" s="5" t="s">
        <v>68</v>
      </c>
      <c r="D55" s="5" t="s">
        <v>6</v>
      </c>
      <c r="E55" s="5" t="s">
        <v>75</v>
      </c>
      <c r="F55" s="6">
        <v>-2347121.42</v>
      </c>
      <c r="G55" t="str">
        <f>VLOOKUP(D55,Lookup!A$1:B$84,2,FALSE)</f>
        <v>Retail</v>
      </c>
    </row>
    <row r="56" spans="1:7" ht="14.25" outlineLevel="2">
      <c r="A56" s="4">
        <v>7</v>
      </c>
      <c r="B56" s="4">
        <v>2015</v>
      </c>
      <c r="C56" s="5" t="s">
        <v>70</v>
      </c>
      <c r="D56" s="5" t="s">
        <v>6</v>
      </c>
      <c r="E56" s="5" t="s">
        <v>75</v>
      </c>
      <c r="F56" s="6">
        <v>304724.81</v>
      </c>
      <c r="G56" t="str">
        <f>VLOOKUP(D56,Lookup!A$1:B$84,2,FALSE)</f>
        <v>Retail</v>
      </c>
    </row>
    <row r="57" spans="1:7" ht="14.25" outlineLevel="2">
      <c r="A57" s="4">
        <v>7</v>
      </c>
      <c r="B57" s="4">
        <v>2015</v>
      </c>
      <c r="C57" s="5" t="s">
        <v>68</v>
      </c>
      <c r="D57" s="5" t="s">
        <v>7</v>
      </c>
      <c r="E57" s="5" t="s">
        <v>76</v>
      </c>
      <c r="F57" s="6">
        <v>0</v>
      </c>
      <c r="G57" t="str">
        <f>VLOOKUP(D57,Lookup!A$1:B$84,2,FALSE)</f>
        <v>Retail</v>
      </c>
    </row>
    <row r="58" spans="1:7" ht="14.25" outlineLevel="2">
      <c r="A58" s="4">
        <v>7</v>
      </c>
      <c r="B58" s="4">
        <v>2015</v>
      </c>
      <c r="C58" s="5" t="s">
        <v>68</v>
      </c>
      <c r="D58" s="5" t="s">
        <v>8</v>
      </c>
      <c r="E58" s="5" t="s">
        <v>77</v>
      </c>
      <c r="F58" s="6">
        <v>-1030649.78</v>
      </c>
      <c r="G58" t="str">
        <f>VLOOKUP(D58,Lookup!A$1:B$84,2,FALSE)</f>
        <v>Retail</v>
      </c>
    </row>
    <row r="59" spans="1:7" ht="14.25" outlineLevel="2">
      <c r="A59" s="4">
        <v>7</v>
      </c>
      <c r="B59" s="4">
        <v>2015</v>
      </c>
      <c r="C59" s="5" t="s">
        <v>70</v>
      </c>
      <c r="D59" s="5" t="s">
        <v>8</v>
      </c>
      <c r="E59" s="5" t="s">
        <v>77</v>
      </c>
      <c r="F59" s="6">
        <v>134050.78</v>
      </c>
      <c r="G59" t="str">
        <f>VLOOKUP(D59,Lookup!A$1:B$84,2,FALSE)</f>
        <v>Retail</v>
      </c>
    </row>
    <row r="60" spans="1:7" ht="14.25" outlineLevel="2">
      <c r="A60" s="4">
        <v>7</v>
      </c>
      <c r="B60" s="4">
        <v>2015</v>
      </c>
      <c r="C60" s="5" t="s">
        <v>68</v>
      </c>
      <c r="D60" s="5" t="s">
        <v>9</v>
      </c>
      <c r="E60" s="5" t="s">
        <v>78</v>
      </c>
      <c r="F60" s="6">
        <v>-1261421.06</v>
      </c>
      <c r="G60" t="str">
        <f>VLOOKUP(D60,Lookup!A$1:B$84,2,FALSE)</f>
        <v>Retail</v>
      </c>
    </row>
    <row r="61" spans="1:7" ht="14.25" outlineLevel="2">
      <c r="A61" s="4">
        <v>7</v>
      </c>
      <c r="B61" s="4">
        <v>2015</v>
      </c>
      <c r="C61" s="5" t="s">
        <v>70</v>
      </c>
      <c r="D61" s="5" t="s">
        <v>9</v>
      </c>
      <c r="E61" s="5" t="s">
        <v>78</v>
      </c>
      <c r="F61" s="6">
        <v>173069.43</v>
      </c>
      <c r="G61" t="str">
        <f>VLOOKUP(D61,Lookup!A$1:B$84,2,FALSE)</f>
        <v>Retail</v>
      </c>
    </row>
    <row r="62" spans="1:7" ht="14.25" outlineLevel="2">
      <c r="A62" s="4">
        <v>7</v>
      </c>
      <c r="B62" s="4">
        <v>2015</v>
      </c>
      <c r="C62" s="5" t="s">
        <v>68</v>
      </c>
      <c r="D62" s="5" t="s">
        <v>10</v>
      </c>
      <c r="E62" s="5" t="s">
        <v>79</v>
      </c>
      <c r="F62" s="6">
        <v>-2576230.12</v>
      </c>
      <c r="G62" t="str">
        <f>VLOOKUP(D62,Lookup!A$1:B$84,2,FALSE)</f>
        <v>Retail</v>
      </c>
    </row>
    <row r="63" spans="1:7" ht="14.25" outlineLevel="2">
      <c r="A63" s="4">
        <v>7</v>
      </c>
      <c r="B63" s="4">
        <v>2015</v>
      </c>
      <c r="C63" s="5" t="s">
        <v>68</v>
      </c>
      <c r="D63" s="5" t="s">
        <v>11</v>
      </c>
      <c r="E63" s="5" t="s">
        <v>80</v>
      </c>
      <c r="F63" s="6">
        <v>-5310694.19</v>
      </c>
      <c r="G63" t="str">
        <f>VLOOKUP(D63,Lookup!A$1:B$84,2,FALSE)</f>
        <v>Retail</v>
      </c>
    </row>
    <row r="64" spans="1:7" ht="14.25" outlineLevel="2">
      <c r="A64" s="4">
        <v>7</v>
      </c>
      <c r="B64" s="4">
        <v>2015</v>
      </c>
      <c r="C64" s="5" t="s">
        <v>68</v>
      </c>
      <c r="D64" s="5" t="s">
        <v>12</v>
      </c>
      <c r="E64" s="5" t="s">
        <v>81</v>
      </c>
      <c r="F64" s="6">
        <v>0</v>
      </c>
      <c r="G64" t="str">
        <f>VLOOKUP(D64,Lookup!A$1:B$84,2,FALSE)</f>
        <v>Retail</v>
      </c>
    </row>
    <row r="65" spans="1:7" ht="14.25" outlineLevel="2">
      <c r="A65" s="4">
        <v>7</v>
      </c>
      <c r="B65" s="4">
        <v>2015</v>
      </c>
      <c r="C65" s="5" t="s">
        <v>68</v>
      </c>
      <c r="D65" s="5" t="s">
        <v>13</v>
      </c>
      <c r="E65" s="5" t="s">
        <v>82</v>
      </c>
      <c r="F65" s="6">
        <v>-154572.63</v>
      </c>
      <c r="G65" t="str">
        <f>VLOOKUP(D65,Lookup!A$1:B$84,2,FALSE)</f>
        <v>Retail</v>
      </c>
    </row>
    <row r="66" spans="1:7" ht="14.25" outlineLevel="2">
      <c r="A66" s="4">
        <v>7</v>
      </c>
      <c r="B66" s="4">
        <v>2015</v>
      </c>
      <c r="C66" s="5" t="s">
        <v>70</v>
      </c>
      <c r="D66" s="5" t="s">
        <v>13</v>
      </c>
      <c r="E66" s="5" t="s">
        <v>82</v>
      </c>
      <c r="F66" s="6">
        <v>25265.84</v>
      </c>
      <c r="G66" t="str">
        <f>VLOOKUP(D66,Lookup!A$1:B$84,2,FALSE)</f>
        <v>Retail</v>
      </c>
    </row>
    <row r="67" spans="1:7" ht="14.25" outlineLevel="2">
      <c r="A67" s="4">
        <v>7</v>
      </c>
      <c r="B67" s="4">
        <v>2015</v>
      </c>
      <c r="C67" s="5" t="s">
        <v>68</v>
      </c>
      <c r="D67" s="5" t="s">
        <v>14</v>
      </c>
      <c r="E67" s="5" t="s">
        <v>83</v>
      </c>
      <c r="F67" s="6">
        <v>-18172.05</v>
      </c>
      <c r="G67" t="str">
        <f>VLOOKUP(D67,Lookup!A$1:B$84,2,FALSE)</f>
        <v>Retail</v>
      </c>
    </row>
    <row r="68" spans="1:7" ht="14.25" outlineLevel="2">
      <c r="A68" s="4">
        <v>7</v>
      </c>
      <c r="B68" s="4">
        <v>2015</v>
      </c>
      <c r="C68" s="5" t="s">
        <v>68</v>
      </c>
      <c r="D68" s="5" t="s">
        <v>15</v>
      </c>
      <c r="E68" s="5" t="s">
        <v>84</v>
      </c>
      <c r="F68" s="6">
        <v>0</v>
      </c>
      <c r="G68" t="str">
        <f>VLOOKUP(D68,Lookup!A$1:B$84,2,FALSE)</f>
        <v>Retail</v>
      </c>
    </row>
    <row r="69" spans="1:7" ht="14.25" outlineLevel="2">
      <c r="A69" s="4">
        <v>7</v>
      </c>
      <c r="B69" s="4">
        <v>2015</v>
      </c>
      <c r="C69" s="5" t="s">
        <v>68</v>
      </c>
      <c r="D69" s="5" t="s">
        <v>16</v>
      </c>
      <c r="E69" s="5" t="s">
        <v>85</v>
      </c>
      <c r="F69" s="6">
        <v>0</v>
      </c>
      <c r="G69" t="str">
        <f>VLOOKUP(D69,Lookup!A$1:B$84,2,FALSE)</f>
        <v>Retail</v>
      </c>
    </row>
    <row r="70" spans="1:7" ht="14.25" outlineLevel="1">
      <c r="A70" s="4"/>
      <c r="B70" s="4"/>
      <c r="C70" s="5"/>
      <c r="D70" s="5"/>
      <c r="E70" s="5"/>
      <c r="F70" s="6">
        <f>SUBTOTAL(9,F46:F69)</f>
        <v>-38683479.79</v>
      </c>
      <c r="G70" s="7" t="s">
        <v>130</v>
      </c>
    </row>
    <row r="71" spans="1:7" ht="14.25">
      <c r="A71" s="4"/>
      <c r="B71" s="4"/>
      <c r="C71" s="5"/>
      <c r="D71" s="5"/>
      <c r="E71" s="5"/>
      <c r="F71" s="6">
        <f>SUBTOTAL(9,F2:F69)</f>
        <v>-48007960.83999999</v>
      </c>
      <c r="G71" s="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Q58"/>
  <sheetViews>
    <sheetView view="pageBreakPreview" zoomScale="60" zoomScalePageLayoutView="0" workbookViewId="0" topLeftCell="A1">
      <pane ySplit="12" topLeftCell="A13" activePane="bottomLeft" state="frozen"/>
      <selection pane="topLeft" activeCell="M33" sqref="M33"/>
      <selection pane="bottomLeft" activeCell="M33" sqref="M33"/>
    </sheetView>
  </sheetViews>
  <sheetFormatPr defaultColWidth="9.140625" defaultRowHeight="15"/>
  <cols>
    <col min="1" max="1" width="3.7109375" style="12" customWidth="1"/>
    <col min="2" max="2" width="4.421875" style="11" bestFit="1" customWidth="1"/>
    <col min="3" max="3" width="0.71875" style="11" customWidth="1"/>
    <col min="4" max="4" width="1.28515625" style="11" customWidth="1"/>
    <col min="5" max="5" width="35.7109375" style="12" customWidth="1"/>
    <col min="6" max="6" width="0.2890625" style="12" customWidth="1"/>
    <col min="7" max="7" width="30.7109375" style="12" customWidth="1"/>
    <col min="8" max="8" width="0.2890625" style="12" customWidth="1"/>
    <col min="9" max="9" width="22.7109375" style="12" customWidth="1"/>
    <col min="10" max="10" width="21.7109375" style="12" customWidth="1"/>
    <col min="11" max="11" width="0.2890625" style="12" customWidth="1"/>
    <col min="12" max="12" width="17.28125" style="12" customWidth="1"/>
    <col min="13" max="13" width="14.421875" style="12" bestFit="1" customWidth="1"/>
    <col min="14" max="14" width="14.28125" style="12" customWidth="1"/>
    <col min="15" max="16384" width="8.8515625" style="12" customWidth="1"/>
  </cols>
  <sheetData>
    <row r="1" ht="12.75">
      <c r="I1" s="13" t="s">
        <v>134</v>
      </c>
    </row>
    <row r="4" spans="2:15" ht="12.75">
      <c r="B4" s="277" t="s">
        <v>135</v>
      </c>
      <c r="C4" s="277"/>
      <c r="D4" s="277"/>
      <c r="E4" s="277"/>
      <c r="F4" s="277"/>
      <c r="G4" s="277"/>
      <c r="H4" s="277"/>
      <c r="I4" s="277"/>
      <c r="J4" s="15"/>
      <c r="K4" s="15"/>
      <c r="L4" s="15"/>
      <c r="M4" s="15"/>
      <c r="N4" s="15"/>
      <c r="O4" s="15"/>
    </row>
    <row r="5" spans="2:15" ht="12.75">
      <c r="B5" s="278" t="s">
        <v>136</v>
      </c>
      <c r="C5" s="278"/>
      <c r="D5" s="278"/>
      <c r="E5" s="278"/>
      <c r="F5" s="278"/>
      <c r="G5" s="278"/>
      <c r="H5" s="278"/>
      <c r="I5" s="278"/>
      <c r="J5" s="15"/>
      <c r="K5" s="15"/>
      <c r="L5" s="15"/>
      <c r="M5" s="15"/>
      <c r="N5" s="15"/>
      <c r="O5" s="15"/>
    </row>
    <row r="6" spans="2:15" ht="12.75">
      <c r="B6" s="278" t="s">
        <v>137</v>
      </c>
      <c r="C6" s="278"/>
      <c r="D6" s="278"/>
      <c r="E6" s="278"/>
      <c r="F6" s="278"/>
      <c r="G6" s="278"/>
      <c r="H6" s="278"/>
      <c r="I6" s="278"/>
      <c r="J6" s="15"/>
      <c r="K6" s="15"/>
      <c r="L6" s="15"/>
      <c r="M6" s="15"/>
      <c r="N6" s="15"/>
      <c r="O6" s="15"/>
    </row>
    <row r="7" spans="2:15" ht="12.75">
      <c r="B7" s="279" t="s">
        <v>138</v>
      </c>
      <c r="C7" s="279"/>
      <c r="D7" s="279"/>
      <c r="E7" s="279"/>
      <c r="F7" s="279"/>
      <c r="G7" s="279"/>
      <c r="H7" s="279"/>
      <c r="I7" s="279"/>
      <c r="J7" s="15"/>
      <c r="K7" s="15"/>
      <c r="L7" s="15"/>
      <c r="M7" s="15"/>
      <c r="N7" s="15"/>
      <c r="O7" s="15"/>
    </row>
    <row r="8" spans="6:15" ht="12.75">
      <c r="F8" s="15"/>
      <c r="G8" s="17"/>
      <c r="H8" s="15"/>
      <c r="I8" s="15"/>
      <c r="J8" s="15"/>
      <c r="K8" s="15"/>
      <c r="L8" s="15"/>
      <c r="M8" s="15"/>
      <c r="N8" s="15"/>
      <c r="O8" s="15"/>
    </row>
    <row r="9" spans="2:15" ht="12.75">
      <c r="B9" s="280" t="str">
        <f>+'[7]ES 1.0'!E7</f>
        <v>For the Expense Month of July 2015</v>
      </c>
      <c r="C9" s="280"/>
      <c r="D9" s="280"/>
      <c r="E9" s="280"/>
      <c r="F9" s="280"/>
      <c r="G9" s="280"/>
      <c r="H9" s="280"/>
      <c r="I9" s="280"/>
      <c r="J9" s="15"/>
      <c r="K9" s="15"/>
      <c r="L9" s="15"/>
      <c r="M9" s="15"/>
      <c r="N9" s="15"/>
      <c r="O9" s="15"/>
    </row>
    <row r="10" spans="6:15" ht="12.75"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2:15" ht="12.75">
      <c r="B11" s="281" t="s">
        <v>139</v>
      </c>
      <c r="C11" s="281"/>
      <c r="D11" s="281"/>
      <c r="E11" s="281"/>
      <c r="F11" s="281"/>
      <c r="G11" s="281"/>
      <c r="H11" s="281"/>
      <c r="I11" s="281"/>
      <c r="J11" s="15"/>
      <c r="K11" s="15"/>
      <c r="L11" s="15"/>
      <c r="M11" s="15"/>
      <c r="N11" s="15"/>
      <c r="O11" s="15"/>
    </row>
    <row r="12" ht="13.5" thickBot="1"/>
    <row r="13" spans="2:12" ht="30" customHeight="1" thickBot="1">
      <c r="B13" s="18" t="s">
        <v>140</v>
      </c>
      <c r="C13" s="19"/>
      <c r="D13" s="20"/>
      <c r="E13" s="21" t="s">
        <v>141</v>
      </c>
      <c r="F13" s="22"/>
      <c r="G13" s="23" t="s">
        <v>142</v>
      </c>
      <c r="H13" s="24"/>
      <c r="I13" s="25" t="s">
        <v>143</v>
      </c>
      <c r="J13" s="23" t="s">
        <v>168</v>
      </c>
      <c r="K13" s="24"/>
      <c r="L13" s="25" t="s">
        <v>169</v>
      </c>
    </row>
    <row r="14" spans="2:13" ht="18" customHeight="1">
      <c r="B14" s="26"/>
      <c r="C14" s="27"/>
      <c r="D14" s="28"/>
      <c r="E14" s="29"/>
      <c r="F14" s="30"/>
      <c r="G14" s="31"/>
      <c r="H14" s="32"/>
      <c r="I14" s="33"/>
      <c r="J14" s="31"/>
      <c r="K14" s="32"/>
      <c r="L14" s="33"/>
      <c r="M14" s="34"/>
    </row>
    <row r="15" spans="2:12" ht="12.75">
      <c r="B15" s="35">
        <v>1</v>
      </c>
      <c r="C15" s="36"/>
      <c r="D15" s="37"/>
      <c r="E15" s="38" t="s">
        <v>144</v>
      </c>
      <c r="F15" s="39"/>
      <c r="G15" s="40">
        <v>38683479.79</v>
      </c>
      <c r="H15" s="41"/>
      <c r="I15" s="42">
        <f>ROUND(G15/$G$20,3)</f>
        <v>0.812</v>
      </c>
      <c r="J15" s="40">
        <f>-'July 2015'!F70</f>
        <v>38683479.79</v>
      </c>
      <c r="K15" s="41"/>
      <c r="L15" s="42">
        <f>ROUND(J15/$J$20,3)</f>
        <v>0.807</v>
      </c>
    </row>
    <row r="16" spans="2:12" ht="12.75">
      <c r="B16" s="35">
        <f>+B15+1</f>
        <v>2</v>
      </c>
      <c r="C16" s="36"/>
      <c r="D16" s="37"/>
      <c r="E16" s="38" t="s">
        <v>145</v>
      </c>
      <c r="F16" s="39"/>
      <c r="G16" s="40">
        <v>626001.41</v>
      </c>
      <c r="H16" s="43"/>
      <c r="I16" s="44">
        <f>ROUND(G16/$G$20,3)</f>
        <v>0.013</v>
      </c>
      <c r="J16" s="40">
        <f>-'July 2015'!F8</f>
        <v>626001.41</v>
      </c>
      <c r="K16" s="43"/>
      <c r="L16" s="42">
        <f>ROUND(J16/$J$20,3)</f>
        <v>0.013</v>
      </c>
    </row>
    <row r="17" spans="2:12" ht="12.75">
      <c r="B17" s="35">
        <f>+B16+1</f>
        <v>3</v>
      </c>
      <c r="C17" s="36"/>
      <c r="D17" s="37"/>
      <c r="E17" s="38" t="s">
        <v>147</v>
      </c>
      <c r="F17" s="39"/>
      <c r="G17" s="46">
        <f>-'[7]ECR Revenues - July 2015'!F58</f>
        <v>1074609.03</v>
      </c>
      <c r="H17" s="43"/>
      <c r="I17" s="44">
        <f>ROUND(G17/$G$20,3)</f>
        <v>0.023</v>
      </c>
      <c r="J17" s="46">
        <f>-'July 2015'!F3</f>
        <v>1074609.03</v>
      </c>
      <c r="K17" s="43"/>
      <c r="L17" s="42">
        <f>ROUND(J17/$J$20,3)</f>
        <v>0.022</v>
      </c>
    </row>
    <row r="18" spans="2:12" ht="12.75">
      <c r="B18" s="35">
        <f>+B17+1</f>
        <v>4</v>
      </c>
      <c r="C18" s="36"/>
      <c r="D18" s="37"/>
      <c r="E18" s="38" t="s">
        <v>148</v>
      </c>
      <c r="F18" s="39"/>
      <c r="G18" s="46">
        <f>-'[7]ECR Revenues - July 2015'!F56</f>
        <v>7259613.669999999</v>
      </c>
      <c r="H18" s="43"/>
      <c r="I18" s="44">
        <f>ROUND(G18/$G$20,3)</f>
        <v>0.152</v>
      </c>
      <c r="J18" s="46">
        <f>-'July 2015'!F45</f>
        <v>7547516.989999999</v>
      </c>
      <c r="K18" s="43"/>
      <c r="L18" s="42">
        <f>ROUND(J18/$J$20,3)+0.001</f>
        <v>0.158</v>
      </c>
    </row>
    <row r="19" spans="2:12" ht="12.75" customHeight="1">
      <c r="B19" s="35"/>
      <c r="C19" s="36"/>
      <c r="D19" s="37"/>
      <c r="E19" s="38"/>
      <c r="F19" s="39"/>
      <c r="G19" s="47" t="s">
        <v>149</v>
      </c>
      <c r="H19" s="48"/>
      <c r="I19" s="49" t="s">
        <v>149</v>
      </c>
      <c r="J19" s="47" t="s">
        <v>149</v>
      </c>
      <c r="K19" s="48"/>
      <c r="L19" s="49" t="s">
        <v>149</v>
      </c>
    </row>
    <row r="20" spans="2:12" ht="12.75">
      <c r="B20" s="35">
        <f>+B18+1</f>
        <v>5</v>
      </c>
      <c r="C20" s="36"/>
      <c r="D20" s="37"/>
      <c r="E20" s="50" t="s">
        <v>150</v>
      </c>
      <c r="F20" s="51"/>
      <c r="G20" s="46">
        <f>SUM(G15:G18)</f>
        <v>47643703.9</v>
      </c>
      <c r="H20" s="43"/>
      <c r="I20" s="44">
        <f>SUM(I15:I18)</f>
        <v>1</v>
      </c>
      <c r="J20" s="46">
        <f>SUM(J15:J18)</f>
        <v>47931607.22</v>
      </c>
      <c r="K20" s="43"/>
      <c r="L20" s="44">
        <f>SUM(L15:L18)</f>
        <v>1</v>
      </c>
    </row>
    <row r="21" spans="2:12" ht="12.75">
      <c r="B21" s="35"/>
      <c r="C21" s="36"/>
      <c r="D21" s="37"/>
      <c r="E21" s="50"/>
      <c r="F21" s="51"/>
      <c r="G21" s="46"/>
      <c r="H21" s="43"/>
      <c r="I21" s="44"/>
      <c r="J21" s="46"/>
      <c r="K21" s="43"/>
      <c r="L21" s="44"/>
    </row>
    <row r="22" spans="2:12" ht="12.75">
      <c r="B22" s="35">
        <f>+B20+1</f>
        <v>6</v>
      </c>
      <c r="C22" s="36"/>
      <c r="D22" s="37"/>
      <c r="E22" s="50" t="s">
        <v>151</v>
      </c>
      <c r="F22" s="51"/>
      <c r="G22" s="52">
        <v>364256.9400000002</v>
      </c>
      <c r="H22" s="43"/>
      <c r="I22" s="44"/>
      <c r="J22" s="52">
        <f>-'July 2015'!F17</f>
        <v>76353.62000000005</v>
      </c>
      <c r="K22" s="43"/>
      <c r="L22" s="44"/>
    </row>
    <row r="23" spans="2:12" ht="12.75">
      <c r="B23" s="53"/>
      <c r="C23" s="54"/>
      <c r="D23" s="55"/>
      <c r="E23" s="38"/>
      <c r="F23" s="39"/>
      <c r="G23" s="56"/>
      <c r="H23" s="57"/>
      <c r="I23" s="58"/>
      <c r="J23" s="56"/>
      <c r="K23" s="57"/>
      <c r="L23" s="58"/>
    </row>
    <row r="24" spans="2:12" ht="13.5" thickBot="1">
      <c r="B24" s="35">
        <f>+B22+1</f>
        <v>7</v>
      </c>
      <c r="C24" s="59"/>
      <c r="D24" s="55"/>
      <c r="E24" s="38" t="s">
        <v>152</v>
      </c>
      <c r="F24" s="39"/>
      <c r="G24" s="46">
        <f>+G20+G22</f>
        <v>48007960.839999996</v>
      </c>
      <c r="H24" s="57"/>
      <c r="I24" s="58"/>
      <c r="J24" s="46">
        <f>+J20+J22</f>
        <v>48007960.839999996</v>
      </c>
      <c r="K24" s="57"/>
      <c r="L24" s="58"/>
    </row>
    <row r="25" spans="2:12" ht="13.5" thickBot="1">
      <c r="B25" s="60"/>
      <c r="C25" s="59"/>
      <c r="D25" s="61"/>
      <c r="E25" s="62"/>
      <c r="F25" s="63"/>
      <c r="G25" s="64"/>
      <c r="H25" s="65"/>
      <c r="I25" s="66"/>
      <c r="J25" s="64"/>
      <c r="K25" s="65"/>
      <c r="L25" s="66"/>
    </row>
    <row r="26" ht="15" customHeight="1">
      <c r="D26" s="67"/>
    </row>
    <row r="28" ht="12.75">
      <c r="E28" s="12" t="s">
        <v>153</v>
      </c>
    </row>
    <row r="29" ht="12.75">
      <c r="E29" s="45" t="s">
        <v>154</v>
      </c>
    </row>
    <row r="30" ht="12.75">
      <c r="E30" s="12" t="s">
        <v>155</v>
      </c>
    </row>
    <row r="31" ht="12.75">
      <c r="E31" s="12" t="s">
        <v>156</v>
      </c>
    </row>
    <row r="34" spans="5:9" ht="12.75">
      <c r="E34" s="45" t="s">
        <v>157</v>
      </c>
      <c r="F34" s="45"/>
      <c r="G34" s="45"/>
      <c r="H34" s="45"/>
      <c r="I34" s="45"/>
    </row>
    <row r="35" ht="13.5" thickBot="1"/>
    <row r="36" spans="2:10" ht="30" customHeight="1" thickBot="1">
      <c r="B36" s="68" t="s">
        <v>140</v>
      </c>
      <c r="C36" s="69"/>
      <c r="D36" s="23"/>
      <c r="E36" s="23" t="s">
        <v>141</v>
      </c>
      <c r="F36" s="70"/>
      <c r="G36" s="70"/>
      <c r="H36" s="71" t="s">
        <v>158</v>
      </c>
      <c r="I36" s="72" t="s">
        <v>170</v>
      </c>
      <c r="J36" s="73"/>
    </row>
    <row r="37" spans="2:10" ht="12.75">
      <c r="B37" s="74">
        <v>1</v>
      </c>
      <c r="C37" s="75"/>
      <c r="D37" s="76"/>
      <c r="E37" s="38" t="s">
        <v>159</v>
      </c>
      <c r="F37" s="38"/>
      <c r="G37" s="38"/>
      <c r="H37" s="57"/>
      <c r="I37" s="77">
        <v>-1805839</v>
      </c>
      <c r="J37" s="38"/>
    </row>
    <row r="38" spans="2:10" ht="12.75">
      <c r="B38" s="74"/>
      <c r="C38" s="78"/>
      <c r="D38" s="79"/>
      <c r="E38" s="38"/>
      <c r="F38" s="38"/>
      <c r="G38" s="38"/>
      <c r="H38" s="57"/>
      <c r="I38" s="58"/>
      <c r="J38" s="38"/>
    </row>
    <row r="39" spans="2:14" ht="12.75">
      <c r="B39" s="74">
        <v>2</v>
      </c>
      <c r="C39" s="78"/>
      <c r="D39" s="79"/>
      <c r="E39" s="73" t="s">
        <v>160</v>
      </c>
      <c r="F39" s="38"/>
      <c r="G39" s="38"/>
      <c r="H39" s="57"/>
      <c r="I39" s="80">
        <f>-889348.44-875914.68</f>
        <v>-1765263.12</v>
      </c>
      <c r="J39" s="81"/>
      <c r="M39" s="82"/>
      <c r="N39" s="83"/>
    </row>
    <row r="40" spans="2:13" ht="12.75">
      <c r="B40" s="74"/>
      <c r="C40" s="78"/>
      <c r="D40" s="79"/>
      <c r="E40" s="38"/>
      <c r="F40" s="38"/>
      <c r="G40" s="38"/>
      <c r="H40" s="57"/>
      <c r="I40" s="80"/>
      <c r="J40" s="38"/>
      <c r="M40" s="84"/>
    </row>
    <row r="41" spans="2:10" ht="12.75">
      <c r="B41" s="74">
        <v>3</v>
      </c>
      <c r="C41" s="78"/>
      <c r="D41" s="79"/>
      <c r="E41" s="73" t="s">
        <v>161</v>
      </c>
      <c r="F41" s="38"/>
      <c r="G41" s="38"/>
      <c r="H41" s="57"/>
      <c r="I41" s="85">
        <f>I37-I39</f>
        <v>-40575.87999999989</v>
      </c>
      <c r="J41" s="81"/>
    </row>
    <row r="42" spans="2:10" ht="13.5" thickBot="1">
      <c r="B42" s="86"/>
      <c r="C42" s="87"/>
      <c r="D42" s="88"/>
      <c r="E42" s="62"/>
      <c r="F42" s="62"/>
      <c r="G42" s="62"/>
      <c r="H42" s="65"/>
      <c r="I42" s="66"/>
      <c r="J42" s="38"/>
    </row>
    <row r="44" ht="12.75">
      <c r="E44" s="45" t="s">
        <v>162</v>
      </c>
    </row>
    <row r="46" spans="4:5" ht="12.75">
      <c r="D46" s="89" t="s">
        <v>146</v>
      </c>
      <c r="E46" s="45" t="s">
        <v>146</v>
      </c>
    </row>
    <row r="47" ht="12.75">
      <c r="E47" s="45" t="s">
        <v>146</v>
      </c>
    </row>
    <row r="53" ht="12.75">
      <c r="E53" s="45" t="s">
        <v>166</v>
      </c>
    </row>
    <row r="58" ht="12.75">
      <c r="Q58" s="12" t="s">
        <v>146</v>
      </c>
    </row>
  </sheetData>
  <sheetProtection/>
  <mergeCells count="6">
    <mergeCell ref="B4:I4"/>
    <mergeCell ref="B5:I5"/>
    <mergeCell ref="B6:I6"/>
    <mergeCell ref="B7:I7"/>
    <mergeCell ref="B9:I9"/>
    <mergeCell ref="B11:I11"/>
  </mergeCells>
  <printOptions horizontalCentered="1"/>
  <pageMargins left="0" right="0" top="0.5" bottom="0.5" header="0.5" footer="0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2016-03-03T18:39:44Z</cp:lastPrinted>
  <dcterms:created xsi:type="dcterms:W3CDTF">2015-12-16T16:57:58Z</dcterms:created>
  <dcterms:modified xsi:type="dcterms:W3CDTF">2016-03-29T15:23:20Z</dcterms:modified>
  <cp:category/>
  <cp:version/>
  <cp:contentType/>
  <cp:contentStatus/>
</cp:coreProperties>
</file>