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PSC\Refinancing RUS Debt with CoBank\PSC Inital Request for Information 2262016\"/>
    </mc:Choice>
  </mc:AlternateContent>
  <bookViews>
    <workbookView xWindow="720" yWindow="1170" windowWidth="15480" windowHeight="10545"/>
  </bookViews>
  <sheets>
    <sheet name="As of 12-31-15" sheetId="2" r:id="rId1"/>
  </sheets>
  <definedNames>
    <definedName name="_xlnm.Print_Area" localSheetId="0">'As of 12-31-15'!$A$1:$K$68</definedName>
  </definedNames>
  <calcPr calcId="162913"/>
</workbook>
</file>

<file path=xl/calcChain.xml><?xml version="1.0" encoding="utf-8"?>
<calcChain xmlns="http://schemas.openxmlformats.org/spreadsheetml/2006/main">
  <c r="Y54" i="2" l="1"/>
  <c r="V54" i="2"/>
  <c r="S54" i="2"/>
  <c r="P54" i="2"/>
  <c r="AB24" i="2"/>
  <c r="Y35" i="2"/>
  <c r="X35" i="2"/>
  <c r="V35" i="2"/>
  <c r="U35" i="2"/>
  <c r="S35" i="2"/>
  <c r="R35" i="2"/>
  <c r="P35" i="2"/>
  <c r="O35" i="2"/>
  <c r="Y24" i="2"/>
  <c r="X24" i="2"/>
  <c r="W24" i="2"/>
  <c r="V24" i="2"/>
  <c r="U24" i="2"/>
  <c r="T24" i="2"/>
  <c r="S24" i="2"/>
  <c r="R24" i="2"/>
  <c r="Q24" i="2"/>
  <c r="P24" i="2"/>
  <c r="O24" i="2"/>
  <c r="N24" i="2"/>
  <c r="K56" i="2" l="1"/>
  <c r="AC53" i="2"/>
  <c r="K53" i="2" s="1"/>
  <c r="AC52" i="2"/>
  <c r="K52" i="2" s="1"/>
  <c r="AC51" i="2"/>
  <c r="K51" i="2" s="1"/>
  <c r="AC50" i="2"/>
  <c r="K50" i="2" s="1"/>
  <c r="AC49" i="2"/>
  <c r="K49" i="2" s="1"/>
  <c r="AC48" i="2"/>
  <c r="K48" i="2" s="1"/>
  <c r="AC47" i="2"/>
  <c r="K47" i="2" s="1"/>
  <c r="AC46" i="2"/>
  <c r="K46" i="2" s="1"/>
  <c r="AC45" i="2"/>
  <c r="K45" i="2" s="1"/>
  <c r="AC44" i="2"/>
  <c r="K44" i="2" s="1"/>
  <c r="AC43" i="2"/>
  <c r="K43" i="2" s="1"/>
  <c r="AC42" i="2"/>
  <c r="K42" i="2" s="1"/>
  <c r="AC41" i="2"/>
  <c r="K41" i="2" s="1"/>
  <c r="AC40" i="2"/>
  <c r="K40" i="2" s="1"/>
  <c r="AC39" i="2"/>
  <c r="K39" i="2" s="1"/>
  <c r="AC38" i="2"/>
  <c r="K38" i="2" s="1"/>
  <c r="AC37" i="2"/>
  <c r="AC33" i="2"/>
  <c r="K33" i="2" s="1"/>
  <c r="AC32" i="2"/>
  <c r="K32" i="2" s="1"/>
  <c r="AB26" i="2"/>
  <c r="AC23" i="2"/>
  <c r="K23" i="2" s="1"/>
  <c r="AC22" i="2"/>
  <c r="K22" i="2" s="1"/>
  <c r="AC21" i="2"/>
  <c r="K21" i="2" s="1"/>
  <c r="AC20" i="2"/>
  <c r="K20" i="2" s="1"/>
  <c r="AC19" i="2"/>
  <c r="K19" i="2" s="1"/>
  <c r="AC18" i="2"/>
  <c r="K18" i="2" s="1"/>
  <c r="AC17" i="2"/>
  <c r="K17" i="2" s="1"/>
  <c r="AC16" i="2"/>
  <c r="K16" i="2" s="1"/>
  <c r="AC15" i="2"/>
  <c r="K15" i="2" s="1"/>
  <c r="AC14" i="2"/>
  <c r="K14" i="2" s="1"/>
  <c r="AC13" i="2"/>
  <c r="K13" i="2" s="1"/>
  <c r="AC12" i="2"/>
  <c r="K12" i="2" s="1"/>
  <c r="AC11" i="2"/>
  <c r="K11" i="2" s="1"/>
  <c r="AC10" i="2"/>
  <c r="K10" i="2" s="1"/>
  <c r="AC9" i="2"/>
  <c r="K9" i="2" s="1"/>
  <c r="AC8" i="2"/>
  <c r="AB34" i="2"/>
  <c r="AB31" i="2"/>
  <c r="AB30" i="2"/>
  <c r="AB29" i="2"/>
  <c r="AB28" i="2"/>
  <c r="AB27" i="2"/>
  <c r="AC54" i="2" l="1"/>
  <c r="AC24" i="2"/>
  <c r="AB35" i="2"/>
  <c r="K37" i="2"/>
  <c r="K54" i="2" s="1"/>
  <c r="K8" i="2"/>
  <c r="K24" i="2" s="1"/>
  <c r="AD23" i="2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G68" i="2"/>
  <c r="G24" i="2"/>
  <c r="Z53" i="2" l="1"/>
  <c r="I53" i="2" s="1"/>
  <c r="Z52" i="2"/>
  <c r="I52" i="2" s="1"/>
  <c r="Z51" i="2"/>
  <c r="I51" i="2" s="1"/>
  <c r="Z50" i="2"/>
  <c r="I50" i="2" s="1"/>
  <c r="Z49" i="2"/>
  <c r="I49" i="2" s="1"/>
  <c r="Z48" i="2"/>
  <c r="I48" i="2" s="1"/>
  <c r="Z47" i="2"/>
  <c r="I47" i="2" s="1"/>
  <c r="Z46" i="2"/>
  <c r="I46" i="2" s="1"/>
  <c r="Z45" i="2"/>
  <c r="I45" i="2" s="1"/>
  <c r="Z44" i="2"/>
  <c r="I44" i="2" s="1"/>
  <c r="Z43" i="2"/>
  <c r="I43" i="2" s="1"/>
  <c r="Z42" i="2"/>
  <c r="I42" i="2" s="1"/>
  <c r="Z41" i="2"/>
  <c r="I41" i="2" s="1"/>
  <c r="Z40" i="2"/>
  <c r="I40" i="2" s="1"/>
  <c r="Z39" i="2"/>
  <c r="I39" i="2" s="1"/>
  <c r="Z38" i="2"/>
  <c r="I38" i="2" s="1"/>
  <c r="Z37" i="2"/>
  <c r="Z33" i="2"/>
  <c r="I33" i="2" s="1"/>
  <c r="Z23" i="2"/>
  <c r="I23" i="2" s="1"/>
  <c r="Z22" i="2"/>
  <c r="I22" i="2" s="1"/>
  <c r="Z21" i="2"/>
  <c r="I21" i="2" s="1"/>
  <c r="Z20" i="2"/>
  <c r="I20" i="2" s="1"/>
  <c r="Z19" i="2"/>
  <c r="I19" i="2" s="1"/>
  <c r="Z18" i="2"/>
  <c r="I18" i="2" s="1"/>
  <c r="Z17" i="2"/>
  <c r="I17" i="2" s="1"/>
  <c r="Z16" i="2"/>
  <c r="I16" i="2" s="1"/>
  <c r="Z15" i="2"/>
  <c r="I15" i="2" s="1"/>
  <c r="Z14" i="2"/>
  <c r="I14" i="2" s="1"/>
  <c r="Z13" i="2"/>
  <c r="I13" i="2" s="1"/>
  <c r="Z12" i="2"/>
  <c r="I12" i="2" s="1"/>
  <c r="Z11" i="2"/>
  <c r="I11" i="2" s="1"/>
  <c r="Z10" i="2"/>
  <c r="I10" i="2" s="1"/>
  <c r="Z9" i="2"/>
  <c r="I9" i="2" s="1"/>
  <c r="Z8" i="2"/>
  <c r="W34" i="2"/>
  <c r="W31" i="2"/>
  <c r="W30" i="2"/>
  <c r="W29" i="2"/>
  <c r="W28" i="2"/>
  <c r="W27" i="2"/>
  <c r="W26" i="2"/>
  <c r="T34" i="2"/>
  <c r="T31" i="2"/>
  <c r="T30" i="2"/>
  <c r="T29" i="2"/>
  <c r="T28" i="2"/>
  <c r="T27" i="2"/>
  <c r="T26" i="2"/>
  <c r="Q34" i="2"/>
  <c r="Q31" i="2"/>
  <c r="Q30" i="2"/>
  <c r="Q29" i="2"/>
  <c r="Q28" i="2"/>
  <c r="Q27" i="2"/>
  <c r="Q26" i="2"/>
  <c r="N32" i="2"/>
  <c r="Z32" i="2" s="1"/>
  <c r="I32" i="2" s="1"/>
  <c r="N31" i="2"/>
  <c r="N30" i="2"/>
  <c r="N29" i="2"/>
  <c r="N28" i="2"/>
  <c r="N27" i="2"/>
  <c r="N26" i="2"/>
  <c r="N34" i="2"/>
  <c r="G33" i="2"/>
  <c r="G32" i="2"/>
  <c r="G34" i="2"/>
  <c r="G31" i="2"/>
  <c r="G30" i="2"/>
  <c r="G29" i="2"/>
  <c r="G28" i="2"/>
  <c r="G27" i="2"/>
  <c r="G26" i="2"/>
  <c r="Q35" i="2" l="1"/>
  <c r="N35" i="2"/>
  <c r="I8" i="2"/>
  <c r="Z24" i="2"/>
  <c r="W35" i="2"/>
  <c r="I37" i="2"/>
  <c r="I54" i="2" s="1"/>
  <c r="Z54" i="2"/>
  <c r="T35" i="2"/>
  <c r="AC29" i="2"/>
  <c r="K29" i="2" s="1"/>
  <c r="AC26" i="2"/>
  <c r="AC27" i="2"/>
  <c r="K27" i="2" s="1"/>
  <c r="AC31" i="2"/>
  <c r="K31" i="2" s="1"/>
  <c r="AC30" i="2"/>
  <c r="K30" i="2" s="1"/>
  <c r="AC28" i="2"/>
  <c r="K28" i="2" s="1"/>
  <c r="AC34" i="2"/>
  <c r="K34" i="2" s="1"/>
  <c r="Z34" i="2"/>
  <c r="I34" i="2" s="1"/>
  <c r="Z29" i="2"/>
  <c r="I29" i="2" s="1"/>
  <c r="Z28" i="2"/>
  <c r="I28" i="2" s="1"/>
  <c r="I24" i="2"/>
  <c r="Z30" i="2"/>
  <c r="I30" i="2" s="1"/>
  <c r="Z31" i="2"/>
  <c r="I31" i="2" s="1"/>
  <c r="Z26" i="2"/>
  <c r="Z27" i="2"/>
  <c r="I27" i="2" s="1"/>
  <c r="AD53" i="2"/>
  <c r="G35" i="2"/>
  <c r="I26" i="2" l="1"/>
  <c r="I35" i="2" s="1"/>
  <c r="I60" i="2" s="1"/>
  <c r="I66" i="2" s="1"/>
  <c r="Z35" i="2"/>
  <c r="AC35" i="2"/>
  <c r="AD34" i="2"/>
  <c r="AD59" i="2" s="1"/>
  <c r="K26" i="2"/>
  <c r="K35" i="2" s="1"/>
  <c r="K60" i="2" s="1"/>
  <c r="G54" i="2" l="1"/>
  <c r="G60" i="2" s="1"/>
  <c r="G65" i="2" l="1"/>
</calcChain>
</file>

<file path=xl/comments1.xml><?xml version="1.0" encoding="utf-8"?>
<comments xmlns="http://schemas.openxmlformats.org/spreadsheetml/2006/main">
  <authors>
    <author>Ashley Kerr</author>
  </authors>
  <commentList>
    <comment ref="F8" authorId="0" shapeId="0">
      <text>
        <r>
          <rPr>
            <b/>
            <sz val="9"/>
            <color indexed="81"/>
            <rFont val="Tahoma"/>
            <charset val="1"/>
          </rPr>
          <t>Ashley Kerr:</t>
        </r>
        <r>
          <rPr>
            <sz val="9"/>
            <color indexed="81"/>
            <rFont val="Tahoma"/>
            <charset val="1"/>
          </rPr>
          <t xml:space="preserve">
changed from 0.25 to 0.125 in december 2014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Ashley Kerr:</t>
        </r>
        <r>
          <rPr>
            <sz val="9"/>
            <color indexed="81"/>
            <rFont val="Tahoma"/>
            <family val="2"/>
          </rPr>
          <t xml:space="preserve">
loan documents states there was a maturity extension made 3/31/2009 for this loan. The "extended advance" matures on 12/31/2041 per document and payment schedule. 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Ashley Kerr:</t>
        </r>
        <r>
          <rPr>
            <sz val="9"/>
            <color indexed="81"/>
            <rFont val="Tahoma"/>
            <family val="2"/>
          </rPr>
          <t xml:space="preserve">
This is a 1 year variable rate loan. Have to update rate and maturity when it changes, 2015 payment totals are estimates based on an amortization schedule I created using the rate of 0.119 and a term of 33 years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Ashley Kerr:</t>
        </r>
        <r>
          <rPr>
            <sz val="9"/>
            <color indexed="81"/>
            <rFont val="Tahoma"/>
            <family val="2"/>
          </rPr>
          <t xml:space="preserve">
This loan is financed on the 90 day treasury rate.  Will have to update interst rate and maturity date every time it changes. Payments for 2015-2019 are estimates entered 2/25/15 based on the current rate of 0.030 and an amortization schedule I created with a 30 year term for 3 mil </t>
        </r>
      </text>
    </comment>
  </commentList>
</comments>
</file>

<file path=xl/sharedStrings.xml><?xml version="1.0" encoding="utf-8"?>
<sst xmlns="http://schemas.openxmlformats.org/spreadsheetml/2006/main" count="64" uniqueCount="62">
  <si>
    <t>Interest</t>
  </si>
  <si>
    <t>Date</t>
  </si>
  <si>
    <t>Maturity</t>
  </si>
  <si>
    <t>AV61         IB330</t>
  </si>
  <si>
    <t>AV61         IB335</t>
  </si>
  <si>
    <t>AW44       IB340</t>
  </si>
  <si>
    <t>AW44       IB341</t>
  </si>
  <si>
    <t>AW44       IB342</t>
  </si>
  <si>
    <t>AX44         IB350</t>
  </si>
  <si>
    <t>AW44       IB344</t>
  </si>
  <si>
    <t>AX44         IB351</t>
  </si>
  <si>
    <t>AX44         IB352</t>
  </si>
  <si>
    <t>AX44         IB353</t>
  </si>
  <si>
    <t>AY44         IB362</t>
  </si>
  <si>
    <t>AY44         IB361</t>
  </si>
  <si>
    <t>AY44         IB363</t>
  </si>
  <si>
    <t>AY44         IB364</t>
  </si>
  <si>
    <t>AY44         IB360</t>
  </si>
  <si>
    <t>Loan #   Advance #</t>
  </si>
  <si>
    <t>Rate %</t>
  </si>
  <si>
    <t>CFC</t>
  </si>
  <si>
    <t>FFB</t>
  </si>
  <si>
    <t>RUS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</si>
  <si>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</si>
  <si>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City of Monticello</t>
  </si>
  <si>
    <t>REDL Loan Fund</t>
  </si>
  <si>
    <t>REDL Grant Fund</t>
  </si>
  <si>
    <t>AZ8          H0010</t>
  </si>
  <si>
    <t>BC8          H0035</t>
  </si>
  <si>
    <t>BC8          H0040</t>
  </si>
  <si>
    <t>Principle Balance as of</t>
  </si>
  <si>
    <t>CFC Totals</t>
  </si>
  <si>
    <t>BA8          H0020</t>
  </si>
  <si>
    <t>BA8          H0025</t>
  </si>
  <si>
    <t>BC8          H0030</t>
  </si>
  <si>
    <t>0.119v</t>
  </si>
  <si>
    <t>BA8          H0015</t>
  </si>
  <si>
    <t>Totals</t>
  </si>
  <si>
    <t>0.125v</t>
  </si>
  <si>
    <t>BC8          F0050</t>
  </si>
  <si>
    <t>Total</t>
  </si>
  <si>
    <t>AW44       IB343</t>
  </si>
  <si>
    <t>Less Current Maturities</t>
  </si>
  <si>
    <t>12 Months Interest</t>
  </si>
  <si>
    <t>Paid</t>
  </si>
  <si>
    <t>SOUTH KENTUCKY RECC</t>
  </si>
  <si>
    <t>November 30, 2015</t>
  </si>
  <si>
    <t>BC8          F0045</t>
  </si>
  <si>
    <t>Issue</t>
  </si>
  <si>
    <t>0.250v</t>
  </si>
  <si>
    <t>Less RUS Payments Unapplied</t>
  </si>
  <si>
    <t>0.030v</t>
  </si>
  <si>
    <t>Existing Notes Outstanding</t>
  </si>
  <si>
    <t>Plus Interest Accrual Adjustment</t>
  </si>
  <si>
    <t xml:space="preserve">     Total Long Term Debt</t>
  </si>
  <si>
    <t xml:space="preserve">     Interest Expense on Long Term Debt</t>
  </si>
  <si>
    <t xml:space="preserve">     Notes to be refinanced:</t>
  </si>
  <si>
    <t>Total Ending 11/30/2015</t>
  </si>
  <si>
    <t>Total Ending 12/31/2015</t>
  </si>
  <si>
    <t>Interest Paid in Fiscal Year</t>
  </si>
  <si>
    <t>06/302015</t>
  </si>
  <si>
    <t>8/31/201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</si>
</sst>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\-yy;@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Continuous"/>
    </xf>
    <xf numFmtId="165" fontId="1" fillId="0" borderId="0" xfId="0" applyNumberFormat="1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43" fontId="0" fillId="0" borderId="0" xfId="1" applyFont="1" applyFill="1" applyBorder="1"/>
    <xf numFmtId="0" fontId="0" fillId="3" borderId="2" xfId="0" applyFill="1" applyBorder="1" applyAlignment="1">
      <alignment horizontal="right"/>
    </xf>
    <xf numFmtId="0" fontId="0" fillId="3" borderId="2" xfId="0" applyFill="1" applyBorder="1"/>
    <xf numFmtId="165" fontId="0" fillId="3" borderId="2" xfId="0" applyNumberFormat="1" applyFill="1" applyBorder="1"/>
    <xf numFmtId="4" fontId="0" fillId="3" borderId="2" xfId="0" applyNumberFormat="1" applyFill="1" applyBorder="1"/>
    <xf numFmtId="0" fontId="0" fillId="3" borderId="0" xfId="0" applyFill="1"/>
    <xf numFmtId="0" fontId="3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0" fontId="0" fillId="4" borderId="0" xfId="0" applyFill="1"/>
    <xf numFmtId="4" fontId="0" fillId="0" borderId="0" xfId="0" applyNumberFormat="1" applyFill="1"/>
    <xf numFmtId="4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165" fontId="0" fillId="0" borderId="0" xfId="0" applyNumberFormat="1" applyFill="1" applyBorder="1"/>
    <xf numFmtId="0" fontId="0" fillId="0" borderId="0" xfId="0" applyFill="1"/>
    <xf numFmtId="43" fontId="0" fillId="0" borderId="5" xfId="1" applyFont="1" applyBorder="1"/>
    <xf numFmtId="17" fontId="0" fillId="3" borderId="2" xfId="0" applyNumberFormat="1" applyFill="1" applyBorder="1"/>
    <xf numFmtId="0" fontId="0" fillId="0" borderId="0" xfId="0" applyFill="1" applyAlignment="1">
      <alignment horizontal="right"/>
    </xf>
    <xf numFmtId="164" fontId="0" fillId="0" borderId="0" xfId="0" applyNumberFormat="1" applyFill="1"/>
    <xf numFmtId="165" fontId="0" fillId="0" borderId="0" xfId="0" applyNumberFormat="1" applyFill="1"/>
    <xf numFmtId="4" fontId="6" fillId="0" borderId="0" xfId="0" applyNumberFormat="1" applyFont="1" applyFill="1"/>
    <xf numFmtId="4" fontId="6" fillId="0" borderId="0" xfId="0" applyNumberFormat="1" applyFont="1" applyFill="1" applyBorder="1"/>
    <xf numFmtId="0" fontId="0" fillId="4" borderId="2" xfId="0" applyFill="1" applyBorder="1"/>
    <xf numFmtId="0" fontId="0" fillId="0" borderId="0" xfId="0" applyFill="1" applyAlignment="1">
      <alignment horizontal="centerContinuous"/>
    </xf>
    <xf numFmtId="4" fontId="0" fillId="0" borderId="4" xfId="0" applyNumberFormat="1" applyFill="1" applyBorder="1"/>
    <xf numFmtId="4" fontId="0" fillId="0" borderId="5" xfId="0" applyNumberFormat="1" applyFill="1" applyBorder="1"/>
    <xf numFmtId="43" fontId="0" fillId="0" borderId="5" xfId="1" applyFont="1" applyFill="1" applyBorder="1"/>
    <xf numFmtId="0" fontId="3" fillId="4" borderId="0" xfId="0" applyFont="1" applyFill="1" applyAlignment="1">
      <alignment horizontal="center"/>
    </xf>
    <xf numFmtId="164" fontId="0" fillId="4" borderId="0" xfId="0" applyNumberFormat="1" applyFill="1"/>
    <xf numFmtId="165" fontId="0" fillId="4" borderId="0" xfId="0" applyNumberFormat="1" applyFill="1"/>
    <xf numFmtId="4" fontId="0" fillId="4" borderId="0" xfId="0" applyNumberFormat="1" applyFill="1"/>
    <xf numFmtId="0" fontId="0" fillId="0" borderId="4" xfId="0" applyFill="1" applyBorder="1" applyAlignment="1">
      <alignment horizontal="right"/>
    </xf>
    <xf numFmtId="164" fontId="0" fillId="0" borderId="4" xfId="0" applyNumberFormat="1" applyFill="1" applyBorder="1"/>
    <xf numFmtId="165" fontId="0" fillId="0" borderId="4" xfId="0" applyNumberFormat="1" applyFill="1" applyBorder="1"/>
    <xf numFmtId="0" fontId="0" fillId="0" borderId="4" xfId="0" applyFill="1" applyBorder="1"/>
    <xf numFmtId="164" fontId="0" fillId="0" borderId="0" xfId="0" applyNumberFormat="1" applyFill="1" applyBorder="1"/>
    <xf numFmtId="0" fontId="0" fillId="0" borderId="5" xfId="0" applyFill="1" applyBorder="1" applyAlignment="1">
      <alignment horizontal="right"/>
    </xf>
    <xf numFmtId="164" fontId="0" fillId="0" borderId="5" xfId="0" applyNumberFormat="1" applyFill="1" applyBorder="1"/>
    <xf numFmtId="165" fontId="0" fillId="0" borderId="5" xfId="0" applyNumberFormat="1" applyFill="1" applyBorder="1"/>
    <xf numFmtId="0" fontId="0" fillId="0" borderId="5" xfId="0" applyFill="1" applyBorder="1"/>
    <xf numFmtId="0" fontId="0" fillId="3" borderId="5" xfId="0" applyFill="1" applyBorder="1" applyAlignment="1">
      <alignment horizontal="right"/>
    </xf>
    <xf numFmtId="0" fontId="0" fillId="3" borderId="5" xfId="0" applyFill="1" applyBorder="1"/>
    <xf numFmtId="165" fontId="0" fillId="3" borderId="5" xfId="0" applyNumberFormat="1" applyFill="1" applyBorder="1"/>
    <xf numFmtId="4" fontId="0" fillId="3" borderId="5" xfId="0" applyNumberFormat="1" applyFill="1" applyBorder="1"/>
    <xf numFmtId="4" fontId="6" fillId="2" borderId="6" xfId="0" applyNumberFormat="1" applyFont="1" applyFill="1" applyBorder="1"/>
    <xf numFmtId="4" fontId="6" fillId="3" borderId="2" xfId="0" applyNumberFormat="1" applyFont="1" applyFill="1" applyBorder="1"/>
    <xf numFmtId="43" fontId="0" fillId="0" borderId="0" xfId="1" applyFont="1"/>
    <xf numFmtId="0" fontId="9" fillId="3" borderId="2" xfId="0" applyFont="1" applyFill="1" applyBorder="1"/>
    <xf numFmtId="14" fontId="0" fillId="0" borderId="0" xfId="0" applyNumberFormat="1"/>
    <xf numFmtId="0" fontId="0" fillId="0" borderId="0" xfId="0" applyFill="1" applyAlignment="1">
      <alignment horizontal="center"/>
    </xf>
    <xf numFmtId="0" fontId="1" fillId="0" borderId="0" xfId="0" applyFont="1"/>
    <xf numFmtId="4" fontId="0" fillId="3" borderId="0" xfId="0" applyNumberFormat="1" applyFill="1"/>
    <xf numFmtId="4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15" fontId="0" fillId="0" borderId="0" xfId="0" quotePrefix="1" applyNumberFormat="1" applyAlignment="1">
      <alignment horizontal="centerContinuous"/>
    </xf>
    <xf numFmtId="0" fontId="0" fillId="3" borderId="2" xfId="0" applyFill="1" applyBorder="1" applyAlignment="1">
      <alignment horizontal="center"/>
    </xf>
    <xf numFmtId="4" fontId="6" fillId="2" borderId="3" xfId="0" applyNumberFormat="1" applyFont="1" applyFill="1" applyBorder="1"/>
    <xf numFmtId="165" fontId="0" fillId="0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2" borderId="3" xfId="0" applyFill="1" applyBorder="1" applyAlignment="1"/>
    <xf numFmtId="165" fontId="0" fillId="2" borderId="3" xfId="0" applyNumberFormat="1" applyFill="1" applyBorder="1" applyAlignment="1"/>
    <xf numFmtId="0" fontId="1" fillId="0" borderId="0" xfId="0" applyFont="1" applyFill="1" applyAlignment="1">
      <alignment horizontal="center" wrapText="1"/>
    </xf>
    <xf numFmtId="14" fontId="1" fillId="0" borderId="1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Continuous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Border="1"/>
    <xf numFmtId="4" fontId="0" fillId="4" borderId="5" xfId="0" applyNumberFormat="1" applyFill="1" applyBorder="1"/>
    <xf numFmtId="164" fontId="0" fillId="3" borderId="2" xfId="0" applyNumberFormat="1" applyFill="1" applyBorder="1"/>
    <xf numFmtId="4" fontId="0" fillId="5" borderId="0" xfId="0" applyNumberFormat="1" applyFill="1"/>
    <xf numFmtId="4" fontId="0" fillId="5" borderId="7" xfId="0" applyNumberFormat="1" applyFill="1" applyBorder="1"/>
    <xf numFmtId="0" fontId="1" fillId="0" borderId="0" xfId="0" applyFont="1" applyAlignment="1">
      <alignment horizontal="left"/>
    </xf>
    <xf numFmtId="0" fontId="0" fillId="5" borderId="0" xfId="0" applyFill="1" applyAlignment="1">
      <alignment horizontal="right"/>
    </xf>
    <xf numFmtId="164" fontId="0" fillId="5" borderId="0" xfId="0" applyNumberFormat="1" applyFill="1"/>
    <xf numFmtId="165" fontId="0" fillId="5" borderId="0" xfId="0" applyNumberFormat="1" applyFill="1"/>
    <xf numFmtId="0" fontId="1" fillId="0" borderId="0" xfId="0" applyFont="1" applyAlignment="1"/>
    <xf numFmtId="4" fontId="0" fillId="0" borderId="6" xfId="0" applyNumberFormat="1" applyBorder="1"/>
    <xf numFmtId="43" fontId="0" fillId="0" borderId="6" xfId="1" applyFont="1" applyFill="1" applyBorder="1"/>
    <xf numFmtId="0" fontId="0" fillId="0" borderId="0" xfId="0" applyBorder="1" applyAlignment="1">
      <alignment horizontal="right"/>
    </xf>
    <xf numFmtId="43" fontId="0" fillId="0" borderId="0" xfId="1" applyFont="1" applyBorder="1"/>
    <xf numFmtId="0" fontId="0" fillId="0" borderId="0" xfId="0" applyAlignment="1">
      <alignment wrapText="1"/>
    </xf>
    <xf numFmtId="43" fontId="0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  <color rgb="FFFFCCFF"/>
      <color rgb="FFFC040A"/>
      <color rgb="FFFF00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69"/>
  <sheetViews>
    <sheetView tabSelected="1" topLeftCell="B1" workbookViewId="0">
      <pane ySplit="6" topLeftCell="A7" activePane="bottomLeft" state="frozen"/>
      <selection activeCell="C1" sqref="C1"/>
      <selection pane="bottomLeft" activeCell="C3" sqref="C3"/>
    </sheetView>
  </sheetViews>
  <sheetFormatPr defaultRowHeight="15" x14ac:dyDescent="0.25"/>
  <cols>
    <col min="1" max="1" width="13.28515625" style="4" customWidth="1"/>
    <col min="2" max="2" width="4.42578125" customWidth="1"/>
    <col min="3" max="3" width="16.5703125" customWidth="1"/>
    <col min="4" max="4" width="8.28515625" customWidth="1"/>
    <col min="5" max="5" width="10.42578125" customWidth="1"/>
    <col min="6" max="6" width="7.28515625" style="2" customWidth="1"/>
    <col min="7" max="7" width="16.140625" style="25" customWidth="1"/>
    <col min="8" max="8" width="1.5703125" style="23" customWidth="1"/>
    <col min="9" max="9" width="11.7109375" bestFit="1" customWidth="1"/>
    <col min="10" max="10" width="8.28515625" customWidth="1"/>
    <col min="11" max="11" width="11.7109375" customWidth="1"/>
    <col min="12" max="13" width="11.7109375" style="25" customWidth="1"/>
    <col min="14" max="14" width="10.7109375" bestFit="1" customWidth="1"/>
    <col min="15" max="23" width="10.140625" bestFit="1" customWidth="1"/>
    <col min="24" max="25" width="10.7109375" bestFit="1" customWidth="1"/>
    <col min="26" max="26" width="12.7109375" bestFit="1" customWidth="1"/>
    <col min="28" max="28" width="10.7109375" bestFit="1" customWidth="1"/>
    <col min="29" max="29" width="11.7109375" customWidth="1"/>
    <col min="30" max="30" width="11.7109375" bestFit="1" customWidth="1"/>
  </cols>
  <sheetData>
    <row r="1" spans="1:29" ht="15.75" x14ac:dyDescent="0.25">
      <c r="A1" s="4">
        <v>1</v>
      </c>
      <c r="B1" s="71"/>
      <c r="C1" s="66" t="s">
        <v>45</v>
      </c>
      <c r="D1" s="3"/>
      <c r="E1" s="3"/>
      <c r="F1" s="5"/>
      <c r="G1" s="34"/>
      <c r="H1" s="83"/>
      <c r="I1" s="3"/>
      <c r="J1" s="3"/>
      <c r="K1" s="3"/>
      <c r="L1" s="34"/>
      <c r="M1" s="34"/>
    </row>
    <row r="2" spans="1:29" x14ac:dyDescent="0.25">
      <c r="A2" s="4">
        <v>2</v>
      </c>
      <c r="B2" s="71"/>
      <c r="C2" s="3" t="s">
        <v>52</v>
      </c>
      <c r="D2" s="3"/>
      <c r="E2" s="3"/>
      <c r="F2" s="5"/>
      <c r="G2" s="34"/>
      <c r="H2" s="83"/>
      <c r="I2" s="3"/>
      <c r="J2" s="3"/>
      <c r="K2" s="3"/>
      <c r="L2" s="34"/>
      <c r="M2" s="34"/>
    </row>
    <row r="3" spans="1:29" x14ac:dyDescent="0.25">
      <c r="A3" s="4">
        <v>3</v>
      </c>
      <c r="B3" s="71"/>
      <c r="C3" s="67" t="s">
        <v>46</v>
      </c>
      <c r="D3" s="3"/>
      <c r="E3" s="3"/>
      <c r="F3" s="5"/>
      <c r="G3" s="34"/>
      <c r="H3" s="83"/>
      <c r="I3" s="3"/>
      <c r="J3" s="3"/>
      <c r="K3" s="3"/>
      <c r="L3" s="34"/>
      <c r="M3" s="34"/>
    </row>
    <row r="4" spans="1:29" x14ac:dyDescent="0.25">
      <c r="A4" s="4">
        <v>4</v>
      </c>
      <c r="B4" s="71"/>
      <c r="F4" s="5"/>
    </row>
    <row r="5" spans="1:29" ht="45" x14ac:dyDescent="0.25">
      <c r="A5" s="4">
        <v>5</v>
      </c>
      <c r="B5" s="71"/>
      <c r="C5" s="1" t="s">
        <v>18</v>
      </c>
      <c r="D5" s="1" t="s">
        <v>48</v>
      </c>
      <c r="E5" s="1" t="s">
        <v>2</v>
      </c>
      <c r="F5" s="6" t="s">
        <v>0</v>
      </c>
      <c r="G5" s="79" t="s">
        <v>30</v>
      </c>
      <c r="H5" s="84"/>
      <c r="I5" s="64" t="s">
        <v>43</v>
      </c>
      <c r="J5" s="64"/>
      <c r="K5" s="64" t="s">
        <v>59</v>
      </c>
      <c r="L5" s="79"/>
      <c r="M5" s="79"/>
      <c r="Z5" s="101" t="s">
        <v>57</v>
      </c>
      <c r="AC5" s="101" t="s">
        <v>58</v>
      </c>
    </row>
    <row r="6" spans="1:29" ht="15.75" thickBot="1" x14ac:dyDescent="0.3">
      <c r="A6" s="4">
        <v>6</v>
      </c>
      <c r="B6" s="74"/>
      <c r="C6" s="7"/>
      <c r="D6" s="8" t="s">
        <v>1</v>
      </c>
      <c r="E6" s="8" t="s">
        <v>1</v>
      </c>
      <c r="F6" s="9" t="s">
        <v>19</v>
      </c>
      <c r="G6" s="80">
        <v>42338</v>
      </c>
      <c r="H6" s="85"/>
      <c r="I6" s="65" t="s">
        <v>44</v>
      </c>
      <c r="J6" s="86"/>
      <c r="K6" s="65">
        <v>2015</v>
      </c>
      <c r="L6" s="86"/>
      <c r="M6" s="86"/>
      <c r="N6" s="59">
        <v>42004</v>
      </c>
      <c r="O6" s="59">
        <v>42035</v>
      </c>
      <c r="P6" s="59">
        <v>42063</v>
      </c>
      <c r="Q6" s="59">
        <v>42094</v>
      </c>
      <c r="R6" s="59">
        <v>42124</v>
      </c>
      <c r="S6" s="59">
        <v>42155</v>
      </c>
      <c r="T6" t="s">
        <v>60</v>
      </c>
      <c r="U6" s="59">
        <v>42216</v>
      </c>
      <c r="V6" t="s">
        <v>61</v>
      </c>
      <c r="W6" s="59">
        <v>42277</v>
      </c>
      <c r="X6" s="59">
        <v>42308</v>
      </c>
      <c r="Y6" s="59">
        <v>42338</v>
      </c>
      <c r="AB6" s="59">
        <v>42369</v>
      </c>
    </row>
    <row r="7" spans="1:29" ht="15.75" thickTop="1" x14ac:dyDescent="0.25">
      <c r="A7" s="99">
        <v>7</v>
      </c>
      <c r="B7" s="71"/>
      <c r="C7" s="16" t="s">
        <v>22</v>
      </c>
      <c r="D7" s="17"/>
      <c r="E7" s="17"/>
      <c r="F7" s="18"/>
      <c r="G7" s="17"/>
      <c r="H7" s="86"/>
      <c r="I7" s="17"/>
      <c r="J7" s="86"/>
      <c r="K7" s="17"/>
      <c r="L7" s="86"/>
      <c r="M7" s="86"/>
    </row>
    <row r="8" spans="1:29" s="25" customFormat="1" x14ac:dyDescent="0.25">
      <c r="A8" s="4">
        <v>8</v>
      </c>
      <c r="B8" s="72"/>
      <c r="C8" s="28" t="s">
        <v>3</v>
      </c>
      <c r="D8" s="29">
        <v>35758</v>
      </c>
      <c r="E8" s="29">
        <v>46715</v>
      </c>
      <c r="F8" s="70" t="s">
        <v>49</v>
      </c>
      <c r="G8" s="20">
        <v>2376604.44</v>
      </c>
      <c r="H8" s="21"/>
      <c r="I8" s="20">
        <f>+Z8</f>
        <v>3065.76</v>
      </c>
      <c r="J8" s="20"/>
      <c r="K8" s="20">
        <f>+AC8</f>
        <v>3303.26</v>
      </c>
      <c r="L8" s="20"/>
      <c r="M8" s="20"/>
      <c r="N8" s="20">
        <v>267.12</v>
      </c>
      <c r="O8" s="20">
        <v>266</v>
      </c>
      <c r="P8" s="20">
        <v>239.12</v>
      </c>
      <c r="Q8" s="20">
        <v>263.5</v>
      </c>
      <c r="R8" s="20">
        <v>253.84</v>
      </c>
      <c r="S8" s="20">
        <v>261.05</v>
      </c>
      <c r="T8" s="20">
        <v>251.33</v>
      </c>
      <c r="U8" s="20">
        <v>258.55</v>
      </c>
      <c r="V8" s="20">
        <v>257.3</v>
      </c>
      <c r="W8" s="20">
        <v>247.8</v>
      </c>
      <c r="X8" s="20">
        <v>254.81</v>
      </c>
      <c r="Y8" s="20">
        <v>245.34</v>
      </c>
      <c r="Z8" s="20">
        <f>SUM(N8:Y8)</f>
        <v>3065.76</v>
      </c>
      <c r="AB8" s="20">
        <v>504.62</v>
      </c>
      <c r="AC8" s="20">
        <f>SUM(O8:Y8)+AB8</f>
        <v>3303.26</v>
      </c>
    </row>
    <row r="9" spans="1:29" s="25" customFormat="1" x14ac:dyDescent="0.25">
      <c r="A9" s="28">
        <v>9</v>
      </c>
      <c r="B9" s="72"/>
      <c r="C9" s="28" t="s">
        <v>4</v>
      </c>
      <c r="D9" s="29">
        <v>36313</v>
      </c>
      <c r="E9" s="29">
        <v>47271</v>
      </c>
      <c r="F9" s="70" t="s">
        <v>38</v>
      </c>
      <c r="G9" s="20">
        <v>2364387.9500000002</v>
      </c>
      <c r="H9" s="21"/>
      <c r="I9" s="20">
        <f t="shared" ref="I9:I34" si="0">+Z9</f>
        <v>3050.2799999999997</v>
      </c>
      <c r="J9" s="20"/>
      <c r="K9" s="20">
        <f t="shared" ref="K9:K23" si="1">+AC9</f>
        <v>3035.4300000000003</v>
      </c>
      <c r="L9" s="20"/>
      <c r="M9" s="20"/>
      <c r="N9" s="20">
        <v>265.86</v>
      </c>
      <c r="O9" s="20">
        <v>264.66000000000003</v>
      </c>
      <c r="P9" s="20">
        <v>237.92</v>
      </c>
      <c r="Q9" s="20">
        <v>262.17</v>
      </c>
      <c r="R9" s="20">
        <v>252.55</v>
      </c>
      <c r="S9" s="20">
        <v>259.72000000000003</v>
      </c>
      <c r="T9" s="20">
        <v>250.06</v>
      </c>
      <c r="U9" s="20">
        <v>257.23</v>
      </c>
      <c r="V9" s="20">
        <v>255.99</v>
      </c>
      <c r="W9" s="20">
        <v>246.53</v>
      </c>
      <c r="X9" s="20">
        <v>253.51</v>
      </c>
      <c r="Y9" s="20">
        <v>244.08</v>
      </c>
      <c r="Z9" s="20">
        <f t="shared" ref="Z9:Z34" si="2">SUM(N9:Y9)</f>
        <v>3050.2799999999997</v>
      </c>
      <c r="AB9" s="20">
        <v>251.01</v>
      </c>
      <c r="AC9" s="20">
        <f t="shared" ref="AC9:AC23" si="3">SUM(O9:Y9)+AB9</f>
        <v>3035.4300000000003</v>
      </c>
    </row>
    <row r="10" spans="1:29" s="25" customFormat="1" x14ac:dyDescent="0.25">
      <c r="A10" s="28">
        <v>10</v>
      </c>
      <c r="B10" s="73"/>
      <c r="C10" s="93" t="s">
        <v>5</v>
      </c>
      <c r="D10" s="94">
        <v>37012</v>
      </c>
      <c r="E10" s="94">
        <v>49735</v>
      </c>
      <c r="F10" s="95">
        <v>5.78</v>
      </c>
      <c r="G10" s="90">
        <v>4847936.8099999996</v>
      </c>
      <c r="H10" s="21"/>
      <c r="I10" s="20">
        <f t="shared" si="0"/>
        <v>284104.40000000002</v>
      </c>
      <c r="J10" s="20"/>
      <c r="K10" s="20">
        <f t="shared" si="1"/>
        <v>283498.28000000003</v>
      </c>
      <c r="L10" s="20"/>
      <c r="M10" s="20"/>
      <c r="N10" s="20">
        <v>24404.84</v>
      </c>
      <c r="O10" s="20">
        <v>24359.38</v>
      </c>
      <c r="P10" s="20">
        <v>21959.040000000001</v>
      </c>
      <c r="Q10" s="20">
        <v>24252.36</v>
      </c>
      <c r="R10" s="20">
        <v>23425.47</v>
      </c>
      <c r="S10" s="20">
        <v>24154.31</v>
      </c>
      <c r="T10" s="20">
        <v>23325.15</v>
      </c>
      <c r="U10" s="20">
        <v>24053.39</v>
      </c>
      <c r="V10" s="20">
        <v>24004.45</v>
      </c>
      <c r="W10" s="20">
        <v>23182.54</v>
      </c>
      <c r="X10" s="20">
        <v>23902.09</v>
      </c>
      <c r="Y10" s="20">
        <v>23081.38</v>
      </c>
      <c r="Z10" s="20">
        <f t="shared" si="2"/>
        <v>284104.40000000002</v>
      </c>
      <c r="AB10" s="20">
        <v>23798.720000000001</v>
      </c>
      <c r="AC10" s="20">
        <f t="shared" si="3"/>
        <v>283498.28000000003</v>
      </c>
    </row>
    <row r="11" spans="1:29" s="25" customFormat="1" x14ac:dyDescent="0.25">
      <c r="A11" s="22">
        <v>11</v>
      </c>
      <c r="B11" s="72"/>
      <c r="C11" s="93" t="s">
        <v>6</v>
      </c>
      <c r="D11" s="94">
        <v>37047</v>
      </c>
      <c r="E11" s="94">
        <v>49735</v>
      </c>
      <c r="F11" s="95">
        <v>5.41</v>
      </c>
      <c r="G11" s="90">
        <v>3921742.84</v>
      </c>
      <c r="H11" s="21"/>
      <c r="I11" s="20">
        <f t="shared" si="0"/>
        <v>215235.8</v>
      </c>
      <c r="J11" s="20"/>
      <c r="K11" s="20">
        <f t="shared" si="1"/>
        <v>214757.83000000005</v>
      </c>
      <c r="L11" s="20"/>
      <c r="M11" s="20"/>
      <c r="N11" s="20">
        <v>18497.57</v>
      </c>
      <c r="O11" s="20">
        <v>18461.48</v>
      </c>
      <c r="P11" s="20">
        <v>16640.77</v>
      </c>
      <c r="Q11" s="20">
        <v>18377.560000000001</v>
      </c>
      <c r="R11" s="20">
        <v>17749.39</v>
      </c>
      <c r="S11" s="20">
        <v>18300.14</v>
      </c>
      <c r="T11" s="20">
        <v>17670.18</v>
      </c>
      <c r="U11" s="20">
        <v>18220.490000000002</v>
      </c>
      <c r="V11" s="20">
        <v>18181.75</v>
      </c>
      <c r="W11" s="20">
        <v>17557.580000000002</v>
      </c>
      <c r="X11" s="20">
        <v>18101.04</v>
      </c>
      <c r="Y11" s="20">
        <v>17477.849999999999</v>
      </c>
      <c r="Z11" s="20">
        <f t="shared" si="2"/>
        <v>215235.8</v>
      </c>
      <c r="AB11" s="20">
        <v>18019.599999999999</v>
      </c>
      <c r="AC11" s="20">
        <f t="shared" si="3"/>
        <v>214757.83000000005</v>
      </c>
    </row>
    <row r="12" spans="1:29" s="25" customFormat="1" x14ac:dyDescent="0.25">
      <c r="A12" s="28">
        <v>12</v>
      </c>
      <c r="B12" s="72"/>
      <c r="C12" s="93" t="s">
        <v>7</v>
      </c>
      <c r="D12" s="94">
        <v>37068</v>
      </c>
      <c r="E12" s="94">
        <v>49735</v>
      </c>
      <c r="F12" s="95">
        <v>5.202</v>
      </c>
      <c r="G12" s="90">
        <v>3840904.7</v>
      </c>
      <c r="H12" s="21"/>
      <c r="I12" s="20">
        <f t="shared" si="0"/>
        <v>202754.24000000005</v>
      </c>
      <c r="J12" s="20"/>
      <c r="K12" s="20">
        <f t="shared" si="1"/>
        <v>202294.73000000004</v>
      </c>
      <c r="L12" s="20"/>
      <c r="M12" s="20"/>
      <c r="N12" s="20">
        <v>17429.150000000001</v>
      </c>
      <c r="O12" s="20">
        <v>17394.32</v>
      </c>
      <c r="P12" s="20">
        <v>15678.09</v>
      </c>
      <c r="Q12" s="20">
        <v>17313.88</v>
      </c>
      <c r="R12" s="20">
        <v>16721.28</v>
      </c>
      <c r="S12" s="20">
        <v>17239.38</v>
      </c>
      <c r="T12" s="20">
        <v>16645.09</v>
      </c>
      <c r="U12" s="20">
        <v>17162.79</v>
      </c>
      <c r="V12" s="20">
        <v>17125.47</v>
      </c>
      <c r="W12" s="20">
        <v>16536.759999999998</v>
      </c>
      <c r="X12" s="20">
        <v>17047.89</v>
      </c>
      <c r="Y12" s="20">
        <v>16460.14</v>
      </c>
      <c r="Z12" s="20">
        <f t="shared" si="2"/>
        <v>202754.24000000005</v>
      </c>
      <c r="AB12" s="20">
        <v>16969.64</v>
      </c>
      <c r="AC12" s="20">
        <f t="shared" si="3"/>
        <v>202294.73000000004</v>
      </c>
    </row>
    <row r="13" spans="1:29" s="25" customFormat="1" x14ac:dyDescent="0.25">
      <c r="A13" s="28">
        <v>13</v>
      </c>
      <c r="B13" s="72"/>
      <c r="C13" s="93" t="s">
        <v>41</v>
      </c>
      <c r="D13" s="94">
        <v>37281</v>
      </c>
      <c r="E13" s="94">
        <v>49735</v>
      </c>
      <c r="F13" s="95">
        <v>4.99</v>
      </c>
      <c r="G13" s="90">
        <v>1569048.7</v>
      </c>
      <c r="H13" s="21"/>
      <c r="I13" s="20">
        <f t="shared" si="0"/>
        <v>79501.89</v>
      </c>
      <c r="J13" s="20"/>
      <c r="K13" s="20">
        <f t="shared" si="1"/>
        <v>79313.98</v>
      </c>
      <c r="L13" s="20"/>
      <c r="M13" s="20"/>
      <c r="N13" s="20">
        <v>6837.67</v>
      </c>
      <c r="O13" s="20">
        <v>6823.36</v>
      </c>
      <c r="P13" s="20">
        <v>6149.53</v>
      </c>
      <c r="Q13" s="20">
        <v>6790.6</v>
      </c>
      <c r="R13" s="20">
        <v>6557.55</v>
      </c>
      <c r="S13" s="20">
        <v>6760.1</v>
      </c>
      <c r="T13" s="20">
        <v>6526.37</v>
      </c>
      <c r="U13" s="20">
        <v>6728.78</v>
      </c>
      <c r="V13" s="20">
        <v>6713.46</v>
      </c>
      <c r="W13" s="20">
        <v>6482.02</v>
      </c>
      <c r="X13" s="20">
        <v>6681.75</v>
      </c>
      <c r="Y13" s="20">
        <v>6450.7</v>
      </c>
      <c r="Z13" s="20">
        <f t="shared" si="2"/>
        <v>79501.89</v>
      </c>
      <c r="AB13" s="20">
        <v>6649.76</v>
      </c>
      <c r="AC13" s="20">
        <f t="shared" si="3"/>
        <v>79313.98</v>
      </c>
    </row>
    <row r="14" spans="1:29" s="25" customFormat="1" x14ac:dyDescent="0.25">
      <c r="A14" s="28">
        <v>14</v>
      </c>
      <c r="B14" s="72"/>
      <c r="C14" s="93" t="s">
        <v>9</v>
      </c>
      <c r="D14" s="94">
        <v>37286</v>
      </c>
      <c r="E14" s="94">
        <v>49735</v>
      </c>
      <c r="F14" s="95">
        <v>5.47</v>
      </c>
      <c r="G14" s="90">
        <v>1843350.62</v>
      </c>
      <c r="H14" s="21"/>
      <c r="I14" s="20">
        <f t="shared" si="0"/>
        <v>102268.40999999999</v>
      </c>
      <c r="J14" s="20"/>
      <c r="K14" s="20">
        <f t="shared" si="1"/>
        <v>102044.64</v>
      </c>
      <c r="L14" s="20"/>
      <c r="M14" s="20"/>
      <c r="N14" s="20">
        <v>8787.52</v>
      </c>
      <c r="O14" s="20">
        <v>8770.65</v>
      </c>
      <c r="P14" s="20">
        <v>7905.93</v>
      </c>
      <c r="Q14" s="20">
        <v>8731.32</v>
      </c>
      <c r="R14" s="20">
        <v>8433.1299999999992</v>
      </c>
      <c r="S14" s="20">
        <v>8695.07</v>
      </c>
      <c r="T14" s="20">
        <v>8396.06</v>
      </c>
      <c r="U14" s="20">
        <v>8657.7800000000007</v>
      </c>
      <c r="V14" s="20">
        <v>8639.67</v>
      </c>
      <c r="W14" s="20">
        <v>8343.36</v>
      </c>
      <c r="X14" s="20">
        <v>8601.89</v>
      </c>
      <c r="Y14" s="20">
        <v>8306.0300000000007</v>
      </c>
      <c r="Z14" s="20">
        <f t="shared" si="2"/>
        <v>102268.40999999999</v>
      </c>
      <c r="AB14" s="20">
        <v>8563.75</v>
      </c>
      <c r="AC14" s="20">
        <f t="shared" si="3"/>
        <v>102044.64</v>
      </c>
    </row>
    <row r="15" spans="1:29" s="25" customFormat="1" x14ac:dyDescent="0.25">
      <c r="A15" s="28">
        <v>15</v>
      </c>
      <c r="B15" s="72"/>
      <c r="C15" s="93" t="s">
        <v>8</v>
      </c>
      <c r="D15" s="94">
        <v>37551</v>
      </c>
      <c r="E15" s="94">
        <v>50192</v>
      </c>
      <c r="F15" s="95">
        <v>5.31</v>
      </c>
      <c r="G15" s="90">
        <v>5593890.5199999996</v>
      </c>
      <c r="H15" s="21"/>
      <c r="I15" s="20">
        <f t="shared" si="0"/>
        <v>300963.95</v>
      </c>
      <c r="J15" s="20"/>
      <c r="K15" s="20">
        <f t="shared" si="1"/>
        <v>300352.06</v>
      </c>
      <c r="L15" s="20"/>
      <c r="M15" s="20"/>
      <c r="N15" s="20">
        <v>25839.57</v>
      </c>
      <c r="O15" s="20">
        <v>25793.49</v>
      </c>
      <c r="P15" s="20">
        <v>23253.79</v>
      </c>
      <c r="Q15" s="20">
        <v>25685.56</v>
      </c>
      <c r="R15" s="20">
        <v>24811.88</v>
      </c>
      <c r="S15" s="20">
        <v>25586.47</v>
      </c>
      <c r="T15" s="20">
        <v>24710.54</v>
      </c>
      <c r="U15" s="20">
        <v>25484.55</v>
      </c>
      <c r="V15" s="20">
        <v>25435.11</v>
      </c>
      <c r="W15" s="20">
        <v>24566.560000000001</v>
      </c>
      <c r="X15" s="20">
        <v>25331.86</v>
      </c>
      <c r="Y15" s="20">
        <v>24464.57</v>
      </c>
      <c r="Z15" s="20">
        <f t="shared" si="2"/>
        <v>300963.95</v>
      </c>
      <c r="AB15" s="20">
        <v>25227.68</v>
      </c>
      <c r="AC15" s="20">
        <f t="shared" si="3"/>
        <v>300352.06</v>
      </c>
    </row>
    <row r="16" spans="1:29" s="25" customFormat="1" x14ac:dyDescent="0.25">
      <c r="A16" s="28">
        <v>16</v>
      </c>
      <c r="B16" s="72"/>
      <c r="C16" s="93" t="s">
        <v>10</v>
      </c>
      <c r="D16" s="94">
        <v>37868</v>
      </c>
      <c r="E16" s="94">
        <v>50195</v>
      </c>
      <c r="F16" s="95">
        <v>5.44</v>
      </c>
      <c r="G16" s="90">
        <v>4948100.0999999996</v>
      </c>
      <c r="H16" s="21"/>
      <c r="I16" s="20">
        <f t="shared" si="0"/>
        <v>272708.31</v>
      </c>
      <c r="J16" s="20"/>
      <c r="K16" s="20">
        <f t="shared" si="1"/>
        <v>272158.28000000003</v>
      </c>
      <c r="L16" s="20"/>
      <c r="M16" s="20"/>
      <c r="N16" s="20">
        <v>23411.61</v>
      </c>
      <c r="O16" s="20">
        <v>23370.29</v>
      </c>
      <c r="P16" s="20">
        <v>21069.58</v>
      </c>
      <c r="Q16" s="20">
        <v>23273.09</v>
      </c>
      <c r="R16" s="20">
        <v>22481.89</v>
      </c>
      <c r="S16" s="20">
        <v>23184.06</v>
      </c>
      <c r="T16" s="20">
        <v>22390.81</v>
      </c>
      <c r="U16" s="20">
        <v>23092.47</v>
      </c>
      <c r="V16" s="20">
        <v>23048.080000000002</v>
      </c>
      <c r="W16" s="20">
        <v>22261.439999999999</v>
      </c>
      <c r="X16" s="20">
        <v>22955.25</v>
      </c>
      <c r="Y16" s="20">
        <v>22169.74</v>
      </c>
      <c r="Z16" s="20">
        <f t="shared" si="2"/>
        <v>272708.31</v>
      </c>
      <c r="AB16" s="20">
        <v>22861.58</v>
      </c>
      <c r="AC16" s="20">
        <f t="shared" si="3"/>
        <v>272158.28000000003</v>
      </c>
    </row>
    <row r="17" spans="1:30" s="25" customFormat="1" x14ac:dyDescent="0.25">
      <c r="A17" s="28">
        <v>17</v>
      </c>
      <c r="B17" s="72"/>
      <c r="C17" s="93" t="s">
        <v>11</v>
      </c>
      <c r="D17" s="94">
        <v>38008</v>
      </c>
      <c r="E17" s="94">
        <v>50194</v>
      </c>
      <c r="F17" s="95">
        <v>5.0199999999999996</v>
      </c>
      <c r="G17" s="90">
        <v>2443001</v>
      </c>
      <c r="H17" s="21"/>
      <c r="I17" s="20">
        <f t="shared" si="0"/>
        <v>124330.31000000001</v>
      </c>
      <c r="J17" s="20"/>
      <c r="K17" s="20">
        <f t="shared" si="1"/>
        <v>124066.76000000001</v>
      </c>
      <c r="L17" s="20"/>
      <c r="M17" s="20"/>
      <c r="N17" s="20">
        <v>10679.44</v>
      </c>
      <c r="O17" s="20">
        <v>10659.47</v>
      </c>
      <c r="P17" s="20">
        <v>9609.0499999999993</v>
      </c>
      <c r="Q17" s="20">
        <v>10613.23</v>
      </c>
      <c r="R17" s="20">
        <v>10251.33</v>
      </c>
      <c r="S17" s="20">
        <v>10570.49</v>
      </c>
      <c r="T17" s="20">
        <v>10207.64</v>
      </c>
      <c r="U17" s="20">
        <v>10526.57</v>
      </c>
      <c r="V17" s="20">
        <v>10505.19</v>
      </c>
      <c r="W17" s="20">
        <v>10145.540000000001</v>
      </c>
      <c r="X17" s="20">
        <v>10460.73</v>
      </c>
      <c r="Y17" s="20">
        <v>10101.629999999999</v>
      </c>
      <c r="Z17" s="20">
        <f t="shared" si="2"/>
        <v>124330.31000000001</v>
      </c>
      <c r="AB17" s="20">
        <v>10415.89</v>
      </c>
      <c r="AC17" s="20">
        <f t="shared" si="3"/>
        <v>124066.76000000001</v>
      </c>
    </row>
    <row r="18" spans="1:30" s="25" customFormat="1" x14ac:dyDescent="0.25">
      <c r="A18" s="28">
        <v>18</v>
      </c>
      <c r="B18" s="72"/>
      <c r="C18" s="93" t="s">
        <v>12</v>
      </c>
      <c r="D18" s="94">
        <v>38265</v>
      </c>
      <c r="E18" s="94">
        <v>50196</v>
      </c>
      <c r="F18" s="95">
        <v>5.04</v>
      </c>
      <c r="G18" s="90">
        <v>6838682.0700000003</v>
      </c>
      <c r="H18" s="21"/>
      <c r="I18" s="20">
        <f t="shared" si="0"/>
        <v>349421.19000000006</v>
      </c>
      <c r="J18" s="20"/>
      <c r="K18" s="20">
        <f t="shared" si="1"/>
        <v>348680.93000000005</v>
      </c>
      <c r="L18" s="20"/>
      <c r="M18" s="20"/>
      <c r="N18" s="20">
        <v>30013.57</v>
      </c>
      <c r="O18" s="20">
        <v>29957.51</v>
      </c>
      <c r="P18" s="20">
        <v>27005.43</v>
      </c>
      <c r="Q18" s="20">
        <v>29827.59</v>
      </c>
      <c r="R18" s="20">
        <v>28810.55</v>
      </c>
      <c r="S18" s="20">
        <v>29707.57</v>
      </c>
      <c r="T18" s="20">
        <v>28687.82</v>
      </c>
      <c r="U18" s="20">
        <v>29584.2</v>
      </c>
      <c r="V18" s="20">
        <v>29524.17</v>
      </c>
      <c r="W18" s="20">
        <v>28513.43</v>
      </c>
      <c r="X18" s="20">
        <v>29399.27</v>
      </c>
      <c r="Y18" s="20">
        <v>28390.080000000002</v>
      </c>
      <c r="Z18" s="20">
        <f t="shared" si="2"/>
        <v>349421.19000000006</v>
      </c>
      <c r="AB18" s="20">
        <v>29273.31</v>
      </c>
      <c r="AC18" s="20">
        <f t="shared" si="3"/>
        <v>348680.93000000005</v>
      </c>
    </row>
    <row r="19" spans="1:30" s="25" customFormat="1" x14ac:dyDescent="0.25">
      <c r="A19" s="28">
        <v>19</v>
      </c>
      <c r="B19" s="72"/>
      <c r="C19" s="93" t="s">
        <v>17</v>
      </c>
      <c r="D19" s="94">
        <v>38671</v>
      </c>
      <c r="E19" s="94">
        <v>51380</v>
      </c>
      <c r="F19" s="95">
        <v>4.63</v>
      </c>
      <c r="G19" s="90">
        <v>5218967.91</v>
      </c>
      <c r="H19" s="21"/>
      <c r="I19" s="20">
        <f t="shared" si="0"/>
        <v>244428.85000000003</v>
      </c>
      <c r="J19" s="20"/>
      <c r="K19" s="20">
        <f t="shared" si="1"/>
        <v>243993.74000000005</v>
      </c>
      <c r="L19" s="20"/>
      <c r="M19" s="20"/>
      <c r="N19" s="20">
        <v>20957.810000000001</v>
      </c>
      <c r="O19" s="20">
        <v>20924.93</v>
      </c>
      <c r="P19" s="20">
        <v>18868.87</v>
      </c>
      <c r="Q19" s="20">
        <v>20848.05</v>
      </c>
      <c r="R19" s="20">
        <v>20143.39</v>
      </c>
      <c r="S19" s="20">
        <v>20777.490000000002</v>
      </c>
      <c r="T19" s="20">
        <v>20071.27</v>
      </c>
      <c r="U19" s="20">
        <v>20705.009999999998</v>
      </c>
      <c r="V19" s="20">
        <v>20669.88</v>
      </c>
      <c r="W19" s="20">
        <v>19968.97</v>
      </c>
      <c r="X19" s="20">
        <v>20596.57</v>
      </c>
      <c r="Y19" s="20">
        <v>19896.61</v>
      </c>
      <c r="Z19" s="20">
        <f t="shared" si="2"/>
        <v>244428.85000000003</v>
      </c>
      <c r="AB19" s="20">
        <v>20522.7</v>
      </c>
      <c r="AC19" s="20">
        <f t="shared" si="3"/>
        <v>243993.74000000005</v>
      </c>
    </row>
    <row r="20" spans="1:30" s="25" customFormat="1" x14ac:dyDescent="0.25">
      <c r="A20" s="28">
        <v>20</v>
      </c>
      <c r="B20" s="72"/>
      <c r="C20" s="93" t="s">
        <v>14</v>
      </c>
      <c r="D20" s="94">
        <v>38820</v>
      </c>
      <c r="E20" s="94">
        <v>51380</v>
      </c>
      <c r="F20" s="95">
        <v>5.05</v>
      </c>
      <c r="G20" s="90">
        <v>3513809.08</v>
      </c>
      <c r="H20" s="21"/>
      <c r="I20" s="20">
        <f t="shared" si="0"/>
        <v>179369.28999999998</v>
      </c>
      <c r="J20" s="20"/>
      <c r="K20" s="20">
        <f t="shared" si="1"/>
        <v>179069.69999999998</v>
      </c>
      <c r="L20" s="20"/>
      <c r="M20" s="20"/>
      <c r="N20" s="20">
        <v>15370.46</v>
      </c>
      <c r="O20" s="20">
        <v>15348.06</v>
      </c>
      <c r="P20" s="20">
        <v>13841.56</v>
      </c>
      <c r="Q20" s="20">
        <v>15294.62</v>
      </c>
      <c r="R20" s="20">
        <v>14779.31</v>
      </c>
      <c r="S20" s="20">
        <v>15246.14</v>
      </c>
      <c r="T20" s="20">
        <v>14729.74</v>
      </c>
      <c r="U20" s="20">
        <v>15196.29</v>
      </c>
      <c r="V20" s="20">
        <v>15172.25</v>
      </c>
      <c r="W20" s="20">
        <v>14659.47</v>
      </c>
      <c r="X20" s="20">
        <v>15121.77</v>
      </c>
      <c r="Y20" s="20">
        <v>14609.62</v>
      </c>
      <c r="Z20" s="20">
        <f t="shared" si="2"/>
        <v>179369.28999999998</v>
      </c>
      <c r="AB20" s="20">
        <v>15070.87</v>
      </c>
      <c r="AC20" s="20">
        <f t="shared" si="3"/>
        <v>179069.69999999998</v>
      </c>
    </row>
    <row r="21" spans="1:30" s="25" customFormat="1" x14ac:dyDescent="0.25">
      <c r="A21" s="28">
        <v>21</v>
      </c>
      <c r="B21" s="72"/>
      <c r="C21" s="93" t="s">
        <v>13</v>
      </c>
      <c r="D21" s="94">
        <v>38939</v>
      </c>
      <c r="E21" s="94">
        <v>51380</v>
      </c>
      <c r="F21" s="95">
        <v>5.05</v>
      </c>
      <c r="G21" s="90">
        <v>5270713.6500000004</v>
      </c>
      <c r="H21" s="21"/>
      <c r="I21" s="20">
        <f t="shared" si="0"/>
        <v>269053.94999999995</v>
      </c>
      <c r="J21" s="20"/>
      <c r="K21" s="20">
        <f t="shared" si="1"/>
        <v>268604.56</v>
      </c>
      <c r="L21" s="20"/>
      <c r="M21" s="20"/>
      <c r="N21" s="20">
        <v>23055.7</v>
      </c>
      <c r="O21" s="20">
        <v>23022.080000000002</v>
      </c>
      <c r="P21" s="20">
        <v>20762.34</v>
      </c>
      <c r="Q21" s="20">
        <v>22941.93</v>
      </c>
      <c r="R21" s="20">
        <v>22168.98</v>
      </c>
      <c r="S21" s="20">
        <v>22869.21</v>
      </c>
      <c r="T21" s="20">
        <v>22094.61</v>
      </c>
      <c r="U21" s="20">
        <v>22794.43</v>
      </c>
      <c r="V21" s="20">
        <v>22758.38</v>
      </c>
      <c r="W21" s="20">
        <v>21989.19</v>
      </c>
      <c r="X21" s="20">
        <v>22682.67</v>
      </c>
      <c r="Y21" s="20">
        <v>21914.43</v>
      </c>
      <c r="Z21" s="20">
        <f t="shared" si="2"/>
        <v>269053.94999999995</v>
      </c>
      <c r="AB21" s="20">
        <v>22606.31</v>
      </c>
      <c r="AC21" s="20">
        <f t="shared" si="3"/>
        <v>268604.56</v>
      </c>
    </row>
    <row r="22" spans="1:30" s="25" customFormat="1" x14ac:dyDescent="0.25">
      <c r="A22" s="28">
        <v>22</v>
      </c>
      <c r="B22" s="72"/>
      <c r="C22" s="93" t="s">
        <v>15</v>
      </c>
      <c r="D22" s="94">
        <v>39058</v>
      </c>
      <c r="E22" s="94">
        <v>51380</v>
      </c>
      <c r="F22" s="95">
        <v>4.5999999999999996</v>
      </c>
      <c r="G22" s="90">
        <v>5216380.0599999996</v>
      </c>
      <c r="H22" s="21"/>
      <c r="I22" s="20">
        <f t="shared" si="0"/>
        <v>242732.35</v>
      </c>
      <c r="J22" s="20"/>
      <c r="K22" s="20">
        <f t="shared" si="1"/>
        <v>242299.06</v>
      </c>
      <c r="L22" s="20"/>
      <c r="M22" s="20"/>
      <c r="N22" s="20">
        <v>20812.900000000001</v>
      </c>
      <c r="O22" s="20">
        <v>20780.14</v>
      </c>
      <c r="P22" s="20">
        <v>18738.2</v>
      </c>
      <c r="Q22" s="20">
        <v>20703.61</v>
      </c>
      <c r="R22" s="20">
        <v>20003.740000000002</v>
      </c>
      <c r="S22" s="20">
        <v>20633.34</v>
      </c>
      <c r="T22" s="20">
        <v>19931.919999999998</v>
      </c>
      <c r="U22" s="20">
        <v>20561.169999999998</v>
      </c>
      <c r="V22" s="20">
        <v>20526.16</v>
      </c>
      <c r="W22" s="20">
        <v>19830.03</v>
      </c>
      <c r="X22" s="20">
        <v>20453.169999999998</v>
      </c>
      <c r="Y22" s="20">
        <v>19757.97</v>
      </c>
      <c r="Z22" s="20">
        <f t="shared" si="2"/>
        <v>242732.35</v>
      </c>
      <c r="AB22" s="20">
        <v>20379.61</v>
      </c>
      <c r="AC22" s="20">
        <f t="shared" si="3"/>
        <v>242299.06</v>
      </c>
    </row>
    <row r="23" spans="1:30" s="25" customFormat="1" x14ac:dyDescent="0.25">
      <c r="A23" s="28">
        <v>23</v>
      </c>
      <c r="B23" s="72"/>
      <c r="C23" s="93" t="s">
        <v>16</v>
      </c>
      <c r="D23" s="94">
        <v>39359</v>
      </c>
      <c r="E23" s="94">
        <v>51380</v>
      </c>
      <c r="F23" s="95">
        <v>4.79</v>
      </c>
      <c r="G23" s="90">
        <v>4048741.48</v>
      </c>
      <c r="H23" s="21"/>
      <c r="I23" s="20">
        <f t="shared" si="0"/>
        <v>196123.45999999996</v>
      </c>
      <c r="J23" s="20"/>
      <c r="K23" s="20">
        <f t="shared" si="1"/>
        <v>195782.22999999998</v>
      </c>
      <c r="L23" s="20"/>
      <c r="M23" s="20"/>
      <c r="N23" s="20">
        <v>16812.400000000001</v>
      </c>
      <c r="O23" s="20">
        <v>16786.7</v>
      </c>
      <c r="P23" s="20">
        <v>15137.91</v>
      </c>
      <c r="Q23" s="20">
        <v>16726.2</v>
      </c>
      <c r="R23" s="20">
        <v>16161.54</v>
      </c>
      <c r="S23" s="20">
        <v>16670.93</v>
      </c>
      <c r="T23" s="20">
        <v>16105.01</v>
      </c>
      <c r="U23" s="20">
        <v>16614.099999999999</v>
      </c>
      <c r="V23" s="20">
        <v>16586.61</v>
      </c>
      <c r="W23" s="20">
        <v>16024.85</v>
      </c>
      <c r="X23" s="20">
        <v>16529.12</v>
      </c>
      <c r="Y23" s="20">
        <v>15968.09</v>
      </c>
      <c r="Z23" s="20">
        <f t="shared" si="2"/>
        <v>196123.45999999996</v>
      </c>
      <c r="AB23" s="20">
        <v>16471.169999999998</v>
      </c>
      <c r="AC23" s="20">
        <f t="shared" si="3"/>
        <v>195782.22999999998</v>
      </c>
      <c r="AD23" s="20">
        <f>SUM(AC8:AC23)</f>
        <v>3063255.4700000007</v>
      </c>
    </row>
    <row r="24" spans="1:30" s="25" customFormat="1" x14ac:dyDescent="0.25">
      <c r="A24" s="28">
        <v>24</v>
      </c>
      <c r="B24" s="72"/>
      <c r="C24" s="11" t="s">
        <v>37</v>
      </c>
      <c r="D24" s="89"/>
      <c r="E24" s="89"/>
      <c r="F24" s="13"/>
      <c r="G24" s="14">
        <f>SUM(G8:G23)</f>
        <v>63856261.929999992</v>
      </c>
      <c r="H24" s="14"/>
      <c r="I24" s="14">
        <f>SUM(I8:I23)</f>
        <v>3069112.44</v>
      </c>
      <c r="J24" s="21"/>
      <c r="K24" s="14">
        <f>SUM(K8:K23)</f>
        <v>3063255.4700000007</v>
      </c>
      <c r="L24" s="21"/>
      <c r="M24" s="21"/>
      <c r="N24" s="20">
        <f>SUM(N8:N23)</f>
        <v>263443.19</v>
      </c>
      <c r="O24" s="20">
        <f t="shared" ref="O24:AC24" si="4">SUM(O8:O23)</f>
        <v>262982.52</v>
      </c>
      <c r="P24" s="20">
        <f t="shared" si="4"/>
        <v>237097.13</v>
      </c>
      <c r="Q24" s="20">
        <f t="shared" si="4"/>
        <v>261905.27000000002</v>
      </c>
      <c r="R24" s="20">
        <f t="shared" si="4"/>
        <v>253005.82</v>
      </c>
      <c r="S24" s="20">
        <f t="shared" si="4"/>
        <v>260915.46999999997</v>
      </c>
      <c r="T24" s="20">
        <f t="shared" si="4"/>
        <v>251993.59999999998</v>
      </c>
      <c r="U24" s="20">
        <f t="shared" si="4"/>
        <v>259897.80000000002</v>
      </c>
      <c r="V24" s="20">
        <f t="shared" si="4"/>
        <v>259403.92000000004</v>
      </c>
      <c r="W24" s="20">
        <f t="shared" si="4"/>
        <v>250556.07</v>
      </c>
      <c r="X24" s="20">
        <f t="shared" si="4"/>
        <v>258373.38999999996</v>
      </c>
      <c r="Y24" s="20">
        <f t="shared" si="4"/>
        <v>249538.26</v>
      </c>
      <c r="Z24" s="20">
        <f t="shared" si="4"/>
        <v>3069112.44</v>
      </c>
      <c r="AB24" s="20">
        <f t="shared" si="4"/>
        <v>257586.21999999997</v>
      </c>
      <c r="AC24" s="20">
        <f t="shared" si="4"/>
        <v>3063255.4700000007</v>
      </c>
      <c r="AD24" s="20"/>
    </row>
    <row r="25" spans="1:30" s="19" customFormat="1" x14ac:dyDescent="0.25">
      <c r="A25" s="28">
        <f>SUM(A24+1)</f>
        <v>25</v>
      </c>
      <c r="B25" s="73"/>
      <c r="C25" s="38" t="s">
        <v>21</v>
      </c>
      <c r="D25" s="39"/>
      <c r="E25" s="39" t="s">
        <v>23</v>
      </c>
      <c r="F25" s="40"/>
      <c r="H25" s="88"/>
      <c r="J25" s="23"/>
      <c r="K25" s="33"/>
      <c r="L25" s="23"/>
      <c r="M25" s="23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30" s="45" customFormat="1" x14ac:dyDescent="0.25">
      <c r="A26" s="28">
        <f t="shared" ref="A26:A68" si="5">SUM(A25+1)</f>
        <v>26</v>
      </c>
      <c r="B26" s="73"/>
      <c r="C26" s="42" t="s">
        <v>27</v>
      </c>
      <c r="D26" s="43">
        <v>39731</v>
      </c>
      <c r="E26" s="43">
        <v>51866</v>
      </c>
      <c r="F26" s="44">
        <v>3.4550000000000001</v>
      </c>
      <c r="G26" s="35">
        <f>4818576.04-27629.89</f>
        <v>4790946.1500000004</v>
      </c>
      <c r="H26" s="21"/>
      <c r="I26" s="35">
        <f t="shared" si="0"/>
        <v>173994.46000000002</v>
      </c>
      <c r="J26" s="21"/>
      <c r="K26" s="20">
        <f t="shared" ref="K26:K34" si="6">+AC26</f>
        <v>172997.8</v>
      </c>
      <c r="L26" s="20"/>
      <c r="M26" s="20"/>
      <c r="N26" s="35">
        <f>42683.78+1544.28</f>
        <v>44228.06</v>
      </c>
      <c r="O26" s="35"/>
      <c r="P26" s="35"/>
      <c r="Q26" s="35">
        <f>41526.63+1502.41</f>
        <v>43029.04</v>
      </c>
      <c r="R26" s="35"/>
      <c r="S26" s="35"/>
      <c r="T26" s="35">
        <f>41746.28+1510.36</f>
        <v>43256.639999999999</v>
      </c>
      <c r="U26" s="35"/>
      <c r="V26" s="35"/>
      <c r="W26" s="35">
        <f>41962.54+1518.18</f>
        <v>43480.72</v>
      </c>
      <c r="X26" s="35"/>
      <c r="Y26" s="35"/>
      <c r="Z26" s="20">
        <f t="shared" si="2"/>
        <v>173994.46000000002</v>
      </c>
      <c r="AB26" s="20">
        <f>41721.92+1509.48</f>
        <v>43231.4</v>
      </c>
      <c r="AC26" s="20">
        <f t="shared" ref="AC26:AC34" si="7">SUM(O26:Y26)+AB26</f>
        <v>172997.8</v>
      </c>
    </row>
    <row r="27" spans="1:30" s="23" customFormat="1" x14ac:dyDescent="0.25">
      <c r="A27" s="28">
        <f t="shared" si="5"/>
        <v>27</v>
      </c>
      <c r="B27" s="73"/>
      <c r="C27" s="22" t="s">
        <v>36</v>
      </c>
      <c r="D27" s="46">
        <v>39875</v>
      </c>
      <c r="E27" s="46">
        <v>51866</v>
      </c>
      <c r="F27" s="24">
        <v>3.649</v>
      </c>
      <c r="G27" s="21">
        <f>2963593.33-16487.7</f>
        <v>2947105.63</v>
      </c>
      <c r="H27" s="21"/>
      <c r="I27" s="20">
        <f t="shared" si="0"/>
        <v>112783.78</v>
      </c>
      <c r="J27" s="20"/>
      <c r="K27" s="20">
        <f t="shared" si="6"/>
        <v>112156.59</v>
      </c>
      <c r="L27" s="20"/>
      <c r="M27" s="20"/>
      <c r="N27" s="21">
        <f>27712.36+949.31</f>
        <v>28661.670000000002</v>
      </c>
      <c r="O27" s="21"/>
      <c r="P27" s="21"/>
      <c r="Q27" s="21">
        <f>26965.66+923.73</f>
        <v>27889.39</v>
      </c>
      <c r="R27" s="21"/>
      <c r="S27" s="21"/>
      <c r="T27" s="21">
        <f>27112.63+928.77</f>
        <v>28041.4</v>
      </c>
      <c r="U27" s="21"/>
      <c r="V27" s="21"/>
      <c r="W27" s="21">
        <f>27257.59+933.73</f>
        <v>28191.32</v>
      </c>
      <c r="X27" s="21"/>
      <c r="Y27" s="21"/>
      <c r="Z27" s="20">
        <f t="shared" si="2"/>
        <v>112783.78</v>
      </c>
      <c r="AB27" s="21">
        <f>27105.94+928.54</f>
        <v>28034.48</v>
      </c>
      <c r="AC27" s="20">
        <f t="shared" si="7"/>
        <v>112156.59</v>
      </c>
    </row>
    <row r="28" spans="1:30" s="23" customFormat="1" x14ac:dyDescent="0.25">
      <c r="A28" s="28">
        <f t="shared" si="5"/>
        <v>28</v>
      </c>
      <c r="B28" s="73"/>
      <c r="C28" s="22" t="s">
        <v>32</v>
      </c>
      <c r="D28" s="46">
        <v>39889</v>
      </c>
      <c r="E28" s="46">
        <v>52231</v>
      </c>
      <c r="F28" s="24">
        <v>3.6989999999999998</v>
      </c>
      <c r="G28" s="21">
        <f>15573003.37-81016.55</f>
        <v>15491986.819999998</v>
      </c>
      <c r="H28" s="21"/>
      <c r="I28" s="20">
        <f t="shared" si="0"/>
        <v>600187.78</v>
      </c>
      <c r="J28" s="20"/>
      <c r="K28" s="20">
        <f t="shared" si="6"/>
        <v>597062.21</v>
      </c>
      <c r="L28" s="20"/>
      <c r="M28" s="20"/>
      <c r="N28" s="21">
        <f>147463.05+4983.21</f>
        <v>152446.25999999998</v>
      </c>
      <c r="O28" s="21"/>
      <c r="P28" s="21"/>
      <c r="Q28" s="21">
        <f>143539.08+4850.6</f>
        <v>148389.68</v>
      </c>
      <c r="R28" s="21"/>
      <c r="S28" s="21"/>
      <c r="T28" s="21">
        <f>144371.54+4878.74</f>
        <v>149250.28</v>
      </c>
      <c r="U28" s="21"/>
      <c r="V28" s="21"/>
      <c r="W28" s="21">
        <f>145195+4906.56</f>
        <v>150101.56</v>
      </c>
      <c r="X28" s="21"/>
      <c r="Y28" s="21"/>
      <c r="Z28" s="20">
        <f t="shared" si="2"/>
        <v>600187.78</v>
      </c>
      <c r="AB28" s="21">
        <f>144439.65+4881.04</f>
        <v>149320.69</v>
      </c>
      <c r="AC28" s="20">
        <f t="shared" si="7"/>
        <v>597062.21</v>
      </c>
    </row>
    <row r="29" spans="1:30" s="23" customFormat="1" x14ac:dyDescent="0.25">
      <c r="A29" s="28">
        <f t="shared" si="5"/>
        <v>29</v>
      </c>
      <c r="B29" s="73"/>
      <c r="C29" s="22" t="s">
        <v>33</v>
      </c>
      <c r="D29" s="46">
        <v>40421</v>
      </c>
      <c r="E29" s="46">
        <v>52231</v>
      </c>
      <c r="F29" s="24">
        <v>3.2490000000000001</v>
      </c>
      <c r="G29" s="21">
        <f>12518072.02-70050.35</f>
        <v>12448021.67</v>
      </c>
      <c r="H29" s="21"/>
      <c r="I29" s="20">
        <f t="shared" si="0"/>
        <v>425919.22</v>
      </c>
      <c r="J29" s="20"/>
      <c r="K29" s="20">
        <f t="shared" si="6"/>
        <v>423537.01</v>
      </c>
      <c r="L29" s="20"/>
      <c r="M29" s="20"/>
      <c r="N29" s="21">
        <f>104234.04+4010.24</f>
        <v>108244.28</v>
      </c>
      <c r="O29" s="21"/>
      <c r="P29" s="21"/>
      <c r="Q29" s="21">
        <f>101420.67+3902</f>
        <v>105322.67</v>
      </c>
      <c r="R29" s="21"/>
      <c r="S29" s="21"/>
      <c r="T29" s="21">
        <f>101971.29+3923.18</f>
        <v>105894.46999999999</v>
      </c>
      <c r="U29" s="21"/>
      <c r="V29" s="21"/>
      <c r="W29" s="21">
        <f>102513.75+3944.05</f>
        <v>106457.8</v>
      </c>
      <c r="X29" s="21"/>
      <c r="Y29" s="21"/>
      <c r="Z29" s="20">
        <f t="shared" si="2"/>
        <v>425919.22</v>
      </c>
      <c r="AB29" s="21">
        <f>101940.09+3921.98</f>
        <v>105862.06999999999</v>
      </c>
      <c r="AC29" s="20">
        <f t="shared" si="7"/>
        <v>423537.01</v>
      </c>
    </row>
    <row r="30" spans="1:30" s="23" customFormat="1" x14ac:dyDescent="0.25">
      <c r="A30" s="28">
        <f t="shared" si="5"/>
        <v>30</v>
      </c>
      <c r="B30" s="73"/>
      <c r="C30" s="22" t="s">
        <v>34</v>
      </c>
      <c r="D30" s="46">
        <v>41275</v>
      </c>
      <c r="E30" s="46">
        <v>53329</v>
      </c>
      <c r="F30" s="24">
        <v>2.657</v>
      </c>
      <c r="G30" s="21">
        <f>14244503.19-75375.47</f>
        <v>14169127.719999999</v>
      </c>
      <c r="H30" s="21"/>
      <c r="I30" s="20">
        <f t="shared" si="0"/>
        <v>399440.03</v>
      </c>
      <c r="J30" s="20"/>
      <c r="K30" s="20">
        <f t="shared" si="6"/>
        <v>397325.19</v>
      </c>
      <c r="L30" s="20"/>
      <c r="M30" s="20"/>
      <c r="N30" s="21">
        <f>96911.83+4559.27</f>
        <v>101471.1</v>
      </c>
      <c r="O30" s="21"/>
      <c r="P30" s="21"/>
      <c r="Q30" s="21">
        <f>94321.15+4437.39</f>
        <v>98758.54</v>
      </c>
      <c r="R30" s="21"/>
      <c r="S30" s="21"/>
      <c r="T30" s="21">
        <f>94862.73+4462.87</f>
        <v>99325.599999999991</v>
      </c>
      <c r="U30" s="21"/>
      <c r="V30" s="21"/>
      <c r="W30" s="21">
        <f>95396.8+4487.99</f>
        <v>99884.790000000008</v>
      </c>
      <c r="X30" s="21"/>
      <c r="Y30" s="21"/>
      <c r="Z30" s="20">
        <f t="shared" si="2"/>
        <v>399440.03</v>
      </c>
      <c r="AB30" s="21">
        <f>94892.01+4464.25</f>
        <v>99356.26</v>
      </c>
      <c r="AC30" s="20">
        <f t="shared" si="7"/>
        <v>397325.19</v>
      </c>
    </row>
    <row r="31" spans="1:30" s="23" customFormat="1" x14ac:dyDescent="0.25">
      <c r="A31" s="28">
        <f t="shared" si="5"/>
        <v>31</v>
      </c>
      <c r="B31" s="73"/>
      <c r="C31" s="22" t="s">
        <v>28</v>
      </c>
      <c r="D31" s="46">
        <v>41609</v>
      </c>
      <c r="E31" s="46">
        <v>53328</v>
      </c>
      <c r="F31" s="24">
        <v>3.55</v>
      </c>
      <c r="G31" s="21">
        <f>6053381.81-27279.98</f>
        <v>6026101.8299999991</v>
      </c>
      <c r="H31" s="21"/>
      <c r="I31" s="20">
        <f t="shared" si="0"/>
        <v>223979.53</v>
      </c>
      <c r="J31" s="20"/>
      <c r="K31" s="20">
        <f t="shared" si="6"/>
        <v>222965.97000000003</v>
      </c>
      <c r="L31" s="20"/>
      <c r="M31" s="20"/>
      <c r="N31" s="21">
        <f>54900.31+1933.11</f>
        <v>56833.42</v>
      </c>
      <c r="O31" s="21"/>
      <c r="P31" s="21"/>
      <c r="Q31" s="21">
        <f>53474.47+1882.9</f>
        <v>55357.37</v>
      </c>
      <c r="R31" s="21"/>
      <c r="S31" s="21"/>
      <c r="T31" s="21">
        <f>53821.07+1895.11</f>
        <v>55716.18</v>
      </c>
      <c r="U31" s="21"/>
      <c r="V31" s="21"/>
      <c r="W31" s="21">
        <f>54165.33+1907.23</f>
        <v>56072.560000000005</v>
      </c>
      <c r="X31" s="21"/>
      <c r="Y31" s="21"/>
      <c r="Z31" s="20">
        <f t="shared" si="2"/>
        <v>223979.53</v>
      </c>
      <c r="AB31" s="21">
        <f>53921.23+1898.63</f>
        <v>55819.86</v>
      </c>
      <c r="AC31" s="20">
        <f t="shared" si="7"/>
        <v>222965.97000000003</v>
      </c>
    </row>
    <row r="32" spans="1:30" s="23" customFormat="1" x14ac:dyDescent="0.25">
      <c r="A32" s="28">
        <f t="shared" si="5"/>
        <v>32</v>
      </c>
      <c r="B32" s="73"/>
      <c r="C32" s="22" t="s">
        <v>29</v>
      </c>
      <c r="D32" s="46">
        <v>41697</v>
      </c>
      <c r="E32" s="46">
        <v>42094</v>
      </c>
      <c r="F32" s="82" t="s">
        <v>35</v>
      </c>
      <c r="G32" s="21">
        <f>2883733.39-23568.19</f>
        <v>2860165.2</v>
      </c>
      <c r="H32" s="21"/>
      <c r="I32" s="20">
        <f t="shared" si="0"/>
        <v>5814.98</v>
      </c>
      <c r="J32" s="20"/>
      <c r="K32" s="20">
        <f t="shared" si="6"/>
        <v>3998.45</v>
      </c>
      <c r="L32" s="20"/>
      <c r="M32" s="20"/>
      <c r="N32" s="21">
        <f>885.93+930.6</f>
        <v>1816.53</v>
      </c>
      <c r="O32" s="21"/>
      <c r="P32" s="21"/>
      <c r="Q32" s="21">
        <v>1763.08</v>
      </c>
      <c r="R32" s="21"/>
      <c r="S32" s="21"/>
      <c r="T32" s="21">
        <v>1188.7</v>
      </c>
      <c r="U32" s="21"/>
      <c r="V32" s="21"/>
      <c r="W32" s="21">
        <v>1046.67</v>
      </c>
      <c r="X32" s="21"/>
      <c r="Y32" s="21"/>
      <c r="Z32" s="20">
        <f t="shared" si="2"/>
        <v>5814.98</v>
      </c>
      <c r="AB32" s="21"/>
      <c r="AC32" s="20">
        <f t="shared" si="7"/>
        <v>3998.45</v>
      </c>
    </row>
    <row r="33" spans="1:30" s="23" customFormat="1" x14ac:dyDescent="0.25">
      <c r="A33" s="28">
        <f t="shared" si="5"/>
        <v>33</v>
      </c>
      <c r="B33" s="73"/>
      <c r="C33" s="22" t="s">
        <v>47</v>
      </c>
      <c r="D33" s="46">
        <v>41907</v>
      </c>
      <c r="E33" s="46">
        <v>42094</v>
      </c>
      <c r="F33" s="82" t="s">
        <v>51</v>
      </c>
      <c r="G33" s="21">
        <f>2928334.71-23932.71</f>
        <v>2904402</v>
      </c>
      <c r="H33" s="21"/>
      <c r="I33" s="20">
        <f t="shared" si="0"/>
        <v>4571.3899999999994</v>
      </c>
      <c r="J33" s="20"/>
      <c r="K33" s="20">
        <f t="shared" si="6"/>
        <v>3407.39</v>
      </c>
      <c r="L33" s="20"/>
      <c r="M33" s="20"/>
      <c r="N33" s="21">
        <v>1164</v>
      </c>
      <c r="O33" s="21"/>
      <c r="P33" s="21"/>
      <c r="Q33" s="21">
        <v>1137.44</v>
      </c>
      <c r="R33" s="21"/>
      <c r="S33" s="21"/>
      <c r="T33" s="21">
        <v>1207.08</v>
      </c>
      <c r="U33" s="21"/>
      <c r="V33" s="21"/>
      <c r="W33" s="21">
        <v>1062.8699999999999</v>
      </c>
      <c r="X33" s="21"/>
      <c r="Y33" s="21"/>
      <c r="Z33" s="20">
        <f t="shared" si="2"/>
        <v>4571.3899999999994</v>
      </c>
      <c r="AB33" s="21"/>
      <c r="AC33" s="20">
        <f t="shared" si="7"/>
        <v>3407.39</v>
      </c>
    </row>
    <row r="34" spans="1:30" s="50" customFormat="1" x14ac:dyDescent="0.25">
      <c r="A34" s="28">
        <f t="shared" si="5"/>
        <v>34</v>
      </c>
      <c r="B34" s="73"/>
      <c r="C34" s="47" t="s">
        <v>39</v>
      </c>
      <c r="D34" s="48">
        <v>41926</v>
      </c>
      <c r="E34" s="48">
        <v>16803</v>
      </c>
      <c r="F34" s="49">
        <v>2.87</v>
      </c>
      <c r="G34" s="36">
        <f>9897873.87-50438.95</f>
        <v>9847434.9199999999</v>
      </c>
      <c r="H34" s="21"/>
      <c r="I34" s="21">
        <f t="shared" si="0"/>
        <v>295884.55000000005</v>
      </c>
      <c r="J34" s="21"/>
      <c r="K34" s="20">
        <f t="shared" si="6"/>
        <v>297194.46999999997</v>
      </c>
      <c r="L34" s="20"/>
      <c r="M34" s="20"/>
      <c r="N34" s="36">
        <f>69980.82+3047.95</f>
        <v>73028.77</v>
      </c>
      <c r="O34" s="36"/>
      <c r="P34" s="36"/>
      <c r="Q34" s="36">
        <f>70767.12+3082.19</f>
        <v>73849.31</v>
      </c>
      <c r="R34" s="36"/>
      <c r="S34" s="36"/>
      <c r="T34" s="36">
        <f>71186.55+3100.46</f>
        <v>74287.010000000009</v>
      </c>
      <c r="U34" s="36"/>
      <c r="V34" s="36"/>
      <c r="W34" s="36">
        <f>71600.95+3118.51</f>
        <v>74719.459999999992</v>
      </c>
      <c r="X34" s="36"/>
      <c r="Y34" s="36"/>
      <c r="Z34" s="20">
        <f t="shared" si="2"/>
        <v>295884.55000000005</v>
      </c>
      <c r="AB34" s="21">
        <f>71236.07+3102.62</f>
        <v>74338.69</v>
      </c>
      <c r="AC34" s="20">
        <f t="shared" si="7"/>
        <v>297194.46999999997</v>
      </c>
      <c r="AD34" s="36">
        <f>SUM(AC26:AC34)</f>
        <v>2230645.0799999996</v>
      </c>
    </row>
    <row r="35" spans="1:30" s="15" customFormat="1" x14ac:dyDescent="0.25">
      <c r="A35" s="28">
        <f t="shared" si="5"/>
        <v>35</v>
      </c>
      <c r="B35" s="72"/>
      <c r="C35" s="51" t="s">
        <v>37</v>
      </c>
      <c r="D35" s="52"/>
      <c r="E35" s="52"/>
      <c r="F35" s="53"/>
      <c r="G35" s="54">
        <f>SUM(G26:G34)</f>
        <v>71485291.939999998</v>
      </c>
      <c r="H35" s="21"/>
      <c r="I35" s="14">
        <f>SUM(I26:I34)</f>
        <v>2242575.7199999997</v>
      </c>
      <c r="J35" s="21"/>
      <c r="K35" s="14">
        <f>SUM(K26:K34)</f>
        <v>2230645.0799999996</v>
      </c>
      <c r="L35" s="21"/>
      <c r="M35" s="21"/>
      <c r="N35" s="62">
        <f>SUM(N26:N34)</f>
        <v>567894.09</v>
      </c>
      <c r="O35" s="62">
        <f t="shared" ref="O35:Z35" si="8">SUM(O26:O34)</f>
        <v>0</v>
      </c>
      <c r="P35" s="62">
        <f t="shared" si="8"/>
        <v>0</v>
      </c>
      <c r="Q35" s="62">
        <f t="shared" si="8"/>
        <v>555496.52</v>
      </c>
      <c r="R35" s="62">
        <f t="shared" si="8"/>
        <v>0</v>
      </c>
      <c r="S35" s="62">
        <f t="shared" si="8"/>
        <v>0</v>
      </c>
      <c r="T35" s="62">
        <f t="shared" si="8"/>
        <v>558167.36</v>
      </c>
      <c r="U35" s="62">
        <f t="shared" si="8"/>
        <v>0</v>
      </c>
      <c r="V35" s="62">
        <f t="shared" si="8"/>
        <v>0</v>
      </c>
      <c r="W35" s="62">
        <f t="shared" si="8"/>
        <v>561017.75</v>
      </c>
      <c r="X35" s="62">
        <f t="shared" si="8"/>
        <v>0</v>
      </c>
      <c r="Y35" s="62">
        <f t="shared" si="8"/>
        <v>0</v>
      </c>
      <c r="Z35" s="62">
        <f t="shared" si="8"/>
        <v>2242575.7199999997</v>
      </c>
      <c r="AB35" s="62">
        <f t="shared" ref="AB35" si="9">SUM(AB26:AB34)</f>
        <v>555963.44999999995</v>
      </c>
      <c r="AC35" s="62">
        <f t="shared" ref="AC35" si="10">SUM(AC26:AC34)</f>
        <v>2230645.0799999996</v>
      </c>
    </row>
    <row r="36" spans="1:30" s="19" customFormat="1" x14ac:dyDescent="0.25">
      <c r="A36" s="28">
        <f t="shared" si="5"/>
        <v>36</v>
      </c>
      <c r="B36" s="72"/>
      <c r="C36" s="38" t="s">
        <v>20</v>
      </c>
      <c r="F36" s="40"/>
      <c r="H36" s="23"/>
      <c r="J36" s="25"/>
      <c r="L36" s="25"/>
      <c r="M36" s="25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30" s="25" customFormat="1" x14ac:dyDescent="0.25">
      <c r="A37" s="28">
        <f t="shared" si="5"/>
        <v>37</v>
      </c>
      <c r="B37" s="73"/>
      <c r="C37" s="60">
        <v>9017</v>
      </c>
      <c r="D37" s="29">
        <v>30070</v>
      </c>
      <c r="E37" s="29">
        <v>41028</v>
      </c>
      <c r="F37" s="30">
        <v>6.15</v>
      </c>
      <c r="G37" s="31">
        <v>81276.78</v>
      </c>
      <c r="H37" s="32"/>
      <c r="I37" s="20">
        <f t="shared" ref="I37:I53" si="11">+Z37</f>
        <v>7200.17</v>
      </c>
      <c r="J37" s="20"/>
      <c r="K37" s="20">
        <f t="shared" ref="K37:K53" si="12">+AC37</f>
        <v>7200.17</v>
      </c>
      <c r="L37" s="20"/>
      <c r="M37" s="20"/>
      <c r="N37" s="20"/>
      <c r="O37" s="20"/>
      <c r="P37" s="20">
        <v>2138.5500000000002</v>
      </c>
      <c r="Q37" s="20"/>
      <c r="R37" s="20"/>
      <c r="S37" s="20">
        <v>1915.18</v>
      </c>
      <c r="T37" s="20"/>
      <c r="U37" s="20"/>
      <c r="V37" s="20">
        <v>1688.37</v>
      </c>
      <c r="W37" s="20"/>
      <c r="X37" s="20"/>
      <c r="Y37" s="20">
        <v>1458.07</v>
      </c>
      <c r="Z37" s="20">
        <f t="shared" ref="Z37:Z53" si="13">SUM(N37:Y37)</f>
        <v>7200.17</v>
      </c>
      <c r="AB37" s="20"/>
      <c r="AC37" s="20">
        <f t="shared" ref="AC37:AC53" si="14">SUM(O37:Y37)+AB37</f>
        <v>7200.17</v>
      </c>
    </row>
    <row r="38" spans="1:30" s="25" customFormat="1" x14ac:dyDescent="0.25">
      <c r="A38" s="28">
        <f t="shared" si="5"/>
        <v>38</v>
      </c>
      <c r="B38" s="73"/>
      <c r="C38" s="60">
        <v>9018</v>
      </c>
      <c r="D38" s="29">
        <v>30729</v>
      </c>
      <c r="E38" s="29">
        <v>41687</v>
      </c>
      <c r="F38" s="30">
        <v>6.1</v>
      </c>
      <c r="G38" s="31">
        <v>297063.90999999997</v>
      </c>
      <c r="H38" s="32"/>
      <c r="I38" s="20">
        <f t="shared" si="11"/>
        <v>20769.21</v>
      </c>
      <c r="J38" s="20"/>
      <c r="K38" s="20">
        <f t="shared" si="12"/>
        <v>20769.21</v>
      </c>
      <c r="L38" s="20"/>
      <c r="M38" s="20"/>
      <c r="N38" s="20"/>
      <c r="O38" s="20"/>
      <c r="P38" s="20">
        <v>5636.18</v>
      </c>
      <c r="Q38" s="20"/>
      <c r="R38" s="20"/>
      <c r="S38" s="20">
        <v>5343.25</v>
      </c>
      <c r="T38" s="20"/>
      <c r="U38" s="20"/>
      <c r="V38" s="20">
        <v>5045.8599999999997</v>
      </c>
      <c r="W38" s="20"/>
      <c r="X38" s="20"/>
      <c r="Y38" s="20">
        <v>4743.92</v>
      </c>
      <c r="Z38" s="20">
        <f t="shared" si="13"/>
        <v>20769.21</v>
      </c>
      <c r="AB38" s="20"/>
      <c r="AC38" s="20">
        <f t="shared" si="14"/>
        <v>20769.21</v>
      </c>
    </row>
    <row r="39" spans="1:30" s="25" customFormat="1" x14ac:dyDescent="0.25">
      <c r="A39" s="28">
        <f t="shared" si="5"/>
        <v>39</v>
      </c>
      <c r="B39" s="73"/>
      <c r="C39" s="60">
        <v>9019</v>
      </c>
      <c r="D39" s="29">
        <v>31499</v>
      </c>
      <c r="E39" s="29">
        <v>42457</v>
      </c>
      <c r="F39" s="30">
        <v>6.2</v>
      </c>
      <c r="G39" s="31">
        <v>453939.58</v>
      </c>
      <c r="H39" s="32"/>
      <c r="I39" s="20">
        <f t="shared" si="11"/>
        <v>30150.47</v>
      </c>
      <c r="J39" s="20"/>
      <c r="K39" s="20">
        <f t="shared" si="12"/>
        <v>30150.47</v>
      </c>
      <c r="L39" s="20"/>
      <c r="M39" s="20"/>
      <c r="N39" s="20"/>
      <c r="O39" s="20"/>
      <c r="P39" s="20">
        <v>7915.81</v>
      </c>
      <c r="Q39" s="20"/>
      <c r="R39" s="20"/>
      <c r="S39" s="20">
        <v>7666.27</v>
      </c>
      <c r="T39" s="20"/>
      <c r="U39" s="20"/>
      <c r="V39" s="20">
        <v>7412.86</v>
      </c>
      <c r="W39" s="20"/>
      <c r="X39" s="20"/>
      <c r="Y39" s="20">
        <v>7155.53</v>
      </c>
      <c r="Z39" s="20">
        <f t="shared" si="13"/>
        <v>30150.47</v>
      </c>
      <c r="AB39" s="20"/>
      <c r="AC39" s="20">
        <f t="shared" si="14"/>
        <v>30150.47</v>
      </c>
    </row>
    <row r="40" spans="1:30" s="25" customFormat="1" x14ac:dyDescent="0.25">
      <c r="A40" s="28">
        <f t="shared" si="5"/>
        <v>40</v>
      </c>
      <c r="B40" s="73"/>
      <c r="C40" s="60">
        <v>9020</v>
      </c>
      <c r="D40" s="29">
        <v>32731</v>
      </c>
      <c r="E40" s="29">
        <v>43688</v>
      </c>
      <c r="F40" s="30">
        <v>6.25</v>
      </c>
      <c r="G40" s="31">
        <v>931929.45</v>
      </c>
      <c r="H40" s="32"/>
      <c r="I40" s="20">
        <f t="shared" si="11"/>
        <v>60081</v>
      </c>
      <c r="J40" s="20"/>
      <c r="K40" s="20">
        <f t="shared" si="12"/>
        <v>60081</v>
      </c>
      <c r="L40" s="20"/>
      <c r="M40" s="20"/>
      <c r="N40" s="20"/>
      <c r="O40" s="20"/>
      <c r="P40" s="20">
        <v>15461.07</v>
      </c>
      <c r="Q40" s="20"/>
      <c r="R40" s="20"/>
      <c r="S40" s="20">
        <v>15170.23</v>
      </c>
      <c r="T40" s="20"/>
      <c r="U40" s="20"/>
      <c r="V40" s="20">
        <v>14874.85</v>
      </c>
      <c r="W40" s="20"/>
      <c r="X40" s="20"/>
      <c r="Y40" s="20">
        <v>14574.85</v>
      </c>
      <c r="Z40" s="20">
        <f t="shared" si="13"/>
        <v>60081</v>
      </c>
      <c r="AB40" s="20"/>
      <c r="AC40" s="20">
        <f t="shared" si="14"/>
        <v>60081</v>
      </c>
    </row>
    <row r="41" spans="1:30" s="25" customFormat="1" x14ac:dyDescent="0.25">
      <c r="A41" s="28">
        <f t="shared" si="5"/>
        <v>41</v>
      </c>
      <c r="B41" s="73"/>
      <c r="C41" s="60">
        <v>9021</v>
      </c>
      <c r="D41" s="29">
        <v>33501</v>
      </c>
      <c r="E41" s="29">
        <v>44459</v>
      </c>
      <c r="F41" s="30">
        <v>6.25</v>
      </c>
      <c r="G41" s="31">
        <v>844146.48</v>
      </c>
      <c r="H41" s="32"/>
      <c r="I41" s="20">
        <f t="shared" si="11"/>
        <v>53705.88</v>
      </c>
      <c r="J41" s="20"/>
      <c r="K41" s="20">
        <f t="shared" si="12"/>
        <v>53705.88</v>
      </c>
      <c r="L41" s="20"/>
      <c r="M41" s="20"/>
      <c r="N41" s="20"/>
      <c r="O41" s="20"/>
      <c r="P41" s="20">
        <v>13720.6</v>
      </c>
      <c r="Q41" s="20"/>
      <c r="R41" s="20"/>
      <c r="S41" s="20">
        <v>13526.54</v>
      </c>
      <c r="T41" s="20"/>
      <c r="U41" s="20"/>
      <c r="V41" s="20">
        <v>13329.45</v>
      </c>
      <c r="W41" s="20"/>
      <c r="X41" s="20"/>
      <c r="Y41" s="20">
        <v>13129.29</v>
      </c>
      <c r="Z41" s="20">
        <f t="shared" si="13"/>
        <v>53705.88</v>
      </c>
      <c r="AB41" s="20"/>
      <c r="AC41" s="20">
        <f t="shared" si="14"/>
        <v>53705.88</v>
      </c>
    </row>
    <row r="42" spans="1:30" s="25" customFormat="1" x14ac:dyDescent="0.25">
      <c r="A42" s="28">
        <f t="shared" si="5"/>
        <v>42</v>
      </c>
      <c r="B42" s="73"/>
      <c r="C42" s="60">
        <v>9022</v>
      </c>
      <c r="D42" s="29">
        <v>34165</v>
      </c>
      <c r="E42" s="29">
        <v>45122</v>
      </c>
      <c r="F42" s="30">
        <v>6.65</v>
      </c>
      <c r="G42" s="31">
        <v>1372964.79</v>
      </c>
      <c r="H42" s="32"/>
      <c r="I42" s="20">
        <f t="shared" si="11"/>
        <v>92399.69</v>
      </c>
      <c r="J42" s="20"/>
      <c r="K42" s="20">
        <f t="shared" si="12"/>
        <v>92399.69</v>
      </c>
      <c r="L42" s="20"/>
      <c r="M42" s="20"/>
      <c r="N42" s="20"/>
      <c r="O42" s="20"/>
      <c r="P42" s="20">
        <v>23512.78</v>
      </c>
      <c r="Q42" s="20"/>
      <c r="R42" s="20"/>
      <c r="S42" s="20">
        <v>23240.57</v>
      </c>
      <c r="T42" s="20"/>
      <c r="U42" s="20"/>
      <c r="V42" s="20">
        <v>22963.84</v>
      </c>
      <c r="W42" s="20"/>
      <c r="X42" s="20"/>
      <c r="Y42" s="20">
        <v>22682.5</v>
      </c>
      <c r="Z42" s="20">
        <f t="shared" si="13"/>
        <v>92399.69</v>
      </c>
      <c r="AB42" s="20"/>
      <c r="AC42" s="20">
        <f t="shared" si="14"/>
        <v>92399.69</v>
      </c>
    </row>
    <row r="43" spans="1:30" s="25" customFormat="1" x14ac:dyDescent="0.25">
      <c r="A43" s="28">
        <f t="shared" si="5"/>
        <v>43</v>
      </c>
      <c r="B43" s="73"/>
      <c r="C43" s="60">
        <v>9023</v>
      </c>
      <c r="D43" s="29">
        <v>36171</v>
      </c>
      <c r="E43" s="29">
        <v>47129</v>
      </c>
      <c r="F43" s="30">
        <v>6.7</v>
      </c>
      <c r="G43" s="31">
        <v>2633076.62</v>
      </c>
      <c r="H43" s="32"/>
      <c r="I43" s="20">
        <f t="shared" si="11"/>
        <v>176643.58000000002</v>
      </c>
      <c r="J43" s="20"/>
      <c r="K43" s="20">
        <f t="shared" si="12"/>
        <v>176643.58000000002</v>
      </c>
      <c r="L43" s="20"/>
      <c r="M43" s="20"/>
      <c r="N43" s="20"/>
      <c r="O43" s="20"/>
      <c r="P43" s="20">
        <v>44677.120000000003</v>
      </c>
      <c r="Q43" s="20"/>
      <c r="R43" s="20"/>
      <c r="S43" s="20">
        <v>44336.79</v>
      </c>
      <c r="T43" s="20"/>
      <c r="U43" s="20"/>
      <c r="V43" s="20">
        <v>43990.75</v>
      </c>
      <c r="W43" s="20"/>
      <c r="X43" s="20"/>
      <c r="Y43" s="20">
        <v>43638.92</v>
      </c>
      <c r="Z43" s="20">
        <f t="shared" si="13"/>
        <v>176643.58000000002</v>
      </c>
      <c r="AB43" s="20"/>
      <c r="AC43" s="20">
        <f t="shared" si="14"/>
        <v>176643.58000000002</v>
      </c>
    </row>
    <row r="44" spans="1:30" s="25" customFormat="1" x14ac:dyDescent="0.25">
      <c r="A44" s="28">
        <f t="shared" si="5"/>
        <v>44</v>
      </c>
      <c r="B44" s="73"/>
      <c r="C44" s="60">
        <v>9027005</v>
      </c>
      <c r="D44" s="29">
        <v>40451</v>
      </c>
      <c r="E44" s="29">
        <v>42246</v>
      </c>
      <c r="F44" s="30">
        <v>3.35</v>
      </c>
      <c r="G44" s="31">
        <v>0</v>
      </c>
      <c r="H44" s="32"/>
      <c r="I44" s="20">
        <f t="shared" si="11"/>
        <v>8707.36</v>
      </c>
      <c r="J44" s="20"/>
      <c r="K44" s="20">
        <f t="shared" si="12"/>
        <v>8707.36</v>
      </c>
      <c r="L44" s="20"/>
      <c r="M44" s="20"/>
      <c r="N44" s="20"/>
      <c r="O44" s="20"/>
      <c r="P44" s="20">
        <v>4341.6099999999997</v>
      </c>
      <c r="Q44" s="20"/>
      <c r="R44" s="20"/>
      <c r="S44" s="20">
        <v>2906.46</v>
      </c>
      <c r="T44" s="20"/>
      <c r="U44" s="20"/>
      <c r="V44" s="20">
        <v>1459.29</v>
      </c>
      <c r="W44" s="20"/>
      <c r="X44" s="20"/>
      <c r="Y44" s="20">
        <v>0</v>
      </c>
      <c r="Z44" s="20">
        <f t="shared" si="13"/>
        <v>8707.36</v>
      </c>
      <c r="AB44" s="20"/>
      <c r="AC44" s="20">
        <f t="shared" si="14"/>
        <v>8707.36</v>
      </c>
    </row>
    <row r="45" spans="1:30" s="25" customFormat="1" x14ac:dyDescent="0.25">
      <c r="A45" s="28">
        <f t="shared" si="5"/>
        <v>45</v>
      </c>
      <c r="B45" s="73"/>
      <c r="C45" s="60">
        <v>9027006</v>
      </c>
      <c r="D45" s="29">
        <v>40451</v>
      </c>
      <c r="E45" s="29">
        <v>42612</v>
      </c>
      <c r="F45" s="30">
        <v>3.6</v>
      </c>
      <c r="G45" s="31">
        <v>573268.43999999994</v>
      </c>
      <c r="H45" s="32"/>
      <c r="I45" s="20">
        <f t="shared" si="11"/>
        <v>27413.29</v>
      </c>
      <c r="J45" s="20"/>
      <c r="K45" s="20">
        <f t="shared" si="12"/>
        <v>27413.29</v>
      </c>
      <c r="L45" s="20"/>
      <c r="M45" s="20"/>
      <c r="N45" s="20"/>
      <c r="O45" s="20"/>
      <c r="P45" s="20">
        <v>6754.82</v>
      </c>
      <c r="Q45" s="20"/>
      <c r="R45" s="20"/>
      <c r="S45" s="20">
        <v>6904.92</v>
      </c>
      <c r="T45" s="20"/>
      <c r="U45" s="20"/>
      <c r="V45" s="20">
        <v>6904.92</v>
      </c>
      <c r="W45" s="20"/>
      <c r="X45" s="20"/>
      <c r="Y45" s="20">
        <v>6848.63</v>
      </c>
      <c r="Z45" s="20">
        <f t="shared" si="13"/>
        <v>27413.29</v>
      </c>
      <c r="AB45" s="20"/>
      <c r="AC45" s="20">
        <f t="shared" si="14"/>
        <v>27413.29</v>
      </c>
    </row>
    <row r="46" spans="1:30" s="25" customFormat="1" x14ac:dyDescent="0.25">
      <c r="A46" s="28">
        <f t="shared" si="5"/>
        <v>46</v>
      </c>
      <c r="B46" s="73"/>
      <c r="C46" s="60">
        <v>9027007</v>
      </c>
      <c r="D46" s="29">
        <v>40451</v>
      </c>
      <c r="E46" s="29">
        <v>42977</v>
      </c>
      <c r="F46" s="30">
        <v>3.8</v>
      </c>
      <c r="G46" s="31">
        <v>783686.27</v>
      </c>
      <c r="H46" s="32"/>
      <c r="I46" s="20">
        <f t="shared" si="11"/>
        <v>29780.07</v>
      </c>
      <c r="J46" s="20"/>
      <c r="K46" s="20">
        <f t="shared" si="12"/>
        <v>29780.07</v>
      </c>
      <c r="L46" s="20"/>
      <c r="M46" s="20"/>
      <c r="N46" s="20"/>
      <c r="O46" s="20"/>
      <c r="P46" s="20">
        <v>7343.03</v>
      </c>
      <c r="Q46" s="20"/>
      <c r="R46" s="20"/>
      <c r="S46" s="20">
        <v>7506.21</v>
      </c>
      <c r="T46" s="20"/>
      <c r="U46" s="20"/>
      <c r="V46" s="20">
        <v>7506.21</v>
      </c>
      <c r="W46" s="20"/>
      <c r="X46" s="20"/>
      <c r="Y46" s="20">
        <v>7424.62</v>
      </c>
      <c r="Z46" s="20">
        <f t="shared" si="13"/>
        <v>29780.07</v>
      </c>
      <c r="AB46" s="20"/>
      <c r="AC46" s="20">
        <f t="shared" si="14"/>
        <v>29780.07</v>
      </c>
    </row>
    <row r="47" spans="1:30" s="25" customFormat="1" x14ac:dyDescent="0.25">
      <c r="A47" s="28">
        <f t="shared" si="5"/>
        <v>47</v>
      </c>
      <c r="B47" s="73"/>
      <c r="C47" s="60">
        <v>9027008</v>
      </c>
      <c r="D47" s="29">
        <v>40451</v>
      </c>
      <c r="E47" s="29">
        <v>43342</v>
      </c>
      <c r="F47" s="30">
        <v>4</v>
      </c>
      <c r="G47" s="31">
        <v>666861.06000000006</v>
      </c>
      <c r="H47" s="32"/>
      <c r="I47" s="20">
        <f t="shared" si="11"/>
        <v>26674.44</v>
      </c>
      <c r="J47" s="20"/>
      <c r="K47" s="20">
        <f t="shared" si="12"/>
        <v>26674.44</v>
      </c>
      <c r="L47" s="20"/>
      <c r="M47" s="20"/>
      <c r="N47" s="20"/>
      <c r="O47" s="20"/>
      <c r="P47" s="20">
        <v>6577.26</v>
      </c>
      <c r="Q47" s="20"/>
      <c r="R47" s="20"/>
      <c r="S47" s="20">
        <v>6723.42</v>
      </c>
      <c r="T47" s="20"/>
      <c r="U47" s="20"/>
      <c r="V47" s="20">
        <v>6723.42</v>
      </c>
      <c r="W47" s="20"/>
      <c r="X47" s="20"/>
      <c r="Y47" s="20">
        <v>6650.34</v>
      </c>
      <c r="Z47" s="20">
        <f t="shared" si="13"/>
        <v>26674.44</v>
      </c>
      <c r="AB47" s="20"/>
      <c r="AC47" s="20">
        <f t="shared" si="14"/>
        <v>26674.44</v>
      </c>
    </row>
    <row r="48" spans="1:30" s="25" customFormat="1" x14ac:dyDescent="0.25">
      <c r="A48" s="28">
        <f t="shared" si="5"/>
        <v>48</v>
      </c>
      <c r="B48" s="73"/>
      <c r="C48" s="60">
        <v>9027009</v>
      </c>
      <c r="D48" s="29">
        <v>40451</v>
      </c>
      <c r="E48" s="29">
        <v>43707</v>
      </c>
      <c r="F48" s="30">
        <v>4.1500000000000004</v>
      </c>
      <c r="G48" s="31">
        <v>709921.02</v>
      </c>
      <c r="H48" s="32"/>
      <c r="I48" s="20">
        <f t="shared" si="11"/>
        <v>29461.72</v>
      </c>
      <c r="J48" s="20"/>
      <c r="K48" s="20">
        <f t="shared" si="12"/>
        <v>29461.72</v>
      </c>
      <c r="L48" s="20"/>
      <c r="M48" s="20"/>
      <c r="N48" s="20"/>
      <c r="O48" s="20"/>
      <c r="P48" s="20">
        <v>7264.53</v>
      </c>
      <c r="Q48" s="20"/>
      <c r="R48" s="20"/>
      <c r="S48" s="20">
        <v>7425.97</v>
      </c>
      <c r="T48" s="20"/>
      <c r="U48" s="20"/>
      <c r="V48" s="20">
        <v>7425.97</v>
      </c>
      <c r="W48" s="20"/>
      <c r="X48" s="20"/>
      <c r="Y48" s="20">
        <v>7345.25</v>
      </c>
      <c r="Z48" s="20">
        <f t="shared" si="13"/>
        <v>29461.72</v>
      </c>
      <c r="AB48" s="20"/>
      <c r="AC48" s="20">
        <f t="shared" si="14"/>
        <v>29461.72</v>
      </c>
    </row>
    <row r="49" spans="1:30" s="25" customFormat="1" x14ac:dyDescent="0.25">
      <c r="A49" s="28">
        <f t="shared" si="5"/>
        <v>49</v>
      </c>
      <c r="B49" s="73"/>
      <c r="C49" s="60">
        <v>9027010</v>
      </c>
      <c r="D49" s="29">
        <v>40451</v>
      </c>
      <c r="E49" s="29">
        <v>44073</v>
      </c>
      <c r="F49" s="30">
        <v>4.25</v>
      </c>
      <c r="G49" s="31">
        <v>521640.06</v>
      </c>
      <c r="H49" s="32"/>
      <c r="I49" s="20">
        <f t="shared" si="11"/>
        <v>22169.699999999997</v>
      </c>
      <c r="J49" s="20"/>
      <c r="K49" s="20">
        <f t="shared" si="12"/>
        <v>22169.699999999997</v>
      </c>
      <c r="L49" s="20"/>
      <c r="M49" s="20"/>
      <c r="N49" s="20"/>
      <c r="O49" s="20"/>
      <c r="P49" s="20">
        <v>5466.5</v>
      </c>
      <c r="Q49" s="20"/>
      <c r="R49" s="20"/>
      <c r="S49" s="20">
        <v>5587.98</v>
      </c>
      <c r="T49" s="20"/>
      <c r="U49" s="20"/>
      <c r="V49" s="20">
        <v>5587.98</v>
      </c>
      <c r="W49" s="20"/>
      <c r="X49" s="20"/>
      <c r="Y49" s="20">
        <v>5527.24</v>
      </c>
      <c r="Z49" s="20">
        <f t="shared" si="13"/>
        <v>22169.699999999997</v>
      </c>
      <c r="AB49" s="20"/>
      <c r="AC49" s="20">
        <f t="shared" si="14"/>
        <v>22169.699999999997</v>
      </c>
    </row>
    <row r="50" spans="1:30" s="25" customFormat="1" x14ac:dyDescent="0.25">
      <c r="A50" s="28">
        <f t="shared" si="5"/>
        <v>50</v>
      </c>
      <c r="B50" s="73"/>
      <c r="C50" s="60">
        <v>9027011</v>
      </c>
      <c r="D50" s="29">
        <v>40451</v>
      </c>
      <c r="E50" s="29">
        <v>44438</v>
      </c>
      <c r="F50" s="30">
        <v>4.3499999999999996</v>
      </c>
      <c r="G50" s="31">
        <v>587737.54</v>
      </c>
      <c r="H50" s="32"/>
      <c r="I50" s="20">
        <f t="shared" si="11"/>
        <v>25566.58</v>
      </c>
      <c r="J50" s="20"/>
      <c r="K50" s="20">
        <f t="shared" si="12"/>
        <v>25566.58</v>
      </c>
      <c r="L50" s="20"/>
      <c r="M50" s="20"/>
      <c r="N50" s="20"/>
      <c r="O50" s="20"/>
      <c r="P50" s="20">
        <v>6304.09</v>
      </c>
      <c r="Q50" s="20"/>
      <c r="R50" s="20"/>
      <c r="S50" s="20">
        <v>6444.18</v>
      </c>
      <c r="T50" s="20"/>
      <c r="U50" s="20"/>
      <c r="V50" s="20">
        <v>6444.18</v>
      </c>
      <c r="W50" s="20"/>
      <c r="X50" s="20"/>
      <c r="Y50" s="20">
        <v>6374.13</v>
      </c>
      <c r="Z50" s="20">
        <f t="shared" si="13"/>
        <v>25566.58</v>
      </c>
      <c r="AB50" s="20"/>
      <c r="AC50" s="20">
        <f t="shared" si="14"/>
        <v>25566.58</v>
      </c>
    </row>
    <row r="51" spans="1:30" s="25" customFormat="1" x14ac:dyDescent="0.25">
      <c r="A51" s="28">
        <f t="shared" si="5"/>
        <v>51</v>
      </c>
      <c r="B51" s="73"/>
      <c r="C51" s="60">
        <v>9027012</v>
      </c>
      <c r="D51" s="29">
        <v>40451</v>
      </c>
      <c r="E51" s="29">
        <v>44803</v>
      </c>
      <c r="F51" s="30">
        <v>4.4000000000000004</v>
      </c>
      <c r="G51" s="31">
        <v>424043.34</v>
      </c>
      <c r="H51" s="32"/>
      <c r="I51" s="20">
        <f t="shared" si="11"/>
        <v>18657.900000000001</v>
      </c>
      <c r="J51" s="20"/>
      <c r="K51" s="20">
        <f t="shared" si="12"/>
        <v>18657.900000000001</v>
      </c>
      <c r="L51" s="20"/>
      <c r="M51" s="20"/>
      <c r="N51" s="20"/>
      <c r="O51" s="20"/>
      <c r="P51" s="20">
        <v>4600.58</v>
      </c>
      <c r="Q51" s="20"/>
      <c r="R51" s="20"/>
      <c r="S51" s="20">
        <v>4702.8100000000004</v>
      </c>
      <c r="T51" s="20"/>
      <c r="U51" s="20"/>
      <c r="V51" s="20">
        <v>4702.8100000000004</v>
      </c>
      <c r="W51" s="20"/>
      <c r="X51" s="20"/>
      <c r="Y51" s="20">
        <v>4651.7</v>
      </c>
      <c r="Z51" s="20">
        <f t="shared" si="13"/>
        <v>18657.900000000001</v>
      </c>
      <c r="AB51" s="20"/>
      <c r="AC51" s="20">
        <f t="shared" si="14"/>
        <v>18657.900000000001</v>
      </c>
    </row>
    <row r="52" spans="1:30" s="25" customFormat="1" x14ac:dyDescent="0.25">
      <c r="A52" s="28">
        <f t="shared" si="5"/>
        <v>52</v>
      </c>
      <c r="B52" s="73"/>
      <c r="C52" s="60">
        <v>9027013</v>
      </c>
      <c r="D52" s="29">
        <v>40451</v>
      </c>
      <c r="E52" s="29">
        <v>45168</v>
      </c>
      <c r="F52" s="30">
        <v>4.5</v>
      </c>
      <c r="G52" s="31">
        <v>425365.7</v>
      </c>
      <c r="H52" s="32"/>
      <c r="I52" s="20">
        <f t="shared" si="11"/>
        <v>19141.46</v>
      </c>
      <c r="J52" s="20"/>
      <c r="K52" s="20">
        <f t="shared" si="12"/>
        <v>19141.46</v>
      </c>
      <c r="L52" s="20"/>
      <c r="M52" s="20"/>
      <c r="N52" s="20"/>
      <c r="O52" s="20"/>
      <c r="P52" s="20">
        <v>4719.8100000000004</v>
      </c>
      <c r="Q52" s="20"/>
      <c r="R52" s="20"/>
      <c r="S52" s="20">
        <v>4824.7</v>
      </c>
      <c r="T52" s="20"/>
      <c r="U52" s="20"/>
      <c r="V52" s="20">
        <v>4824.7</v>
      </c>
      <c r="W52" s="20"/>
      <c r="X52" s="20"/>
      <c r="Y52" s="20">
        <v>4772.25</v>
      </c>
      <c r="Z52" s="20">
        <f t="shared" si="13"/>
        <v>19141.46</v>
      </c>
      <c r="AB52" s="20"/>
      <c r="AC52" s="20">
        <f t="shared" si="14"/>
        <v>19141.46</v>
      </c>
    </row>
    <row r="53" spans="1:30" s="25" customFormat="1" x14ac:dyDescent="0.25">
      <c r="A53" s="28">
        <f t="shared" si="5"/>
        <v>53</v>
      </c>
      <c r="B53" s="73"/>
      <c r="C53" s="60">
        <v>9027014</v>
      </c>
      <c r="D53" s="29">
        <v>40451</v>
      </c>
      <c r="E53" s="29">
        <v>45534</v>
      </c>
      <c r="F53" s="30">
        <v>4.55</v>
      </c>
      <c r="G53" s="32">
        <v>274832.42</v>
      </c>
      <c r="H53" s="32"/>
      <c r="I53" s="20">
        <f t="shared" si="11"/>
        <v>12504.859999999999</v>
      </c>
      <c r="J53" s="20"/>
      <c r="K53" s="20">
        <f t="shared" si="12"/>
        <v>12504.859999999999</v>
      </c>
      <c r="L53" s="20"/>
      <c r="M53" s="20"/>
      <c r="N53" s="20"/>
      <c r="O53" s="20"/>
      <c r="P53" s="20">
        <v>3083.39</v>
      </c>
      <c r="Q53" s="20"/>
      <c r="R53" s="20"/>
      <c r="S53" s="20">
        <v>3151.91</v>
      </c>
      <c r="T53" s="20"/>
      <c r="U53" s="20"/>
      <c r="V53" s="20">
        <v>3151.91</v>
      </c>
      <c r="W53" s="20"/>
      <c r="X53" s="20"/>
      <c r="Y53" s="20">
        <v>3117.65</v>
      </c>
      <c r="Z53" s="20">
        <f t="shared" si="13"/>
        <v>12504.859999999999</v>
      </c>
      <c r="AC53" s="20">
        <f t="shared" si="14"/>
        <v>12504.859999999999</v>
      </c>
      <c r="AD53" s="20">
        <f>SUM(Z37:Z53)</f>
        <v>661027.37999999989</v>
      </c>
    </row>
    <row r="54" spans="1:30" x14ac:dyDescent="0.25">
      <c r="A54" s="28">
        <f t="shared" si="5"/>
        <v>54</v>
      </c>
      <c r="B54" s="73"/>
      <c r="C54" s="68" t="s">
        <v>31</v>
      </c>
      <c r="D54" s="12"/>
      <c r="E54" s="12"/>
      <c r="F54" s="13"/>
      <c r="G54" s="56">
        <f>SUM(G37:G53)</f>
        <v>11581753.459999999</v>
      </c>
      <c r="H54" s="32"/>
      <c r="I54" s="56">
        <f>SUM(I37:I53)</f>
        <v>661027.37999999989</v>
      </c>
      <c r="J54" s="32"/>
      <c r="K54" s="56">
        <f>SUM(K37:K53)</f>
        <v>661027.37999999989</v>
      </c>
      <c r="L54" s="32"/>
      <c r="M54" s="32"/>
      <c r="N54" s="63"/>
      <c r="O54" s="63"/>
      <c r="P54" s="63">
        <f>SUM(P37:P53)</f>
        <v>169517.72999999998</v>
      </c>
      <c r="Q54" s="63"/>
      <c r="R54" s="63"/>
      <c r="S54" s="63">
        <f>SUM(S37:S53)</f>
        <v>167377.39000000004</v>
      </c>
      <c r="T54" s="63"/>
      <c r="U54" s="63"/>
      <c r="V54" s="63">
        <f>SUM(V37:V53)</f>
        <v>164037.37000000002</v>
      </c>
      <c r="W54" s="63"/>
      <c r="X54" s="63"/>
      <c r="Y54" s="63">
        <f>SUM(Y37:Y53)</f>
        <v>160094.88999999998</v>
      </c>
      <c r="Z54" s="63">
        <f>SUM(Z37:Z53)</f>
        <v>661027.37999999989</v>
      </c>
      <c r="AB54" s="63"/>
      <c r="AC54" s="63">
        <f>SUM(AC37:AC53)</f>
        <v>661027.37999999989</v>
      </c>
    </row>
    <row r="55" spans="1:30" s="25" customFormat="1" x14ac:dyDescent="0.25">
      <c r="A55" s="28">
        <f t="shared" si="5"/>
        <v>55</v>
      </c>
      <c r="B55" s="73"/>
      <c r="D55" s="23"/>
      <c r="E55" s="23"/>
      <c r="F55" s="24"/>
      <c r="G55" s="31"/>
      <c r="H55" s="32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30" s="25" customFormat="1" x14ac:dyDescent="0.25">
      <c r="A56" s="28">
        <f t="shared" si="5"/>
        <v>56</v>
      </c>
      <c r="B56" s="73"/>
      <c r="C56" s="75" t="s">
        <v>24</v>
      </c>
      <c r="D56" s="27">
        <v>39417</v>
      </c>
      <c r="E56" s="27">
        <v>50375</v>
      </c>
      <c r="F56" s="13">
        <v>4.75</v>
      </c>
      <c r="G56" s="56">
        <v>3373333.38</v>
      </c>
      <c r="H56" s="32"/>
      <c r="I56" s="56">
        <v>167200</v>
      </c>
      <c r="J56" s="32"/>
      <c r="K56" s="56">
        <f>+AD56</f>
        <v>160233.34</v>
      </c>
      <c r="L56" s="32"/>
      <c r="M56" s="32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AD56" s="20">
        <v>160233.34</v>
      </c>
    </row>
    <row r="57" spans="1:30" s="25" customFormat="1" x14ac:dyDescent="0.25">
      <c r="A57" s="28">
        <f t="shared" si="5"/>
        <v>57</v>
      </c>
      <c r="B57" s="73"/>
      <c r="C57" s="76"/>
      <c r="D57" s="23"/>
      <c r="E57" s="23"/>
      <c r="F57" s="24"/>
      <c r="G57" s="31"/>
      <c r="H57" s="32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30" s="25" customFormat="1" x14ac:dyDescent="0.25">
      <c r="A58" s="28">
        <f t="shared" si="5"/>
        <v>58</v>
      </c>
      <c r="B58" s="73"/>
      <c r="C58" s="75" t="s">
        <v>25</v>
      </c>
      <c r="D58" s="12"/>
      <c r="E58" s="12"/>
      <c r="F58" s="13"/>
      <c r="G58" s="56">
        <v>3045497.65</v>
      </c>
      <c r="H58" s="32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30" x14ac:dyDescent="0.25">
      <c r="A59" s="28">
        <f t="shared" si="5"/>
        <v>59</v>
      </c>
      <c r="B59" s="73"/>
      <c r="C59" s="75" t="s">
        <v>26</v>
      </c>
      <c r="D59" s="58"/>
      <c r="E59" s="12"/>
      <c r="F59" s="13"/>
      <c r="G59" s="56">
        <v>2566000</v>
      </c>
      <c r="H59" s="32"/>
      <c r="J59" s="25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AD59" s="63">
        <f>SUM(AD7:AD57)</f>
        <v>6115161.2700000005</v>
      </c>
    </row>
    <row r="60" spans="1:30" ht="15.75" thickBot="1" x14ac:dyDescent="0.3">
      <c r="A60" s="28">
        <f t="shared" si="5"/>
        <v>60</v>
      </c>
      <c r="B60" s="73"/>
      <c r="C60" s="81" t="s">
        <v>40</v>
      </c>
      <c r="D60" s="77"/>
      <c r="E60" s="77"/>
      <c r="F60" s="78"/>
      <c r="G60" s="55">
        <f>SUM(G35+G54+G56+G58+G59+G24)</f>
        <v>155908138.35999998</v>
      </c>
      <c r="H60" s="32"/>
      <c r="I60" s="69">
        <f>SUM(I35+I54+I56+I58+I59+I24)</f>
        <v>6139915.5399999991</v>
      </c>
      <c r="J60" s="32"/>
      <c r="K60" s="69">
        <f>SUM(K35+K54+K56+K58+K59+K24)</f>
        <v>6115161.2699999996</v>
      </c>
      <c r="L60" s="32"/>
      <c r="M60" s="32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</row>
    <row r="61" spans="1:30" ht="15.75" thickTop="1" x14ac:dyDescent="0.25">
      <c r="A61" s="28">
        <f t="shared" si="5"/>
        <v>61</v>
      </c>
      <c r="B61" s="7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</row>
    <row r="62" spans="1:30" x14ac:dyDescent="0.25">
      <c r="A62" s="28">
        <f t="shared" si="5"/>
        <v>62</v>
      </c>
      <c r="B62" s="73"/>
      <c r="C62" t="s">
        <v>50</v>
      </c>
      <c r="G62" s="20">
        <v>17806946.91</v>
      </c>
      <c r="H62" s="21"/>
      <c r="I62" s="57">
        <v>0</v>
      </c>
      <c r="J62" s="57"/>
      <c r="K62" s="57"/>
      <c r="L62" s="102"/>
      <c r="M62" s="102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</row>
    <row r="63" spans="1:30" x14ac:dyDescent="0.25">
      <c r="A63" s="28">
        <f t="shared" si="5"/>
        <v>63</v>
      </c>
      <c r="B63" s="73"/>
      <c r="C63" t="s">
        <v>42</v>
      </c>
      <c r="G63" s="20">
        <v>5459926.0199999996</v>
      </c>
      <c r="H63" s="21"/>
      <c r="I63" s="57">
        <v>0</v>
      </c>
      <c r="J63" s="57"/>
      <c r="K63" s="57"/>
      <c r="L63" s="102"/>
      <c r="M63" s="102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</row>
    <row r="64" spans="1:30" x14ac:dyDescent="0.25">
      <c r="A64" s="28">
        <f t="shared" si="5"/>
        <v>64</v>
      </c>
      <c r="B64" s="73"/>
      <c r="C64" t="s">
        <v>53</v>
      </c>
      <c r="G64" s="37">
        <v>0</v>
      </c>
      <c r="H64" s="10"/>
      <c r="I64" s="26">
        <v>576.85</v>
      </c>
      <c r="J64" s="100"/>
      <c r="K64" s="100"/>
      <c r="L64" s="10"/>
      <c r="M64" s="10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</row>
    <row r="65" spans="1:13" x14ac:dyDescent="0.25">
      <c r="A65" s="28">
        <f t="shared" si="5"/>
        <v>65</v>
      </c>
      <c r="B65" s="73"/>
      <c r="C65" s="96" t="s">
        <v>54</v>
      </c>
      <c r="G65" s="21">
        <f>+G60-G62-G63</f>
        <v>132641265.42999999</v>
      </c>
      <c r="H65" s="21"/>
      <c r="I65" s="10">
        <v>0</v>
      </c>
      <c r="J65" s="10"/>
      <c r="K65" s="10"/>
      <c r="L65" s="10"/>
      <c r="M65" s="10"/>
    </row>
    <row r="66" spans="1:13" ht="15.75" thickBot="1" x14ac:dyDescent="0.3">
      <c r="A66" s="28">
        <f t="shared" si="5"/>
        <v>66</v>
      </c>
      <c r="C66" s="61" t="s">
        <v>55</v>
      </c>
      <c r="G66" s="98">
        <v>0</v>
      </c>
      <c r="I66" s="97">
        <f>SUM(I60:I65)</f>
        <v>6140492.3899999987</v>
      </c>
      <c r="J66" s="87"/>
      <c r="K66" s="87"/>
      <c r="L66" s="21"/>
      <c r="M66" s="21"/>
    </row>
    <row r="67" spans="1:13" ht="15.75" thickTop="1" x14ac:dyDescent="0.25">
      <c r="A67" s="28">
        <f t="shared" si="5"/>
        <v>67</v>
      </c>
      <c r="G67" s="10"/>
      <c r="I67" s="87"/>
      <c r="J67" s="87"/>
      <c r="K67" s="87"/>
      <c r="L67" s="21"/>
      <c r="M67" s="21"/>
    </row>
    <row r="68" spans="1:13" x14ac:dyDescent="0.25">
      <c r="A68" s="28">
        <f t="shared" si="5"/>
        <v>68</v>
      </c>
      <c r="C68" s="92" t="s">
        <v>56</v>
      </c>
      <c r="G68" s="91">
        <f>SUM(G10:G23)</f>
        <v>59115269.539999992</v>
      </c>
    </row>
    <row r="69" spans="1:13" x14ac:dyDescent="0.25">
      <c r="A69" s="22"/>
    </row>
  </sheetData>
  <pageMargins left="0.7" right="0.7" top="0.75" bottom="0.75" header="0.3" footer="0.3"/>
  <pageSetup scale="66" orientation="portrait" r:id="rId1"/>
  <headerFooter>
    <oddHeader>&amp;RExhibit 1 (Revised)
Attachment A
Page 1 of 1</oddHeader>
  </headerFooter>
  <ignoredErrors>
    <ignoredError sqref="G68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 of 12-31-15</vt:lpstr>
      <vt:lpstr>'As of 12-31-15'!Print_Area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stephenj</dc:creator>
  <cp:lastModifiedBy>Jeff C. Greer</cp:lastModifiedBy>
  <cp:lastPrinted>2016-03-02T13:53:49Z</cp:lastPrinted>
  <dcterms:created xsi:type="dcterms:W3CDTF">2009-07-13T19:17:05Z</dcterms:created>
  <dcterms:modified xsi:type="dcterms:W3CDTF">2016-03-04T18:46:43Z</dcterms:modified>
</cp:coreProperties>
</file>