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0575" windowHeight="6165" tabRatio="857" activeTab="0"/>
  </bookViews>
  <sheets>
    <sheet name="Testimony Summary" sheetId="1" r:id="rId1"/>
    <sheet name="Input" sheetId="2" r:id="rId2"/>
    <sheet name="LGE-Summary" sheetId="3" r:id="rId3"/>
    <sheet name="LGE-Project 28" sheetId="4" r:id="rId4"/>
    <sheet name="LGE-Project 29" sheetId="5" r:id="rId5"/>
    <sheet name="LGE-Project 30" sheetId="6" r:id="rId6"/>
    <sheet name="Cash Flows-LGE" sheetId="7" r:id="rId7"/>
    <sheet name="KU - Summary" sheetId="8" r:id="rId8"/>
    <sheet name="KU - Project 36" sheetId="9" r:id="rId9"/>
    <sheet name="KU - Project 37" sheetId="10" r:id="rId10"/>
    <sheet name="KU - Project 38" sheetId="11" r:id="rId11"/>
    <sheet name="KU - Project 39" sheetId="12" r:id="rId12"/>
    <sheet name="KU - Project 40" sheetId="13" r:id="rId13"/>
    <sheet name="KU - Project 41" sheetId="14" r:id="rId14"/>
    <sheet name="KU - Project 42" sheetId="15" r:id="rId15"/>
    <sheet name="Cash Flows-KU" sheetId="16" r:id="rId16"/>
    <sheet name="Depreciation" sheetId="17" r:id="rId17"/>
    <sheet name="KU Depreciation Rate" sheetId="18" r:id="rId18"/>
    <sheet name="LGE Depreciation Rate" sheetId="19" r:id="rId19"/>
  </sheets>
  <definedNames>
    <definedName name="_xlnm.Print_Area" localSheetId="15">'Cash Flows-KU'!$B$1:$J$103</definedName>
    <definedName name="_xlnm.Print_Area" localSheetId="6">'Cash Flows-LGE'!$B$1:$I$71</definedName>
    <definedName name="_xlnm.Print_Area" localSheetId="16">'Depreciation'!$A$1:$N$58</definedName>
    <definedName name="_xlnm.Print_Area" localSheetId="8">'KU - Project 36'!$C$5:$L$43</definedName>
    <definedName name="_xlnm.Print_Area" localSheetId="9">'KU - Project 37'!$C$5:$L$43</definedName>
    <definedName name="_xlnm.Print_Area" localSheetId="10">'KU - Project 38'!$C$3:$L$168</definedName>
    <definedName name="_xlnm.Print_Area" localSheetId="11">'KU - Project 39'!$C$3:$L$210</definedName>
    <definedName name="_xlnm.Print_Area" localSheetId="12">'KU - Project 40'!$C$3:$L$252</definedName>
    <definedName name="_xlnm.Print_Area" localSheetId="13">'KU - Project 41'!$C$3:$L$126</definedName>
    <definedName name="_xlnm.Print_Area" localSheetId="14">'KU - Project 42'!$C$3:$L$84</definedName>
    <definedName name="_xlnm.Print_Area" localSheetId="7">'KU - Summary'!$C$5:$L$171</definedName>
    <definedName name="_xlnm.Print_Area" localSheetId="3">'LGE-Project 28'!$C$3:$L$168</definedName>
    <definedName name="_xlnm.Print_Area" localSheetId="4">'LGE-Project 29'!$C$3:$L$252</definedName>
    <definedName name="_xlnm.Print_Area" localSheetId="5">'LGE-Project 30'!$C$3:$L$126</definedName>
    <definedName name="_xlnm.Print_Area" localSheetId="2">'LGE-Summary'!$C$5:$L$87</definedName>
    <definedName name="_xlnm.Print_Area" localSheetId="0">'Testimony Summary'!$B$2:$K$19,'Testimony Summary'!$B$24:$K$41</definedName>
    <definedName name="_xlnm.Print_Titles" localSheetId="8">'KU - Project 36'!$B:$B,'KU - Project 36'!$1:$4</definedName>
    <definedName name="_xlnm.Print_Titles" localSheetId="9">'KU - Project 37'!$B:$B,'KU - Project 37'!$1:$4</definedName>
    <definedName name="_xlnm.Print_Titles" localSheetId="10">'KU - Project 38'!$B:$B,'KU - Project 38'!$1:$2</definedName>
    <definedName name="_xlnm.Print_Titles" localSheetId="11">'KU - Project 39'!$B:$B,'KU - Project 39'!$1:$2</definedName>
    <definedName name="_xlnm.Print_Titles" localSheetId="12">'KU - Project 40'!$B:$B,'KU - Project 40'!$1:$2</definedName>
    <definedName name="_xlnm.Print_Titles" localSheetId="13">'KU - Project 41'!$B:$B,'KU - Project 41'!$1:$2</definedName>
    <definedName name="_xlnm.Print_Titles" localSheetId="14">'KU - Project 42'!$B:$B,'KU - Project 42'!$1:$2</definedName>
    <definedName name="_xlnm.Print_Titles" localSheetId="7">'KU - Summary'!$A:$B,'KU - Summary'!$1:$4</definedName>
    <definedName name="_xlnm.Print_Titles" localSheetId="3">'LGE-Project 28'!$B:$B,'LGE-Project 28'!$1:$2</definedName>
    <definedName name="_xlnm.Print_Titles" localSheetId="4">'LGE-Project 29'!$B:$B,'LGE-Project 29'!$1:$2</definedName>
    <definedName name="_xlnm.Print_Titles" localSheetId="5">'LGE-Project 30'!$B:$B,'LGE-Project 30'!$1:$2</definedName>
    <definedName name="_xlnm.Print_Titles" localSheetId="2">'LGE-Summary'!$A:$B,'LGE-Summary'!$1:$4</definedName>
  </definedNames>
  <calcPr fullCalcOnLoad="1"/>
</workbook>
</file>

<file path=xl/sharedStrings.xml><?xml version="1.0" encoding="utf-8"?>
<sst xmlns="http://schemas.openxmlformats.org/spreadsheetml/2006/main" count="2107" uniqueCount="435">
  <si>
    <t>Book Depreciation rate, per year</t>
  </si>
  <si>
    <t>Tax Depreciation rate, per year</t>
  </si>
  <si>
    <t>Income tax rate</t>
  </si>
  <si>
    <t>Deferred Tax Balance</t>
  </si>
  <si>
    <t>Book Accumulated Depreciation Balance</t>
  </si>
  <si>
    <t>Unrecovered Investment -- Book</t>
  </si>
  <si>
    <t>Book Depreciation</t>
  </si>
  <si>
    <t>Unrecovered Investment -- Tax total</t>
  </si>
  <si>
    <t>Book Depreciation expense total</t>
  </si>
  <si>
    <t>Annual Property Tax Rate</t>
  </si>
  <si>
    <t>Less:  Accumulated Depreciation</t>
  </si>
  <si>
    <t>Environmental Compliance Rate Base</t>
  </si>
  <si>
    <t>Rate of return</t>
  </si>
  <si>
    <t>Total E(m)</t>
  </si>
  <si>
    <t>Revenue Requirement</t>
  </si>
  <si>
    <t>Revenue Recovery on Capital Expenditure to date</t>
  </si>
  <si>
    <t>Eligible Plant, cumulative capital expenditures</t>
  </si>
  <si>
    <t xml:space="preserve">Allowed Rate of Return </t>
  </si>
  <si>
    <t>Summary Cash Flow</t>
  </si>
  <si>
    <t>Date</t>
  </si>
  <si>
    <t>Total</t>
  </si>
  <si>
    <t>Difference</t>
  </si>
  <si>
    <t>Average</t>
  </si>
  <si>
    <t>Year in Service</t>
  </si>
  <si>
    <t>Ghent 1PC</t>
  </si>
  <si>
    <t>Ghent 1</t>
  </si>
  <si>
    <t>Ghent 2</t>
  </si>
  <si>
    <t>Ghent 3</t>
  </si>
  <si>
    <t>Ghent 4</t>
  </si>
  <si>
    <t>Brown 1</t>
  </si>
  <si>
    <t>Brown 2</t>
  </si>
  <si>
    <t>Brown 3</t>
  </si>
  <si>
    <t>Mill Creek 1PC</t>
  </si>
  <si>
    <t>Mill Creek 1NPC</t>
  </si>
  <si>
    <t>Mill Creek 2PC</t>
  </si>
  <si>
    <t>Mill Creek 2NPC</t>
  </si>
  <si>
    <t>Mill Creek 3PC</t>
  </si>
  <si>
    <t>Mill Creek 3NPC</t>
  </si>
  <si>
    <t>Mill Creek 4NPC</t>
  </si>
  <si>
    <t>Mill Creek 4PC</t>
  </si>
  <si>
    <t>TrimblePC</t>
  </si>
  <si>
    <t>Tax Depreciation, 20 yr HL</t>
  </si>
  <si>
    <t>Jurisdictional Ratios from ECR Filings</t>
  </si>
  <si>
    <t xml:space="preserve">In-Service </t>
  </si>
  <si>
    <t>Less: Retired Plant</t>
  </si>
  <si>
    <t>Plus: Accumulated Depreciation on Retired Plant</t>
  </si>
  <si>
    <t>Less: Deferred Tax Balance</t>
  </si>
  <si>
    <t>Plus: Deferred Tax Balance on Retired Plant</t>
  </si>
  <si>
    <t>Annual Depreciation expense</t>
  </si>
  <si>
    <t>Less depreciation on retired plant</t>
  </si>
  <si>
    <t>Annual Property Tax expense</t>
  </si>
  <si>
    <t>Total OE</t>
  </si>
  <si>
    <t xml:space="preserve">Operating Expenses </t>
  </si>
  <si>
    <t>LG&amp;E</t>
  </si>
  <si>
    <t>KU</t>
  </si>
  <si>
    <t>Revenue Requirements</t>
  </si>
  <si>
    <t>Revenue Requirements Summary</t>
  </si>
  <si>
    <t>Accumulated Expenditures</t>
  </si>
  <si>
    <t>Return on Environmental Compliance Rate Base</t>
  </si>
  <si>
    <t>Total E(m) - Project</t>
  </si>
  <si>
    <t>Eligible Plant</t>
  </si>
  <si>
    <t>Less:  Retired Plant</t>
  </si>
  <si>
    <t>Plus:  Accumulated Depreciation on retired plant</t>
  </si>
  <si>
    <t>Less:  Deferred Tax Balance</t>
  </si>
  <si>
    <t>Plus:  Deferred Tax Balance on retired plant</t>
  </si>
  <si>
    <t>Operating expenses</t>
  </si>
  <si>
    <t>Total E(m) - All KU Projects</t>
  </si>
  <si>
    <t>Total E(m) - All LG&amp;E Projects</t>
  </si>
  <si>
    <t>Total Revenue Requirements</t>
  </si>
  <si>
    <t>12 Month Average Jurisdictional Ratio</t>
  </si>
  <si>
    <t xml:space="preserve">Jurisdictional Allocation </t>
  </si>
  <si>
    <t>Billing Factor</t>
  </si>
  <si>
    <t>Tax Rate</t>
  </si>
  <si>
    <t>Property Tax Rate</t>
  </si>
  <si>
    <t>Total-KU</t>
  </si>
  <si>
    <t>Tax Rate-Retirements</t>
  </si>
  <si>
    <t>Long-Term Debt</t>
  </si>
  <si>
    <t>Short-Term Debt</t>
  </si>
  <si>
    <t>Preferred Stock</t>
  </si>
  <si>
    <t>LG&amp;E Rate of Return Calculation</t>
  </si>
  <si>
    <t>Total Company</t>
  </si>
  <si>
    <t>Elec Rate Base %</t>
  </si>
  <si>
    <t>Electric Capitalization</t>
  </si>
  <si>
    <t>Post 1995 Plan Capitalization Adjustments</t>
  </si>
  <si>
    <t>Adjusted Electric Capitalization</t>
  </si>
  <si>
    <t>Annual Cost Rate</t>
  </si>
  <si>
    <t>Composite Tax Rate</t>
  </si>
  <si>
    <t>Composite Debt Rate</t>
  </si>
  <si>
    <t xml:space="preserve">Overall Rate of Return Grossed Up </t>
  </si>
  <si>
    <t>KU Rate of Return Calculation</t>
  </si>
  <si>
    <t>1994 ECR Roll-In</t>
  </si>
  <si>
    <t>Post 1994 Plan Capitalization Adjustments</t>
  </si>
  <si>
    <t>LGE Residential Bill Impact</t>
  </si>
  <si>
    <t>Customer Charge</t>
  </si>
  <si>
    <t>KU Residential Bill Impact</t>
  </si>
  <si>
    <t>% Change</t>
  </si>
  <si>
    <t>Revenue Calculations Percentage Change</t>
  </si>
  <si>
    <t>Ghent 1,3,&amp;4</t>
  </si>
  <si>
    <t xml:space="preserve">State </t>
  </si>
  <si>
    <t>Kentucky Utilities Company</t>
  </si>
  <si>
    <t>Louisville Gas and Electric Company</t>
  </si>
  <si>
    <t>Total Plant-LG&amp;E</t>
  </si>
  <si>
    <t>Project 28</t>
  </si>
  <si>
    <t>Project 29</t>
  </si>
  <si>
    <t>Additional ECR factor</t>
  </si>
  <si>
    <t>Energy</t>
  </si>
  <si>
    <t>FAC</t>
  </si>
  <si>
    <t>DSM</t>
  </si>
  <si>
    <t>Billing Factors as of</t>
  </si>
  <si>
    <t>ECR Factor</t>
  </si>
  <si>
    <t>Unit</t>
  </si>
  <si>
    <t>Rate</t>
  </si>
  <si>
    <t>BR1N.1311</t>
  </si>
  <si>
    <t>BR1N.1312</t>
  </si>
  <si>
    <t>BR1N.1314</t>
  </si>
  <si>
    <t>BR1N.1315</t>
  </si>
  <si>
    <t>BR1N.1316</t>
  </si>
  <si>
    <t>BR2N.1311</t>
  </si>
  <si>
    <t>BR2N.1312</t>
  </si>
  <si>
    <t>BR2N.1314</t>
  </si>
  <si>
    <t>BR2N.1315</t>
  </si>
  <si>
    <t>BR2N.1316</t>
  </si>
  <si>
    <t>BR3N.1311</t>
  </si>
  <si>
    <t>BR3N.1312</t>
  </si>
  <si>
    <t>BR3N.1314</t>
  </si>
  <si>
    <t>BR3N.1315</t>
  </si>
  <si>
    <t>BR3N.1316</t>
  </si>
  <si>
    <t>BR3S.1311</t>
  </si>
  <si>
    <t>BR3S.1312</t>
  </si>
  <si>
    <t>BR3S.1314</t>
  </si>
  <si>
    <t>BR3S.1315</t>
  </si>
  <si>
    <t>GH4S.1311</t>
  </si>
  <si>
    <t>GH4S.1312</t>
  </si>
  <si>
    <t>GH4S.1314</t>
  </si>
  <si>
    <t>GH4S.1315</t>
  </si>
  <si>
    <t>GH4S.1316</t>
  </si>
  <si>
    <t>GH1N.1311</t>
  </si>
  <si>
    <t>GH1N.1312</t>
  </si>
  <si>
    <t>GH1N.1314</t>
  </si>
  <si>
    <t>GH1N.1315</t>
  </si>
  <si>
    <t>GH1N.1316</t>
  </si>
  <si>
    <t>GH1S.1311</t>
  </si>
  <si>
    <t>GH1S.1312</t>
  </si>
  <si>
    <t>GH1S.1314</t>
  </si>
  <si>
    <t>GH1S.1315</t>
  </si>
  <si>
    <t>GH1S.1316</t>
  </si>
  <si>
    <t>GH2N.1311</t>
  </si>
  <si>
    <t>GH2N.1312</t>
  </si>
  <si>
    <t>GH2N.1314</t>
  </si>
  <si>
    <t>GH2N.1315</t>
  </si>
  <si>
    <t>GH2N.1316</t>
  </si>
  <si>
    <t>GH2S.1311</t>
  </si>
  <si>
    <t>GH2S.1312</t>
  </si>
  <si>
    <t>GH2S.1314</t>
  </si>
  <si>
    <t>GH2S.1315</t>
  </si>
  <si>
    <t>GH2S.1316</t>
  </si>
  <si>
    <t>GH3N.1311</t>
  </si>
  <si>
    <t>GH3N.1312</t>
  </si>
  <si>
    <t>GH3N.1314</t>
  </si>
  <si>
    <t>GH3N.1315</t>
  </si>
  <si>
    <t>GH3N.1316</t>
  </si>
  <si>
    <t>GH3N.1392</t>
  </si>
  <si>
    <t>GH3S.1311</t>
  </si>
  <si>
    <t>GH3S.1312</t>
  </si>
  <si>
    <t>GH3S.1314</t>
  </si>
  <si>
    <t>GH3S.1315</t>
  </si>
  <si>
    <t>GH3S.1316</t>
  </si>
  <si>
    <t>GH4N.1311</t>
  </si>
  <si>
    <t>GH4N.1312</t>
  </si>
  <si>
    <t>GH4N.1314</t>
  </si>
  <si>
    <t>GH4N.1315</t>
  </si>
  <si>
    <t>GH4N.1316</t>
  </si>
  <si>
    <t>GR2N.1311</t>
  </si>
  <si>
    <t>GR2N.1312</t>
  </si>
  <si>
    <t>GR2N.1314</t>
  </si>
  <si>
    <t>GR2N.1315</t>
  </si>
  <si>
    <t>GR2N.1316</t>
  </si>
  <si>
    <t>GR3N.1311</t>
  </si>
  <si>
    <t>GR3N.1312</t>
  </si>
  <si>
    <t>GR3N.1314</t>
  </si>
  <si>
    <t>GR3N.1315</t>
  </si>
  <si>
    <t>GR3N.1316</t>
  </si>
  <si>
    <t>GR4N.1311</t>
  </si>
  <si>
    <t>GR4N.1312</t>
  </si>
  <si>
    <t>GR4N.1314</t>
  </si>
  <si>
    <t>GR4N.1315</t>
  </si>
  <si>
    <t>GR4N.1316</t>
  </si>
  <si>
    <t>KUTR.1392</t>
  </si>
  <si>
    <t>SW00.1391</t>
  </si>
  <si>
    <t>TY3N.1311</t>
  </si>
  <si>
    <t>TY3N.1312</t>
  </si>
  <si>
    <t>TY3N.1314</t>
  </si>
  <si>
    <t>TY3N.1315</t>
  </si>
  <si>
    <t>TY3N.1316</t>
  </si>
  <si>
    <t>CR4N.131100</t>
  </si>
  <si>
    <t>CR4N.131200</t>
  </si>
  <si>
    <t>CR4N.131500</t>
  </si>
  <si>
    <t>CR4S.131100</t>
  </si>
  <si>
    <t>CR4S.131200</t>
  </si>
  <si>
    <t>CR4S.131500</t>
  </si>
  <si>
    <t>CR5N.131100</t>
  </si>
  <si>
    <t>CR5N.131200</t>
  </si>
  <si>
    <t>CR5N.131500</t>
  </si>
  <si>
    <t>CR5S.131100</t>
  </si>
  <si>
    <t>CR5S.131200</t>
  </si>
  <si>
    <t>CR5S.131500</t>
  </si>
  <si>
    <t>CR6N.131100</t>
  </si>
  <si>
    <t>CR6N.131200</t>
  </si>
  <si>
    <t>CR6N.131500</t>
  </si>
  <si>
    <t>CR6S.131100</t>
  </si>
  <si>
    <t>CR6S.131200</t>
  </si>
  <si>
    <t>CR6S.131500</t>
  </si>
  <si>
    <t>CRLF.131200</t>
  </si>
  <si>
    <t>MC1N.131100</t>
  </si>
  <si>
    <t>MC1N.131200</t>
  </si>
  <si>
    <t>MC1N.131500</t>
  </si>
  <si>
    <t>MC1S.131100</t>
  </si>
  <si>
    <t>MC1S.131200</t>
  </si>
  <si>
    <t>MC1S.131500</t>
  </si>
  <si>
    <t>MC2N.131100</t>
  </si>
  <si>
    <t>MC2N.131200</t>
  </si>
  <si>
    <t>MC2N.131500</t>
  </si>
  <si>
    <t>MC2S.131100</t>
  </si>
  <si>
    <t>MC2S.131200</t>
  </si>
  <si>
    <t>MC2S.131500</t>
  </si>
  <si>
    <t>MC3N.131100</t>
  </si>
  <si>
    <t>MC3N.131200</t>
  </si>
  <si>
    <t>MC3N.131500</t>
  </si>
  <si>
    <t>MC3S.131100</t>
  </si>
  <si>
    <t>MC3S.131200</t>
  </si>
  <si>
    <t>MC3S.131500</t>
  </si>
  <si>
    <t>MC4N.131020</t>
  </si>
  <si>
    <t>MC4N.131100</t>
  </si>
  <si>
    <t>MC4N.131200</t>
  </si>
  <si>
    <t>MC4N.131500</t>
  </si>
  <si>
    <t>MC4S.131100</t>
  </si>
  <si>
    <t>MC4S.131200</t>
  </si>
  <si>
    <t>MC4S.131500</t>
  </si>
  <si>
    <t>MSUB.135310</t>
  </si>
  <si>
    <t>SW00.339130</t>
  </si>
  <si>
    <t>TC1N.131100</t>
  </si>
  <si>
    <t>TC1N.131200</t>
  </si>
  <si>
    <t>TC1N.131500</t>
  </si>
  <si>
    <t>TC1S.131100</t>
  </si>
  <si>
    <t>TC1S.131200</t>
  </si>
  <si>
    <t>TC1S.131500</t>
  </si>
  <si>
    <t>TC2N.131100</t>
  </si>
  <si>
    <t>TC2N.131200</t>
  </si>
  <si>
    <t>TC2N.131500</t>
  </si>
  <si>
    <t>TC2S.131100</t>
  </si>
  <si>
    <t>TC2S.131200</t>
  </si>
  <si>
    <t>TC2S.131500</t>
  </si>
  <si>
    <t xml:space="preserve">Forecasted 12-Month Retail Revenue </t>
  </si>
  <si>
    <t>Non-Fuel Base Revenues</t>
  </si>
  <si>
    <t>LG&amp;E Proportional Share - TC Shared Facilities</t>
  </si>
  <si>
    <t>Common Equity</t>
  </si>
  <si>
    <t>Total (less ECR)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</si>
  <si>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</si>
  <si>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</si>
  <si>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</si>
  <si>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</si>
  <si>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</si>
  <si>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</si>
  <si>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</si>
  <si>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</si>
  <si>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</si>
  <si>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</si>
  <si>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</si>
  <si>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</si>
  <si>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Proportional Share TC Facilities Ash Pond &amp; Landfill</t>
  </si>
  <si>
    <t>Utility</t>
  </si>
  <si>
    <t>Total E(m) - ($000)</t>
  </si>
  <si>
    <t>Jurisdictional E(m) - ($000)</t>
  </si>
  <si>
    <t>Environmental Cost Recovery Surcharge Summary</t>
  </si>
  <si>
    <t>Forecasted Jurisdictional R(m) - (million)</t>
  </si>
  <si>
    <t>Residential Customer Impact</t>
  </si>
  <si>
    <t>PC = Scrubber/FGD</t>
  </si>
  <si>
    <t>NPC = All other Pollution Control</t>
  </si>
  <si>
    <t>MC4N.131600</t>
  </si>
  <si>
    <t>land 4/30/13</t>
  </si>
  <si>
    <t>Fuel Revenue</t>
  </si>
  <si>
    <t>ECR Revenue</t>
  </si>
  <si>
    <t>DSM Revenue</t>
  </si>
  <si>
    <t xml:space="preserve">  (land)</t>
  </si>
  <si>
    <t>***</t>
  </si>
  <si>
    <t>KY Distribution Line - GH Transmission</t>
  </si>
  <si>
    <t>BR3N.1310</t>
  </si>
  <si>
    <t>GH4N.1310</t>
  </si>
  <si>
    <t>GHTR.1364</t>
  </si>
  <si>
    <t>GHTR.1365</t>
  </si>
  <si>
    <t>GHTR.1366</t>
  </si>
  <si>
    <t>GHTR.1367</t>
  </si>
  <si>
    <t>KUTX.1354</t>
  </si>
  <si>
    <t>KUTX.1355</t>
  </si>
  <si>
    <t>KUTX.1356</t>
  </si>
  <si>
    <t>TC2N.1311</t>
  </si>
  <si>
    <t>TC2N.1312</t>
  </si>
  <si>
    <t>TC2N.1315</t>
  </si>
  <si>
    <t>TC2S.1311</t>
  </si>
  <si>
    <t>TC2S.1312</t>
  </si>
  <si>
    <t>TC2S.1315</t>
  </si>
  <si>
    <t>Incremental Billing Factor</t>
  </si>
  <si>
    <t>2016 Amended Plan - LG&amp;E</t>
  </si>
  <si>
    <t>Project 28 - LG&amp;E</t>
  </si>
  <si>
    <t>Project 29 - LG&amp;E</t>
  </si>
  <si>
    <t>2016 LG&amp;E Amended ECR Plan</t>
  </si>
  <si>
    <t>Project 36</t>
  </si>
  <si>
    <t>Project 37</t>
  </si>
  <si>
    <t>Project 38</t>
  </si>
  <si>
    <t>Project 39</t>
  </si>
  <si>
    <t>Project 40</t>
  </si>
  <si>
    <t>Project 36 - KU</t>
  </si>
  <si>
    <t>Project 37 - KU</t>
  </si>
  <si>
    <t>Project 38 - KU</t>
  </si>
  <si>
    <t>Project 39 - KU</t>
  </si>
  <si>
    <t>Project 40 - KU</t>
  </si>
  <si>
    <t>2016 KU Amended ECR Plan</t>
  </si>
  <si>
    <t>Billing Month</t>
  </si>
  <si>
    <t>Cash Flow for 2016 thru 2025</t>
  </si>
  <si>
    <t>Project 41</t>
  </si>
  <si>
    <t>Project 42</t>
  </si>
  <si>
    <t>Project 41 - KU</t>
  </si>
  <si>
    <t>Project 42 - KU</t>
  </si>
  <si>
    <t>Project 30</t>
  </si>
  <si>
    <t>Ash Pond Capping</t>
  </si>
  <si>
    <t>Clearwell Pond Cleanout</t>
  </si>
  <si>
    <t>Construction Pond Cleanout</t>
  </si>
  <si>
    <t>Dead Storage Pond Cleanout</t>
  </si>
  <si>
    <t>Emergency Pond Cleanout</t>
  </si>
  <si>
    <t>Mill Creek CCR</t>
  </si>
  <si>
    <t>Green River CCR</t>
  </si>
  <si>
    <t>Gypsum Pond Capping</t>
  </si>
  <si>
    <t>Cash Flow for 2015 thru 2025</t>
  </si>
  <si>
    <t>Main Ash Pond Capping</t>
  </si>
  <si>
    <t>ATB #2 Capping</t>
  </si>
  <si>
    <t>SO2 Pond</t>
  </si>
  <si>
    <t>Pineville CCR</t>
  </si>
  <si>
    <t>Tyrone CCR</t>
  </si>
  <si>
    <t>Ghent CCR</t>
  </si>
  <si>
    <t>ATB #1 Capping</t>
  </si>
  <si>
    <t>Gypsum Stack</t>
  </si>
  <si>
    <t>Secondary Pond Cleanout</t>
  </si>
  <si>
    <t>Reclaim Pond Cleanout</t>
  </si>
  <si>
    <t>Brown CCR</t>
  </si>
  <si>
    <t>Aux Pond Capping</t>
  </si>
  <si>
    <t>New Construction</t>
  </si>
  <si>
    <t>Hg Control</t>
  </si>
  <si>
    <t>Mill Creek 1/2</t>
  </si>
  <si>
    <t>Mill Creek 3</t>
  </si>
  <si>
    <t>Mill Creek 4</t>
  </si>
  <si>
    <t>Trimble County 1</t>
  </si>
  <si>
    <t>Project 30 - LG&amp;E</t>
  </si>
  <si>
    <t>2016 Ghent CCR Spend</t>
  </si>
  <si>
    <t>2015 CCR Project Cost Removed</t>
  </si>
  <si>
    <t>2016 Spend Less 2015 Spend</t>
  </si>
  <si>
    <t>Total Base Rate CCR Spend</t>
  </si>
  <si>
    <t>2016 CCR Project Cost Removed</t>
  </si>
  <si>
    <t>2016 Mill Creek CCR Spend</t>
  </si>
  <si>
    <t>2017 Spend Less 2015 &amp; 2016 Spend</t>
  </si>
  <si>
    <t>Bonus</t>
  </si>
  <si>
    <t>Bonus Depreciation</t>
  </si>
  <si>
    <t>Bonus Tax Depreciation</t>
  </si>
  <si>
    <t>MACRS Tax Depreciation</t>
  </si>
  <si>
    <t>Deferred Tax Activity</t>
  </si>
  <si>
    <t>Tax expense total</t>
  </si>
  <si>
    <t>CCR Projects Tax Depreciation</t>
  </si>
  <si>
    <t>Trimble 2NPC KU</t>
  </si>
  <si>
    <t>Trimble 2NPC LGE</t>
  </si>
  <si>
    <t>Trimble 1NPC</t>
  </si>
  <si>
    <t>Ghent 2PC</t>
  </si>
  <si>
    <t>Trimble CCR LGE</t>
  </si>
  <si>
    <t>Trimble CCR KU</t>
  </si>
  <si>
    <t>No Bonus</t>
  </si>
  <si>
    <t>Monthly bill (976 kWh per month)</t>
  </si>
  <si>
    <t>Monthly bill (1,146 kWh per month)</t>
  </si>
  <si>
    <t>2017 Trimble County CCR Spend</t>
  </si>
  <si>
    <t>2017 TC CCR Spend</t>
  </si>
  <si>
    <t>2017 BR CCR Spend</t>
  </si>
  <si>
    <t>2017 Spend Less 2016 Spend</t>
  </si>
  <si>
    <t>2016 Amended Plan - KU</t>
  </si>
  <si>
    <t>Project 28 - Supplemental Mercury Control (Mill Creek 1 &amp; 2)</t>
  </si>
  <si>
    <t>Project 28 - Supplemental Mercury Control (Mill Creek 3)</t>
  </si>
  <si>
    <t>Project 28 - Supplemental Mercury Control (Mill Creek 4)</t>
  </si>
  <si>
    <t>Project 28 - Supplemental Mercury Control (Trimble County 1)</t>
  </si>
  <si>
    <t>Supplemental Mercury Control (Project 28)</t>
  </si>
  <si>
    <t>Ghent Unit 2 WFGD Improvements</t>
  </si>
  <si>
    <t>Surface Impoundment Closure (Retired Plants)</t>
  </si>
  <si>
    <t>Brown Landfill - Phase II</t>
  </si>
  <si>
    <t>Project 36 - Brown Landfill Phase II</t>
  </si>
  <si>
    <t>Project 37 - Ghent Unit 2 WFGD Improvements</t>
  </si>
  <si>
    <t>Project 38 - Supplemental Mercury Control (Ghent 1)</t>
  </si>
  <si>
    <t>Project 38 - Supplemental Mercury Control (Ghent 2)</t>
  </si>
  <si>
    <t>Project 38 - Supplemental Mercury Control (Ghent 3)</t>
  </si>
  <si>
    <t>Project 38 - Supplemental Mercury Control (Ghent 4)</t>
  </si>
  <si>
    <t>Project 39 - Surface Impoundment Closure (Green River Main Ash Pond Capping)</t>
  </si>
  <si>
    <t>Project 39 - Surface Impoundment Closure (Green River ATB #2 Capping)</t>
  </si>
  <si>
    <t>Project 39 - Surface Impoundment Closure (Green River SO2 Pond)</t>
  </si>
  <si>
    <t>Project 39 - Surface Impoundment Closure (Pineville Ash Pond Capping)</t>
  </si>
  <si>
    <t>Project 39 - Surface Impoundment Closure (Tyrone Ash Pond Capping)</t>
  </si>
  <si>
    <t>GH2 WFGD Improvements        (Project 37)</t>
  </si>
  <si>
    <t>Supplemental Mercury Control     (Project 38)</t>
  </si>
  <si>
    <t>Brown Landfill Phase 2          (Project 36)</t>
  </si>
  <si>
    <t>Surface Impoundment Closure            Retired Plants        (Project 39)</t>
  </si>
  <si>
    <t>Project 29 - CCR Rule Compliance Construction (Ash Pond Capping)</t>
  </si>
  <si>
    <t>Project 29 - CCR Rule Compliance Construction (Clearwell Pond Cleanout)</t>
  </si>
  <si>
    <t>Project 29 - CCR Rule Compliance Construction (Construction Pond Cleanout)</t>
  </si>
  <si>
    <t>Project 29 - CCR Rule Compliance Construction (Dead Storage Pond Cleanout)</t>
  </si>
  <si>
    <t>Project 29 - CCR Rule Compliance Construction (Emergency Pond Cleanout)</t>
  </si>
  <si>
    <t>Project 40 - CCR Rule Compliance Construction (ATB #1 Capping)</t>
  </si>
  <si>
    <t>Project 40 - CCR Rule Compliance Construction (ATB #2 Capping)</t>
  </si>
  <si>
    <t>Project 40 - CCR Rule Compliance Construction (Gypsum Stack)</t>
  </si>
  <si>
    <t>Project 40 - CCR Rule Compliance Construction (Secondary Pond Cleanout)</t>
  </si>
  <si>
    <t>Project 40 - CCR Rule Compliance Construction (Reclaim Pond Cleanout)</t>
  </si>
  <si>
    <t>Project 42 - CCR Rule Compliance Construction (Aux Pond Capping)</t>
  </si>
  <si>
    <t>CCR Rule Compliance Construction and Construction of New Process Water Systems for Mill Creek</t>
  </si>
  <si>
    <t>CCR Rule Compliance Construction and Construction of New Process Water Systems for Trimble County (Net, 52%)</t>
  </si>
  <si>
    <t>Supplemental Mercury Control Systems</t>
  </si>
  <si>
    <t>Project 29 - Construction of New Process Water Systems</t>
  </si>
  <si>
    <t>Project 30 - Construction of New Process Water Systems (Net, 52%)</t>
  </si>
  <si>
    <t>CCR Rule Compliance Construction and Construction of New Process Water Systems for               Mill Creek            (Project 29)</t>
  </si>
  <si>
    <t>CCR Rule Compliance Construction and Construction of New Process Water Systems for       Trimble County (Project 30)</t>
  </si>
  <si>
    <t>CCR Rule Compliance Construction and Construction of New Process Water Systems for Ghent</t>
  </si>
  <si>
    <t>CCR Rule Compliance Construction and Construction of New Process Water Systems for Trimble County (Net, 48%)</t>
  </si>
  <si>
    <t>CCR Rule Compliance Construction and Construction of New Process Water Systems for Brown</t>
  </si>
  <si>
    <t>Project 40 - Construction of New Process Water Systems</t>
  </si>
  <si>
    <t>Project 41 - Construction of New Process Water Systems (Net, 48%)</t>
  </si>
  <si>
    <t>Project 41 - CCR Rule Compliance Construction (Ash Pond Capping - Net, 48%)</t>
  </si>
  <si>
    <t>Project 41 - CCR Rule Compliance Construction (Gypsum Pond Capping - Net, 48%)</t>
  </si>
  <si>
    <t>Project 30 - CCR Rule Compliance Construction (Gypsum Pond Capping - Net, 52%)</t>
  </si>
  <si>
    <t>Project 30 - CCR Rule Compliance Construction (Ash Pond Capping - Net, 52%)</t>
  </si>
  <si>
    <t>Project 42 - Construction of New Process Water Systems</t>
  </si>
  <si>
    <t>CCR Rule Compliance Construction and Construction of New Process Water Systems for          Ghent             (Project 40)</t>
  </si>
  <si>
    <t>CCR Rule Compliance Construction and Construction of New Process Water Systems for         Trimble County       (Project 41)</t>
  </si>
  <si>
    <t>CCR Rule Compliance Construction and Construction of New Process Water Systems for           Brown                (Project 42)</t>
  </si>
  <si>
    <t>Annual Depreciation expense on CCR Project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</si>
</sst>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%"/>
    <numFmt numFmtId="167" formatCode="_(* #,##0_);_(* \(#,##0\);_(* &quot;-&quot;??_);_(@_)"/>
    <numFmt numFmtId="168" formatCode="0.0%"/>
    <numFmt numFmtId="169" formatCode="[$-409]mmmm\-yy;@"/>
    <numFmt numFmtId="170" formatCode="[$-409]mmm\-yy;@"/>
    <numFmt numFmtId="171" formatCode="0_);\(0\)"/>
    <numFmt numFmtId="172" formatCode="0.00000%"/>
    <numFmt numFmtId="173" formatCode="&quot;$&quot;#,##0.00"/>
    <numFmt numFmtId="174" formatCode="#,##0.0000_);\(#,##0.0000\)"/>
    <numFmt numFmtId="175" formatCode="#,##0.00000_);\(#,##0.00000\)"/>
    <numFmt numFmtId="176" formatCode="[$-409]mmmm\ d\,\ yyyy;@"/>
    <numFmt numFmtId="177" formatCode="_(* #,##0.00000_);_(* \(#,##0.00000\);_(* &quot;-&quot;??_);_(@_)"/>
    <numFmt numFmtId="178" formatCode="&quot;$&quot;#,##0\ ;\(&quot;$&quot;#,##0\)"/>
    <numFmt numFmtId="179" formatCode="&quot;$&quot;#,##0"/>
    <numFmt numFmtId="180" formatCode="_([$€-2]* #,##0.00_);_([$€-2]* \(#,##0.00\);_([$€-2]* &quot;-&quot;??_)"/>
    <numFmt numFmtId="181" formatCode="_(&quot;$&quot;#,##0_);_(&quot;$&quot;\(#,##0\);_(&quot;$&quot;&quot;0&quot;_);_(@_)"/>
    <numFmt numFmtId="182" formatCode="_(* #,##0_);_(* \(#,##0\);_(* &quot;0&quot;_);_(@_)"/>
    <numFmt numFmtId="183" formatCode="_(* #,##0.000_);_(* \(#,##0.000\);_(* &quot;0&quot;_);_(@_)"/>
    <numFmt numFmtId="184" formatCode="&quot;$&quot;#,##0.000"/>
    <numFmt numFmtId="185" formatCode="&quot;$&quot;#,##0.0000"/>
    <numFmt numFmtId="186" formatCode="_(* #,##0.0_);_(* \(#,##0.0\);_(* &quot;-&quot;??_);_(@_)"/>
    <numFmt numFmtId="187" formatCode="_(&quot;$&quot;* #,##0_);_(&quot;$&quot;* \(#,##0\);_(&quot;$&quot;* &quot;0&quot;_);_(@_)"/>
    <numFmt numFmtId="188" formatCode="_(* #,##0.000000_);_(* \(#,##0.000000\);_(* &quot;-&quot;??????_);_(@_)"/>
    <numFmt numFmtId="189" formatCode="&quot;$&quot;#,##0.00000"/>
    <numFmt numFmtId="190" formatCode="&quot;$&quot;#,##0.0"/>
    <numFmt numFmtId="191" formatCode="0.0000000000000000%"/>
  </numFmts>
  <fonts count="54">
    <font>
      <sz val="8"/>
      <name val="Arial"/>
      <family val="0"/>
    </font>
    <font>
      <b/>
      <sz val="8"/>
      <name val="Arial"/>
      <family val="2"/>
    </font>
    <font>
      <sz val="8"/>
      <color indexed="21"/>
      <name val="Arial"/>
      <family val="2"/>
    </font>
    <font>
      <b/>
      <i/>
      <sz val="16"/>
      <name val="Arial"/>
      <family val="2"/>
    </font>
    <font>
      <b/>
      <u val="singleAccounting"/>
      <sz val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Polo"/>
      <family val="0"/>
    </font>
    <font>
      <sz val="10"/>
      <name val="Polo"/>
      <family val="0"/>
    </font>
    <font>
      <sz val="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Protection="0">
      <alignment/>
    </xf>
    <xf numFmtId="0" fontId="13" fillId="0" borderId="0" applyProtection="0">
      <alignment/>
    </xf>
    <xf numFmtId="0" fontId="5" fillId="0" borderId="0" applyProtection="0">
      <alignment/>
    </xf>
    <xf numFmtId="0" fontId="0" fillId="0" borderId="0" applyProtection="0">
      <alignment/>
    </xf>
    <xf numFmtId="0" fontId="10" fillId="0" borderId="0" applyProtection="0">
      <alignment/>
    </xf>
    <xf numFmtId="0" fontId="14" fillId="0" borderId="0" applyProtection="0">
      <alignment/>
    </xf>
    <xf numFmtId="0" fontId="17" fillId="0" borderId="0" applyProtection="0">
      <alignment/>
    </xf>
    <xf numFmtId="2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4" applyNumberFormat="0" applyFill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0" fontId="48" fillId="27" borderId="6" applyNumberFormat="0" applyAlignment="0" applyProtection="0"/>
    <xf numFmtId="9" fontId="0" fillId="0" borderId="0" applyFont="0" applyFill="0" applyBorder="0" applyAlignment="0" applyProtection="0"/>
    <xf numFmtId="171" fontId="12" fillId="33" borderId="7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0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165" fontId="0" fillId="0" borderId="0" xfId="74" applyNumberFormat="1" applyFont="1" applyAlignment="1">
      <alignment/>
    </xf>
    <xf numFmtId="10" fontId="0" fillId="0" borderId="0" xfId="74" applyNumberFormat="1" applyFont="1" applyAlignment="1">
      <alignment/>
    </xf>
    <xf numFmtId="166" fontId="0" fillId="0" borderId="0" xfId="74" applyNumberFormat="1" applyFont="1" applyAlignment="1">
      <alignment/>
    </xf>
    <xf numFmtId="167" fontId="0" fillId="0" borderId="0" xfId="0" applyNumberFormat="1" applyFont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17" fontId="0" fillId="0" borderId="0" xfId="0" applyNumberFormat="1" applyFont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0" fontId="1" fillId="0" borderId="0" xfId="74" applyNumberFormat="1" applyFont="1" applyAlignment="1">
      <alignment/>
    </xf>
    <xf numFmtId="10" fontId="0" fillId="0" borderId="0" xfId="74" applyNumberFormat="1" applyAlignment="1">
      <alignment/>
    </xf>
    <xf numFmtId="10" fontId="0" fillId="0" borderId="0" xfId="74" applyNumberFormat="1" applyFont="1" applyAlignment="1">
      <alignment/>
    </xf>
    <xf numFmtId="10" fontId="1" fillId="0" borderId="0" xfId="74" applyNumberFormat="1" applyFont="1" applyAlignment="1" quotePrefix="1">
      <alignment horizontal="left"/>
    </xf>
    <xf numFmtId="43" fontId="0" fillId="0" borderId="0" xfId="42" applyFont="1" applyAlignment="1">
      <alignment/>
    </xf>
    <xf numFmtId="0" fontId="0" fillId="0" borderId="0" xfId="0" applyAlignment="1" quotePrefix="1">
      <alignment horizontal="left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6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0" fontId="0" fillId="0" borderId="0" xfId="74" applyNumberFormat="1" applyFont="1" applyFill="1" applyAlignment="1">
      <alignment/>
    </xf>
    <xf numFmtId="0" fontId="6" fillId="0" borderId="0" xfId="0" applyFont="1" applyAlignment="1">
      <alignment/>
    </xf>
    <xf numFmtId="10" fontId="0" fillId="0" borderId="0" xfId="74" applyNumberFormat="1" applyFill="1" applyAlignment="1">
      <alignment/>
    </xf>
    <xf numFmtId="43" fontId="0" fillId="0" borderId="0" xfId="42" applyAlignment="1">
      <alignment/>
    </xf>
    <xf numFmtId="17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10" fontId="0" fillId="0" borderId="0" xfId="74" applyNumberFormat="1" applyFont="1" applyFill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1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center"/>
    </xf>
    <xf numFmtId="164" fontId="2" fillId="0" borderId="0" xfId="45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164" fontId="0" fillId="0" borderId="0" xfId="4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10" fontId="0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left" wrapText="1"/>
    </xf>
    <xf numFmtId="0" fontId="0" fillId="0" borderId="0" xfId="70" applyFont="1">
      <alignment/>
      <protection/>
    </xf>
    <xf numFmtId="0" fontId="0" fillId="0" borderId="0" xfId="70" applyFont="1" applyAlignment="1" quotePrefix="1">
      <alignment horizontal="left"/>
      <protection/>
    </xf>
    <xf numFmtId="10" fontId="0" fillId="0" borderId="0" xfId="74" applyNumberFormat="1" applyFont="1" applyAlignment="1">
      <alignment/>
    </xf>
    <xf numFmtId="166" fontId="0" fillId="0" borderId="0" xfId="70" applyNumberFormat="1" applyFont="1">
      <alignment/>
      <protection/>
    </xf>
    <xf numFmtId="172" fontId="0" fillId="0" borderId="0" xfId="74" applyNumberFormat="1" applyFont="1" applyAlignment="1">
      <alignment/>
    </xf>
    <xf numFmtId="10" fontId="0" fillId="0" borderId="0" xfId="70" applyNumberFormat="1" applyFont="1">
      <alignment/>
      <protection/>
    </xf>
    <xf numFmtId="9" fontId="0" fillId="0" borderId="0" xfId="70" applyNumberFormat="1" applyFont="1">
      <alignment/>
      <protection/>
    </xf>
    <xf numFmtId="10" fontId="0" fillId="0" borderId="0" xfId="70" applyNumberFormat="1" applyFont="1" applyFill="1">
      <alignment/>
      <protection/>
    </xf>
    <xf numFmtId="0" fontId="0" fillId="0" borderId="0" xfId="71" applyFont="1">
      <alignment/>
      <protection/>
    </xf>
    <xf numFmtId="0" fontId="0" fillId="0" borderId="0" xfId="71" applyFont="1" applyAlignment="1" quotePrefix="1">
      <alignment horizontal="left"/>
      <protection/>
    </xf>
    <xf numFmtId="166" fontId="0" fillId="0" borderId="0" xfId="71" applyNumberFormat="1" applyFont="1">
      <alignment/>
      <protection/>
    </xf>
    <xf numFmtId="10" fontId="0" fillId="0" borderId="0" xfId="71" applyNumberFormat="1" applyFont="1">
      <alignment/>
      <protection/>
    </xf>
    <xf numFmtId="10" fontId="0" fillId="0" borderId="0" xfId="74" applyNumberFormat="1" applyFont="1" applyAlignment="1">
      <alignment/>
    </xf>
    <xf numFmtId="10" fontId="0" fillId="0" borderId="0" xfId="74" applyNumberFormat="1" applyFont="1" applyFill="1" applyAlignment="1">
      <alignment/>
    </xf>
    <xf numFmtId="0" fontId="0" fillId="0" borderId="0" xfId="0" applyFill="1" applyAlignment="1" quotePrefix="1">
      <alignment horizontal="left" wrapText="1"/>
    </xf>
    <xf numFmtId="170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3" fontId="0" fillId="0" borderId="0" xfId="0" applyNumberFormat="1" applyAlignment="1">
      <alignment/>
    </xf>
    <xf numFmtId="42" fontId="0" fillId="0" borderId="0" xfId="0" applyNumberFormat="1" applyFill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0" fontId="0" fillId="0" borderId="0" xfId="0" applyNumberFormat="1" applyFill="1" applyAlignment="1" quotePrefix="1">
      <alignment horizontal="left"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167" fontId="15" fillId="0" borderId="0" xfId="42" applyNumberFormat="1" applyFont="1" applyAlignment="1">
      <alignment/>
    </xf>
    <xf numFmtId="0" fontId="16" fillId="0" borderId="0" xfId="69">
      <alignment/>
      <protection/>
    </xf>
    <xf numFmtId="42" fontId="16" fillId="0" borderId="0" xfId="69" applyNumberFormat="1">
      <alignment/>
      <protection/>
    </xf>
    <xf numFmtId="167" fontId="16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9" fontId="0" fillId="0" borderId="0" xfId="74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9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45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179" fontId="1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0" fontId="18" fillId="0" borderId="0" xfId="0" applyNumberFormat="1" applyFont="1" applyAlignment="1">
      <alignment/>
    </xf>
    <xf numFmtId="167" fontId="18" fillId="0" borderId="0" xfId="42" applyNumberFormat="1" applyFont="1" applyAlignment="1">
      <alignment/>
    </xf>
    <xf numFmtId="0" fontId="19" fillId="0" borderId="0" xfId="0" applyFont="1" applyFill="1" applyAlignment="1">
      <alignment horizontal="right"/>
    </xf>
    <xf numFmtId="173" fontId="18" fillId="0" borderId="0" xfId="0" applyNumberFormat="1" applyFont="1" applyAlignment="1">
      <alignment/>
    </xf>
    <xf numFmtId="14" fontId="0" fillId="0" borderId="0" xfId="71" applyNumberFormat="1" applyFont="1" applyAlignment="1">
      <alignment horizontal="center"/>
      <protection/>
    </xf>
    <xf numFmtId="0" fontId="0" fillId="0" borderId="9" xfId="71" applyFont="1" applyBorder="1" applyAlignment="1">
      <alignment horizontal="left"/>
      <protection/>
    </xf>
    <xf numFmtId="0" fontId="0" fillId="0" borderId="9" xfId="71" applyFont="1" applyBorder="1" applyAlignment="1">
      <alignment horizontal="center"/>
      <protection/>
    </xf>
    <xf numFmtId="37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0" fontId="51" fillId="0" borderId="0" xfId="0" applyNumberFormat="1" applyFont="1" applyFill="1" applyAlignment="1">
      <alignment/>
    </xf>
    <xf numFmtId="43" fontId="51" fillId="0" borderId="0" xfId="0" applyNumberFormat="1" applyFont="1" applyFill="1" applyAlignment="1">
      <alignment/>
    </xf>
    <xf numFmtId="177" fontId="51" fillId="0" borderId="0" xfId="0" applyNumberFormat="1" applyFont="1" applyFill="1" applyAlignment="1">
      <alignment/>
    </xf>
    <xf numFmtId="37" fontId="51" fillId="0" borderId="0" xfId="0" applyNumberFormat="1" applyFont="1" applyFill="1" applyAlignment="1">
      <alignment/>
    </xf>
    <xf numFmtId="0" fontId="52" fillId="0" borderId="0" xfId="0" applyFont="1" applyAlignment="1">
      <alignment horizontal="center"/>
    </xf>
    <xf numFmtId="171" fontId="53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/>
    </xf>
    <xf numFmtId="0" fontId="0" fillId="0" borderId="0" xfId="70" applyFont="1" applyFill="1">
      <alignment/>
      <protection/>
    </xf>
    <xf numFmtId="0" fontId="51" fillId="0" borderId="0" xfId="0" applyFont="1" applyAlignment="1">
      <alignment/>
    </xf>
    <xf numFmtId="10" fontId="0" fillId="0" borderId="0" xfId="74" applyNumberFormat="1" applyFont="1" applyAlignment="1">
      <alignment/>
    </xf>
    <xf numFmtId="0" fontId="0" fillId="0" borderId="9" xfId="70" applyFont="1" applyBorder="1" applyAlignment="1">
      <alignment horizontal="center"/>
      <protection/>
    </xf>
    <xf numFmtId="0" fontId="0" fillId="0" borderId="9" xfId="70" applyFont="1" applyBorder="1" applyAlignment="1" quotePrefix="1">
      <alignment horizontal="center"/>
      <protection/>
    </xf>
    <xf numFmtId="14" fontId="0" fillId="0" borderId="0" xfId="70" applyNumberFormat="1" applyFont="1" applyAlignment="1">
      <alignment horizontal="center"/>
      <protection/>
    </xf>
    <xf numFmtId="0" fontId="1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171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181" fontId="51" fillId="0" borderId="0" xfId="45" applyNumberFormat="1" applyFont="1" applyFill="1" applyAlignment="1">
      <alignment/>
    </xf>
    <xf numFmtId="181" fontId="51" fillId="0" borderId="9" xfId="45" applyNumberFormat="1" applyFont="1" applyFill="1" applyBorder="1" applyAlignment="1">
      <alignment/>
    </xf>
    <xf numFmtId="181" fontId="0" fillId="0" borderId="0" xfId="45" applyNumberFormat="1" applyAlignment="1">
      <alignment/>
    </xf>
    <xf numFmtId="181" fontId="0" fillId="0" borderId="0" xfId="45" applyNumberFormat="1" applyFill="1" applyAlignment="1">
      <alignment/>
    </xf>
    <xf numFmtId="181" fontId="0" fillId="0" borderId="9" xfId="45" applyNumberFormat="1" applyBorder="1" applyAlignment="1">
      <alignment/>
    </xf>
    <xf numFmtId="181" fontId="51" fillId="0" borderId="0" xfId="45" applyNumberFormat="1" applyFont="1" applyAlignment="1">
      <alignment/>
    </xf>
    <xf numFmtId="181" fontId="51" fillId="0" borderId="0" xfId="45" applyNumberFormat="1" applyFont="1" applyFill="1" applyAlignment="1">
      <alignment/>
    </xf>
    <xf numFmtId="181" fontId="0" fillId="0" borderId="0" xfId="45" applyNumberFormat="1" applyFont="1" applyAlignment="1">
      <alignment/>
    </xf>
    <xf numFmtId="181" fontId="51" fillId="0" borderId="9" xfId="45" applyNumberFormat="1" applyFont="1" applyBorder="1" applyAlignment="1">
      <alignment/>
    </xf>
    <xf numFmtId="181" fontId="51" fillId="0" borderId="9" xfId="45" applyNumberFormat="1" applyFont="1" applyFill="1" applyBorder="1" applyAlignment="1">
      <alignment/>
    </xf>
    <xf numFmtId="181" fontId="0" fillId="0" borderId="9" xfId="45" applyNumberFormat="1" applyFont="1" applyBorder="1" applyAlignment="1">
      <alignment/>
    </xf>
    <xf numFmtId="182" fontId="0" fillId="0" borderId="0" xfId="42" applyNumberFormat="1" applyAlignment="1">
      <alignment/>
    </xf>
    <xf numFmtId="182" fontId="0" fillId="0" borderId="0" xfId="42" applyNumberFormat="1" applyFont="1" applyFill="1" applyAlignment="1">
      <alignment/>
    </xf>
    <xf numFmtId="182" fontId="0" fillId="0" borderId="0" xfId="42" applyNumberFormat="1" applyFont="1" applyAlignment="1">
      <alignment/>
    </xf>
    <xf numFmtId="182" fontId="0" fillId="0" borderId="0" xfId="0" applyNumberFormat="1" applyFont="1" applyAlignment="1">
      <alignment/>
    </xf>
    <xf numFmtId="181" fontId="0" fillId="0" borderId="0" xfId="45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10" xfId="45" applyNumberFormat="1" applyFont="1" applyBorder="1" applyAlignment="1">
      <alignment/>
    </xf>
    <xf numFmtId="181" fontId="0" fillId="0" borderId="10" xfId="45" applyNumberFormat="1" applyBorder="1" applyAlignment="1">
      <alignment/>
    </xf>
    <xf numFmtId="182" fontId="0" fillId="0" borderId="0" xfId="42" applyNumberFormat="1" applyFill="1" applyAlignment="1">
      <alignment/>
    </xf>
    <xf numFmtId="182" fontId="0" fillId="0" borderId="0" xfId="0" applyNumberFormat="1" applyFill="1" applyAlignment="1">
      <alignment/>
    </xf>
    <xf numFmtId="182" fontId="0" fillId="0" borderId="9" xfId="0" applyNumberFormat="1" applyFill="1" applyBorder="1" applyAlignment="1">
      <alignment/>
    </xf>
    <xf numFmtId="181" fontId="0" fillId="0" borderId="10" xfId="45" applyNumberFormat="1" applyFill="1" applyBorder="1" applyAlignment="1">
      <alignment/>
    </xf>
    <xf numFmtId="181" fontId="0" fillId="0" borderId="10" xfId="45" applyNumberFormat="1" applyFont="1" applyFill="1" applyBorder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81" fontId="0" fillId="0" borderId="11" xfId="45" applyNumberFormat="1" applyFont="1" applyBorder="1" applyAlignment="1">
      <alignment/>
    </xf>
    <xf numFmtId="181" fontId="0" fillId="0" borderId="0" xfId="45" applyNumberFormat="1" applyFont="1" applyBorder="1" applyAlignment="1">
      <alignment/>
    </xf>
    <xf numFmtId="181" fontId="0" fillId="0" borderId="9" xfId="45" applyNumberFormat="1" applyFont="1" applyBorder="1" applyAlignment="1">
      <alignment/>
    </xf>
    <xf numFmtId="42" fontId="51" fillId="0" borderId="0" xfId="0" applyNumberFormat="1" applyFont="1" applyAlignment="1">
      <alignment/>
    </xf>
    <xf numFmtId="181" fontId="0" fillId="0" borderId="11" xfId="45" applyNumberFormat="1" applyFont="1" applyFill="1" applyBorder="1" applyAlignment="1">
      <alignment/>
    </xf>
    <xf numFmtId="181" fontId="0" fillId="0" borderId="0" xfId="45" applyNumberFormat="1" applyFont="1" applyFill="1" applyBorder="1" applyAlignment="1">
      <alignment/>
    </xf>
    <xf numFmtId="181" fontId="0" fillId="0" borderId="9" xfId="45" applyNumberFormat="1" applyFont="1" applyFill="1" applyBorder="1" applyAlignment="1">
      <alignment/>
    </xf>
    <xf numFmtId="182" fontId="0" fillId="0" borderId="0" xfId="42" applyNumberFormat="1" applyFont="1" applyFill="1" applyBorder="1" applyAlignment="1">
      <alignment/>
    </xf>
    <xf numFmtId="182" fontId="0" fillId="0" borderId="9" xfId="42" applyNumberFormat="1" applyFont="1" applyFill="1" applyBorder="1" applyAlignment="1">
      <alignment/>
    </xf>
    <xf numFmtId="42" fontId="51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2" fontId="0" fillId="0" borderId="9" xfId="0" applyNumberFormat="1" applyFont="1" applyBorder="1" applyAlignment="1">
      <alignment horizontal="center"/>
    </xf>
    <xf numFmtId="0" fontId="0" fillId="0" borderId="9" xfId="0" applyFill="1" applyBorder="1" applyAlignment="1">
      <alignment/>
    </xf>
    <xf numFmtId="171" fontId="0" fillId="0" borderId="0" xfId="0" applyNumberFormat="1" applyBorder="1" applyAlignment="1">
      <alignment horizontal="center"/>
    </xf>
    <xf numFmtId="42" fontId="51" fillId="0" borderId="0" xfId="0" applyNumberFormat="1" applyFont="1" applyBorder="1" applyAlignment="1">
      <alignment/>
    </xf>
    <xf numFmtId="181" fontId="0" fillId="0" borderId="0" xfId="45" applyNumberFormat="1" applyFont="1" applyBorder="1" applyAlignment="1">
      <alignment/>
    </xf>
    <xf numFmtId="181" fontId="0" fillId="0" borderId="9" xfId="45" applyNumberFormat="1" applyFont="1" applyBorder="1" applyAlignment="1">
      <alignment/>
    </xf>
    <xf numFmtId="181" fontId="0" fillId="0" borderId="11" xfId="45" applyNumberFormat="1" applyFont="1" applyFill="1" applyBorder="1" applyAlignment="1">
      <alignment/>
    </xf>
    <xf numFmtId="181" fontId="0" fillId="0" borderId="0" xfId="45" applyNumberFormat="1" applyFont="1" applyFill="1" applyBorder="1" applyAlignment="1">
      <alignment/>
    </xf>
    <xf numFmtId="181" fontId="0" fillId="0" borderId="9" xfId="45" applyNumberFormat="1" applyFont="1" applyFill="1" applyBorder="1" applyAlignment="1">
      <alignment/>
    </xf>
    <xf numFmtId="171" fontId="0" fillId="0" borderId="11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0" xfId="0" applyNumberFormat="1" applyAlignment="1">
      <alignment/>
    </xf>
    <xf numFmtId="1" fontId="51" fillId="0" borderId="0" xfId="0" applyNumberFormat="1" applyFont="1" applyAlignment="1">
      <alignment/>
    </xf>
    <xf numFmtId="181" fontId="51" fillId="0" borderId="11" xfId="45" applyNumberFormat="1" applyFont="1" applyBorder="1" applyAlignment="1">
      <alignment/>
    </xf>
    <xf numFmtId="171" fontId="0" fillId="34" borderId="0" xfId="0" applyNumberFormat="1" applyFont="1" applyFill="1" applyAlignment="1">
      <alignment horizontal="center"/>
    </xf>
    <xf numFmtId="3" fontId="5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17" fontId="0" fillId="34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left" wrapText="1"/>
    </xf>
    <xf numFmtId="0" fontId="0" fillId="34" borderId="0" xfId="0" applyFont="1" applyFill="1" applyAlignment="1">
      <alignment/>
    </xf>
    <xf numFmtId="10" fontId="0" fillId="35" borderId="0" xfId="74" applyNumberFormat="1" applyFont="1" applyFill="1" applyAlignment="1">
      <alignment/>
    </xf>
    <xf numFmtId="171" fontId="0" fillId="0" borderId="0" xfId="0" applyNumberFormat="1" applyFill="1" applyAlignment="1">
      <alignment/>
    </xf>
    <xf numFmtId="0" fontId="1" fillId="0" borderId="12" xfId="0" applyFont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13" xfId="74" applyNumberFormat="1" applyFont="1" applyFill="1" applyBorder="1" applyAlignment="1">
      <alignment/>
    </xf>
    <xf numFmtId="10" fontId="0" fillId="0" borderId="13" xfId="0" applyNumberFormat="1" applyBorder="1" applyAlignment="1">
      <alignment/>
    </xf>
    <xf numFmtId="10" fontId="0" fillId="34" borderId="13" xfId="0" applyNumberFormat="1" applyFill="1" applyBorder="1" applyAlignment="1">
      <alignment/>
    </xf>
    <xf numFmtId="10" fontId="0" fillId="34" borderId="13" xfId="74" applyNumberFormat="1" applyFont="1" applyFill="1" applyBorder="1" applyAlignment="1">
      <alignment/>
    </xf>
    <xf numFmtId="10" fontId="0" fillId="0" borderId="13" xfId="74" applyNumberFormat="1" applyFont="1" applyBorder="1" applyAlignment="1">
      <alignment/>
    </xf>
    <xf numFmtId="10" fontId="0" fillId="34" borderId="14" xfId="0" applyNumberFormat="1" applyFill="1" applyBorder="1" applyAlignment="1">
      <alignment/>
    </xf>
    <xf numFmtId="10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10" fontId="0" fillId="0" borderId="0" xfId="74" applyNumberFormat="1" applyFont="1" applyFill="1" applyBorder="1" applyAlignment="1">
      <alignment/>
    </xf>
    <xf numFmtId="10" fontId="1" fillId="0" borderId="0" xfId="74" applyNumberFormat="1" applyFont="1" applyFill="1" applyBorder="1" applyAlignment="1">
      <alignment/>
    </xf>
    <xf numFmtId="10" fontId="0" fillId="0" borderId="0" xfId="74" applyNumberFormat="1" applyFont="1" applyFill="1" applyBorder="1" applyAlignment="1" quotePrefix="1">
      <alignment horizontal="left"/>
    </xf>
    <xf numFmtId="10" fontId="1" fillId="0" borderId="0" xfId="74" applyNumberFormat="1" applyFont="1" applyFill="1" applyBorder="1" applyAlignment="1" quotePrefix="1">
      <alignment horizontal="left"/>
    </xf>
    <xf numFmtId="10" fontId="0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>
      <alignment/>
    </xf>
    <xf numFmtId="10" fontId="1" fillId="0" borderId="16" xfId="0" applyNumberFormat="1" applyFont="1" applyFill="1" applyBorder="1" applyAlignment="1">
      <alignment/>
    </xf>
    <xf numFmtId="10" fontId="1" fillId="0" borderId="1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10" fontId="0" fillId="0" borderId="0" xfId="74" applyNumberFormat="1" applyFill="1" applyBorder="1" applyAlignment="1">
      <alignment/>
    </xf>
    <xf numFmtId="0" fontId="0" fillId="0" borderId="19" xfId="0" applyFill="1" applyBorder="1" applyAlignment="1">
      <alignment/>
    </xf>
    <xf numFmtId="10" fontId="0" fillId="0" borderId="16" xfId="74" applyNumberFormat="1" applyFill="1" applyBorder="1" applyAlignment="1">
      <alignment/>
    </xf>
    <xf numFmtId="10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10" fontId="0" fillId="0" borderId="17" xfId="74" applyNumberFormat="1" applyFont="1" applyBorder="1" applyAlignment="1">
      <alignment/>
    </xf>
    <xf numFmtId="10" fontId="0" fillId="0" borderId="15" xfId="74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8" xfId="74" applyNumberFormat="1" applyFont="1" applyBorder="1" applyAlignment="1">
      <alignment/>
    </xf>
    <xf numFmtId="10" fontId="0" fillId="0" borderId="0" xfId="74" applyNumberFormat="1" applyFont="1" applyBorder="1" applyAlignment="1">
      <alignment/>
    </xf>
    <xf numFmtId="10" fontId="0" fillId="0" borderId="19" xfId="74" applyNumberFormat="1" applyFont="1" applyBorder="1" applyAlignment="1">
      <alignment/>
    </xf>
    <xf numFmtId="10" fontId="0" fillId="0" borderId="16" xfId="74" applyNumberFormat="1" applyFont="1" applyBorder="1" applyAlignment="1">
      <alignment/>
    </xf>
    <xf numFmtId="10" fontId="0" fillId="0" borderId="14" xfId="74" applyNumberFormat="1" applyFont="1" applyBorder="1" applyAlignment="1">
      <alignment/>
    </xf>
    <xf numFmtId="183" fontId="0" fillId="0" borderId="0" xfId="42" applyNumberFormat="1" applyFont="1" applyAlignment="1">
      <alignment/>
    </xf>
    <xf numFmtId="171" fontId="0" fillId="34" borderId="0" xfId="0" applyNumberFormat="1" applyFont="1" applyFill="1" applyAlignment="1">
      <alignment/>
    </xf>
    <xf numFmtId="187" fontId="51" fillId="0" borderId="0" xfId="0" applyNumberFormat="1" applyFont="1" applyAlignment="1">
      <alignment/>
    </xf>
    <xf numFmtId="187" fontId="51" fillId="0" borderId="0" xfId="0" applyNumberFormat="1" applyFont="1" applyBorder="1" applyAlignment="1">
      <alignment/>
    </xf>
    <xf numFmtId="187" fontId="51" fillId="0" borderId="9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9" xfId="0" applyNumberFormat="1" applyBorder="1" applyAlignment="1">
      <alignment/>
    </xf>
    <xf numFmtId="187" fontId="0" fillId="0" borderId="0" xfId="0" applyNumberFormat="1" applyFont="1" applyAlignment="1">
      <alignment/>
    </xf>
    <xf numFmtId="187" fontId="0" fillId="0" borderId="11" xfId="0" applyNumberFormat="1" applyBorder="1" applyAlignment="1">
      <alignment/>
    </xf>
    <xf numFmtId="0" fontId="9" fillId="0" borderId="0" xfId="0" applyFont="1" applyAlignment="1" quotePrefix="1">
      <alignment/>
    </xf>
    <xf numFmtId="43" fontId="0" fillId="0" borderId="0" xfId="42" applyFont="1" applyAlignment="1">
      <alignment/>
    </xf>
    <xf numFmtId="17" fontId="9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6" fontId="9" fillId="0" borderId="0" xfId="0" applyNumberFormat="1" applyFont="1" applyFill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uro" xfId="49"/>
    <cellStyle name="Explanatory Text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ixed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20090313 2009 ECR Expenditures" xfId="69"/>
    <cellStyle name="Normal_KU ECR Database" xfId="70"/>
    <cellStyle name="Normal_LGE ECR Database" xfId="71"/>
    <cellStyle name="Note" xfId="72"/>
    <cellStyle name="Output" xfId="73"/>
    <cellStyle name="Percent" xfId="74"/>
    <cellStyle name="Project Overview Data Entry" xfId="75"/>
    <cellStyle name="STYL5 - Style5" xfId="76"/>
    <cellStyle name="STYL6 - Style6" xfId="77"/>
    <cellStyle name="STYLE1 - Style1" xfId="78"/>
    <cellStyle name="STYLE2 - Style2" xfId="79"/>
    <cellStyle name="STYLE3 - Style3" xfId="80"/>
    <cellStyle name="STYLE4 - Style4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workbookViewId="0" topLeftCell="A1">
      <selection activeCell="A1" sqref="A1"/>
    </sheetView>
  </sheetViews>
  <sheetFormatPr defaultColWidth="9.33203125" defaultRowHeight="11.25"/>
  <cols>
    <col min="1" max="1" width="9.33203125" style="118" customWidth="1"/>
    <col min="2" max="2" width="53.16015625" style="118" customWidth="1"/>
    <col min="3" max="5" width="12.83203125" style="118" customWidth="1"/>
    <col min="6" max="7" width="13.66015625" style="118" bestFit="1" customWidth="1"/>
    <col min="8" max="11" width="13.66015625" style="118" customWidth="1"/>
    <col min="12" max="16384" width="9.33203125" style="118" customWidth="1"/>
  </cols>
  <sheetData>
    <row r="1" spans="1:7" ht="15.75">
      <c r="A1"/>
      <c r="B1"/>
      <c r="C1"/>
      <c r="D1"/>
      <c r="E1"/>
      <c r="F1"/>
      <c r="G1"/>
    </row>
    <row r="2" spans="2:11" ht="20.25">
      <c r="B2" s="124" t="s">
        <v>100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15.75">
      <c r="B3" s="125" t="s">
        <v>273</v>
      </c>
      <c r="C3" s="117"/>
      <c r="D3" s="117"/>
      <c r="E3" s="117"/>
      <c r="F3" s="117"/>
      <c r="G3" s="117"/>
      <c r="H3" s="117"/>
      <c r="I3" s="117"/>
      <c r="J3" s="117"/>
      <c r="K3" s="117"/>
    </row>
    <row r="6" spans="3:11" ht="15.75">
      <c r="C6" s="119">
        <f>Input!B2</f>
        <v>2016</v>
      </c>
      <c r="D6" s="119">
        <f aca="true" t="shared" si="0" ref="D6:K6">C6+1</f>
        <v>2017</v>
      </c>
      <c r="E6" s="119">
        <f t="shared" si="0"/>
        <v>2018</v>
      </c>
      <c r="F6" s="119">
        <f t="shared" si="0"/>
        <v>2019</v>
      </c>
      <c r="G6" s="119">
        <f t="shared" si="0"/>
        <v>2020</v>
      </c>
      <c r="H6" s="119">
        <f t="shared" si="0"/>
        <v>2021</v>
      </c>
      <c r="I6" s="119">
        <f t="shared" si="0"/>
        <v>2022</v>
      </c>
      <c r="J6" s="119">
        <f t="shared" si="0"/>
        <v>2023</v>
      </c>
      <c r="K6" s="119">
        <f t="shared" si="0"/>
        <v>2024</v>
      </c>
    </row>
    <row r="8" spans="2:11" ht="15.75">
      <c r="B8" s="120" t="s">
        <v>271</v>
      </c>
      <c r="C8" s="121">
        <f>'LGE-Summary'!C65/1000</f>
        <v>8184.162923147427</v>
      </c>
      <c r="D8" s="121">
        <f>'LGE-Summary'!D65/1000</f>
        <v>14704.888845305897</v>
      </c>
      <c r="E8" s="121">
        <f>'LGE-Summary'!E65/1000</f>
        <v>21464.570841926135</v>
      </c>
      <c r="F8" s="121">
        <f>'LGE-Summary'!F65/1000</f>
        <v>26345.96580992928</v>
      </c>
      <c r="G8" s="121">
        <f>'LGE-Summary'!G65/1000</f>
        <v>28057.96130050533</v>
      </c>
      <c r="H8" s="121">
        <f>'LGE-Summary'!H65/1000</f>
        <v>27750.9873491258</v>
      </c>
      <c r="I8" s="121">
        <f>'LGE-Summary'!I65/1000</f>
        <v>27713.166377153106</v>
      </c>
      <c r="J8" s="121">
        <f>'LGE-Summary'!J65/1000</f>
        <v>27613.429236535387</v>
      </c>
      <c r="K8" s="121">
        <f>'LGE-Summary'!K65/1000</f>
        <v>26822.32014060676</v>
      </c>
    </row>
    <row r="10" spans="2:11" ht="15.75">
      <c r="B10" s="122" t="s">
        <v>69</v>
      </c>
      <c r="C10" s="126">
        <f>'LGE-Summary'!C73</f>
        <v>0.9424416666666667</v>
      </c>
      <c r="D10" s="126">
        <f>'LGE-Summary'!D73</f>
        <v>0.9424416666666667</v>
      </c>
      <c r="E10" s="126">
        <f>'LGE-Summary'!E73</f>
        <v>0.9424416666666667</v>
      </c>
      <c r="F10" s="126">
        <f>'LGE-Summary'!F73</f>
        <v>0.9424416666666667</v>
      </c>
      <c r="G10" s="126">
        <f>'LGE-Summary'!G73</f>
        <v>0.9424416666666667</v>
      </c>
      <c r="H10" s="126">
        <f>'LGE-Summary'!H73</f>
        <v>0.9424416666666667</v>
      </c>
      <c r="I10" s="126">
        <f>'LGE-Summary'!I73</f>
        <v>0.9424416666666667</v>
      </c>
      <c r="J10" s="126">
        <f>'LGE-Summary'!J73</f>
        <v>0.9424416666666667</v>
      </c>
      <c r="K10" s="126">
        <f>'LGE-Summary'!K73</f>
        <v>0.9424416666666667</v>
      </c>
    </row>
    <row r="12" spans="2:11" ht="15.75">
      <c r="B12" s="123" t="s">
        <v>272</v>
      </c>
      <c r="C12" s="121">
        <f>'LGE-Summary'!C75/1000</f>
        <v>7713.0961455626</v>
      </c>
      <c r="D12" s="121">
        <f>'LGE-Summary'!D75/1000</f>
        <v>13858.499951518166</v>
      </c>
      <c r="E12" s="121">
        <f>'LGE-Summary'!E75/1000</f>
        <v>20229.105918549605</v>
      </c>
      <c r="F12" s="121">
        <f>'LGE-Summary'!F75/1000</f>
        <v>24829.53592785277</v>
      </c>
      <c r="G12" s="121">
        <f>'LGE-Summary'!G75/1000</f>
        <v>26442.99181131708</v>
      </c>
      <c r="H12" s="121">
        <f>'LGE-Summary'!H75/1000</f>
        <v>26153.6867689557</v>
      </c>
      <c r="I12" s="121">
        <f>'LGE-Summary'!I75/1000</f>
        <v>26118.042709094803</v>
      </c>
      <c r="J12" s="121">
        <f>'LGE-Summary'!J75/1000</f>
        <v>26024.046272062475</v>
      </c>
      <c r="K12" s="121">
        <f>'LGE-Summary'!K75/1000</f>
        <v>25278.47209718034</v>
      </c>
    </row>
    <row r="14" spans="2:11" ht="15.75">
      <c r="B14" s="123" t="s">
        <v>274</v>
      </c>
      <c r="C14" s="127">
        <f>'LGE-Summary'!C77/1000000</f>
        <v>966.5299361114107</v>
      </c>
      <c r="D14" s="127">
        <f>'LGE-Summary'!D77/1000000</f>
        <v>994.2895347415978</v>
      </c>
      <c r="E14" s="127">
        <f>'LGE-Summary'!E77/1000000</f>
        <v>1028.9760714071406</v>
      </c>
      <c r="F14" s="127">
        <f>'LGE-Summary'!F77/1000000</f>
        <v>1051.3061739022098</v>
      </c>
      <c r="G14" s="127">
        <f>'LGE-Summary'!G77/1000000</f>
        <v>1062.855611692984</v>
      </c>
      <c r="H14" s="127">
        <f>'LGE-Summary'!H77/1000000</f>
        <v>1103.0676562782905</v>
      </c>
      <c r="I14" s="127">
        <f>'LGE-Summary'!I77/1000000</f>
        <v>1128.0650306329378</v>
      </c>
      <c r="J14" s="127">
        <f>'LGE-Summary'!J77/1000000</f>
        <v>1178.3766085887555</v>
      </c>
      <c r="K14" s="127">
        <f>'LGE-Summary'!K77/1000000</f>
        <v>1211.2003899778476</v>
      </c>
    </row>
    <row r="16" spans="2:11" ht="15.75">
      <c r="B16" s="123" t="s">
        <v>301</v>
      </c>
      <c r="C16" s="126">
        <f>'LGE-Summary'!C79</f>
        <v>0.007980193739879694</v>
      </c>
      <c r="D16" s="126">
        <f>'LGE-Summary'!D79</f>
        <v>0.013938092947060738</v>
      </c>
      <c r="E16" s="126">
        <f>'LGE-Summary'!E79</f>
        <v>0.01965945222699493</v>
      </c>
      <c r="F16" s="126">
        <f>'LGE-Summary'!F79</f>
        <v>0.02361779712154754</v>
      </c>
      <c r="G16" s="126">
        <f>'LGE-Summary'!G79</f>
        <v>0.02487919480351334</v>
      </c>
      <c r="H16" s="126">
        <f>'LGE-Summary'!H79</f>
        <v>0.0237099570639187</v>
      </c>
      <c r="I16" s="126">
        <f>'LGE-Summary'!I79</f>
        <v>0.02315295838435876</v>
      </c>
      <c r="J16" s="126">
        <f>'LGE-Summary'!J79</f>
        <v>0.022084659592173445</v>
      </c>
      <c r="K16" s="126">
        <f>'LGE-Summary'!K79</f>
        <v>0.020870594417198525</v>
      </c>
    </row>
    <row r="17" ht="15.75">
      <c r="B17" s="123"/>
    </row>
    <row r="18" ht="15.75">
      <c r="B18" s="123" t="s">
        <v>275</v>
      </c>
    </row>
    <row r="19" spans="2:11" ht="15.75">
      <c r="B19" s="128" t="s">
        <v>373</v>
      </c>
      <c r="C19" s="129">
        <f>'LGE-Summary'!C87</f>
        <v>0.7250810416209682</v>
      </c>
      <c r="D19" s="129">
        <f>'LGE-Summary'!D87</f>
        <v>1.2664162402173744</v>
      </c>
      <c r="E19" s="129">
        <f>'LGE-Summary'!E87</f>
        <v>1.7862594021009375</v>
      </c>
      <c r="F19" s="129">
        <f>'LGE-Summary'!F87</f>
        <v>2.145914935887579</v>
      </c>
      <c r="G19" s="129">
        <f>'LGE-Summary'!G87</f>
        <v>2.2605256301828063</v>
      </c>
      <c r="H19" s="129">
        <f>'LGE-Summary'!H87</f>
        <v>2.154288595624218</v>
      </c>
      <c r="I19" s="129">
        <f>'LGE-Summary'!I87</f>
        <v>2.1036796510395077</v>
      </c>
      <c r="J19" s="129">
        <f>'LGE-Summary'!J87</f>
        <v>2.0066139373176464</v>
      </c>
      <c r="K19" s="129">
        <f>'LGE-Summary'!K87</f>
        <v>1.8963038783942112</v>
      </c>
    </row>
    <row r="20" spans="3:11" ht="15.75">
      <c r="C20" s="129"/>
      <c r="D20" s="129"/>
      <c r="E20" s="129"/>
      <c r="F20" s="129"/>
      <c r="G20" s="129"/>
      <c r="H20" s="129"/>
      <c r="I20" s="129"/>
      <c r="J20" s="129"/>
      <c r="K20" s="129"/>
    </row>
    <row r="21" spans="3:11" ht="15.75">
      <c r="C21" s="129"/>
      <c r="D21" s="129"/>
      <c r="E21" s="129"/>
      <c r="F21" s="129"/>
      <c r="G21" s="129"/>
      <c r="H21" s="129"/>
      <c r="I21" s="129"/>
      <c r="J21" s="129"/>
      <c r="K21" s="129"/>
    </row>
    <row r="23" spans="1:7" ht="15.75">
      <c r="A23"/>
      <c r="B23"/>
      <c r="C23"/>
      <c r="D23"/>
      <c r="E23"/>
      <c r="F23"/>
      <c r="G23"/>
    </row>
    <row r="24" spans="2:11" ht="20.25">
      <c r="B24" s="124" t="s">
        <v>99</v>
      </c>
      <c r="C24" s="117"/>
      <c r="D24" s="117"/>
      <c r="E24" s="117"/>
      <c r="F24" s="117"/>
      <c r="G24" s="117"/>
      <c r="H24" s="117"/>
      <c r="I24" s="117"/>
      <c r="J24" s="117"/>
      <c r="K24" s="117"/>
    </row>
    <row r="25" spans="2:11" ht="15.75">
      <c r="B25" s="125" t="s">
        <v>273</v>
      </c>
      <c r="C25" s="117"/>
      <c r="D25" s="117"/>
      <c r="E25" s="117"/>
      <c r="F25" s="117"/>
      <c r="G25" s="117"/>
      <c r="H25" s="117"/>
      <c r="I25" s="117"/>
      <c r="J25" s="117"/>
      <c r="K25" s="117"/>
    </row>
    <row r="28" spans="3:11" ht="15.75">
      <c r="C28" s="119">
        <f>Input!B2</f>
        <v>2016</v>
      </c>
      <c r="D28" s="119">
        <f aca="true" t="shared" si="1" ref="D28:K28">C28+1</f>
        <v>2017</v>
      </c>
      <c r="E28" s="119">
        <f t="shared" si="1"/>
        <v>2018</v>
      </c>
      <c r="F28" s="119">
        <f t="shared" si="1"/>
        <v>2019</v>
      </c>
      <c r="G28" s="119">
        <f t="shared" si="1"/>
        <v>2020</v>
      </c>
      <c r="H28" s="119">
        <f t="shared" si="1"/>
        <v>2021</v>
      </c>
      <c r="I28" s="119">
        <f t="shared" si="1"/>
        <v>2022</v>
      </c>
      <c r="J28" s="119">
        <f t="shared" si="1"/>
        <v>2023</v>
      </c>
      <c r="K28" s="119">
        <f t="shared" si="1"/>
        <v>2024</v>
      </c>
    </row>
    <row r="30" spans="2:11" ht="15.75">
      <c r="B30" s="120" t="s">
        <v>271</v>
      </c>
      <c r="C30" s="121">
        <f>'KU - Summary'!C145/1000</f>
        <v>35185.054946215176</v>
      </c>
      <c r="D30" s="121">
        <f>'KU - Summary'!D145/1000</f>
        <v>47599.08664302164</v>
      </c>
      <c r="E30" s="121">
        <f>'KU - Summary'!E145/1000</f>
        <v>57809.02114588362</v>
      </c>
      <c r="F30" s="121">
        <f>'KU - Summary'!F145/1000</f>
        <v>63905.52874342165</v>
      </c>
      <c r="G30" s="121">
        <f>'KU - Summary'!G145/1000</f>
        <v>54169.159488418714</v>
      </c>
      <c r="H30" s="121">
        <f>'KU - Summary'!H145/1000</f>
        <v>56703.45117389342</v>
      </c>
      <c r="I30" s="121">
        <f>'KU - Summary'!I145/1000</f>
        <v>58614.383431899216</v>
      </c>
      <c r="J30" s="121">
        <f>'KU - Summary'!J145/1000</f>
        <v>58391.90064678202</v>
      </c>
      <c r="K30" s="121">
        <f>'KU - Summary'!K145/1000</f>
        <v>56944.43410048676</v>
      </c>
    </row>
    <row r="32" spans="2:11" ht="15.75">
      <c r="B32" s="122" t="s">
        <v>69</v>
      </c>
      <c r="C32" s="126">
        <f>'KU - Summary'!C157</f>
        <v>0.8709833333333332</v>
      </c>
      <c r="D32" s="126">
        <f>'KU - Summary'!D157</f>
        <v>0.8709833333333332</v>
      </c>
      <c r="E32" s="126">
        <f>'KU - Summary'!E157</f>
        <v>0.8709833333333332</v>
      </c>
      <c r="F32" s="126">
        <f>'KU - Summary'!F157</f>
        <v>0.8709833333333332</v>
      </c>
      <c r="G32" s="126">
        <f>'KU - Summary'!G157</f>
        <v>0.8709833333333332</v>
      </c>
      <c r="H32" s="126">
        <f>'KU - Summary'!H157</f>
        <v>0.8709833333333332</v>
      </c>
      <c r="I32" s="126">
        <f>'KU - Summary'!I157</f>
        <v>0.8709833333333332</v>
      </c>
      <c r="J32" s="126">
        <f>'KU - Summary'!J157</f>
        <v>0.8709833333333332</v>
      </c>
      <c r="K32" s="126">
        <f>'KU - Summary'!K157</f>
        <v>0.8709833333333332</v>
      </c>
    </row>
    <row r="34" spans="2:11" ht="15.75">
      <c r="B34" s="123" t="s">
        <v>272</v>
      </c>
      <c r="C34" s="121">
        <f>'KU - Summary'!C159/1000</f>
        <v>30645.59644057098</v>
      </c>
      <c r="D34" s="121">
        <f>'KU - Summary'!D159/1000</f>
        <v>41458.01114796113</v>
      </c>
      <c r="E34" s="121">
        <f>'KU - Summary'!E159/1000</f>
        <v>50350.69393437886</v>
      </c>
      <c r="F34" s="121">
        <f>'KU - Summary'!F159/1000</f>
        <v>55660.65044337453</v>
      </c>
      <c r="G34" s="121">
        <f>'KU - Summary'!G159/1000</f>
        <v>47180.43509508789</v>
      </c>
      <c r="H34" s="121">
        <f>'KU - Summary'!H159/1000</f>
        <v>49387.7609149416</v>
      </c>
      <c r="I34" s="121">
        <f>'KU - Summary'!I159/1000</f>
        <v>51052.15106279367</v>
      </c>
      <c r="J34" s="121">
        <f>'KU - Summary'!J159/1000</f>
        <v>50858.37226500302</v>
      </c>
      <c r="K34" s="121">
        <f>'KU - Summary'!K159/1000</f>
        <v>49597.65302762229</v>
      </c>
    </row>
    <row r="36" spans="2:11" ht="15.75">
      <c r="B36" s="123" t="s">
        <v>274</v>
      </c>
      <c r="C36" s="127">
        <f>'KU - Summary'!C161/1000000</f>
        <v>1486.563167897634</v>
      </c>
      <c r="D36" s="127">
        <f>'KU - Summary'!D161/1000000</f>
        <v>1537.6795715518003</v>
      </c>
      <c r="E36" s="127">
        <f>'KU - Summary'!E161/1000000</f>
        <v>1580.1013775089252</v>
      </c>
      <c r="F36" s="127">
        <f>'KU - Summary'!F161/1000000</f>
        <v>1649.6090367396062</v>
      </c>
      <c r="G36" s="127">
        <f>'KU - Summary'!G161/1000000</f>
        <v>1693.0962100058482</v>
      </c>
      <c r="H36" s="127">
        <f>'KU - Summary'!H161/1000000</f>
        <v>1783.919326019304</v>
      </c>
      <c r="I36" s="127">
        <f>'KU - Summary'!I161/1000000</f>
        <v>1848.8898965945787</v>
      </c>
      <c r="J36" s="127">
        <f>'KU - Summary'!J161/1000000</f>
        <v>1899.4316312964445</v>
      </c>
      <c r="K36" s="127">
        <f>'KU - Summary'!K161/1000000</f>
        <v>1947.6909962731186</v>
      </c>
    </row>
    <row r="38" spans="2:11" ht="15.75">
      <c r="B38" s="123" t="s">
        <v>301</v>
      </c>
      <c r="C38" s="126">
        <f>'KU - Summary'!C163</f>
        <v>0.020615065072486217</v>
      </c>
      <c r="D38" s="126">
        <f>'KU - Summary'!D163</f>
        <v>0.026961411151558975</v>
      </c>
      <c r="E38" s="126">
        <f>'KU - Summary'!E163</f>
        <v>0.03186548322219563</v>
      </c>
      <c r="F38" s="126">
        <f>'KU - Summary'!F163</f>
        <v>0.03374172255590078</v>
      </c>
      <c r="G38" s="126">
        <f>'KU - Summary'!G163</f>
        <v>0.027866363893712172</v>
      </c>
      <c r="H38" s="126">
        <f>'KU - Summary'!H163</f>
        <v>0.027684974423785782</v>
      </c>
      <c r="I38" s="126">
        <f>'KU - Summary'!I163</f>
        <v>0.027612326270388125</v>
      </c>
      <c r="J38" s="126">
        <f>'KU - Summary'!J163</f>
        <v>0.026775574033317522</v>
      </c>
      <c r="K38" s="126">
        <f>'KU - Summary'!K163</f>
        <v>0.025464846899496255</v>
      </c>
    </row>
    <row r="39" spans="2:11" ht="15.75">
      <c r="B39" s="123"/>
      <c r="C39" s="126"/>
      <c r="D39" s="126"/>
      <c r="E39" s="126"/>
      <c r="F39" s="126"/>
      <c r="G39" s="126"/>
      <c r="H39" s="126"/>
      <c r="I39" s="126"/>
      <c r="J39" s="126"/>
      <c r="K39" s="126"/>
    </row>
    <row r="40" ht="15.75">
      <c r="B40" s="123" t="s">
        <v>275</v>
      </c>
    </row>
    <row r="41" spans="2:11" ht="15.75">
      <c r="B41" s="128" t="s">
        <v>374</v>
      </c>
      <c r="C41" s="129">
        <f>'KU - Summary'!C171</f>
        <v>2.1635758174355155</v>
      </c>
      <c r="D41" s="129">
        <f>'KU - Summary'!D171</f>
        <v>2.829632454049497</v>
      </c>
      <c r="E41" s="129">
        <f>'KU - Summary'!E171</f>
        <v>3.3443207027492985</v>
      </c>
      <c r="F41" s="129">
        <f>'KU - Summary'!F171</f>
        <v>3.5412342723088543</v>
      </c>
      <c r="G41" s="129">
        <f>'KU - Summary'!G171</f>
        <v>2.924608330281765</v>
      </c>
      <c r="H41" s="129">
        <f>'KU - Summary'!H171</f>
        <v>2.9055712877456266</v>
      </c>
      <c r="I41" s="129">
        <f>'KU - Summary'!I171</f>
        <v>2.8979467768687583</v>
      </c>
      <c r="J41" s="129">
        <f>'KU - Summary'!J171</f>
        <v>2.8101286254855142</v>
      </c>
      <c r="K41" s="129">
        <f>'KU - Summary'!K171</f>
        <v>2.6725662399184116</v>
      </c>
    </row>
    <row r="42" spans="3:11" ht="15.75">
      <c r="C42" s="129"/>
      <c r="D42" s="129"/>
      <c r="E42" s="129"/>
      <c r="F42" s="129"/>
      <c r="G42" s="129"/>
      <c r="H42" s="129"/>
      <c r="I42" s="129"/>
      <c r="J42" s="129"/>
      <c r="K42" s="129"/>
    </row>
    <row r="43" spans="3:11" ht="15.75">
      <c r="C43" s="129"/>
      <c r="D43" s="129"/>
      <c r="E43" s="129"/>
      <c r="F43" s="129"/>
      <c r="G43" s="129"/>
      <c r="H43" s="129"/>
      <c r="I43" s="129"/>
      <c r="J43" s="129"/>
      <c r="K43" s="129"/>
    </row>
  </sheetData>
  <sheetProtection/>
  <printOptions/>
  <pageMargins left="1" right="1" top="1.5" bottom="1" header="0.5" footer="0.5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zoomScalePageLayoutView="0" workbookViewId="0" topLeftCell="A19">
      <selection activeCell="C19" sqref="C19"/>
    </sheetView>
  </sheetViews>
  <sheetFormatPr defaultColWidth="9.33203125" defaultRowHeight="11.25"/>
  <cols>
    <col min="1" max="1" width="12.66015625" style="2" bestFit="1" customWidth="1"/>
    <col min="2" max="2" width="66" style="2" customWidth="1"/>
    <col min="3" max="12" width="14.83203125" style="2" customWidth="1"/>
    <col min="13" max="13" width="9.33203125" style="2" customWidth="1"/>
    <col min="14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8.75" customHeight="1">
      <c r="B2" s="110" t="s">
        <v>312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8.75" customHeight="1">
      <c r="B3" s="11"/>
      <c r="C3" s="212" t="s">
        <v>268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29">
        <f>Input!B2</f>
        <v>2016</v>
      </c>
      <c r="D4" s="29">
        <f aca="true" t="shared" si="0" ref="D4:I5">C4+1</f>
        <v>2017</v>
      </c>
      <c r="E4" s="29">
        <f t="shared" si="0"/>
        <v>2018</v>
      </c>
      <c r="F4" s="29">
        <f t="shared" si="0"/>
        <v>2019</v>
      </c>
      <c r="G4" s="29">
        <f t="shared" si="0"/>
        <v>2020</v>
      </c>
      <c r="H4" s="29">
        <f t="shared" si="0"/>
        <v>2021</v>
      </c>
      <c r="I4" s="29">
        <f t="shared" si="0"/>
        <v>2022</v>
      </c>
      <c r="J4" s="29">
        <f aca="true" t="shared" si="1" ref="J4:L5">I4+1</f>
        <v>2023</v>
      </c>
      <c r="K4" s="29">
        <f t="shared" si="1"/>
        <v>2024</v>
      </c>
      <c r="L4" s="29">
        <f t="shared" si="1"/>
        <v>2025</v>
      </c>
    </row>
    <row r="5" spans="1:18" s="28" customFormat="1" ht="18.75" customHeight="1">
      <c r="A5" s="258">
        <v>2016</v>
      </c>
      <c r="B5" s="28" t="s">
        <v>43</v>
      </c>
      <c r="C5" s="209">
        <v>1</v>
      </c>
      <c r="D5" s="209">
        <f t="shared" si="0"/>
        <v>2</v>
      </c>
      <c r="E5" s="209">
        <f t="shared" si="0"/>
        <v>3</v>
      </c>
      <c r="F5" s="209">
        <f t="shared" si="0"/>
        <v>4</v>
      </c>
      <c r="G5" s="209">
        <f>F5+1</f>
        <v>5</v>
      </c>
      <c r="H5" s="209">
        <f>G5+1</f>
        <v>6</v>
      </c>
      <c r="I5" s="209">
        <f>H5+1</f>
        <v>7</v>
      </c>
      <c r="J5" s="209">
        <f t="shared" si="1"/>
        <v>8</v>
      </c>
      <c r="K5" s="209">
        <f t="shared" si="1"/>
        <v>9</v>
      </c>
      <c r="L5" s="209">
        <f t="shared" si="1"/>
        <v>10</v>
      </c>
      <c r="M5" s="28" t="s">
        <v>21</v>
      </c>
      <c r="Q5" s="28" t="s">
        <v>257</v>
      </c>
      <c r="R5" s="28">
        <v>1</v>
      </c>
    </row>
    <row r="6" spans="1:18" ht="18.75" customHeight="1">
      <c r="A6" s="3"/>
      <c r="B6" s="211" t="s">
        <v>369</v>
      </c>
      <c r="C6" s="12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60" t="s">
        <v>307</v>
      </c>
      <c r="B7" s="10" t="s">
        <v>389</v>
      </c>
      <c r="C7" s="172">
        <f>VLOOKUP(C$4,'Cash Flows-KU'!$B$8:$J$17,$A8)</f>
        <v>7000000</v>
      </c>
      <c r="D7" s="172">
        <f>VLOOKUP(D$4,'Cash Flows-KU'!$B$8:$J$17,$A8)</f>
        <v>0</v>
      </c>
      <c r="E7" s="172">
        <f>VLOOKUP(E$4,'Cash Flows-KU'!$B$8:$J$17,$A8)</f>
        <v>0</v>
      </c>
      <c r="F7" s="172">
        <f>VLOOKUP(F$4,'Cash Flows-KU'!$B$8:$J$17,$A8)</f>
        <v>0</v>
      </c>
      <c r="G7" s="172">
        <f>VLOOKUP(G$4,'Cash Flows-KU'!$B$8:$J$17,$A8)</f>
        <v>0</v>
      </c>
      <c r="H7" s="172">
        <f>VLOOKUP(H$4,'Cash Flows-KU'!$B$8:$J$17,$A8)</f>
        <v>0</v>
      </c>
      <c r="I7" s="172">
        <f>VLOOKUP(I$4,'Cash Flows-KU'!$B$8:$J$17,$A8)</f>
        <v>0</v>
      </c>
      <c r="J7" s="172">
        <f>VLOOKUP(J$4,'Cash Flows-KU'!$B$8:$J$17,$A8)</f>
        <v>0</v>
      </c>
      <c r="K7" s="172">
        <f>VLOOKUP(K$4,'Cash Flows-KU'!$B$8:$J$17,$A8)</f>
        <v>0</v>
      </c>
      <c r="L7" s="172">
        <f>VLOOKUP(L$4,'Cash Flows-KU'!$B$8:$J$17,$A8)</f>
        <v>0</v>
      </c>
      <c r="M7" s="173"/>
      <c r="Q7" s="28" t="s">
        <v>259</v>
      </c>
      <c r="R7" s="2">
        <v>3</v>
      </c>
    </row>
    <row r="8" spans="1:18" ht="18.75" customHeight="1">
      <c r="A8" s="3">
        <v>3</v>
      </c>
      <c r="B8" s="40" t="s">
        <v>57</v>
      </c>
      <c r="C8" s="172">
        <f>SUM($C7:C7)</f>
        <v>7000000</v>
      </c>
      <c r="D8" s="172">
        <f>SUM($C7:D7)</f>
        <v>7000000</v>
      </c>
      <c r="E8" s="172">
        <f>SUM($C7:E7)</f>
        <v>7000000</v>
      </c>
      <c r="F8" s="172">
        <f>SUM($C7:F7)</f>
        <v>7000000</v>
      </c>
      <c r="G8" s="172">
        <f>SUM($C7:G7)</f>
        <v>7000000</v>
      </c>
      <c r="H8" s="172">
        <f>SUM($C7:H7)</f>
        <v>7000000</v>
      </c>
      <c r="I8" s="172">
        <f>SUM($C7:I7)</f>
        <v>7000000</v>
      </c>
      <c r="J8" s="172">
        <f>SUM($C7:J7)</f>
        <v>7000000</v>
      </c>
      <c r="K8" s="172">
        <f>SUM($C7:K7)</f>
        <v>7000000</v>
      </c>
      <c r="L8" s="172">
        <f>SUM($C7:L7)</f>
        <v>7000000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0.0211</v>
      </c>
      <c r="D9" s="6">
        <f>IF(D5="",0,VLOOKUP($B6,Depreciation!$D$2:$E$31,$A9,FALSE))</f>
        <v>0.0211</v>
      </c>
      <c r="E9" s="6">
        <f>IF(E5="",0,VLOOKUP($B6,Depreciation!$D$2:$E$31,$A9,FALSE))</f>
        <v>0.0211</v>
      </c>
      <c r="F9" s="6">
        <f>IF(F5="",0,VLOOKUP($B6,Depreciation!$D$2:$E$31,$A9,FALSE))</f>
        <v>0.0211</v>
      </c>
      <c r="G9" s="6">
        <f>IF(G5="",0,VLOOKUP($B6,Depreciation!$D$2:$E$31,$A9,FALSE))</f>
        <v>0.0211</v>
      </c>
      <c r="H9" s="6">
        <f>IF(H5="",0,VLOOKUP($B6,Depreciation!$D$2:$E$31,$A9,FALSE))</f>
        <v>0.0211</v>
      </c>
      <c r="I9" s="6">
        <f>IF(I5="",0,VLOOKUP($B6,Depreciation!$D$2:$E$31,$A9,FALSE))</f>
        <v>0.0211</v>
      </c>
      <c r="J9" s="6">
        <f>IF(J5="",0,VLOOKUP($B6,Depreciation!$D$2:$E$31,$A9,FALSE))</f>
        <v>0.0211</v>
      </c>
      <c r="K9" s="6">
        <f>IF(K5="",0,VLOOKUP($B6,Depreciation!$D$2:$E$31,$A9,FALSE))</f>
        <v>0.0211</v>
      </c>
      <c r="L9" s="6">
        <f>IF(L5="",0,VLOOKUP($B6,Depreciation!$D$2:$E$31,$A9,FALSE))</f>
        <v>0.0211</v>
      </c>
      <c r="Q9" s="28" t="s">
        <v>261</v>
      </c>
      <c r="R9" s="2">
        <v>5</v>
      </c>
    </row>
    <row r="10" spans="1:18" ht="18.75" customHeight="1">
      <c r="A10" s="3">
        <v>2</v>
      </c>
      <c r="B10" s="5" t="s">
        <v>1</v>
      </c>
      <c r="C10" s="6">
        <f>IF(C5="",0,VLOOKUP(C5,Depreciation!$A$2:$C$58,$A10,FALSE))</f>
        <v>0.0375</v>
      </c>
      <c r="D10" s="6">
        <f>IF(D5="",0,VLOOKUP(D5,Depreciation!$A$2:$C$58,$A10,FALSE))</f>
        <v>0.07219</v>
      </c>
      <c r="E10" s="6">
        <f>IF(E5="",0,VLOOKUP(E5,Depreciation!$A$2:$C$58,$A10,FALSE))</f>
        <v>0.06677</v>
      </c>
      <c r="F10" s="6">
        <f>IF(F5="",0,VLOOKUP(F5,Depreciation!$A$2:$C$58,$A10,FALSE))</f>
        <v>0.06177</v>
      </c>
      <c r="G10" s="6">
        <f>IF(G5="",0,VLOOKUP(G5,Depreciation!$A$2:$C$58,$A10,FALSE))</f>
        <v>0.05713</v>
      </c>
      <c r="H10" s="6">
        <f>IF(H5="",0,VLOOKUP(H5,Depreciation!$A$2:$C$58,$A10,FALSE))</f>
        <v>0.05285</v>
      </c>
      <c r="I10" s="6">
        <f>IF(I5="",0,VLOOKUP(I5,Depreciation!$A$2:$C$58,$A10,FALSE))</f>
        <v>0.04888</v>
      </c>
      <c r="J10" s="6">
        <f>IF(J5="",0,VLOOKUP(J5,Depreciation!$A$2:$C$58,$A10,FALSE))</f>
        <v>0.04522</v>
      </c>
      <c r="K10" s="6">
        <f>IF(K5="",0,VLOOKUP(K5,Depreciation!$A$2:$C$58,$A10,FALSE))</f>
        <v>0.04462</v>
      </c>
      <c r="L10" s="6">
        <f>IF(L5="",0,VLOOKUP(L5,Depreciation!$A$2:$C$58,$A10,FALSE))</f>
        <v>0.04461</v>
      </c>
      <c r="Q10" s="28" t="s">
        <v>262</v>
      </c>
      <c r="R10" s="2">
        <v>6</v>
      </c>
    </row>
    <row r="11" spans="1:18" s="30" customFormat="1" ht="18.75" customHeight="1">
      <c r="A11" s="71"/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1:18" ht="18.75" customHeight="1">
      <c r="A12" s="3"/>
      <c r="B12" s="2" t="s">
        <v>3</v>
      </c>
      <c r="C12" s="170">
        <f>SUM($C23:C23)</f>
        <v>1401679.5549166666</v>
      </c>
      <c r="D12" s="170">
        <f>SUM($C23:D23)</f>
        <v>1442265.3218166665</v>
      </c>
      <c r="E12" s="170">
        <f>SUM($C23:E23)</f>
        <v>1475516.1485166666</v>
      </c>
      <c r="F12" s="170">
        <f>SUM($C23:F23)</f>
        <v>1502000.4252166667</v>
      </c>
      <c r="G12" s="170">
        <f>SUM($C23:G23)</f>
        <v>1522205.3435166667</v>
      </c>
      <c r="H12" s="170">
        <f>SUM($C23:H23)</f>
        <v>1536618.0950166667</v>
      </c>
      <c r="I12" s="170">
        <f>SUM($C23:I23)</f>
        <v>1545658.2058166666</v>
      </c>
      <c r="J12" s="170">
        <f>SUM($C23:J23)</f>
        <v>1549745.2020166665</v>
      </c>
      <c r="K12" s="170">
        <f>SUM($C23:K23)</f>
        <v>1553020.2122166664</v>
      </c>
      <c r="L12" s="170">
        <f>SUM($C23:L23)</f>
        <v>1556281.6893166665</v>
      </c>
      <c r="Q12" s="28" t="s">
        <v>264</v>
      </c>
      <c r="R12" s="2">
        <v>8</v>
      </c>
    </row>
    <row r="13" spans="2:18" ht="18.75" customHeight="1">
      <c r="B13" s="2" t="s">
        <v>4</v>
      </c>
      <c r="C13" s="170">
        <f>SUM($C15:C15)</f>
        <v>6154.166666666667</v>
      </c>
      <c r="D13" s="170">
        <f>SUM($C15:D15)</f>
        <v>153854.16666666666</v>
      </c>
      <c r="E13" s="170">
        <f>SUM($C15:E15)</f>
        <v>301554.1666666666</v>
      </c>
      <c r="F13" s="170">
        <f>SUM($C15:F15)</f>
        <v>449254.1666666666</v>
      </c>
      <c r="G13" s="170">
        <f>SUM($C15:G15)</f>
        <v>596954.1666666666</v>
      </c>
      <c r="H13" s="170">
        <f>SUM($C15:H15)</f>
        <v>744654.1666666666</v>
      </c>
      <c r="I13" s="170">
        <f>SUM($C15:I15)</f>
        <v>892354.1666666666</v>
      </c>
      <c r="J13" s="170">
        <f>SUM($C15:J15)</f>
        <v>1040054.1666666666</v>
      </c>
      <c r="K13" s="170">
        <f>SUM($C15:K15)</f>
        <v>1187754.1666666665</v>
      </c>
      <c r="L13" s="170">
        <f>SUM($C15:L15)</f>
        <v>1335454.1666666665</v>
      </c>
      <c r="Q13" s="28" t="s">
        <v>265</v>
      </c>
      <c r="R13" s="2">
        <v>9</v>
      </c>
    </row>
    <row r="14" spans="2:18" ht="18.75" customHeight="1">
      <c r="B14" s="11" t="s">
        <v>5</v>
      </c>
      <c r="C14" s="170">
        <f>C7</f>
        <v>7000000</v>
      </c>
      <c r="D14" s="170">
        <f>C14+D7</f>
        <v>7000000</v>
      </c>
      <c r="E14" s="170">
        <f aca="true" t="shared" si="2" ref="E14:L14">D14+E7</f>
        <v>7000000</v>
      </c>
      <c r="F14" s="170">
        <f t="shared" si="2"/>
        <v>7000000</v>
      </c>
      <c r="G14" s="170">
        <f t="shared" si="2"/>
        <v>7000000</v>
      </c>
      <c r="H14" s="170">
        <f t="shared" si="2"/>
        <v>7000000</v>
      </c>
      <c r="I14" s="170">
        <f t="shared" si="2"/>
        <v>7000000</v>
      </c>
      <c r="J14" s="170">
        <f t="shared" si="2"/>
        <v>7000000</v>
      </c>
      <c r="K14" s="170">
        <f t="shared" si="2"/>
        <v>7000000</v>
      </c>
      <c r="L14" s="170">
        <f t="shared" si="2"/>
        <v>7000000</v>
      </c>
      <c r="Q14" s="28" t="s">
        <v>266</v>
      </c>
      <c r="R14" s="2">
        <v>10</v>
      </c>
    </row>
    <row r="15" spans="1:18" ht="18.75" customHeight="1">
      <c r="A15" s="214" t="s">
        <v>359</v>
      </c>
      <c r="B15" s="11" t="s">
        <v>6</v>
      </c>
      <c r="C15" s="170">
        <f aca="true" t="shared" si="3" ref="C15:L15">IF(C5=1,(12.5-VLOOKUP(C3,$Q$5:$R$16,2,))*C9/12*C14,C14*C9)</f>
        <v>6154.166666666667</v>
      </c>
      <c r="D15" s="170">
        <f t="shared" si="3"/>
        <v>147700</v>
      </c>
      <c r="E15" s="170">
        <f t="shared" si="3"/>
        <v>147700</v>
      </c>
      <c r="F15" s="170">
        <f t="shared" si="3"/>
        <v>147700</v>
      </c>
      <c r="G15" s="170">
        <f t="shared" si="3"/>
        <v>147700</v>
      </c>
      <c r="H15" s="170">
        <f t="shared" si="3"/>
        <v>147700</v>
      </c>
      <c r="I15" s="170">
        <f t="shared" si="3"/>
        <v>147700</v>
      </c>
      <c r="J15" s="170">
        <f t="shared" si="3"/>
        <v>147700</v>
      </c>
      <c r="K15" s="170">
        <f t="shared" si="3"/>
        <v>147700</v>
      </c>
      <c r="L15" s="170">
        <f t="shared" si="3"/>
        <v>147700</v>
      </c>
      <c r="Q15" s="28" t="s">
        <v>267</v>
      </c>
      <c r="R15" s="2">
        <v>11</v>
      </c>
    </row>
    <row r="16" spans="2:18" ht="18.75" customHeight="1">
      <c r="B16" s="5" t="s">
        <v>7</v>
      </c>
      <c r="C16" s="170">
        <f>C7</f>
        <v>7000000</v>
      </c>
      <c r="D16" s="170">
        <f aca="true" t="shared" si="4" ref="D16:L16">C16+D7</f>
        <v>7000000</v>
      </c>
      <c r="E16" s="170">
        <f t="shared" si="4"/>
        <v>7000000</v>
      </c>
      <c r="F16" s="170">
        <f t="shared" si="4"/>
        <v>7000000</v>
      </c>
      <c r="G16" s="170">
        <f t="shared" si="4"/>
        <v>7000000</v>
      </c>
      <c r="H16" s="170">
        <f t="shared" si="4"/>
        <v>7000000</v>
      </c>
      <c r="I16" s="170">
        <f t="shared" si="4"/>
        <v>7000000</v>
      </c>
      <c r="J16" s="170">
        <f t="shared" si="4"/>
        <v>7000000</v>
      </c>
      <c r="K16" s="170">
        <f t="shared" si="4"/>
        <v>7000000</v>
      </c>
      <c r="L16" s="170">
        <f t="shared" si="4"/>
        <v>7000000</v>
      </c>
      <c r="Q16" s="28" t="s">
        <v>268</v>
      </c>
      <c r="R16" s="2">
        <v>12</v>
      </c>
    </row>
    <row r="17" spans="2:17" ht="18.75" customHeight="1">
      <c r="B17" s="213" t="s">
        <v>361</v>
      </c>
      <c r="C17" s="170">
        <f>IF(C5=1,IF($A15="Bonus",SUM($C7:C7)*VLOOKUP(C4,Depreciation!$D$41:$E$50,2),0),0)</f>
        <v>3500000</v>
      </c>
      <c r="D17" s="170">
        <f>IF(D5=1,IF($A15="Bonus",SUM($C7:D7)*VLOOKUP(D4,Depreciation!$D$41:$E$50,2),0),0)</f>
        <v>0</v>
      </c>
      <c r="E17" s="170">
        <f>IF(E5=1,IF($A15="Bonus",SUM($C7:E7)*VLOOKUP(E4,Depreciation!$D$41:$E$50,2),0),0)</f>
        <v>0</v>
      </c>
      <c r="F17" s="170">
        <f>IF(F5=1,IF($A15="Bonus",SUM($C7:F7)*VLOOKUP(F4,Depreciation!$D$41:$E$50,2),0),0)</f>
        <v>0</v>
      </c>
      <c r="G17" s="170">
        <f>IF(G5=1,IF($A15="Bonus",SUM($C7:G7)*VLOOKUP(G4,Depreciation!$D$41:$E$50,2),0),0)</f>
        <v>0</v>
      </c>
      <c r="H17" s="170">
        <f>IF(H5=1,IF($A15="Bonus",SUM($C7:H7)*VLOOKUP(H4,Depreciation!$D$41:$E$50,2),0),0)</f>
        <v>0</v>
      </c>
      <c r="I17" s="170">
        <f>IF(I5=1,IF($A15="Bonus",SUM($C7:I7)*VLOOKUP(I4,Depreciation!$D$41:$E$50,2),0),0)</f>
        <v>0</v>
      </c>
      <c r="J17" s="170">
        <f>IF(J5=1,IF($A15="Bonus",SUM($C7:J7)*VLOOKUP(J4,Depreciation!$D$41:$E$50,2),0),0)</f>
        <v>0</v>
      </c>
      <c r="K17" s="170">
        <f>IF(K5=1,IF($A15="Bonus",SUM($C7:K7)*VLOOKUP(K4,Depreciation!$D$41:$E$50,2),0),0)</f>
        <v>0</v>
      </c>
      <c r="L17" s="170">
        <f>IF(L5=1,IF($A15="Bonus",SUM($C7:L7)*VLOOKUP(L4,Depreciation!$D$41:$E$50,2),0),0)</f>
        <v>0</v>
      </c>
      <c r="Q17" s="28"/>
    </row>
    <row r="18" spans="2:12" ht="18.75" customHeight="1">
      <c r="B18" s="5" t="s">
        <v>362</v>
      </c>
      <c r="C18" s="170">
        <f>IF(C5&gt;=1,IF($A15="Bonus",C8*(1-VLOOKUP($A5,Depreciation!$D$41:$N$50,C4-2014))*C10,C8*C10),C8*C10)</f>
        <v>131250</v>
      </c>
      <c r="D18" s="170">
        <f>IF(D5&gt;=1,IF($A15="Bonus",D8*(1-VLOOKUP($A5,Depreciation!$D$41:$N$50,D4-2014))*D10,D8*D10),D8*D10)</f>
        <v>252665.00000000003</v>
      </c>
      <c r="E18" s="170">
        <f>IF(E5&gt;=1,IF($A15="Bonus",E8*(1-VLOOKUP($A5,Depreciation!$D$41:$N$50,E4-2014))*E10,E8*E10),E8*E10)</f>
        <v>233695</v>
      </c>
      <c r="F18" s="170">
        <f>IF(F5&gt;=1,IF($A15="Bonus",F8*(1-VLOOKUP($A5,Depreciation!$D$41:$N$50,F4-2014))*F10,F8*F10),F8*F10)</f>
        <v>216195</v>
      </c>
      <c r="G18" s="170">
        <f>IF(G5&gt;=1,IF($A15="Bonus",G8*(1-VLOOKUP($A5,Depreciation!$D$41:$N$50,G4-2014))*G10,G8*G10),G8*G10)</f>
        <v>199955</v>
      </c>
      <c r="H18" s="170">
        <f>IF(H5&gt;=1,IF($A15="Bonus",H8*(1-VLOOKUP($A5,Depreciation!$D$41:$N$50,H4-2014))*H10,H8*H10),H8*H10)</f>
        <v>184975</v>
      </c>
      <c r="I18" s="170">
        <f>IF(I5&gt;=1,IF($A15="Bonus",I8*(1-VLOOKUP($A5,Depreciation!$D$41:$N$50,I4-2014))*I10,I8*I10),I8*I10)</f>
        <v>171080</v>
      </c>
      <c r="J18" s="170">
        <f>IF(J5&gt;=1,IF($A15="Bonus",J8*(1-VLOOKUP($A5,Depreciation!$D$41:$N$50,J4-2014))*J10,J8*J10),J8*J10)</f>
        <v>158270</v>
      </c>
      <c r="K18" s="170">
        <f>IF(K5&gt;=1,IF($A15="Bonus",K8*(1-VLOOKUP($A5,Depreciation!$D$41:$N$50,K4-2014))*K10,K8*K10),K8*K10)</f>
        <v>156170</v>
      </c>
      <c r="L18" s="170">
        <f>IF(L5&gt;=1,IF($A15="Bonus",L8*(1-VLOOKUP($A5,Depreciation!$D$41:$N$50,L4-2014))*L10,L8*L10),L8*L10)</f>
        <v>156135</v>
      </c>
    </row>
    <row r="19" spans="2:12" ht="18.75" customHeight="1">
      <c r="B19" s="5" t="s">
        <v>17</v>
      </c>
      <c r="C19" s="7">
        <f>Input!J$31</f>
        <v>0.10152297909805327</v>
      </c>
      <c r="D19" s="7">
        <f>Input!K$31</f>
        <v>0.10152297909805327</v>
      </c>
      <c r="E19" s="7">
        <f>Input!L$31</f>
        <v>0.10152297909805327</v>
      </c>
      <c r="F19" s="7">
        <f>Input!M$31</f>
        <v>0.10152297909805327</v>
      </c>
      <c r="G19" s="7">
        <f>Input!N$31</f>
        <v>0.10152297909805327</v>
      </c>
      <c r="H19" s="7">
        <f>Input!O$31</f>
        <v>0.10152297909805327</v>
      </c>
      <c r="I19" s="7">
        <f>Input!P$31</f>
        <v>0.10152297909805327</v>
      </c>
      <c r="J19" s="7">
        <f>Input!Q$31</f>
        <v>0.10152297909805327</v>
      </c>
      <c r="K19" s="7">
        <f>Input!R$31</f>
        <v>0.10152297909805327</v>
      </c>
      <c r="L19" s="7">
        <f>Input!S$31</f>
        <v>0.10152297909805327</v>
      </c>
    </row>
    <row r="20" spans="2:12" ht="18.75" customHeight="1">
      <c r="B20" s="5" t="s">
        <v>8</v>
      </c>
      <c r="C20" s="171">
        <f>C15</f>
        <v>6154.166666666667</v>
      </c>
      <c r="D20" s="171">
        <f aca="true" t="shared" si="5" ref="D20:L20">D15</f>
        <v>147700</v>
      </c>
      <c r="E20" s="171">
        <f t="shared" si="5"/>
        <v>147700</v>
      </c>
      <c r="F20" s="171">
        <f t="shared" si="5"/>
        <v>147700</v>
      </c>
      <c r="G20" s="171">
        <f t="shared" si="5"/>
        <v>147700</v>
      </c>
      <c r="H20" s="171">
        <f t="shared" si="5"/>
        <v>147700</v>
      </c>
      <c r="I20" s="171">
        <f t="shared" si="5"/>
        <v>147700</v>
      </c>
      <c r="J20" s="171">
        <f t="shared" si="5"/>
        <v>147700</v>
      </c>
      <c r="K20" s="171">
        <f t="shared" si="5"/>
        <v>147700</v>
      </c>
      <c r="L20" s="171">
        <f t="shared" si="5"/>
        <v>147700</v>
      </c>
    </row>
    <row r="21" spans="2:12" ht="18.75" customHeight="1">
      <c r="B21" s="11" t="s">
        <v>364</v>
      </c>
      <c r="C21" s="171">
        <f aca="true" t="shared" si="6" ref="C21:L21">SUM(C17,C18)</f>
        <v>3631250</v>
      </c>
      <c r="D21" s="171">
        <f t="shared" si="6"/>
        <v>252665.00000000003</v>
      </c>
      <c r="E21" s="171">
        <f t="shared" si="6"/>
        <v>233695</v>
      </c>
      <c r="F21" s="171">
        <f t="shared" si="6"/>
        <v>216195</v>
      </c>
      <c r="G21" s="171">
        <f t="shared" si="6"/>
        <v>199955</v>
      </c>
      <c r="H21" s="171">
        <f t="shared" si="6"/>
        <v>184975</v>
      </c>
      <c r="I21" s="171">
        <f t="shared" si="6"/>
        <v>171080</v>
      </c>
      <c r="J21" s="171">
        <f t="shared" si="6"/>
        <v>158270</v>
      </c>
      <c r="K21" s="171">
        <f t="shared" si="6"/>
        <v>156170</v>
      </c>
      <c r="L21" s="171">
        <f t="shared" si="6"/>
        <v>156135</v>
      </c>
    </row>
    <row r="22" spans="2:12" ht="18.75" customHeight="1">
      <c r="B22" s="2" t="s">
        <v>9</v>
      </c>
      <c r="C22" s="8">
        <f>Input!$B$6</f>
        <v>0.0015</v>
      </c>
      <c r="D22" s="8">
        <f aca="true" t="shared" si="7" ref="D22:I22">C22</f>
        <v>0.0015</v>
      </c>
      <c r="E22" s="8">
        <f t="shared" si="7"/>
        <v>0.0015</v>
      </c>
      <c r="F22" s="8">
        <f t="shared" si="7"/>
        <v>0.0015</v>
      </c>
      <c r="G22" s="8">
        <f t="shared" si="7"/>
        <v>0.0015</v>
      </c>
      <c r="H22" s="8">
        <f t="shared" si="7"/>
        <v>0.0015</v>
      </c>
      <c r="I22" s="8">
        <f t="shared" si="7"/>
        <v>0.0015</v>
      </c>
      <c r="J22" s="8">
        <f>I22</f>
        <v>0.0015</v>
      </c>
      <c r="K22" s="8">
        <f>J22</f>
        <v>0.0015</v>
      </c>
      <c r="L22" s="8">
        <f>K22</f>
        <v>0.0015</v>
      </c>
    </row>
    <row r="23" spans="2:12" ht="18.75" customHeight="1">
      <c r="B23" s="4" t="s">
        <v>363</v>
      </c>
      <c r="C23" s="171">
        <f aca="true" t="shared" si="8" ref="C23:L23">(C21-C20)*C11</f>
        <v>1401679.5549166666</v>
      </c>
      <c r="D23" s="171">
        <f t="shared" si="8"/>
        <v>40585.7669</v>
      </c>
      <c r="E23" s="171">
        <f t="shared" si="8"/>
        <v>33250.8267</v>
      </c>
      <c r="F23" s="171">
        <f t="shared" si="8"/>
        <v>26484.276699999995</v>
      </c>
      <c r="G23" s="171">
        <f t="shared" si="8"/>
        <v>20204.918299999998</v>
      </c>
      <c r="H23" s="171">
        <f t="shared" si="8"/>
        <v>14412.751499999998</v>
      </c>
      <c r="I23" s="171">
        <f t="shared" si="8"/>
        <v>9040.110799999999</v>
      </c>
      <c r="J23" s="171">
        <f t="shared" si="8"/>
        <v>4086.9961999999996</v>
      </c>
      <c r="K23" s="171">
        <f t="shared" si="8"/>
        <v>3275.0101999999997</v>
      </c>
      <c r="L23" s="171">
        <f t="shared" si="8"/>
        <v>3261.4770999999996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9" ref="C26:L26">C8</f>
        <v>7000000</v>
      </c>
      <c r="D26" s="169">
        <f t="shared" si="9"/>
        <v>7000000</v>
      </c>
      <c r="E26" s="169">
        <f t="shared" si="9"/>
        <v>7000000</v>
      </c>
      <c r="F26" s="169">
        <f t="shared" si="9"/>
        <v>7000000</v>
      </c>
      <c r="G26" s="169">
        <f t="shared" si="9"/>
        <v>7000000</v>
      </c>
      <c r="H26" s="169">
        <f t="shared" si="9"/>
        <v>7000000</v>
      </c>
      <c r="I26" s="169">
        <f t="shared" si="9"/>
        <v>7000000</v>
      </c>
      <c r="J26" s="169">
        <f t="shared" si="9"/>
        <v>7000000</v>
      </c>
      <c r="K26" s="169">
        <f t="shared" si="9"/>
        <v>7000000</v>
      </c>
      <c r="L26" s="169">
        <f t="shared" si="9"/>
        <v>7000000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10" ref="D27:I27">C27</f>
        <v>0</v>
      </c>
      <c r="E27" s="170">
        <f t="shared" si="10"/>
        <v>0</v>
      </c>
      <c r="F27" s="170">
        <f t="shared" si="10"/>
        <v>0</v>
      </c>
      <c r="G27" s="170">
        <f t="shared" si="10"/>
        <v>0</v>
      </c>
      <c r="H27" s="170">
        <f t="shared" si="10"/>
        <v>0</v>
      </c>
      <c r="I27" s="170">
        <f t="shared" si="10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2" ht="18.75" customHeight="1">
      <c r="B28" s="2" t="s">
        <v>10</v>
      </c>
      <c r="C28" s="170">
        <f aca="true" t="shared" si="11" ref="C28:L28">-C13</f>
        <v>-6154.166666666667</v>
      </c>
      <c r="D28" s="170">
        <f t="shared" si="11"/>
        <v>-153854.16666666666</v>
      </c>
      <c r="E28" s="170">
        <f t="shared" si="11"/>
        <v>-301554.1666666666</v>
      </c>
      <c r="F28" s="170">
        <f t="shared" si="11"/>
        <v>-449254.1666666666</v>
      </c>
      <c r="G28" s="170">
        <f t="shared" si="11"/>
        <v>-596954.1666666666</v>
      </c>
      <c r="H28" s="170">
        <f t="shared" si="11"/>
        <v>-744654.1666666666</v>
      </c>
      <c r="I28" s="170">
        <f t="shared" si="11"/>
        <v>-892354.1666666666</v>
      </c>
      <c r="J28" s="170">
        <f t="shared" si="11"/>
        <v>-1040054.1666666666</v>
      </c>
      <c r="K28" s="170">
        <f t="shared" si="11"/>
        <v>-1187754.1666666665</v>
      </c>
      <c r="L28" s="170">
        <f t="shared" si="11"/>
        <v>-1335454.1666666665</v>
      </c>
    </row>
    <row r="29" spans="2:12" ht="18.75" customHeight="1">
      <c r="B29" s="2" t="s">
        <v>45</v>
      </c>
      <c r="C29" s="170">
        <v>0</v>
      </c>
      <c r="D29" s="170">
        <f aca="true" t="shared" si="12" ref="D29:I29">C29</f>
        <v>0</v>
      </c>
      <c r="E29" s="170">
        <f t="shared" si="12"/>
        <v>0</v>
      </c>
      <c r="F29" s="170">
        <f t="shared" si="12"/>
        <v>0</v>
      </c>
      <c r="G29" s="170">
        <f t="shared" si="12"/>
        <v>0</v>
      </c>
      <c r="H29" s="170">
        <f t="shared" si="12"/>
        <v>0</v>
      </c>
      <c r="I29" s="170">
        <f t="shared" si="12"/>
        <v>0</v>
      </c>
      <c r="J29" s="170">
        <f>I29</f>
        <v>0</v>
      </c>
      <c r="K29" s="170">
        <f>J29</f>
        <v>0</v>
      </c>
      <c r="L29" s="170">
        <f>K29</f>
        <v>0</v>
      </c>
    </row>
    <row r="30" spans="2:12" ht="18.75" customHeight="1">
      <c r="B30" s="2" t="s">
        <v>46</v>
      </c>
      <c r="C30" s="170">
        <f aca="true" t="shared" si="13" ref="C30:L30">-C12</f>
        <v>-1401679.5549166666</v>
      </c>
      <c r="D30" s="170">
        <f t="shared" si="13"/>
        <v>-1442265.3218166665</v>
      </c>
      <c r="E30" s="170">
        <f t="shared" si="13"/>
        <v>-1475516.1485166666</v>
      </c>
      <c r="F30" s="170">
        <f t="shared" si="13"/>
        <v>-1502000.4252166667</v>
      </c>
      <c r="G30" s="170">
        <f t="shared" si="13"/>
        <v>-1522205.3435166667</v>
      </c>
      <c r="H30" s="170">
        <f t="shared" si="13"/>
        <v>-1536618.0950166667</v>
      </c>
      <c r="I30" s="170">
        <f t="shared" si="13"/>
        <v>-1545658.2058166666</v>
      </c>
      <c r="J30" s="170">
        <f t="shared" si="13"/>
        <v>-1549745.2020166665</v>
      </c>
      <c r="K30" s="170">
        <f t="shared" si="13"/>
        <v>-1553020.2122166664</v>
      </c>
      <c r="L30" s="170">
        <f t="shared" si="13"/>
        <v>-1556281.6893166665</v>
      </c>
    </row>
    <row r="31" spans="2:12" ht="18.75" customHeight="1">
      <c r="B31" s="2" t="s">
        <v>47</v>
      </c>
      <c r="C31" s="170">
        <v>0</v>
      </c>
      <c r="D31" s="170">
        <f aca="true" t="shared" si="14" ref="D31:I31">C31</f>
        <v>0</v>
      </c>
      <c r="E31" s="170">
        <f t="shared" si="14"/>
        <v>0</v>
      </c>
      <c r="F31" s="170">
        <f t="shared" si="14"/>
        <v>0</v>
      </c>
      <c r="G31" s="170">
        <f t="shared" si="14"/>
        <v>0</v>
      </c>
      <c r="H31" s="170">
        <f t="shared" si="14"/>
        <v>0</v>
      </c>
      <c r="I31" s="170">
        <f t="shared" si="14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 aca="true" t="shared" si="15" ref="C32:I32">SUM(C26:C31)</f>
        <v>5592166.278416666</v>
      </c>
      <c r="D32" s="170">
        <f t="shared" si="15"/>
        <v>5403880.511516666</v>
      </c>
      <c r="E32" s="170">
        <f t="shared" si="15"/>
        <v>5222929.684816666</v>
      </c>
      <c r="F32" s="170">
        <f t="shared" si="15"/>
        <v>5048745.408116667</v>
      </c>
      <c r="G32" s="170">
        <f t="shared" si="15"/>
        <v>4880840.489816667</v>
      </c>
      <c r="H32" s="170">
        <f t="shared" si="15"/>
        <v>4718727.738316666</v>
      </c>
      <c r="I32" s="170">
        <f t="shared" si="15"/>
        <v>4561987.627516666</v>
      </c>
      <c r="J32" s="170">
        <f>SUM(J26:J31)</f>
        <v>4410200.6313166665</v>
      </c>
      <c r="K32" s="170">
        <f>SUM(K26:K31)</f>
        <v>4259225.621116668</v>
      </c>
      <c r="L32" s="170">
        <f>SUM(L26:L31)</f>
        <v>4108264.1440166673</v>
      </c>
    </row>
    <row r="33" spans="2:12" ht="18.75" customHeight="1">
      <c r="B33" s="2" t="s">
        <v>12</v>
      </c>
      <c r="C33" s="7">
        <f aca="true" t="shared" si="16" ref="C33:I33">C19</f>
        <v>0.10152297909805327</v>
      </c>
      <c r="D33" s="7">
        <f t="shared" si="16"/>
        <v>0.10152297909805327</v>
      </c>
      <c r="E33" s="7">
        <f t="shared" si="16"/>
        <v>0.10152297909805327</v>
      </c>
      <c r="F33" s="7">
        <f t="shared" si="16"/>
        <v>0.10152297909805327</v>
      </c>
      <c r="G33" s="7">
        <f t="shared" si="16"/>
        <v>0.10152297909805327</v>
      </c>
      <c r="H33" s="7">
        <f t="shared" si="16"/>
        <v>0.10152297909805327</v>
      </c>
      <c r="I33" s="7">
        <f t="shared" si="16"/>
        <v>0.10152297909805327</v>
      </c>
      <c r="J33" s="7">
        <f>J19</f>
        <v>0.10152297909805327</v>
      </c>
      <c r="K33" s="7">
        <f>K19</f>
        <v>0.10152297909805327</v>
      </c>
      <c r="L33" s="7">
        <f>L19</f>
        <v>0.10152297909805327</v>
      </c>
    </row>
    <row r="34" spans="2:12" ht="18.75" customHeight="1">
      <c r="B34" s="34" t="s">
        <v>58</v>
      </c>
      <c r="C34" s="174">
        <f aca="true" t="shared" si="17" ref="C34:I34">C32*C33</f>
        <v>567733.3801965335</v>
      </c>
      <c r="D34" s="174">
        <f t="shared" si="17"/>
        <v>548618.0482190839</v>
      </c>
      <c r="E34" s="174">
        <f t="shared" si="17"/>
        <v>530247.3812222444</v>
      </c>
      <c r="F34" s="174">
        <f t="shared" si="17"/>
        <v>512563.6745396208</v>
      </c>
      <c r="G34" s="174">
        <f t="shared" si="17"/>
        <v>495517.4670285895</v>
      </c>
      <c r="H34" s="174">
        <f t="shared" si="17"/>
        <v>479059.2975465271</v>
      </c>
      <c r="I34" s="174">
        <f t="shared" si="17"/>
        <v>463146.57455395214</v>
      </c>
      <c r="J34" s="174">
        <f>J32*J33</f>
        <v>447736.7065113833</v>
      </c>
      <c r="K34" s="174">
        <f>K32*K33</f>
        <v>432409.27370652044</v>
      </c>
      <c r="L34" s="174">
        <f>L32*L33</f>
        <v>417083.2148222858</v>
      </c>
    </row>
    <row r="35" spans="2:12" s="3" customFormat="1" ht="18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8.75" customHeight="1">
      <c r="B36" s="1" t="s">
        <v>52</v>
      </c>
      <c r="C36" s="170">
        <v>0</v>
      </c>
      <c r="D36" s="170">
        <f>C36</f>
        <v>0</v>
      </c>
      <c r="E36" s="170">
        <f aca="true" t="shared" si="18" ref="E36:L36">D36</f>
        <v>0</v>
      </c>
      <c r="F36" s="170">
        <f t="shared" si="18"/>
        <v>0</v>
      </c>
      <c r="G36" s="170">
        <f t="shared" si="18"/>
        <v>0</v>
      </c>
      <c r="H36" s="170">
        <f t="shared" si="18"/>
        <v>0</v>
      </c>
      <c r="I36" s="170">
        <f t="shared" si="18"/>
        <v>0</v>
      </c>
      <c r="J36" s="170">
        <f t="shared" si="18"/>
        <v>0</v>
      </c>
      <c r="K36" s="170">
        <f t="shared" si="18"/>
        <v>0</v>
      </c>
      <c r="L36" s="170">
        <f t="shared" si="18"/>
        <v>0</v>
      </c>
    </row>
    <row r="37" spans="2:12" ht="18.75" customHeight="1">
      <c r="B37" s="2" t="s">
        <v>48</v>
      </c>
      <c r="C37" s="170">
        <f aca="true" t="shared" si="19" ref="C37:I37">C20</f>
        <v>6154.166666666667</v>
      </c>
      <c r="D37" s="170">
        <f t="shared" si="19"/>
        <v>147700</v>
      </c>
      <c r="E37" s="170">
        <f t="shared" si="19"/>
        <v>147700</v>
      </c>
      <c r="F37" s="170">
        <f t="shared" si="19"/>
        <v>147700</v>
      </c>
      <c r="G37" s="170">
        <f t="shared" si="19"/>
        <v>147700</v>
      </c>
      <c r="H37" s="170">
        <f t="shared" si="19"/>
        <v>147700</v>
      </c>
      <c r="I37" s="170">
        <f t="shared" si="19"/>
        <v>147700</v>
      </c>
      <c r="J37" s="170">
        <f>J20</f>
        <v>147700</v>
      </c>
      <c r="K37" s="170">
        <f>K20</f>
        <v>147700</v>
      </c>
      <c r="L37" s="170">
        <f>L20</f>
        <v>147700</v>
      </c>
    </row>
    <row r="38" spans="2:12" ht="18.75" customHeight="1">
      <c r="B38" s="2" t="s">
        <v>49</v>
      </c>
      <c r="C38" s="170">
        <v>0</v>
      </c>
      <c r="D38" s="170">
        <f aca="true" t="shared" si="20" ref="D38:I38">C38</f>
        <v>0</v>
      </c>
      <c r="E38" s="170">
        <f t="shared" si="20"/>
        <v>0</v>
      </c>
      <c r="F38" s="170">
        <f t="shared" si="20"/>
        <v>0</v>
      </c>
      <c r="G38" s="170">
        <f t="shared" si="20"/>
        <v>0</v>
      </c>
      <c r="H38" s="170">
        <f t="shared" si="20"/>
        <v>0</v>
      </c>
      <c r="I38" s="170">
        <f t="shared" si="20"/>
        <v>0</v>
      </c>
      <c r="J38" s="170">
        <f>I38</f>
        <v>0</v>
      </c>
      <c r="K38" s="170">
        <f>J38</f>
        <v>0</v>
      </c>
      <c r="L38" s="170">
        <f>K38</f>
        <v>0</v>
      </c>
    </row>
    <row r="39" spans="2:12" ht="18.75" customHeight="1">
      <c r="B39" s="2" t="s">
        <v>50</v>
      </c>
      <c r="C39" s="170">
        <v>0</v>
      </c>
      <c r="D39" s="170">
        <f aca="true" t="shared" si="21" ref="D39:I39">D22*(C26+C28)</f>
        <v>10490.76875</v>
      </c>
      <c r="E39" s="170">
        <f t="shared" si="21"/>
        <v>10269.21875</v>
      </c>
      <c r="F39" s="170">
        <f t="shared" si="21"/>
        <v>10047.668749999999</v>
      </c>
      <c r="G39" s="170">
        <f t="shared" si="21"/>
        <v>9826.11875</v>
      </c>
      <c r="H39" s="170">
        <f t="shared" si="21"/>
        <v>9604.56875</v>
      </c>
      <c r="I39" s="170">
        <f t="shared" si="21"/>
        <v>9383.01875</v>
      </c>
      <c r="J39" s="170">
        <f>J22*(I26+I28)</f>
        <v>9161.46875</v>
      </c>
      <c r="K39" s="170">
        <f>K22*(J26+J28)</f>
        <v>8939.918749999999</v>
      </c>
      <c r="L39" s="170">
        <f>L22*(K26+K28)</f>
        <v>8718.368750000001</v>
      </c>
    </row>
    <row r="40" spans="2:12" ht="18.75" customHeight="1">
      <c r="B40" s="21" t="s">
        <v>51</v>
      </c>
      <c r="C40" s="174">
        <f aca="true" t="shared" si="22" ref="C40:I40">SUM(C36:C39)</f>
        <v>6154.166666666667</v>
      </c>
      <c r="D40" s="174">
        <f t="shared" si="22"/>
        <v>158190.76875</v>
      </c>
      <c r="E40" s="174">
        <f t="shared" si="22"/>
        <v>157969.21875</v>
      </c>
      <c r="F40" s="174">
        <f t="shared" si="22"/>
        <v>157747.66875</v>
      </c>
      <c r="G40" s="174">
        <f t="shared" si="22"/>
        <v>157526.11875</v>
      </c>
      <c r="H40" s="174">
        <f t="shared" si="22"/>
        <v>157304.56875</v>
      </c>
      <c r="I40" s="174">
        <f t="shared" si="22"/>
        <v>157083.01875</v>
      </c>
      <c r="J40" s="174">
        <f>SUM(J36:J39)</f>
        <v>156861.46875</v>
      </c>
      <c r="K40" s="174">
        <f>SUM(K36:K39)</f>
        <v>156639.91875</v>
      </c>
      <c r="L40" s="174">
        <f>SUM(L36:L39)</f>
        <v>156418.36875</v>
      </c>
    </row>
    <row r="41" spans="3:12" ht="18.75" customHeight="1">
      <c r="C41" s="34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2:12" ht="18.75" customHeight="1">
      <c r="B42" s="1" t="s">
        <v>59</v>
      </c>
      <c r="C42" s="170">
        <f aca="true" t="shared" si="23" ref="C42:I42">C34+C40</f>
        <v>573887.5468632001</v>
      </c>
      <c r="D42" s="170">
        <f t="shared" si="23"/>
        <v>706808.8169690839</v>
      </c>
      <c r="E42" s="170">
        <f t="shared" si="23"/>
        <v>688216.5999722444</v>
      </c>
      <c r="F42" s="170">
        <f t="shared" si="23"/>
        <v>670311.3432896208</v>
      </c>
      <c r="G42" s="170">
        <f t="shared" si="23"/>
        <v>653043.5857785895</v>
      </c>
      <c r="H42" s="170">
        <f t="shared" si="23"/>
        <v>636363.8662965271</v>
      </c>
      <c r="I42" s="170">
        <f t="shared" si="23"/>
        <v>620229.5933039521</v>
      </c>
      <c r="J42" s="170">
        <f>J34+J40</f>
        <v>604598.1752613833</v>
      </c>
      <c r="K42" s="170">
        <f>K34+K40</f>
        <v>589049.1924565204</v>
      </c>
      <c r="L42" s="170">
        <f>L34+L40</f>
        <v>573501.5835722858</v>
      </c>
    </row>
    <row r="43" spans="2:12" s="3" customFormat="1" ht="18.7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</sheetData>
  <sheetProtection/>
  <dataValidations count="1">
    <dataValidation type="list" allowBlank="1" showInputMessage="1" showErrorMessage="1" sqref="A15">
      <formula1>"Bonus, No Bonus"</formula1>
    </dataValidation>
  </dataValidations>
  <printOptions horizontalCentered="1"/>
  <pageMargins left="0.75" right="0.75" top="1" bottom="0.5" header="0.5" footer="0.5"/>
  <pageSetup fitToHeight="1" fitToWidth="1" horizontalDpi="600" verticalDpi="6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A1">
      <selection activeCell="A1" sqref="A1"/>
    </sheetView>
  </sheetViews>
  <sheetFormatPr defaultColWidth="9.33203125" defaultRowHeight="11.25"/>
  <cols>
    <col min="1" max="1" width="12.66015625" style="2" bestFit="1" customWidth="1"/>
    <col min="2" max="2" width="66" style="2" customWidth="1"/>
    <col min="3" max="12" width="14.83203125" style="2" customWidth="1"/>
    <col min="13" max="13" width="9.33203125" style="2" customWidth="1"/>
    <col min="14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1"/>
      <c r="L1" s="111"/>
    </row>
    <row r="2" spans="2:12" ht="18.75" customHeight="1">
      <c r="B2" s="110" t="s">
        <v>313</v>
      </c>
      <c r="C2" s="110"/>
      <c r="D2" s="110"/>
      <c r="E2" s="110"/>
      <c r="F2" s="110"/>
      <c r="G2" s="110"/>
      <c r="H2" s="110"/>
      <c r="I2" s="110"/>
      <c r="J2" s="110"/>
      <c r="K2" s="111"/>
      <c r="L2" s="111"/>
    </row>
    <row r="3" spans="2:12" ht="18.75" customHeight="1">
      <c r="B3" s="11"/>
      <c r="C3" s="212" t="s">
        <v>266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29">
        <f>Input!B2</f>
        <v>2016</v>
      </c>
      <c r="D4" s="29">
        <f aca="true" t="shared" si="0" ref="D4:I5">C4+1</f>
        <v>2017</v>
      </c>
      <c r="E4" s="29">
        <f t="shared" si="0"/>
        <v>2018</v>
      </c>
      <c r="F4" s="29">
        <f t="shared" si="0"/>
        <v>2019</v>
      </c>
      <c r="G4" s="29">
        <f t="shared" si="0"/>
        <v>2020</v>
      </c>
      <c r="H4" s="29">
        <f t="shared" si="0"/>
        <v>2021</v>
      </c>
      <c r="I4" s="29">
        <f t="shared" si="0"/>
        <v>2022</v>
      </c>
      <c r="J4" s="29">
        <f aca="true" t="shared" si="1" ref="J4:L5">I4+1</f>
        <v>2023</v>
      </c>
      <c r="K4" s="29">
        <f t="shared" si="1"/>
        <v>2024</v>
      </c>
      <c r="L4" s="29">
        <f t="shared" si="1"/>
        <v>2025</v>
      </c>
    </row>
    <row r="5" spans="1:18" s="28" customFormat="1" ht="18.75" customHeight="1">
      <c r="A5" s="258">
        <v>2016</v>
      </c>
      <c r="B5" s="28" t="s">
        <v>43</v>
      </c>
      <c r="C5" s="209">
        <v>1</v>
      </c>
      <c r="D5" s="209">
        <f t="shared" si="0"/>
        <v>2</v>
      </c>
      <c r="E5" s="209">
        <f t="shared" si="0"/>
        <v>3</v>
      </c>
      <c r="F5" s="209">
        <f t="shared" si="0"/>
        <v>4</v>
      </c>
      <c r="G5" s="209">
        <f>F5+1</f>
        <v>5</v>
      </c>
      <c r="H5" s="209">
        <f>G5+1</f>
        <v>6</v>
      </c>
      <c r="I5" s="209">
        <f>H5+1</f>
        <v>7</v>
      </c>
      <c r="J5" s="209">
        <f t="shared" si="1"/>
        <v>8</v>
      </c>
      <c r="K5" s="209">
        <f t="shared" si="1"/>
        <v>9</v>
      </c>
      <c r="L5" s="209">
        <f t="shared" si="1"/>
        <v>10</v>
      </c>
      <c r="M5" s="28" t="s">
        <v>21</v>
      </c>
      <c r="Q5" s="28" t="s">
        <v>257</v>
      </c>
      <c r="R5" s="28">
        <v>1</v>
      </c>
    </row>
    <row r="6" spans="1:18" ht="18.75" customHeight="1">
      <c r="A6" s="3"/>
      <c r="B6" s="211" t="s">
        <v>25</v>
      </c>
      <c r="C6" s="13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60" t="s">
        <v>308</v>
      </c>
      <c r="B7" s="10" t="s">
        <v>390</v>
      </c>
      <c r="C7" s="172">
        <f>VLOOKUP(C$4,'Cash Flows-KU'!$B$28:$H$38,$A8)</f>
        <v>2586299.92</v>
      </c>
      <c r="D7" s="172">
        <f>VLOOKUP(D$4,'Cash Flows-KU'!$B$28:$H$38,$A8)</f>
        <v>0</v>
      </c>
      <c r="E7" s="172">
        <f>VLOOKUP(E$4,'Cash Flows-KU'!$B$28:$H$38,$A8)</f>
        <v>0</v>
      </c>
      <c r="F7" s="172">
        <f>VLOOKUP(F$4,'Cash Flows-KU'!$B$28:$H$38,$A8)</f>
        <v>0</v>
      </c>
      <c r="G7" s="172">
        <f>VLOOKUP(G$4,'Cash Flows-KU'!$B$28:$H$38,$A8)</f>
        <v>0</v>
      </c>
      <c r="H7" s="172">
        <f>VLOOKUP(H$4,'Cash Flows-KU'!$B$28:$H$38,$A8)</f>
        <v>0</v>
      </c>
      <c r="I7" s="172">
        <f>VLOOKUP(I$4,'Cash Flows-KU'!$B$28:$H$38,$A8)</f>
        <v>0</v>
      </c>
      <c r="J7" s="172">
        <f>VLOOKUP(J$4,'Cash Flows-KU'!$B$28:$H$38,$A8)</f>
        <v>0</v>
      </c>
      <c r="K7" s="172">
        <f>VLOOKUP(K$4,'Cash Flows-KU'!$B$28:$H$38,$A8)</f>
        <v>0</v>
      </c>
      <c r="L7" s="172">
        <f>VLOOKUP(L$4,'Cash Flows-KU'!$B$28:$H$38,$A8)</f>
        <v>0</v>
      </c>
      <c r="M7" s="173"/>
      <c r="Q7" s="28" t="s">
        <v>259</v>
      </c>
      <c r="R7" s="2">
        <v>3</v>
      </c>
    </row>
    <row r="8" spans="1:18" ht="18.75" customHeight="1">
      <c r="A8" s="3">
        <v>2</v>
      </c>
      <c r="B8" s="40" t="s">
        <v>57</v>
      </c>
      <c r="C8" s="172">
        <f>SUM($C7:C7)</f>
        <v>2586299.92</v>
      </c>
      <c r="D8" s="172">
        <f>SUM($C7:D7)</f>
        <v>2586299.92</v>
      </c>
      <c r="E8" s="172">
        <f>SUM($C7:E7)</f>
        <v>2586299.92</v>
      </c>
      <c r="F8" s="172">
        <f>SUM($C7:F7)</f>
        <v>2586299.92</v>
      </c>
      <c r="G8" s="172">
        <f>SUM($C7:G7)</f>
        <v>2586299.92</v>
      </c>
      <c r="H8" s="172">
        <f>SUM($C7:H7)</f>
        <v>2586299.92</v>
      </c>
      <c r="I8" s="172">
        <f>SUM($C7:I7)</f>
        <v>2586299.92</v>
      </c>
      <c r="J8" s="172">
        <f>SUM($C7:J7)</f>
        <v>2586299.92</v>
      </c>
      <c r="K8" s="172">
        <f>SUM($C7:K7)</f>
        <v>2586299.92</v>
      </c>
      <c r="L8" s="172">
        <f>SUM($C7:L7)</f>
        <v>2586299.92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0.026</v>
      </c>
      <c r="D9" s="6">
        <f>IF(D5="",0,VLOOKUP($B6,Depreciation!$D$2:$E$31,$A9,FALSE))</f>
        <v>0.026</v>
      </c>
      <c r="E9" s="6">
        <f>IF(E5="",0,VLOOKUP($B6,Depreciation!$D$2:$E$31,$A9,FALSE))</f>
        <v>0.026</v>
      </c>
      <c r="F9" s="6">
        <f>IF(F5="",0,VLOOKUP($B6,Depreciation!$D$2:$E$31,$A9,FALSE))</f>
        <v>0.026</v>
      </c>
      <c r="G9" s="6">
        <f>IF(G5="",0,VLOOKUP($B6,Depreciation!$D$2:$E$31,$A9,FALSE))</f>
        <v>0.026</v>
      </c>
      <c r="H9" s="6">
        <f>IF(H5="",0,VLOOKUP($B6,Depreciation!$D$2:$E$31,$A9,FALSE))</f>
        <v>0.026</v>
      </c>
      <c r="I9" s="6">
        <f>IF(I5="",0,VLOOKUP($B6,Depreciation!$D$2:$E$31,$A9,FALSE))</f>
        <v>0.026</v>
      </c>
      <c r="J9" s="6">
        <f>IF(J5="",0,VLOOKUP($B6,Depreciation!$D$2:$E$31,$A9,FALSE))</f>
        <v>0.026</v>
      </c>
      <c r="K9" s="6">
        <f>IF(K5="",0,VLOOKUP($B6,Depreciation!$D$2:$E$31,$A9,FALSE))</f>
        <v>0.026</v>
      </c>
      <c r="L9" s="6">
        <f>IF(L5="",0,VLOOKUP($B6,Depreciation!$D$2:$E$31,$A9,FALSE))</f>
        <v>0.026</v>
      </c>
      <c r="Q9" s="28" t="s">
        <v>261</v>
      </c>
      <c r="R9" s="2">
        <v>5</v>
      </c>
    </row>
    <row r="10" spans="1:18" ht="18.75" customHeight="1">
      <c r="A10" s="3">
        <v>2</v>
      </c>
      <c r="B10" s="5" t="s">
        <v>1</v>
      </c>
      <c r="C10" s="6">
        <f>IF(C5="",0,VLOOKUP(C5,Depreciation!$A$2:$C$58,$A10,FALSE))</f>
        <v>0.0375</v>
      </c>
      <c r="D10" s="6">
        <f>IF(D5="",0,VLOOKUP(D5,Depreciation!$A$2:$C$58,$A10,FALSE))</f>
        <v>0.07219</v>
      </c>
      <c r="E10" s="6">
        <f>IF(E5="",0,VLOOKUP(E5,Depreciation!$A$2:$C$58,$A10,FALSE))</f>
        <v>0.06677</v>
      </c>
      <c r="F10" s="6">
        <f>IF(F5="",0,VLOOKUP(F5,Depreciation!$A$2:$C$58,$A10,FALSE))</f>
        <v>0.06177</v>
      </c>
      <c r="G10" s="6">
        <f>IF(G5="",0,VLOOKUP(G5,Depreciation!$A$2:$C$58,$A10,FALSE))</f>
        <v>0.05713</v>
      </c>
      <c r="H10" s="6">
        <f>IF(H5="",0,VLOOKUP(H5,Depreciation!$A$2:$C$58,$A10,FALSE))</f>
        <v>0.05285</v>
      </c>
      <c r="I10" s="6">
        <f>IF(I5="",0,VLOOKUP(I5,Depreciation!$A$2:$C$58,$A10,FALSE))</f>
        <v>0.04888</v>
      </c>
      <c r="J10" s="6">
        <f>IF(J5="",0,VLOOKUP(J5,Depreciation!$A$2:$C$58,$A10,FALSE))</f>
        <v>0.04522</v>
      </c>
      <c r="K10" s="6">
        <f>IF(K5="",0,VLOOKUP(K5,Depreciation!$A$2:$C$58,$A10,FALSE))</f>
        <v>0.04462</v>
      </c>
      <c r="L10" s="6">
        <f>IF(L5="",0,VLOOKUP(L5,Depreciation!$A$2:$C$58,$A10,FALSE))</f>
        <v>0.04461</v>
      </c>
      <c r="Q10" s="28" t="s">
        <v>262</v>
      </c>
      <c r="R10" s="2">
        <v>6</v>
      </c>
    </row>
    <row r="11" spans="1:18" s="30" customFormat="1" ht="18.75" customHeight="1">
      <c r="A11" s="71"/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1:18" ht="18.75" customHeight="1">
      <c r="A12" s="3"/>
      <c r="B12" s="2" t="s">
        <v>3</v>
      </c>
      <c r="C12" s="170">
        <f>SUM($C23:C23)</f>
        <v>513342.94656116253</v>
      </c>
      <c r="D12" s="170">
        <f>SUM($C23:D23)</f>
        <v>523438.13561090594</v>
      </c>
      <c r="E12" s="170">
        <f>SUM($C23:E23)</f>
        <v>530823.2739102972</v>
      </c>
      <c r="F12" s="170">
        <f>SUM($C23:F23)</f>
        <v>535708.3653920204</v>
      </c>
      <c r="G12" s="170">
        <f>SUM($C23:G23)</f>
        <v>538273.4134269478</v>
      </c>
      <c r="H12" s="170">
        <f>SUM($C23:H23)</f>
        <v>538698.4213859513</v>
      </c>
      <c r="I12" s="170">
        <f>SUM($C23:I23)</f>
        <v>537138.3921717266</v>
      </c>
      <c r="J12" s="170">
        <f>SUM($C23:J23)</f>
        <v>533748.3286869688</v>
      </c>
      <c r="K12" s="170">
        <f>SUM($C23:K23)</f>
        <v>530058.2595840908</v>
      </c>
      <c r="L12" s="170">
        <f>SUM($C23:L23)</f>
        <v>526363.1903875775</v>
      </c>
      <c r="Q12" s="28" t="s">
        <v>264</v>
      </c>
      <c r="R12" s="2">
        <v>8</v>
      </c>
    </row>
    <row r="13" spans="2:18" ht="18.75" customHeight="1">
      <c r="B13" s="2" t="s">
        <v>4</v>
      </c>
      <c r="C13" s="170">
        <f>SUM($C15:C15)</f>
        <v>14009.124566666667</v>
      </c>
      <c r="D13" s="170">
        <f>SUM($C15:D15)</f>
        <v>81252.92248666666</v>
      </c>
      <c r="E13" s="170">
        <f>SUM($C15:E15)</f>
        <v>148496.72040666666</v>
      </c>
      <c r="F13" s="170">
        <f>SUM($C15:F15)</f>
        <v>215740.51832666667</v>
      </c>
      <c r="G13" s="170">
        <f>SUM($C15:G15)</f>
        <v>282984.31624666665</v>
      </c>
      <c r="H13" s="170">
        <f>SUM($C15:H15)</f>
        <v>350228.11416666664</v>
      </c>
      <c r="I13" s="170">
        <f>SUM($C15:I15)</f>
        <v>417471.9120866666</v>
      </c>
      <c r="J13" s="170">
        <f>SUM($C15:J15)</f>
        <v>484715.7100066666</v>
      </c>
      <c r="K13" s="170">
        <f>SUM($C15:K15)</f>
        <v>551959.5079266666</v>
      </c>
      <c r="L13" s="170">
        <f>SUM($C15:L15)</f>
        <v>619203.3058466667</v>
      </c>
      <c r="Q13" s="28" t="s">
        <v>265</v>
      </c>
      <c r="R13" s="2">
        <v>9</v>
      </c>
    </row>
    <row r="14" spans="2:18" ht="18.75" customHeight="1">
      <c r="B14" s="11" t="s">
        <v>5</v>
      </c>
      <c r="C14" s="170">
        <f>C7</f>
        <v>2586299.92</v>
      </c>
      <c r="D14" s="170">
        <f>C14+D7</f>
        <v>2586299.92</v>
      </c>
      <c r="E14" s="170">
        <f aca="true" t="shared" si="2" ref="E14:L14">D14+E7</f>
        <v>2586299.92</v>
      </c>
      <c r="F14" s="170">
        <f t="shared" si="2"/>
        <v>2586299.92</v>
      </c>
      <c r="G14" s="170">
        <f t="shared" si="2"/>
        <v>2586299.92</v>
      </c>
      <c r="H14" s="170">
        <f t="shared" si="2"/>
        <v>2586299.92</v>
      </c>
      <c r="I14" s="170">
        <f t="shared" si="2"/>
        <v>2586299.92</v>
      </c>
      <c r="J14" s="170">
        <f t="shared" si="2"/>
        <v>2586299.92</v>
      </c>
      <c r="K14" s="170">
        <f t="shared" si="2"/>
        <v>2586299.92</v>
      </c>
      <c r="L14" s="170">
        <f t="shared" si="2"/>
        <v>2586299.92</v>
      </c>
      <c r="Q14" s="28" t="s">
        <v>266</v>
      </c>
      <c r="R14" s="2">
        <v>10</v>
      </c>
    </row>
    <row r="15" spans="1:18" ht="18.75" customHeight="1">
      <c r="A15" s="214" t="s">
        <v>359</v>
      </c>
      <c r="B15" s="11" t="s">
        <v>6</v>
      </c>
      <c r="C15" s="170">
        <f aca="true" t="shared" si="3" ref="C15:L15">IF(C5=1,(12.5-VLOOKUP(C3,$Q$5:$R$16,2,))*C9/12*C14,C14*C9)</f>
        <v>14009.124566666667</v>
      </c>
      <c r="D15" s="170">
        <f t="shared" si="3"/>
        <v>67243.79792</v>
      </c>
      <c r="E15" s="170">
        <f t="shared" si="3"/>
        <v>67243.79792</v>
      </c>
      <c r="F15" s="170">
        <f t="shared" si="3"/>
        <v>67243.79792</v>
      </c>
      <c r="G15" s="170">
        <f t="shared" si="3"/>
        <v>67243.79792</v>
      </c>
      <c r="H15" s="170">
        <f t="shared" si="3"/>
        <v>67243.79792</v>
      </c>
      <c r="I15" s="170">
        <f t="shared" si="3"/>
        <v>67243.79792</v>
      </c>
      <c r="J15" s="170">
        <f t="shared" si="3"/>
        <v>67243.79792</v>
      </c>
      <c r="K15" s="170">
        <f t="shared" si="3"/>
        <v>67243.79792</v>
      </c>
      <c r="L15" s="170">
        <f t="shared" si="3"/>
        <v>67243.79792</v>
      </c>
      <c r="Q15" s="28" t="s">
        <v>267</v>
      </c>
      <c r="R15" s="2">
        <v>11</v>
      </c>
    </row>
    <row r="16" spans="2:18" ht="18.75" customHeight="1">
      <c r="B16" s="5" t="s">
        <v>7</v>
      </c>
      <c r="C16" s="170">
        <f>C7</f>
        <v>2586299.92</v>
      </c>
      <c r="D16" s="170">
        <f aca="true" t="shared" si="4" ref="D16:L16">C16+D7</f>
        <v>2586299.92</v>
      </c>
      <c r="E16" s="170">
        <f t="shared" si="4"/>
        <v>2586299.92</v>
      </c>
      <c r="F16" s="170">
        <f t="shared" si="4"/>
        <v>2586299.92</v>
      </c>
      <c r="G16" s="170">
        <f t="shared" si="4"/>
        <v>2586299.92</v>
      </c>
      <c r="H16" s="170">
        <f t="shared" si="4"/>
        <v>2586299.92</v>
      </c>
      <c r="I16" s="170">
        <f t="shared" si="4"/>
        <v>2586299.92</v>
      </c>
      <c r="J16" s="170">
        <f t="shared" si="4"/>
        <v>2586299.92</v>
      </c>
      <c r="K16" s="170">
        <f t="shared" si="4"/>
        <v>2586299.92</v>
      </c>
      <c r="L16" s="170">
        <f t="shared" si="4"/>
        <v>2586299.92</v>
      </c>
      <c r="Q16" s="28" t="s">
        <v>268</v>
      </c>
      <c r="R16" s="2">
        <v>12</v>
      </c>
    </row>
    <row r="17" spans="2:17" ht="18.75" customHeight="1">
      <c r="B17" s="213" t="s">
        <v>361</v>
      </c>
      <c r="C17" s="170">
        <f>IF(C5=1,IF($A15="Bonus",SUM($C7:C7)*VLOOKUP(C4,Depreciation!$D$41:$E$50,2),0),0)</f>
        <v>1293149.96</v>
      </c>
      <c r="D17" s="170">
        <f>IF(D5=1,IF($A15="Bonus",SUM($C7:D7)*VLOOKUP(D4,Depreciation!$D$41:$E$50,2),0),0)</f>
        <v>0</v>
      </c>
      <c r="E17" s="170">
        <f>IF(E5=1,IF($A15="Bonus",SUM($C7:E7)*VLOOKUP(E4,Depreciation!$D$41:$E$50,2),0),0)</f>
        <v>0</v>
      </c>
      <c r="F17" s="170">
        <f>IF(F5=1,IF($A15="Bonus",SUM($C7:F7)*VLOOKUP(F4,Depreciation!$D$41:$E$50,2),0),0)</f>
        <v>0</v>
      </c>
      <c r="G17" s="170">
        <f>IF(G5=1,IF($A15="Bonus",SUM($C7:G7)*VLOOKUP(G4,Depreciation!$D$41:$E$50,2),0),0)</f>
        <v>0</v>
      </c>
      <c r="H17" s="170">
        <f>IF(H5=1,IF($A15="Bonus",SUM($C7:H7)*VLOOKUP(H4,Depreciation!$D$41:$E$50,2),0),0)</f>
        <v>0</v>
      </c>
      <c r="I17" s="170">
        <f>IF(I5=1,IF($A15="Bonus",SUM($C7:I7)*VLOOKUP(I4,Depreciation!$D$41:$E$50,2),0),0)</f>
        <v>0</v>
      </c>
      <c r="J17" s="170">
        <f>IF(J5=1,IF($A15="Bonus",SUM($C7:J7)*VLOOKUP(J4,Depreciation!$D$41:$E$50,2),0),0)</f>
        <v>0</v>
      </c>
      <c r="K17" s="170">
        <f>IF(K5=1,IF($A15="Bonus",SUM($C7:K7)*VLOOKUP(K4,Depreciation!$D$41:$E$50,2),0),0)</f>
        <v>0</v>
      </c>
      <c r="L17" s="170">
        <f>IF(L5=1,IF($A15="Bonus",SUM($C7:L7)*VLOOKUP(L4,Depreciation!$D$41:$E$50,2),0),0)</f>
        <v>0</v>
      </c>
      <c r="Q17" s="28"/>
    </row>
    <row r="18" spans="2:12" ht="18.75" customHeight="1">
      <c r="B18" s="5" t="s">
        <v>362</v>
      </c>
      <c r="C18" s="170">
        <f>IF(C5&gt;=1,IF($A15="Bonus",C8*(1-VLOOKUP($A5,Depreciation!$D$41:$N$50,C4-2014))*C10,C8*C10),C8*C10)</f>
        <v>48493.123499999994</v>
      </c>
      <c r="D18" s="170">
        <f>IF(D5&gt;=1,IF($A15="Bonus",D8*(1-VLOOKUP($A5,Depreciation!$D$41:$N$50,D4-2014))*D10,D8*D10),D8*D10)</f>
        <v>93352.4956124</v>
      </c>
      <c r="E18" s="170">
        <f>IF(E5&gt;=1,IF($A15="Bonus",E8*(1-VLOOKUP($A5,Depreciation!$D$41:$N$50,E4-2014))*E10,E8*E10),E8*E10)</f>
        <v>86343.62282919999</v>
      </c>
      <c r="F18" s="170">
        <f>IF(F5&gt;=1,IF($A15="Bonus",F8*(1-VLOOKUP($A5,Depreciation!$D$41:$N$50,F4-2014))*F10,F8*F10),F8*F10)</f>
        <v>79877.8730292</v>
      </c>
      <c r="G18" s="170">
        <f>IF(G5&gt;=1,IF($A15="Bonus",G8*(1-VLOOKUP($A5,Depreciation!$D$41:$N$50,G4-2014))*G10,G8*G10),G8*G10)</f>
        <v>73877.6572148</v>
      </c>
      <c r="H18" s="170">
        <f>IF(H5&gt;=1,IF($A15="Bonus",H8*(1-VLOOKUP($A5,Depreciation!$D$41:$N$50,H4-2014))*H10,H8*H10),H8*H10)</f>
        <v>68342.975386</v>
      </c>
      <c r="I18" s="170">
        <f>IF(I5&gt;=1,IF($A15="Bonus",I8*(1-VLOOKUP($A5,Depreciation!$D$41:$N$50,I4-2014))*I10,I8*I10),I8*I10)</f>
        <v>63209.1700448</v>
      </c>
      <c r="J18" s="170">
        <f>IF(J5&gt;=1,IF($A15="Bonus",J8*(1-VLOOKUP($A5,Depreciation!$D$41:$N$50,J4-2014))*J10,J8*J10),J8*J10)</f>
        <v>58476.2411912</v>
      </c>
      <c r="K18" s="170">
        <f>IF(K5&gt;=1,IF($A15="Bonus",K8*(1-VLOOKUP($A5,Depreciation!$D$41:$N$50,K4-2014))*K10,K8*K10),K8*K10)</f>
        <v>57700.3512152</v>
      </c>
      <c r="L18" s="170">
        <f>IF(L5&gt;=1,IF($A15="Bonus",L8*(1-VLOOKUP($A5,Depreciation!$D$41:$N$50,L4-2014))*L10,L8*L10),L8*L10)</f>
        <v>57687.419715599994</v>
      </c>
    </row>
    <row r="19" spans="2:12" ht="18.75" customHeight="1">
      <c r="B19" s="5" t="s">
        <v>17</v>
      </c>
      <c r="C19" s="7">
        <f>Input!J$31</f>
        <v>0.10152297909805327</v>
      </c>
      <c r="D19" s="7">
        <f>Input!K$31</f>
        <v>0.10152297909805327</v>
      </c>
      <c r="E19" s="7">
        <f>Input!L$31</f>
        <v>0.10152297909805327</v>
      </c>
      <c r="F19" s="7">
        <f>Input!M$31</f>
        <v>0.10152297909805327</v>
      </c>
      <c r="G19" s="7">
        <f>Input!N$31</f>
        <v>0.10152297909805327</v>
      </c>
      <c r="H19" s="7">
        <f>Input!O$31</f>
        <v>0.10152297909805327</v>
      </c>
      <c r="I19" s="7">
        <f>Input!P$31</f>
        <v>0.10152297909805327</v>
      </c>
      <c r="J19" s="7">
        <f>Input!Q$31</f>
        <v>0.10152297909805327</v>
      </c>
      <c r="K19" s="7">
        <f>Input!R$31</f>
        <v>0.10152297909805327</v>
      </c>
      <c r="L19" s="7">
        <f>Input!S$31</f>
        <v>0.10152297909805327</v>
      </c>
    </row>
    <row r="20" spans="2:12" ht="18.75" customHeight="1">
      <c r="B20" s="5" t="s">
        <v>8</v>
      </c>
      <c r="C20" s="171">
        <f>C15</f>
        <v>14009.124566666667</v>
      </c>
      <c r="D20" s="171">
        <f aca="true" t="shared" si="5" ref="D20:L20">D15</f>
        <v>67243.79792</v>
      </c>
      <c r="E20" s="171">
        <f t="shared" si="5"/>
        <v>67243.79792</v>
      </c>
      <c r="F20" s="171">
        <f t="shared" si="5"/>
        <v>67243.79792</v>
      </c>
      <c r="G20" s="171">
        <f t="shared" si="5"/>
        <v>67243.79792</v>
      </c>
      <c r="H20" s="171">
        <f t="shared" si="5"/>
        <v>67243.79792</v>
      </c>
      <c r="I20" s="171">
        <f t="shared" si="5"/>
        <v>67243.79792</v>
      </c>
      <c r="J20" s="171">
        <f t="shared" si="5"/>
        <v>67243.79792</v>
      </c>
      <c r="K20" s="171">
        <f t="shared" si="5"/>
        <v>67243.79792</v>
      </c>
      <c r="L20" s="171">
        <f t="shared" si="5"/>
        <v>67243.79792</v>
      </c>
    </row>
    <row r="21" spans="2:12" ht="18.75" customHeight="1">
      <c r="B21" s="11" t="s">
        <v>364</v>
      </c>
      <c r="C21" s="171">
        <f aca="true" t="shared" si="6" ref="C21:L21">SUM(C17,C18)</f>
        <v>1341643.0835</v>
      </c>
      <c r="D21" s="171">
        <f t="shared" si="6"/>
        <v>93352.4956124</v>
      </c>
      <c r="E21" s="171">
        <f t="shared" si="6"/>
        <v>86343.62282919999</v>
      </c>
      <c r="F21" s="171">
        <f t="shared" si="6"/>
        <v>79877.8730292</v>
      </c>
      <c r="G21" s="171">
        <f t="shared" si="6"/>
        <v>73877.6572148</v>
      </c>
      <c r="H21" s="171">
        <f t="shared" si="6"/>
        <v>68342.975386</v>
      </c>
      <c r="I21" s="171">
        <f t="shared" si="6"/>
        <v>63209.1700448</v>
      </c>
      <c r="J21" s="171">
        <f t="shared" si="6"/>
        <v>58476.2411912</v>
      </c>
      <c r="K21" s="171">
        <f t="shared" si="6"/>
        <v>57700.3512152</v>
      </c>
      <c r="L21" s="171">
        <f t="shared" si="6"/>
        <v>57687.419715599994</v>
      </c>
    </row>
    <row r="22" spans="2:15" ht="18.75" customHeight="1">
      <c r="B22" s="2" t="s">
        <v>9</v>
      </c>
      <c r="C22" s="8">
        <f>Input!$B$6</f>
        <v>0.0015</v>
      </c>
      <c r="D22" s="8">
        <f aca="true" t="shared" si="7" ref="D22:I22">C22</f>
        <v>0.0015</v>
      </c>
      <c r="E22" s="8">
        <f t="shared" si="7"/>
        <v>0.0015</v>
      </c>
      <c r="F22" s="8">
        <f t="shared" si="7"/>
        <v>0.0015</v>
      </c>
      <c r="G22" s="8">
        <f t="shared" si="7"/>
        <v>0.0015</v>
      </c>
      <c r="H22" s="8">
        <f t="shared" si="7"/>
        <v>0.0015</v>
      </c>
      <c r="I22" s="8">
        <f t="shared" si="7"/>
        <v>0.0015</v>
      </c>
      <c r="J22" s="8">
        <f>I22</f>
        <v>0.0015</v>
      </c>
      <c r="K22" s="8">
        <f>J22</f>
        <v>0.0015</v>
      </c>
      <c r="L22" s="8">
        <f>K22</f>
        <v>0.0015</v>
      </c>
      <c r="O22" s="107"/>
    </row>
    <row r="23" spans="2:12" ht="18.75" customHeight="1">
      <c r="B23" s="4" t="s">
        <v>363</v>
      </c>
      <c r="C23" s="171">
        <f aca="true" t="shared" si="8" ref="C23:L23">(C21-C20)*C11</f>
        <v>513342.94656116253</v>
      </c>
      <c r="D23" s="171">
        <f t="shared" si="8"/>
        <v>10095.189049743385</v>
      </c>
      <c r="E23" s="171">
        <f t="shared" si="8"/>
        <v>7385.138299391267</v>
      </c>
      <c r="F23" s="171">
        <f t="shared" si="8"/>
        <v>4885.091481723271</v>
      </c>
      <c r="G23" s="171">
        <f t="shared" si="8"/>
        <v>2565.048034927368</v>
      </c>
      <c r="H23" s="171">
        <f t="shared" si="8"/>
        <v>425.00795900356314</v>
      </c>
      <c r="I23" s="171">
        <f t="shared" si="8"/>
        <v>-1560.0292142248318</v>
      </c>
      <c r="J23" s="171">
        <f t="shared" si="8"/>
        <v>-3390.0634847578053</v>
      </c>
      <c r="K23" s="171">
        <f t="shared" si="8"/>
        <v>-3690.069102877968</v>
      </c>
      <c r="L23" s="171">
        <f t="shared" si="8"/>
        <v>-3695.069196513305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9" ref="C26:L26">C8</f>
        <v>2586299.92</v>
      </c>
      <c r="D26" s="169">
        <f t="shared" si="9"/>
        <v>2586299.92</v>
      </c>
      <c r="E26" s="169">
        <f t="shared" si="9"/>
        <v>2586299.92</v>
      </c>
      <c r="F26" s="169">
        <f t="shared" si="9"/>
        <v>2586299.92</v>
      </c>
      <c r="G26" s="169">
        <f t="shared" si="9"/>
        <v>2586299.92</v>
      </c>
      <c r="H26" s="169">
        <f t="shared" si="9"/>
        <v>2586299.92</v>
      </c>
      <c r="I26" s="169">
        <f t="shared" si="9"/>
        <v>2586299.92</v>
      </c>
      <c r="J26" s="169">
        <f t="shared" si="9"/>
        <v>2586299.92</v>
      </c>
      <c r="K26" s="169">
        <f t="shared" si="9"/>
        <v>2586299.92</v>
      </c>
      <c r="L26" s="169">
        <f t="shared" si="9"/>
        <v>2586299.92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10" ref="D27:I27">C27</f>
        <v>0</v>
      </c>
      <c r="E27" s="170">
        <f t="shared" si="10"/>
        <v>0</v>
      </c>
      <c r="F27" s="170">
        <f t="shared" si="10"/>
        <v>0</v>
      </c>
      <c r="G27" s="170">
        <f t="shared" si="10"/>
        <v>0</v>
      </c>
      <c r="H27" s="170">
        <f t="shared" si="10"/>
        <v>0</v>
      </c>
      <c r="I27" s="170">
        <f t="shared" si="10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2" ht="18.75" customHeight="1">
      <c r="B28" s="2" t="s">
        <v>10</v>
      </c>
      <c r="C28" s="170">
        <f aca="true" t="shared" si="11" ref="C28:L28">-C13</f>
        <v>-14009.124566666667</v>
      </c>
      <c r="D28" s="170">
        <f t="shared" si="11"/>
        <v>-81252.92248666666</v>
      </c>
      <c r="E28" s="170">
        <f t="shared" si="11"/>
        <v>-148496.72040666666</v>
      </c>
      <c r="F28" s="170">
        <f t="shared" si="11"/>
        <v>-215740.51832666667</v>
      </c>
      <c r="G28" s="170">
        <f t="shared" si="11"/>
        <v>-282984.31624666665</v>
      </c>
      <c r="H28" s="170">
        <f t="shared" si="11"/>
        <v>-350228.11416666664</v>
      </c>
      <c r="I28" s="170">
        <f t="shared" si="11"/>
        <v>-417471.9120866666</v>
      </c>
      <c r="J28" s="170">
        <f t="shared" si="11"/>
        <v>-484715.7100066666</v>
      </c>
      <c r="K28" s="170">
        <f t="shared" si="11"/>
        <v>-551959.5079266666</v>
      </c>
      <c r="L28" s="170">
        <f t="shared" si="11"/>
        <v>-619203.3058466667</v>
      </c>
    </row>
    <row r="29" spans="2:12" ht="18.75" customHeight="1">
      <c r="B29" s="2" t="s">
        <v>45</v>
      </c>
      <c r="C29" s="170">
        <v>0</v>
      </c>
      <c r="D29" s="170">
        <f aca="true" t="shared" si="12" ref="D29:I29">C29</f>
        <v>0</v>
      </c>
      <c r="E29" s="170">
        <f t="shared" si="12"/>
        <v>0</v>
      </c>
      <c r="F29" s="170">
        <f t="shared" si="12"/>
        <v>0</v>
      </c>
      <c r="G29" s="170">
        <f t="shared" si="12"/>
        <v>0</v>
      </c>
      <c r="H29" s="170">
        <f t="shared" si="12"/>
        <v>0</v>
      </c>
      <c r="I29" s="170">
        <f t="shared" si="12"/>
        <v>0</v>
      </c>
      <c r="J29" s="170">
        <f>I29</f>
        <v>0</v>
      </c>
      <c r="K29" s="170">
        <f>J29</f>
        <v>0</v>
      </c>
      <c r="L29" s="170">
        <f>K29</f>
        <v>0</v>
      </c>
    </row>
    <row r="30" spans="2:12" ht="18.75" customHeight="1">
      <c r="B30" s="2" t="s">
        <v>46</v>
      </c>
      <c r="C30" s="170">
        <f aca="true" t="shared" si="13" ref="C30:L30">-C12</f>
        <v>-513342.94656116253</v>
      </c>
      <c r="D30" s="170">
        <f t="shared" si="13"/>
        <v>-523438.13561090594</v>
      </c>
      <c r="E30" s="170">
        <f t="shared" si="13"/>
        <v>-530823.2739102972</v>
      </c>
      <c r="F30" s="170">
        <f t="shared" si="13"/>
        <v>-535708.3653920204</v>
      </c>
      <c r="G30" s="170">
        <f t="shared" si="13"/>
        <v>-538273.4134269478</v>
      </c>
      <c r="H30" s="170">
        <f t="shared" si="13"/>
        <v>-538698.4213859513</v>
      </c>
      <c r="I30" s="170">
        <f t="shared" si="13"/>
        <v>-537138.3921717266</v>
      </c>
      <c r="J30" s="170">
        <f t="shared" si="13"/>
        <v>-533748.3286869688</v>
      </c>
      <c r="K30" s="170">
        <f t="shared" si="13"/>
        <v>-530058.2595840908</v>
      </c>
      <c r="L30" s="170">
        <f t="shared" si="13"/>
        <v>-526363.1903875775</v>
      </c>
    </row>
    <row r="31" spans="2:12" ht="18.75" customHeight="1">
      <c r="B31" s="2" t="s">
        <v>47</v>
      </c>
      <c r="C31" s="170">
        <v>0</v>
      </c>
      <c r="D31" s="170">
        <f aca="true" t="shared" si="14" ref="D31:I31">C31</f>
        <v>0</v>
      </c>
      <c r="E31" s="170">
        <f t="shared" si="14"/>
        <v>0</v>
      </c>
      <c r="F31" s="170">
        <f t="shared" si="14"/>
        <v>0</v>
      </c>
      <c r="G31" s="170">
        <f t="shared" si="14"/>
        <v>0</v>
      </c>
      <c r="H31" s="170">
        <f t="shared" si="14"/>
        <v>0</v>
      </c>
      <c r="I31" s="170">
        <f t="shared" si="14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 aca="true" t="shared" si="15" ref="C32:I32">SUM(C26:C31)</f>
        <v>2058947.8488721706</v>
      </c>
      <c r="D32" s="170">
        <f t="shared" si="15"/>
        <v>1981608.8619024274</v>
      </c>
      <c r="E32" s="170">
        <f t="shared" si="15"/>
        <v>1906979.925683036</v>
      </c>
      <c r="F32" s="170">
        <f t="shared" si="15"/>
        <v>1834851.0362813128</v>
      </c>
      <c r="G32" s="170">
        <f t="shared" si="15"/>
        <v>1765042.1903263857</v>
      </c>
      <c r="H32" s="170">
        <f t="shared" si="15"/>
        <v>1697373.3844473818</v>
      </c>
      <c r="I32" s="170">
        <f t="shared" si="15"/>
        <v>1631689.6157416068</v>
      </c>
      <c r="J32" s="170">
        <f>SUM(J26:J31)</f>
        <v>1567835.8813063647</v>
      </c>
      <c r="K32" s="170">
        <f>SUM(K26:K31)</f>
        <v>1504282.1524892426</v>
      </c>
      <c r="L32" s="170">
        <f>SUM(L26:L31)</f>
        <v>1440733.4237657557</v>
      </c>
    </row>
    <row r="33" spans="2:12" ht="18.75" customHeight="1">
      <c r="B33" s="2" t="s">
        <v>12</v>
      </c>
      <c r="C33" s="7">
        <f aca="true" t="shared" si="16" ref="C33:I33">C19</f>
        <v>0.10152297909805327</v>
      </c>
      <c r="D33" s="7">
        <f t="shared" si="16"/>
        <v>0.10152297909805327</v>
      </c>
      <c r="E33" s="7">
        <f t="shared" si="16"/>
        <v>0.10152297909805327</v>
      </c>
      <c r="F33" s="7">
        <f t="shared" si="16"/>
        <v>0.10152297909805327</v>
      </c>
      <c r="G33" s="7">
        <f t="shared" si="16"/>
        <v>0.10152297909805327</v>
      </c>
      <c r="H33" s="7">
        <f t="shared" si="16"/>
        <v>0.10152297909805327</v>
      </c>
      <c r="I33" s="7">
        <f t="shared" si="16"/>
        <v>0.10152297909805327</v>
      </c>
      <c r="J33" s="7">
        <f>J19</f>
        <v>0.10152297909805327</v>
      </c>
      <c r="K33" s="7">
        <f>K19</f>
        <v>0.10152297909805327</v>
      </c>
      <c r="L33" s="7">
        <f>L19</f>
        <v>0.10152297909805327</v>
      </c>
    </row>
    <row r="34" spans="2:12" ht="19.5" customHeight="1">
      <c r="B34" s="34" t="s">
        <v>58</v>
      </c>
      <c r="C34" s="174">
        <f aca="true" t="shared" si="17" ref="C34:I34">C32*C33</f>
        <v>209030.51942503112</v>
      </c>
      <c r="D34" s="174">
        <f t="shared" si="17"/>
        <v>201178.83506743726</v>
      </c>
      <c r="E34" s="174">
        <f t="shared" si="17"/>
        <v>193602.28313552606</v>
      </c>
      <c r="F34" s="174">
        <f t="shared" si="17"/>
        <v>186279.5434044291</v>
      </c>
      <c r="G34" s="174">
        <f t="shared" si="17"/>
        <v>179192.3413956878</v>
      </c>
      <c r="H34" s="174">
        <f t="shared" si="17"/>
        <v>172322.40263084348</v>
      </c>
      <c r="I34" s="174">
        <f t="shared" si="17"/>
        <v>165653.99075344572</v>
      </c>
      <c r="J34" s="174">
        <f>J32*J33</f>
        <v>159171.369407044</v>
      </c>
      <c r="K34" s="174">
        <f>K32*K33</f>
        <v>152719.20552473995</v>
      </c>
      <c r="L34" s="174">
        <f>L32*L33</f>
        <v>146267.54926683754</v>
      </c>
    </row>
    <row r="35" spans="2:12" s="3" customFormat="1" ht="19.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9.5" customHeight="1">
      <c r="B36" s="1" t="s">
        <v>52</v>
      </c>
      <c r="C36" s="170">
        <v>0</v>
      </c>
      <c r="D36" s="170">
        <f>C36</f>
        <v>0</v>
      </c>
      <c r="E36" s="170">
        <f aca="true" t="shared" si="18" ref="E36:L36">D36</f>
        <v>0</v>
      </c>
      <c r="F36" s="170">
        <f t="shared" si="18"/>
        <v>0</v>
      </c>
      <c r="G36" s="170">
        <f t="shared" si="18"/>
        <v>0</v>
      </c>
      <c r="H36" s="170">
        <f t="shared" si="18"/>
        <v>0</v>
      </c>
      <c r="I36" s="170">
        <f t="shared" si="18"/>
        <v>0</v>
      </c>
      <c r="J36" s="170">
        <f t="shared" si="18"/>
        <v>0</v>
      </c>
      <c r="K36" s="170">
        <f t="shared" si="18"/>
        <v>0</v>
      </c>
      <c r="L36" s="170">
        <f t="shared" si="18"/>
        <v>0</v>
      </c>
    </row>
    <row r="37" spans="2:12" ht="19.5" customHeight="1">
      <c r="B37" s="2" t="s">
        <v>48</v>
      </c>
      <c r="C37" s="170">
        <f aca="true" t="shared" si="19" ref="C37:I37">C20</f>
        <v>14009.124566666667</v>
      </c>
      <c r="D37" s="170">
        <f t="shared" si="19"/>
        <v>67243.79792</v>
      </c>
      <c r="E37" s="170">
        <f t="shared" si="19"/>
        <v>67243.79792</v>
      </c>
      <c r="F37" s="170">
        <f t="shared" si="19"/>
        <v>67243.79792</v>
      </c>
      <c r="G37" s="170">
        <f t="shared" si="19"/>
        <v>67243.79792</v>
      </c>
      <c r="H37" s="170">
        <f t="shared" si="19"/>
        <v>67243.79792</v>
      </c>
      <c r="I37" s="170">
        <f t="shared" si="19"/>
        <v>67243.79792</v>
      </c>
      <c r="J37" s="170">
        <f>J20</f>
        <v>67243.79792</v>
      </c>
      <c r="K37" s="170">
        <f>K20</f>
        <v>67243.79792</v>
      </c>
      <c r="L37" s="170">
        <f>L20</f>
        <v>67243.79792</v>
      </c>
    </row>
    <row r="38" spans="2:12" ht="19.5" customHeight="1">
      <c r="B38" s="2" t="s">
        <v>49</v>
      </c>
      <c r="C38" s="170">
        <v>0</v>
      </c>
      <c r="D38" s="170">
        <f aca="true" t="shared" si="20" ref="D38:I38">C38</f>
        <v>0</v>
      </c>
      <c r="E38" s="170">
        <f t="shared" si="20"/>
        <v>0</v>
      </c>
      <c r="F38" s="170">
        <f t="shared" si="20"/>
        <v>0</v>
      </c>
      <c r="G38" s="170">
        <f t="shared" si="20"/>
        <v>0</v>
      </c>
      <c r="H38" s="170">
        <f t="shared" si="20"/>
        <v>0</v>
      </c>
      <c r="I38" s="170">
        <f t="shared" si="20"/>
        <v>0</v>
      </c>
      <c r="J38" s="170">
        <f>I38</f>
        <v>0</v>
      </c>
      <c r="K38" s="170">
        <f>J38</f>
        <v>0</v>
      </c>
      <c r="L38" s="170">
        <f>K38</f>
        <v>0</v>
      </c>
    </row>
    <row r="39" spans="2:12" ht="19.5" customHeight="1">
      <c r="B39" s="2" t="s">
        <v>50</v>
      </c>
      <c r="C39" s="170">
        <v>0</v>
      </c>
      <c r="D39" s="170">
        <f aca="true" t="shared" si="21" ref="D39:I39">D22*(C26+C28)</f>
        <v>3858.43619315</v>
      </c>
      <c r="E39" s="170">
        <f t="shared" si="21"/>
        <v>3757.57049627</v>
      </c>
      <c r="F39" s="170">
        <f t="shared" si="21"/>
        <v>3656.7047993899996</v>
      </c>
      <c r="G39" s="170">
        <f t="shared" si="21"/>
        <v>3555.83910251</v>
      </c>
      <c r="H39" s="170">
        <f t="shared" si="21"/>
        <v>3454.9734056300003</v>
      </c>
      <c r="I39" s="170">
        <f t="shared" si="21"/>
        <v>3354.10770875</v>
      </c>
      <c r="J39" s="170">
        <f>J22*(I26+I28)</f>
        <v>3253.24201187</v>
      </c>
      <c r="K39" s="170">
        <f>K22*(J26+J28)</f>
        <v>3152.3763149900005</v>
      </c>
      <c r="L39" s="170">
        <f>L22*(K26+K28)</f>
        <v>3051.51061811</v>
      </c>
    </row>
    <row r="40" spans="2:12" ht="19.5" customHeight="1">
      <c r="B40" s="21" t="s">
        <v>51</v>
      </c>
      <c r="C40" s="174">
        <f aca="true" t="shared" si="22" ref="C40:I40">SUM(C36:C39)</f>
        <v>14009.124566666667</v>
      </c>
      <c r="D40" s="174">
        <f t="shared" si="22"/>
        <v>71102.23411315</v>
      </c>
      <c r="E40" s="174">
        <f t="shared" si="22"/>
        <v>71001.36841627</v>
      </c>
      <c r="F40" s="174">
        <f t="shared" si="22"/>
        <v>70900.50271939</v>
      </c>
      <c r="G40" s="174">
        <f t="shared" si="22"/>
        <v>70799.63702251</v>
      </c>
      <c r="H40" s="174">
        <f t="shared" si="22"/>
        <v>70698.77132562999</v>
      </c>
      <c r="I40" s="174">
        <f t="shared" si="22"/>
        <v>70597.90562875</v>
      </c>
      <c r="J40" s="174">
        <f>SUM(J36:J39)</f>
        <v>70497.03993187</v>
      </c>
      <c r="K40" s="174">
        <f>SUM(K36:K39)</f>
        <v>70396.17423499</v>
      </c>
      <c r="L40" s="174">
        <f>SUM(L36:L39)</f>
        <v>70295.30853811</v>
      </c>
    </row>
    <row r="41" spans="3:12" ht="19.5" customHeight="1">
      <c r="C41" s="34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2:12" ht="19.5" customHeight="1">
      <c r="B42" s="1" t="s">
        <v>59</v>
      </c>
      <c r="C42" s="170">
        <f aca="true" t="shared" si="23" ref="C42:I42">C34+C40</f>
        <v>223039.64399169778</v>
      </c>
      <c r="D42" s="170">
        <f t="shared" si="23"/>
        <v>272281.06918058725</v>
      </c>
      <c r="E42" s="170">
        <f t="shared" si="23"/>
        <v>264603.65155179607</v>
      </c>
      <c r="F42" s="170">
        <f t="shared" si="23"/>
        <v>257180.0461238191</v>
      </c>
      <c r="G42" s="170">
        <f t="shared" si="23"/>
        <v>249991.9784181978</v>
      </c>
      <c r="H42" s="170">
        <f t="shared" si="23"/>
        <v>243021.17395647347</v>
      </c>
      <c r="I42" s="170">
        <f t="shared" si="23"/>
        <v>236251.8963821957</v>
      </c>
      <c r="J42" s="170">
        <f>J34+J40</f>
        <v>229668.40933891397</v>
      </c>
      <c r="K42" s="170">
        <f>K34+K40</f>
        <v>223115.37975972996</v>
      </c>
      <c r="L42" s="170">
        <f>L34+L40</f>
        <v>216562.85780494753</v>
      </c>
    </row>
    <row r="43" spans="2:12" s="3" customFormat="1" ht="19.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2" ht="19.5" customHeight="1"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9.5" customHeight="1">
      <c r="B45" s="11"/>
      <c r="C45" s="212" t="s">
        <v>266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9.5" customHeight="1">
      <c r="A46" s="28"/>
      <c r="B46" s="28"/>
      <c r="C46" s="29">
        <f>C4</f>
        <v>2016</v>
      </c>
      <c r="D46" s="29">
        <f aca="true" t="shared" si="24" ref="D46:L46">C46+1</f>
        <v>2017</v>
      </c>
      <c r="E46" s="29">
        <f t="shared" si="24"/>
        <v>2018</v>
      </c>
      <c r="F46" s="29">
        <f t="shared" si="24"/>
        <v>2019</v>
      </c>
      <c r="G46" s="29">
        <f t="shared" si="24"/>
        <v>2020</v>
      </c>
      <c r="H46" s="29">
        <f t="shared" si="24"/>
        <v>2021</v>
      </c>
      <c r="I46" s="29">
        <f t="shared" si="24"/>
        <v>2022</v>
      </c>
      <c r="J46" s="29">
        <f t="shared" si="24"/>
        <v>2023</v>
      </c>
      <c r="K46" s="29">
        <f t="shared" si="24"/>
        <v>2024</v>
      </c>
      <c r="L46" s="29">
        <f t="shared" si="24"/>
        <v>2025</v>
      </c>
    </row>
    <row r="47" spans="1:12" ht="19.5" customHeight="1">
      <c r="A47" s="258">
        <v>2016</v>
      </c>
      <c r="B47" s="28" t="s">
        <v>43</v>
      </c>
      <c r="C47" s="209">
        <v>1</v>
      </c>
      <c r="D47" s="209">
        <f aca="true" t="shared" si="25" ref="D47:L47">C47+1</f>
        <v>2</v>
      </c>
      <c r="E47" s="209">
        <f t="shared" si="25"/>
        <v>3</v>
      </c>
      <c r="F47" s="209">
        <f t="shared" si="25"/>
        <v>4</v>
      </c>
      <c r="G47" s="209">
        <f t="shared" si="25"/>
        <v>5</v>
      </c>
      <c r="H47" s="209">
        <f t="shared" si="25"/>
        <v>6</v>
      </c>
      <c r="I47" s="209">
        <f t="shared" si="25"/>
        <v>7</v>
      </c>
      <c r="J47" s="209">
        <f t="shared" si="25"/>
        <v>8</v>
      </c>
      <c r="K47" s="209">
        <f t="shared" si="25"/>
        <v>9</v>
      </c>
      <c r="L47" s="209">
        <f t="shared" si="25"/>
        <v>10</v>
      </c>
    </row>
    <row r="48" spans="1:12" ht="19.5" customHeight="1">
      <c r="A48" s="3"/>
      <c r="B48" s="211" t="s">
        <v>26</v>
      </c>
      <c r="C48" s="13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9.5" customHeight="1">
      <c r="A49" s="60" t="s">
        <v>308</v>
      </c>
      <c r="B49" s="10" t="s">
        <v>391</v>
      </c>
      <c r="C49" s="172">
        <f>VLOOKUP(C$4,'Cash Flows-KU'!$B$28:$H$38,$A50)</f>
        <v>2704694.14</v>
      </c>
      <c r="D49" s="172">
        <f>VLOOKUP(D$4,'Cash Flows-KU'!$B$28:$H$38,$A50)</f>
        <v>0</v>
      </c>
      <c r="E49" s="172">
        <f>VLOOKUP(E$4,'Cash Flows-KU'!$B$28:$H$38,$A50)</f>
        <v>0</v>
      </c>
      <c r="F49" s="172">
        <f>VLOOKUP(F$4,'Cash Flows-KU'!$B$28:$H$38,$A50)</f>
        <v>0</v>
      </c>
      <c r="G49" s="172">
        <f>VLOOKUP(G$4,'Cash Flows-KU'!$B$28:$H$38,$A50)</f>
        <v>0</v>
      </c>
      <c r="H49" s="172">
        <f>VLOOKUP(H$4,'Cash Flows-KU'!$B$28:$H$38,$A50)</f>
        <v>0</v>
      </c>
      <c r="I49" s="172">
        <f>VLOOKUP(I$4,'Cash Flows-KU'!$B$28:$H$38,$A50)</f>
        <v>0</v>
      </c>
      <c r="J49" s="172">
        <f>VLOOKUP(J$4,'Cash Flows-KU'!$B$28:$H$38,$A50)</f>
        <v>0</v>
      </c>
      <c r="K49" s="172">
        <f>VLOOKUP(K$4,'Cash Flows-KU'!$B$28:$H$38,$A50)</f>
        <v>0</v>
      </c>
      <c r="L49" s="172">
        <f>VLOOKUP(L$4,'Cash Flows-KU'!$B$28:$H$38,$A50)</f>
        <v>0</v>
      </c>
    </row>
    <row r="50" spans="1:13" ht="19.5" customHeight="1">
      <c r="A50" s="3">
        <v>3</v>
      </c>
      <c r="B50" s="40" t="s">
        <v>57</v>
      </c>
      <c r="C50" s="172">
        <f>SUM($C49:C49)</f>
        <v>2704694.14</v>
      </c>
      <c r="D50" s="172">
        <f>SUM($C49:D49)</f>
        <v>2704694.14</v>
      </c>
      <c r="E50" s="172">
        <f>SUM($C49:E49)</f>
        <v>2704694.14</v>
      </c>
      <c r="F50" s="172">
        <f>SUM($C49:F49)</f>
        <v>2704694.14</v>
      </c>
      <c r="G50" s="172">
        <f>SUM($C49:G49)</f>
        <v>2704694.14</v>
      </c>
      <c r="H50" s="172">
        <f>SUM($C49:H49)</f>
        <v>2704694.14</v>
      </c>
      <c r="I50" s="172">
        <f>SUM($C49:I49)</f>
        <v>2704694.14</v>
      </c>
      <c r="J50" s="172">
        <f>SUM($C49:J49)</f>
        <v>2704694.14</v>
      </c>
      <c r="K50" s="172">
        <f>SUM($C49:K49)</f>
        <v>2704694.14</v>
      </c>
      <c r="L50" s="172">
        <f>SUM($C49:L49)</f>
        <v>2704694.14</v>
      </c>
      <c r="M50" s="18"/>
    </row>
    <row r="51" spans="1:12" ht="19.5" customHeight="1">
      <c r="A51" s="3">
        <v>2</v>
      </c>
      <c r="B51" s="5" t="s">
        <v>0</v>
      </c>
      <c r="C51" s="6">
        <f>IF(C47="",0,VLOOKUP($B48,Depreciation!$D$2:$E$31,$A51,FALSE))</f>
        <v>0.0146</v>
      </c>
      <c r="D51" s="6">
        <f>IF(D47="",0,VLOOKUP($B48,Depreciation!$D$2:$E$31,$A51,FALSE))</f>
        <v>0.0146</v>
      </c>
      <c r="E51" s="6">
        <f>IF(E47="",0,VLOOKUP($B48,Depreciation!$D$2:$E$31,$A51,FALSE))</f>
        <v>0.0146</v>
      </c>
      <c r="F51" s="6">
        <f>IF(F47="",0,VLOOKUP($B48,Depreciation!$D$2:$E$31,$A51,FALSE))</f>
        <v>0.0146</v>
      </c>
      <c r="G51" s="6">
        <f>IF(G47="",0,VLOOKUP($B48,Depreciation!$D$2:$E$31,$A51,FALSE))</f>
        <v>0.0146</v>
      </c>
      <c r="H51" s="6">
        <f>IF(H47="",0,VLOOKUP($B48,Depreciation!$D$2:$E$31,$A51,FALSE))</f>
        <v>0.0146</v>
      </c>
      <c r="I51" s="6">
        <f>IF(I47="",0,VLOOKUP($B48,Depreciation!$D$2:$E$31,$A51,FALSE))</f>
        <v>0.0146</v>
      </c>
      <c r="J51" s="6">
        <f>IF(J47="",0,VLOOKUP($B48,Depreciation!$D$2:$E$31,$A51,FALSE))</f>
        <v>0.0146</v>
      </c>
      <c r="K51" s="6">
        <f>IF(K47="",0,VLOOKUP($B48,Depreciation!$D$2:$E$31,$A51,FALSE))</f>
        <v>0.0146</v>
      </c>
      <c r="L51" s="6">
        <f>IF(L47="",0,VLOOKUP($B48,Depreciation!$D$2:$E$31,$A51,FALSE))</f>
        <v>0.0146</v>
      </c>
    </row>
    <row r="52" spans="1:12" ht="19.5" customHeight="1">
      <c r="A52" s="3">
        <v>2</v>
      </c>
      <c r="B52" s="5" t="s">
        <v>1</v>
      </c>
      <c r="C52" s="6">
        <f>IF(C47="",0,VLOOKUP(C47,Depreciation!$A$2:$C$58,$A52,FALSE))</f>
        <v>0.0375</v>
      </c>
      <c r="D52" s="6">
        <f>IF(D47="",0,VLOOKUP(D47,Depreciation!$A$2:$C$58,$A52,FALSE))</f>
        <v>0.07219</v>
      </c>
      <c r="E52" s="6">
        <f>IF(E47="",0,VLOOKUP(E47,Depreciation!$A$2:$C$58,$A52,FALSE))</f>
        <v>0.06677</v>
      </c>
      <c r="F52" s="6">
        <f>IF(F47="",0,VLOOKUP(F47,Depreciation!$A$2:$C$58,$A52,FALSE))</f>
        <v>0.06177</v>
      </c>
      <c r="G52" s="6">
        <f>IF(G47="",0,VLOOKUP(G47,Depreciation!$A$2:$C$58,$A52,FALSE))</f>
        <v>0.05713</v>
      </c>
      <c r="H52" s="6">
        <f>IF(H47="",0,VLOOKUP(H47,Depreciation!$A$2:$C$58,$A52,FALSE))</f>
        <v>0.05285</v>
      </c>
      <c r="I52" s="6">
        <f>IF(I47="",0,VLOOKUP(I47,Depreciation!$A$2:$C$58,$A52,FALSE))</f>
        <v>0.04888</v>
      </c>
      <c r="J52" s="6">
        <f>IF(J47="",0,VLOOKUP(J47,Depreciation!$A$2:$C$58,$A52,FALSE))</f>
        <v>0.04522</v>
      </c>
      <c r="K52" s="6">
        <f>IF(K47="",0,VLOOKUP(K47,Depreciation!$A$2:$C$58,$A52,FALSE))</f>
        <v>0.04462</v>
      </c>
      <c r="L52" s="6">
        <f>IF(L47="",0,VLOOKUP(L47,Depreciation!$A$2:$C$58,$A52,FALSE))</f>
        <v>0.04461</v>
      </c>
    </row>
    <row r="53" spans="1:12" ht="19.5" customHeight="1">
      <c r="A53" s="71"/>
      <c r="B53" s="31" t="s">
        <v>2</v>
      </c>
      <c r="C53" s="7">
        <f>Input!B$3</f>
        <v>0.38665999999999995</v>
      </c>
      <c r="D53" s="7">
        <f>Input!C$3</f>
        <v>0.38665999999999995</v>
      </c>
      <c r="E53" s="7">
        <f>Input!D$3</f>
        <v>0.38665999999999995</v>
      </c>
      <c r="F53" s="7">
        <f>Input!E$3</f>
        <v>0.38665999999999995</v>
      </c>
      <c r="G53" s="7">
        <f>Input!F$3</f>
        <v>0.38665999999999995</v>
      </c>
      <c r="H53" s="7">
        <f>Input!G$3</f>
        <v>0.38665999999999995</v>
      </c>
      <c r="I53" s="7">
        <f>Input!H$3</f>
        <v>0.38665999999999995</v>
      </c>
      <c r="J53" s="7">
        <f>Input!I$3</f>
        <v>0.38665999999999995</v>
      </c>
      <c r="K53" s="7">
        <f>Input!J$3</f>
        <v>0.38665999999999995</v>
      </c>
      <c r="L53" s="7">
        <f>Input!K$3</f>
        <v>0.38665999999999995</v>
      </c>
    </row>
    <row r="54" spans="1:12" ht="19.5" customHeight="1">
      <c r="A54" s="3"/>
      <c r="B54" s="2" t="s">
        <v>3</v>
      </c>
      <c r="C54" s="170">
        <f>SUM($C65:C65)</f>
        <v>539326.246529408</v>
      </c>
      <c r="D54" s="170">
        <f>SUM($C65:D65)</f>
        <v>561805.6538219338</v>
      </c>
      <c r="E54" s="170">
        <f>SUM($C65:E65)</f>
        <v>581450.9511464323</v>
      </c>
      <c r="F54" s="170">
        <f>SUM($C65:F65)</f>
        <v>598481.7558804998</v>
      </c>
      <c r="G54" s="170">
        <f>SUM($C65:G65)</f>
        <v>613086.3114906474</v>
      </c>
      <c r="H54" s="170">
        <f>SUM($C65:H65)</f>
        <v>625452.861443386</v>
      </c>
      <c r="I54" s="170">
        <f>SUM($C65:I65)</f>
        <v>635743.5042793223</v>
      </c>
      <c r="J54" s="170">
        <f>SUM($C65:J65)</f>
        <v>644120.3385390632</v>
      </c>
      <c r="K54" s="170">
        <f>SUM($C65:K65)</f>
        <v>652183.4336879525</v>
      </c>
      <c r="L54" s="170">
        <f>SUM($C65:L65)</f>
        <v>660241.2998516608</v>
      </c>
    </row>
    <row r="55" spans="2:12" ht="19.5" customHeight="1">
      <c r="B55" s="2" t="s">
        <v>4</v>
      </c>
      <c r="C55" s="170">
        <f>SUM($C57:C57)</f>
        <v>8226.778009166666</v>
      </c>
      <c r="D55" s="170">
        <f>SUM($C57:D57)</f>
        <v>47715.31245316667</v>
      </c>
      <c r="E55" s="170">
        <f>SUM($C57:E57)</f>
        <v>87203.84689716667</v>
      </c>
      <c r="F55" s="170">
        <f>SUM($C57:F57)</f>
        <v>126692.38134116668</v>
      </c>
      <c r="G55" s="170">
        <f>SUM($C57:G57)</f>
        <v>166180.91578516667</v>
      </c>
      <c r="H55" s="170">
        <f>SUM($C57:H57)</f>
        <v>205669.45022916666</v>
      </c>
      <c r="I55" s="170">
        <f>SUM($C57:I57)</f>
        <v>245157.98467316665</v>
      </c>
      <c r="J55" s="170">
        <f>SUM($C57:J57)</f>
        <v>284646.51911716664</v>
      </c>
      <c r="K55" s="170">
        <f>SUM($C57:K57)</f>
        <v>324135.0535611666</v>
      </c>
      <c r="L55" s="170">
        <f>SUM($C57:L57)</f>
        <v>363623.5880051666</v>
      </c>
    </row>
    <row r="56" spans="2:12" ht="19.5" customHeight="1">
      <c r="B56" s="11" t="s">
        <v>5</v>
      </c>
      <c r="C56" s="170">
        <f>C49</f>
        <v>2704694.14</v>
      </c>
      <c r="D56" s="170">
        <f>C56+D49</f>
        <v>2704694.14</v>
      </c>
      <c r="E56" s="170">
        <f aca="true" t="shared" si="26" ref="E56:L56">D56+E49</f>
        <v>2704694.14</v>
      </c>
      <c r="F56" s="170">
        <f t="shared" si="26"/>
        <v>2704694.14</v>
      </c>
      <c r="G56" s="170">
        <f t="shared" si="26"/>
        <v>2704694.14</v>
      </c>
      <c r="H56" s="170">
        <f t="shared" si="26"/>
        <v>2704694.14</v>
      </c>
      <c r="I56" s="170">
        <f t="shared" si="26"/>
        <v>2704694.14</v>
      </c>
      <c r="J56" s="170">
        <f t="shared" si="26"/>
        <v>2704694.14</v>
      </c>
      <c r="K56" s="170">
        <f t="shared" si="26"/>
        <v>2704694.14</v>
      </c>
      <c r="L56" s="170">
        <f t="shared" si="26"/>
        <v>2704694.14</v>
      </c>
    </row>
    <row r="57" spans="1:12" ht="19.5" customHeight="1">
      <c r="A57" s="214" t="s">
        <v>359</v>
      </c>
      <c r="B57" s="11" t="s">
        <v>6</v>
      </c>
      <c r="C57" s="170">
        <f aca="true" t="shared" si="27" ref="C57:L57">IF(C47=1,(12.5-VLOOKUP(C45,$Q$5:$R$16,2,))*C51/12*C56,C56*C51)</f>
        <v>8226.778009166666</v>
      </c>
      <c r="D57" s="170">
        <f t="shared" si="27"/>
        <v>39488.534444000004</v>
      </c>
      <c r="E57" s="170">
        <f t="shared" si="27"/>
        <v>39488.534444000004</v>
      </c>
      <c r="F57" s="170">
        <f t="shared" si="27"/>
        <v>39488.534444000004</v>
      </c>
      <c r="G57" s="170">
        <f t="shared" si="27"/>
        <v>39488.534444000004</v>
      </c>
      <c r="H57" s="170">
        <f t="shared" si="27"/>
        <v>39488.534444000004</v>
      </c>
      <c r="I57" s="170">
        <f t="shared" si="27"/>
        <v>39488.534444000004</v>
      </c>
      <c r="J57" s="170">
        <f t="shared" si="27"/>
        <v>39488.534444000004</v>
      </c>
      <c r="K57" s="170">
        <f t="shared" si="27"/>
        <v>39488.534444000004</v>
      </c>
      <c r="L57" s="170">
        <f t="shared" si="27"/>
        <v>39488.534444000004</v>
      </c>
    </row>
    <row r="58" spans="2:12" ht="19.5" customHeight="1">
      <c r="B58" s="5" t="s">
        <v>7</v>
      </c>
      <c r="C58" s="170">
        <f>C49</f>
        <v>2704694.14</v>
      </c>
      <c r="D58" s="170">
        <f aca="true" t="shared" si="28" ref="D58:L58">C58+D49</f>
        <v>2704694.14</v>
      </c>
      <c r="E58" s="170">
        <f t="shared" si="28"/>
        <v>2704694.14</v>
      </c>
      <c r="F58" s="170">
        <f t="shared" si="28"/>
        <v>2704694.14</v>
      </c>
      <c r="G58" s="170">
        <f t="shared" si="28"/>
        <v>2704694.14</v>
      </c>
      <c r="H58" s="170">
        <f t="shared" si="28"/>
        <v>2704694.14</v>
      </c>
      <c r="I58" s="170">
        <f t="shared" si="28"/>
        <v>2704694.14</v>
      </c>
      <c r="J58" s="170">
        <f t="shared" si="28"/>
        <v>2704694.14</v>
      </c>
      <c r="K58" s="170">
        <f t="shared" si="28"/>
        <v>2704694.14</v>
      </c>
      <c r="L58" s="170">
        <f t="shared" si="28"/>
        <v>2704694.14</v>
      </c>
    </row>
    <row r="59" spans="2:12" ht="19.5" customHeight="1">
      <c r="B59" s="213" t="s">
        <v>361</v>
      </c>
      <c r="C59" s="170">
        <f>IF(C47=1,IF($A57="Bonus",SUM($C49:C49)*VLOOKUP(C46,Depreciation!$D$41:$E$50,2),0),0)</f>
        <v>1352347.07</v>
      </c>
      <c r="D59" s="170">
        <f>IF(D47=1,IF($A57="Bonus",SUM($C49:D49)*VLOOKUP(D46,Depreciation!$D$41:$E$50,2),0),0)</f>
        <v>0</v>
      </c>
      <c r="E59" s="170">
        <f>IF(E47=1,IF($A57="Bonus",SUM($C49:E49)*VLOOKUP(E46,Depreciation!$D$41:$E$50,2),0),0)</f>
        <v>0</v>
      </c>
      <c r="F59" s="170">
        <f>IF(F47=1,IF($A57="Bonus",SUM($C49:F49)*VLOOKUP(F46,Depreciation!$D$41:$E$50,2),0),0)</f>
        <v>0</v>
      </c>
      <c r="G59" s="170">
        <f>IF(G47=1,IF($A57="Bonus",SUM($C49:G49)*VLOOKUP(G46,Depreciation!$D$41:$E$50,2),0),0)</f>
        <v>0</v>
      </c>
      <c r="H59" s="170">
        <f>IF(H47=1,IF($A57="Bonus",SUM($C49:H49)*VLOOKUP(H46,Depreciation!$D$41:$E$50,2),0),0)</f>
        <v>0</v>
      </c>
      <c r="I59" s="170">
        <f>IF(I47=1,IF($A57="Bonus",SUM($C49:I49)*VLOOKUP(I46,Depreciation!$D$41:$E$50,2),0),0)</f>
        <v>0</v>
      </c>
      <c r="J59" s="170">
        <f>IF(J47=1,IF($A57="Bonus",SUM($C49:J49)*VLOOKUP(J46,Depreciation!$D$41:$E$50,2),0),0)</f>
        <v>0</v>
      </c>
      <c r="K59" s="170">
        <f>IF(K47=1,IF($A57="Bonus",SUM($C49:K49)*VLOOKUP(K46,Depreciation!$D$41:$E$50,2),0),0)</f>
        <v>0</v>
      </c>
      <c r="L59" s="170">
        <f>IF(L47=1,IF($A57="Bonus",SUM($C49:L49)*VLOOKUP(L46,Depreciation!$D$41:$E$50,2),0),0)</f>
        <v>0</v>
      </c>
    </row>
    <row r="60" spans="2:12" ht="19.5" customHeight="1">
      <c r="B60" s="5" t="s">
        <v>362</v>
      </c>
      <c r="C60" s="170">
        <f>IF(C47&gt;=1,IF($A57="Bonus",C50*(1-VLOOKUP($A47,Depreciation!$D$41:$N$50,C46-2014))*C52,C50*C52),C50*C52)</f>
        <v>50713.015125</v>
      </c>
      <c r="D60" s="170">
        <f>IF(D47&gt;=1,IF($A57="Bonus",D50*(1-VLOOKUP($A47,Depreciation!$D$41:$N$50,D46-2014))*D52,D50*D52),D50*D52)</f>
        <v>97625.93498330002</v>
      </c>
      <c r="E60" s="170">
        <f>IF(E47&gt;=1,IF($A57="Bonus",E50*(1-VLOOKUP($A47,Depreciation!$D$41:$N$50,E46-2014))*E52,E50*E52),E50*E52)</f>
        <v>90296.2138639</v>
      </c>
      <c r="F60" s="170">
        <f>IF(F47&gt;=1,IF($A57="Bonus",F50*(1-VLOOKUP($A47,Depreciation!$D$41:$N$50,F46-2014))*F52,F50*F52),F50*F52)</f>
        <v>83534.4785139</v>
      </c>
      <c r="G60" s="170">
        <f>IF(G47&gt;=1,IF($A57="Bonus",G50*(1-VLOOKUP($A47,Depreciation!$D$41:$N$50,G46-2014))*G52,G50*G52),G50*G52)</f>
        <v>77259.5881091</v>
      </c>
      <c r="H60" s="170">
        <f>IF(H47&gt;=1,IF($A57="Bonus",H50*(1-VLOOKUP($A47,Depreciation!$D$41:$N$50,H46-2014))*H52,H50*H52),H50*H52)</f>
        <v>71471.5426495</v>
      </c>
      <c r="I60" s="170">
        <f>IF(I47&gt;=1,IF($A57="Bonus",I50*(1-VLOOKUP($A47,Depreciation!$D$41:$N$50,I46-2014))*I52,I50*I52),I50*I52)</f>
        <v>66102.7247816</v>
      </c>
      <c r="J60" s="170">
        <f>IF(J47&gt;=1,IF($A57="Bonus",J50*(1-VLOOKUP($A47,Depreciation!$D$41:$N$50,J46-2014))*J52,J50*J52),J50*J52)</f>
        <v>61153.134505400005</v>
      </c>
      <c r="K60" s="170">
        <f>IF(K47&gt;=1,IF($A57="Bonus",K50*(1-VLOOKUP($A47,Depreciation!$D$41:$N$50,K46-2014))*K52,K50*K52),K50*K52)</f>
        <v>60341.7262634</v>
      </c>
      <c r="L60" s="170">
        <f>IF(L47&gt;=1,IF($A57="Bonus",L50*(1-VLOOKUP($A47,Depreciation!$D$41:$N$50,L46-2014))*L52,L50*L52),L50*L52)</f>
        <v>60328.2027927</v>
      </c>
    </row>
    <row r="61" spans="2:12" ht="19.5" customHeight="1">
      <c r="B61" s="5" t="s">
        <v>17</v>
      </c>
      <c r="C61" s="7">
        <f>Input!J$31</f>
        <v>0.10152297909805327</v>
      </c>
      <c r="D61" s="7">
        <f>Input!K$31</f>
        <v>0.10152297909805327</v>
      </c>
      <c r="E61" s="7">
        <f>Input!L$31</f>
        <v>0.10152297909805327</v>
      </c>
      <c r="F61" s="7">
        <f>Input!M$31</f>
        <v>0.10152297909805327</v>
      </c>
      <c r="G61" s="7">
        <f>Input!N$31</f>
        <v>0.10152297909805327</v>
      </c>
      <c r="H61" s="7">
        <f>Input!O$31</f>
        <v>0.10152297909805327</v>
      </c>
      <c r="I61" s="7">
        <f>Input!P$31</f>
        <v>0.10152297909805327</v>
      </c>
      <c r="J61" s="7">
        <f>Input!Q$31</f>
        <v>0.10152297909805327</v>
      </c>
      <c r="K61" s="7">
        <f>Input!R$31</f>
        <v>0.10152297909805327</v>
      </c>
      <c r="L61" s="7">
        <f>Input!S$31</f>
        <v>0.10152297909805327</v>
      </c>
    </row>
    <row r="62" spans="2:12" ht="19.5" customHeight="1">
      <c r="B62" s="5" t="s">
        <v>8</v>
      </c>
      <c r="C62" s="171">
        <f>C57</f>
        <v>8226.778009166666</v>
      </c>
      <c r="D62" s="171">
        <f aca="true" t="shared" si="29" ref="D62:L62">D57</f>
        <v>39488.534444000004</v>
      </c>
      <c r="E62" s="171">
        <f t="shared" si="29"/>
        <v>39488.534444000004</v>
      </c>
      <c r="F62" s="171">
        <f t="shared" si="29"/>
        <v>39488.534444000004</v>
      </c>
      <c r="G62" s="171">
        <f t="shared" si="29"/>
        <v>39488.534444000004</v>
      </c>
      <c r="H62" s="171">
        <f t="shared" si="29"/>
        <v>39488.534444000004</v>
      </c>
      <c r="I62" s="171">
        <f t="shared" si="29"/>
        <v>39488.534444000004</v>
      </c>
      <c r="J62" s="171">
        <f t="shared" si="29"/>
        <v>39488.534444000004</v>
      </c>
      <c r="K62" s="171">
        <f t="shared" si="29"/>
        <v>39488.534444000004</v>
      </c>
      <c r="L62" s="171">
        <f t="shared" si="29"/>
        <v>39488.534444000004</v>
      </c>
    </row>
    <row r="63" spans="2:12" ht="19.5" customHeight="1">
      <c r="B63" s="11" t="s">
        <v>364</v>
      </c>
      <c r="C63" s="171">
        <f aca="true" t="shared" si="30" ref="C63:L63">SUM(C59,C60)</f>
        <v>1403060.085125</v>
      </c>
      <c r="D63" s="171">
        <f t="shared" si="30"/>
        <v>97625.93498330002</v>
      </c>
      <c r="E63" s="171">
        <f t="shared" si="30"/>
        <v>90296.2138639</v>
      </c>
      <c r="F63" s="171">
        <f t="shared" si="30"/>
        <v>83534.4785139</v>
      </c>
      <c r="G63" s="171">
        <f t="shared" si="30"/>
        <v>77259.5881091</v>
      </c>
      <c r="H63" s="171">
        <f t="shared" si="30"/>
        <v>71471.5426495</v>
      </c>
      <c r="I63" s="171">
        <f t="shared" si="30"/>
        <v>66102.7247816</v>
      </c>
      <c r="J63" s="171">
        <f t="shared" si="30"/>
        <v>61153.134505400005</v>
      </c>
      <c r="K63" s="171">
        <f t="shared" si="30"/>
        <v>60341.7262634</v>
      </c>
      <c r="L63" s="171">
        <f t="shared" si="30"/>
        <v>60328.2027927</v>
      </c>
    </row>
    <row r="64" spans="2:12" ht="19.5" customHeight="1">
      <c r="B64" s="2" t="s">
        <v>9</v>
      </c>
      <c r="C64" s="8">
        <f>Input!$B$6</f>
        <v>0.0015</v>
      </c>
      <c r="D64" s="8">
        <f aca="true" t="shared" si="31" ref="D64:I64">C64</f>
        <v>0.0015</v>
      </c>
      <c r="E64" s="8">
        <f t="shared" si="31"/>
        <v>0.0015</v>
      </c>
      <c r="F64" s="8">
        <f t="shared" si="31"/>
        <v>0.0015</v>
      </c>
      <c r="G64" s="8">
        <f t="shared" si="31"/>
        <v>0.0015</v>
      </c>
      <c r="H64" s="8">
        <f t="shared" si="31"/>
        <v>0.0015</v>
      </c>
      <c r="I64" s="8">
        <f t="shared" si="31"/>
        <v>0.0015</v>
      </c>
      <c r="J64" s="8">
        <f>I64</f>
        <v>0.0015</v>
      </c>
      <c r="K64" s="8">
        <f>J64</f>
        <v>0.0015</v>
      </c>
      <c r="L64" s="8">
        <f>K64</f>
        <v>0.0015</v>
      </c>
    </row>
    <row r="65" spans="2:12" ht="19.5" customHeight="1">
      <c r="B65" s="4" t="s">
        <v>363</v>
      </c>
      <c r="C65" s="171">
        <f aca="true" t="shared" si="32" ref="C65:L65">(C63-C62)*C53</f>
        <v>539326.246529408</v>
      </c>
      <c r="D65" s="171">
        <f t="shared" si="32"/>
        <v>22479.40729252574</v>
      </c>
      <c r="E65" s="171">
        <f t="shared" si="32"/>
        <v>19645.29732449853</v>
      </c>
      <c r="F65" s="171">
        <f t="shared" si="32"/>
        <v>17030.80473406753</v>
      </c>
      <c r="G65" s="171">
        <f t="shared" si="32"/>
        <v>14604.555610147565</v>
      </c>
      <c r="H65" s="171">
        <f t="shared" si="32"/>
        <v>12366.549952738626</v>
      </c>
      <c r="I65" s="171">
        <f t="shared" si="32"/>
        <v>10290.642835936413</v>
      </c>
      <c r="J65" s="171">
        <f t="shared" si="32"/>
        <v>8376.834259740923</v>
      </c>
      <c r="K65" s="171">
        <f t="shared" si="32"/>
        <v>8063.0951488892015</v>
      </c>
      <c r="L65" s="171">
        <f t="shared" si="32"/>
        <v>8057.86616370834</v>
      </c>
    </row>
    <row r="66" spans="2:12" ht="19.5" customHeight="1">
      <c r="B66" s="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9.5" customHeight="1">
      <c r="B67" s="10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9.5" customHeight="1">
      <c r="B68" s="5" t="s">
        <v>16</v>
      </c>
      <c r="C68" s="169">
        <f aca="true" t="shared" si="33" ref="C68:I68">C50</f>
        <v>2704694.14</v>
      </c>
      <c r="D68" s="169">
        <f t="shared" si="33"/>
        <v>2704694.14</v>
      </c>
      <c r="E68" s="169">
        <f t="shared" si="33"/>
        <v>2704694.14</v>
      </c>
      <c r="F68" s="169">
        <f t="shared" si="33"/>
        <v>2704694.14</v>
      </c>
      <c r="G68" s="169">
        <f t="shared" si="33"/>
        <v>2704694.14</v>
      </c>
      <c r="H68" s="169">
        <f t="shared" si="33"/>
        <v>2704694.14</v>
      </c>
      <c r="I68" s="169">
        <f t="shared" si="33"/>
        <v>2704694.14</v>
      </c>
      <c r="J68" s="169">
        <f>J50</f>
        <v>2704694.14</v>
      </c>
      <c r="K68" s="169">
        <f>K50</f>
        <v>2704694.14</v>
      </c>
      <c r="L68" s="169">
        <f>L50</f>
        <v>2704694.14</v>
      </c>
    </row>
    <row r="69" spans="1:12" ht="19.5" customHeight="1">
      <c r="A69" s="3"/>
      <c r="B69" s="4" t="s">
        <v>44</v>
      </c>
      <c r="C69" s="170">
        <v>0</v>
      </c>
      <c r="D69" s="170">
        <f aca="true" t="shared" si="34" ref="D69:L69">C69</f>
        <v>0</v>
      </c>
      <c r="E69" s="170">
        <f t="shared" si="34"/>
        <v>0</v>
      </c>
      <c r="F69" s="170">
        <f t="shared" si="34"/>
        <v>0</v>
      </c>
      <c r="G69" s="170">
        <f t="shared" si="34"/>
        <v>0</v>
      </c>
      <c r="H69" s="170">
        <f t="shared" si="34"/>
        <v>0</v>
      </c>
      <c r="I69" s="170">
        <f t="shared" si="34"/>
        <v>0</v>
      </c>
      <c r="J69" s="170">
        <f t="shared" si="34"/>
        <v>0</v>
      </c>
      <c r="K69" s="170">
        <f t="shared" si="34"/>
        <v>0</v>
      </c>
      <c r="L69" s="170">
        <f t="shared" si="34"/>
        <v>0</v>
      </c>
    </row>
    <row r="70" spans="2:12" ht="19.5" customHeight="1">
      <c r="B70" s="2" t="s">
        <v>10</v>
      </c>
      <c r="C70" s="170">
        <f aca="true" t="shared" si="35" ref="C70:I70">-C55</f>
        <v>-8226.778009166666</v>
      </c>
      <c r="D70" s="170">
        <f t="shared" si="35"/>
        <v>-47715.31245316667</v>
      </c>
      <c r="E70" s="170">
        <f t="shared" si="35"/>
        <v>-87203.84689716667</v>
      </c>
      <c r="F70" s="170">
        <f t="shared" si="35"/>
        <v>-126692.38134116668</v>
      </c>
      <c r="G70" s="170">
        <f t="shared" si="35"/>
        <v>-166180.91578516667</v>
      </c>
      <c r="H70" s="170">
        <f t="shared" si="35"/>
        <v>-205669.45022916666</v>
      </c>
      <c r="I70" s="170">
        <f t="shared" si="35"/>
        <v>-245157.98467316665</v>
      </c>
      <c r="J70" s="170">
        <f>-J55</f>
        <v>-284646.51911716664</v>
      </c>
      <c r="K70" s="170">
        <f>-K55</f>
        <v>-324135.0535611666</v>
      </c>
      <c r="L70" s="170">
        <f>-L55</f>
        <v>-363623.5880051666</v>
      </c>
    </row>
    <row r="71" spans="2:12" ht="19.5" customHeight="1">
      <c r="B71" s="2" t="s">
        <v>45</v>
      </c>
      <c r="C71" s="170">
        <v>0</v>
      </c>
      <c r="D71" s="170">
        <f aca="true" t="shared" si="36" ref="D71:L71">C71</f>
        <v>0</v>
      </c>
      <c r="E71" s="170">
        <f t="shared" si="36"/>
        <v>0</v>
      </c>
      <c r="F71" s="170">
        <f t="shared" si="36"/>
        <v>0</v>
      </c>
      <c r="G71" s="170">
        <f t="shared" si="36"/>
        <v>0</v>
      </c>
      <c r="H71" s="170">
        <f t="shared" si="36"/>
        <v>0</v>
      </c>
      <c r="I71" s="170">
        <f t="shared" si="36"/>
        <v>0</v>
      </c>
      <c r="J71" s="170">
        <f t="shared" si="36"/>
        <v>0</v>
      </c>
      <c r="K71" s="170">
        <f t="shared" si="36"/>
        <v>0</v>
      </c>
      <c r="L71" s="170">
        <f t="shared" si="36"/>
        <v>0</v>
      </c>
    </row>
    <row r="72" spans="2:12" ht="19.5" customHeight="1">
      <c r="B72" s="2" t="s">
        <v>46</v>
      </c>
      <c r="C72" s="170">
        <f aca="true" t="shared" si="37" ref="C72:I72">-C54</f>
        <v>-539326.246529408</v>
      </c>
      <c r="D72" s="170">
        <f t="shared" si="37"/>
        <v>-561805.6538219338</v>
      </c>
      <c r="E72" s="170">
        <f t="shared" si="37"/>
        <v>-581450.9511464323</v>
      </c>
      <c r="F72" s="170">
        <f t="shared" si="37"/>
        <v>-598481.7558804998</v>
      </c>
      <c r="G72" s="170">
        <f t="shared" si="37"/>
        <v>-613086.3114906474</v>
      </c>
      <c r="H72" s="170">
        <f t="shared" si="37"/>
        <v>-625452.861443386</v>
      </c>
      <c r="I72" s="170">
        <f t="shared" si="37"/>
        <v>-635743.5042793223</v>
      </c>
      <c r="J72" s="170">
        <f>-J54</f>
        <v>-644120.3385390632</v>
      </c>
      <c r="K72" s="170">
        <f>-K54</f>
        <v>-652183.4336879525</v>
      </c>
      <c r="L72" s="170">
        <f>-L54</f>
        <v>-660241.2998516608</v>
      </c>
    </row>
    <row r="73" spans="2:12" ht="19.5" customHeight="1">
      <c r="B73" s="2" t="s">
        <v>47</v>
      </c>
      <c r="C73" s="170">
        <v>0</v>
      </c>
      <c r="D73" s="170">
        <f aca="true" t="shared" si="38" ref="D73:L73">C73</f>
        <v>0</v>
      </c>
      <c r="E73" s="170">
        <f t="shared" si="38"/>
        <v>0</v>
      </c>
      <c r="F73" s="170">
        <f t="shared" si="38"/>
        <v>0</v>
      </c>
      <c r="G73" s="170">
        <f t="shared" si="38"/>
        <v>0</v>
      </c>
      <c r="H73" s="170">
        <f t="shared" si="38"/>
        <v>0</v>
      </c>
      <c r="I73" s="170">
        <f t="shared" si="38"/>
        <v>0</v>
      </c>
      <c r="J73" s="170">
        <f t="shared" si="38"/>
        <v>0</v>
      </c>
      <c r="K73" s="170">
        <f t="shared" si="38"/>
        <v>0</v>
      </c>
      <c r="L73" s="170">
        <f t="shared" si="38"/>
        <v>0</v>
      </c>
    </row>
    <row r="74" spans="2:12" ht="19.5" customHeight="1">
      <c r="B74" s="2" t="s">
        <v>11</v>
      </c>
      <c r="C74" s="170">
        <f aca="true" t="shared" si="39" ref="C74:I74">SUM(C68:C73)</f>
        <v>2157141.115461426</v>
      </c>
      <c r="D74" s="170">
        <f t="shared" si="39"/>
        <v>2095173.1737248998</v>
      </c>
      <c r="E74" s="170">
        <f t="shared" si="39"/>
        <v>2036039.3419564012</v>
      </c>
      <c r="F74" s="170">
        <f t="shared" si="39"/>
        <v>1979520.0027783336</v>
      </c>
      <c r="G74" s="170">
        <f t="shared" si="39"/>
        <v>1925426.9127241857</v>
      </c>
      <c r="H74" s="170">
        <f t="shared" si="39"/>
        <v>1873571.8283274476</v>
      </c>
      <c r="I74" s="170">
        <f t="shared" si="39"/>
        <v>1823792.651047511</v>
      </c>
      <c r="J74" s="170">
        <f>SUM(J68:J73)</f>
        <v>1775927.2823437701</v>
      </c>
      <c r="K74" s="170">
        <f>SUM(K68:K73)</f>
        <v>1728375.6527508814</v>
      </c>
      <c r="L74" s="170">
        <f>SUM(L68:L73)</f>
        <v>1680829.2521431728</v>
      </c>
    </row>
    <row r="75" spans="2:12" ht="19.5" customHeight="1">
      <c r="B75" s="2" t="s">
        <v>12</v>
      </c>
      <c r="C75" s="7">
        <f aca="true" t="shared" si="40" ref="C75:I75">C61</f>
        <v>0.10152297909805327</v>
      </c>
      <c r="D75" s="7">
        <f t="shared" si="40"/>
        <v>0.10152297909805327</v>
      </c>
      <c r="E75" s="7">
        <f t="shared" si="40"/>
        <v>0.10152297909805327</v>
      </c>
      <c r="F75" s="7">
        <f t="shared" si="40"/>
        <v>0.10152297909805327</v>
      </c>
      <c r="G75" s="7">
        <f t="shared" si="40"/>
        <v>0.10152297909805327</v>
      </c>
      <c r="H75" s="7">
        <f t="shared" si="40"/>
        <v>0.10152297909805327</v>
      </c>
      <c r="I75" s="7">
        <f t="shared" si="40"/>
        <v>0.10152297909805327</v>
      </c>
      <c r="J75" s="7">
        <f>J61</f>
        <v>0.10152297909805327</v>
      </c>
      <c r="K75" s="7">
        <f>K61</f>
        <v>0.10152297909805327</v>
      </c>
      <c r="L75" s="7">
        <f>L61</f>
        <v>0.10152297909805327</v>
      </c>
    </row>
    <row r="76" spans="2:12" ht="19.5" customHeight="1">
      <c r="B76" s="34" t="s">
        <v>58</v>
      </c>
      <c r="C76" s="174">
        <f aca="true" t="shared" si="41" ref="C76:I76">C74*C75</f>
        <v>218999.39237654165</v>
      </c>
      <c r="D76" s="174">
        <f t="shared" si="41"/>
        <v>212708.22232287494</v>
      </c>
      <c r="E76" s="174">
        <f t="shared" si="41"/>
        <v>206704.77955625387</v>
      </c>
      <c r="F76" s="174">
        <f t="shared" si="41"/>
        <v>200966.7678662431</v>
      </c>
      <c r="G76" s="174">
        <f t="shared" si="41"/>
        <v>195475.07621532676</v>
      </c>
      <c r="H76" s="174">
        <f t="shared" si="41"/>
        <v>190210.59356598894</v>
      </c>
      <c r="I76" s="174">
        <f t="shared" si="41"/>
        <v>185156.86319147964</v>
      </c>
      <c r="J76" s="174">
        <f>J74*J75</f>
        <v>180297.42836504913</v>
      </c>
      <c r="K76" s="174">
        <f>K74*K75</f>
        <v>175469.8452678119</v>
      </c>
      <c r="L76" s="174">
        <f>L74*L75</f>
        <v>170642.79303272784</v>
      </c>
    </row>
    <row r="77" spans="1:12" ht="19.5" customHeight="1">
      <c r="A77" s="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3" ht="19.5" customHeight="1">
      <c r="B78" s="1" t="s">
        <v>52</v>
      </c>
      <c r="C78" s="170">
        <v>0</v>
      </c>
      <c r="D78" s="170">
        <f>C78</f>
        <v>0</v>
      </c>
      <c r="E78" s="170">
        <f aca="true" t="shared" si="42" ref="E78:L78">D78</f>
        <v>0</v>
      </c>
      <c r="F78" s="170">
        <f t="shared" si="42"/>
        <v>0</v>
      </c>
      <c r="G78" s="170">
        <f t="shared" si="42"/>
        <v>0</v>
      </c>
      <c r="H78" s="170">
        <f t="shared" si="42"/>
        <v>0</v>
      </c>
      <c r="I78" s="170">
        <f t="shared" si="42"/>
        <v>0</v>
      </c>
      <c r="J78" s="170">
        <f t="shared" si="42"/>
        <v>0</v>
      </c>
      <c r="K78" s="170">
        <f t="shared" si="42"/>
        <v>0</v>
      </c>
      <c r="L78" s="170">
        <f t="shared" si="42"/>
        <v>0</v>
      </c>
      <c r="M78" s="170"/>
    </row>
    <row r="79" spans="2:12" ht="19.5" customHeight="1">
      <c r="B79" s="2" t="s">
        <v>48</v>
      </c>
      <c r="C79" s="170">
        <f aca="true" t="shared" si="43" ref="C79:I79">C62</f>
        <v>8226.778009166666</v>
      </c>
      <c r="D79" s="170">
        <f t="shared" si="43"/>
        <v>39488.534444000004</v>
      </c>
      <c r="E79" s="170">
        <f t="shared" si="43"/>
        <v>39488.534444000004</v>
      </c>
      <c r="F79" s="170">
        <f t="shared" si="43"/>
        <v>39488.534444000004</v>
      </c>
      <c r="G79" s="170">
        <f t="shared" si="43"/>
        <v>39488.534444000004</v>
      </c>
      <c r="H79" s="170">
        <f t="shared" si="43"/>
        <v>39488.534444000004</v>
      </c>
      <c r="I79" s="170">
        <f t="shared" si="43"/>
        <v>39488.534444000004</v>
      </c>
      <c r="J79" s="170">
        <f>J62</f>
        <v>39488.534444000004</v>
      </c>
      <c r="K79" s="170">
        <f>K62</f>
        <v>39488.534444000004</v>
      </c>
      <c r="L79" s="170">
        <f>L62</f>
        <v>39488.534444000004</v>
      </c>
    </row>
    <row r="80" spans="2:12" ht="19.5" customHeight="1">
      <c r="B80" s="2" t="s">
        <v>49</v>
      </c>
      <c r="C80" s="170">
        <v>0</v>
      </c>
      <c r="D80" s="170">
        <f aca="true" t="shared" si="44" ref="D80:L80">C80</f>
        <v>0</v>
      </c>
      <c r="E80" s="170">
        <f t="shared" si="44"/>
        <v>0</v>
      </c>
      <c r="F80" s="170">
        <f t="shared" si="44"/>
        <v>0</v>
      </c>
      <c r="G80" s="170">
        <f t="shared" si="44"/>
        <v>0</v>
      </c>
      <c r="H80" s="170">
        <f t="shared" si="44"/>
        <v>0</v>
      </c>
      <c r="I80" s="170">
        <f t="shared" si="44"/>
        <v>0</v>
      </c>
      <c r="J80" s="170">
        <f t="shared" si="44"/>
        <v>0</v>
      </c>
      <c r="K80" s="170">
        <f t="shared" si="44"/>
        <v>0</v>
      </c>
      <c r="L80" s="170">
        <f t="shared" si="44"/>
        <v>0</v>
      </c>
    </row>
    <row r="81" spans="2:12" ht="19.5" customHeight="1">
      <c r="B81" s="2" t="s">
        <v>50</v>
      </c>
      <c r="C81" s="170">
        <v>0</v>
      </c>
      <c r="D81" s="170">
        <f aca="true" t="shared" si="45" ref="D81:L81">D64*(C68+C70)</f>
        <v>4044.7010429862507</v>
      </c>
      <c r="E81" s="170">
        <f t="shared" si="45"/>
        <v>3985.4682413202504</v>
      </c>
      <c r="F81" s="170">
        <f t="shared" si="45"/>
        <v>3926.23543965425</v>
      </c>
      <c r="G81" s="170">
        <f t="shared" si="45"/>
        <v>3867.00263798825</v>
      </c>
      <c r="H81" s="170">
        <f t="shared" si="45"/>
        <v>3807.76983632225</v>
      </c>
      <c r="I81" s="170">
        <f t="shared" si="45"/>
        <v>3748.5370346562504</v>
      </c>
      <c r="J81" s="170">
        <f t="shared" si="45"/>
        <v>3689.3042329902505</v>
      </c>
      <c r="K81" s="170">
        <f t="shared" si="45"/>
        <v>3630.07143132425</v>
      </c>
      <c r="L81" s="170">
        <f t="shared" si="45"/>
        <v>3570.8386296582507</v>
      </c>
    </row>
    <row r="82" spans="2:12" ht="19.5" customHeight="1">
      <c r="B82" s="21" t="s">
        <v>51</v>
      </c>
      <c r="C82" s="174">
        <f aca="true" t="shared" si="46" ref="C82:I82">SUM(C78:C81)</f>
        <v>8226.778009166666</v>
      </c>
      <c r="D82" s="174">
        <f t="shared" si="46"/>
        <v>43533.235486986254</v>
      </c>
      <c r="E82" s="174">
        <f t="shared" si="46"/>
        <v>43474.00268532026</v>
      </c>
      <c r="F82" s="174">
        <f t="shared" si="46"/>
        <v>43414.769883654255</v>
      </c>
      <c r="G82" s="174">
        <f t="shared" si="46"/>
        <v>43355.53708198825</v>
      </c>
      <c r="H82" s="174">
        <f t="shared" si="46"/>
        <v>43296.304280322256</v>
      </c>
      <c r="I82" s="174">
        <f t="shared" si="46"/>
        <v>43237.07147865625</v>
      </c>
      <c r="J82" s="174">
        <f>SUM(J78:J81)</f>
        <v>43177.83867699026</v>
      </c>
      <c r="K82" s="174">
        <f>SUM(K78:K81)</f>
        <v>43118.605875324254</v>
      </c>
      <c r="L82" s="174">
        <f>SUM(L78:L81)</f>
        <v>43059.37307365826</v>
      </c>
    </row>
    <row r="83" spans="3:12" ht="19.5" customHeight="1">
      <c r="C83" s="34"/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t="19.5" customHeight="1">
      <c r="B84" s="1" t="s">
        <v>59</v>
      </c>
      <c r="C84" s="170">
        <f aca="true" t="shared" si="47" ref="C84:I84">C76+C82</f>
        <v>227226.17038570833</v>
      </c>
      <c r="D84" s="170">
        <f t="shared" si="47"/>
        <v>256241.4578098612</v>
      </c>
      <c r="E84" s="170">
        <f t="shared" si="47"/>
        <v>250178.78224157414</v>
      </c>
      <c r="F84" s="170">
        <f t="shared" si="47"/>
        <v>244381.53774989737</v>
      </c>
      <c r="G84" s="170">
        <f t="shared" si="47"/>
        <v>238830.61329731502</v>
      </c>
      <c r="H84" s="170">
        <f t="shared" si="47"/>
        <v>233506.89784631119</v>
      </c>
      <c r="I84" s="170">
        <f t="shared" si="47"/>
        <v>228393.9346701359</v>
      </c>
      <c r="J84" s="170">
        <f>J76+J82</f>
        <v>223475.26704203937</v>
      </c>
      <c r="K84" s="170">
        <f>K76+K82</f>
        <v>218588.45114313616</v>
      </c>
      <c r="L84" s="170">
        <f>L76+L82</f>
        <v>213702.1661063861</v>
      </c>
    </row>
    <row r="85" ht="19.5" customHeight="1"/>
    <row r="86" ht="19.5" customHeight="1"/>
    <row r="87" spans="2:12" ht="19.5" customHeight="1">
      <c r="B87" s="11"/>
      <c r="C87" s="212" t="s">
        <v>266</v>
      </c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9.5" customHeight="1">
      <c r="A88" s="28"/>
      <c r="B88" s="28"/>
      <c r="C88" s="29">
        <f>C4</f>
        <v>2016</v>
      </c>
      <c r="D88" s="29">
        <f aca="true" t="shared" si="48" ref="D88:L88">C88+1</f>
        <v>2017</v>
      </c>
      <c r="E88" s="29">
        <f t="shared" si="48"/>
        <v>2018</v>
      </c>
      <c r="F88" s="29">
        <f t="shared" si="48"/>
        <v>2019</v>
      </c>
      <c r="G88" s="29">
        <f t="shared" si="48"/>
        <v>2020</v>
      </c>
      <c r="H88" s="29">
        <f t="shared" si="48"/>
        <v>2021</v>
      </c>
      <c r="I88" s="29">
        <f t="shared" si="48"/>
        <v>2022</v>
      </c>
      <c r="J88" s="29">
        <f t="shared" si="48"/>
        <v>2023</v>
      </c>
      <c r="K88" s="29">
        <f t="shared" si="48"/>
        <v>2024</v>
      </c>
      <c r="L88" s="29">
        <f t="shared" si="48"/>
        <v>2025</v>
      </c>
    </row>
    <row r="89" spans="1:12" ht="19.5" customHeight="1">
      <c r="A89" s="258">
        <v>2016</v>
      </c>
      <c r="B89" s="28" t="s">
        <v>43</v>
      </c>
      <c r="C89" s="209">
        <v>1</v>
      </c>
      <c r="D89" s="209">
        <f aca="true" t="shared" si="49" ref="D89:L89">C89+1</f>
        <v>2</v>
      </c>
      <c r="E89" s="209">
        <f t="shared" si="49"/>
        <v>3</v>
      </c>
      <c r="F89" s="209">
        <f t="shared" si="49"/>
        <v>4</v>
      </c>
      <c r="G89" s="209">
        <f t="shared" si="49"/>
        <v>5</v>
      </c>
      <c r="H89" s="209">
        <f t="shared" si="49"/>
        <v>6</v>
      </c>
      <c r="I89" s="209">
        <f t="shared" si="49"/>
        <v>7</v>
      </c>
      <c r="J89" s="209">
        <f t="shared" si="49"/>
        <v>8</v>
      </c>
      <c r="K89" s="209">
        <f t="shared" si="49"/>
        <v>9</v>
      </c>
      <c r="L89" s="209">
        <f t="shared" si="49"/>
        <v>10</v>
      </c>
    </row>
    <row r="90" spans="1:12" ht="19.5" customHeight="1">
      <c r="A90" s="3"/>
      <c r="B90" s="211" t="s">
        <v>27</v>
      </c>
      <c r="C90" s="13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9.5" customHeight="1">
      <c r="A91" s="60" t="s">
        <v>308</v>
      </c>
      <c r="B91" s="10" t="s">
        <v>392</v>
      </c>
      <c r="C91" s="172">
        <f>VLOOKUP(C$4,'Cash Flows-KU'!$B$28:$H$38,$A92)</f>
        <v>2704694.14</v>
      </c>
      <c r="D91" s="172">
        <f>VLOOKUP(D$4,'Cash Flows-KU'!$B$28:$H$38,$A92)</f>
        <v>0</v>
      </c>
      <c r="E91" s="172">
        <f>VLOOKUP(E$4,'Cash Flows-KU'!$B$28:$H$38,$A92)</f>
        <v>0</v>
      </c>
      <c r="F91" s="172">
        <f>VLOOKUP(F$4,'Cash Flows-KU'!$B$28:$H$38,$A92)</f>
        <v>0</v>
      </c>
      <c r="G91" s="172">
        <f>VLOOKUP(G$4,'Cash Flows-KU'!$B$28:$H$38,$A92)</f>
        <v>0</v>
      </c>
      <c r="H91" s="172">
        <f>VLOOKUP(H$4,'Cash Flows-KU'!$B$28:$H$38,$A92)</f>
        <v>0</v>
      </c>
      <c r="I91" s="172">
        <f>VLOOKUP(I$4,'Cash Flows-KU'!$B$28:$H$38,$A92)</f>
        <v>0</v>
      </c>
      <c r="J91" s="172">
        <f>VLOOKUP(J$4,'Cash Flows-KU'!$B$28:$H$38,$A92)</f>
        <v>0</v>
      </c>
      <c r="K91" s="172">
        <f>VLOOKUP(K$4,'Cash Flows-KU'!$B$28:$H$38,$A92)</f>
        <v>0</v>
      </c>
      <c r="L91" s="172">
        <f>VLOOKUP(L$4,'Cash Flows-KU'!$B$28:$H$38,$A92)</f>
        <v>0</v>
      </c>
    </row>
    <row r="92" spans="1:13" ht="19.5" customHeight="1">
      <c r="A92" s="3">
        <v>4</v>
      </c>
      <c r="B92" s="40" t="s">
        <v>57</v>
      </c>
      <c r="C92" s="172">
        <f>SUM($C91:C91)</f>
        <v>2704694.14</v>
      </c>
      <c r="D92" s="172">
        <f>SUM($C91:D91)</f>
        <v>2704694.14</v>
      </c>
      <c r="E92" s="172">
        <f>SUM($C91:E91)</f>
        <v>2704694.14</v>
      </c>
      <c r="F92" s="172">
        <f>SUM($C91:F91)</f>
        <v>2704694.14</v>
      </c>
      <c r="G92" s="172">
        <f>SUM($C91:G91)</f>
        <v>2704694.14</v>
      </c>
      <c r="H92" s="172">
        <f>SUM($C91:H91)</f>
        <v>2704694.14</v>
      </c>
      <c r="I92" s="172">
        <f>SUM($C91:I91)</f>
        <v>2704694.14</v>
      </c>
      <c r="J92" s="172">
        <f>SUM($C91:J91)</f>
        <v>2704694.14</v>
      </c>
      <c r="K92" s="172">
        <f>SUM($C91:K91)</f>
        <v>2704694.14</v>
      </c>
      <c r="L92" s="172">
        <f>SUM($C91:L91)</f>
        <v>2704694.14</v>
      </c>
      <c r="M92" s="18"/>
    </row>
    <row r="93" spans="1:12" ht="19.5" customHeight="1">
      <c r="A93" s="3">
        <v>2</v>
      </c>
      <c r="B93" s="5" t="s">
        <v>0</v>
      </c>
      <c r="C93" s="6">
        <f>IF(C89="",0,VLOOKUP($B90,Depreciation!$D$2:$E$31,$A93,FALSE))</f>
        <v>0.02</v>
      </c>
      <c r="D93" s="6">
        <f>IF(D89="",0,VLOOKUP($B90,Depreciation!$D$2:$E$31,$A93,FALSE))</f>
        <v>0.02</v>
      </c>
      <c r="E93" s="6">
        <f>IF(E89="",0,VLOOKUP($B90,Depreciation!$D$2:$E$31,$A93,FALSE))</f>
        <v>0.02</v>
      </c>
      <c r="F93" s="6">
        <f>IF(F89="",0,VLOOKUP($B90,Depreciation!$D$2:$E$31,$A93,FALSE))</f>
        <v>0.02</v>
      </c>
      <c r="G93" s="6">
        <f>IF(G89="",0,VLOOKUP($B90,Depreciation!$D$2:$E$31,$A93,FALSE))</f>
        <v>0.02</v>
      </c>
      <c r="H93" s="6">
        <f>IF(H89="",0,VLOOKUP($B90,Depreciation!$D$2:$E$31,$A93,FALSE))</f>
        <v>0.02</v>
      </c>
      <c r="I93" s="6">
        <f>IF(I89="",0,VLOOKUP($B90,Depreciation!$D$2:$E$31,$A93,FALSE))</f>
        <v>0.02</v>
      </c>
      <c r="J93" s="6">
        <f>IF(J89="",0,VLOOKUP($B90,Depreciation!$D$2:$E$31,$A93,FALSE))</f>
        <v>0.02</v>
      </c>
      <c r="K93" s="6">
        <f>IF(K89="",0,VLOOKUP($B90,Depreciation!$D$2:$E$31,$A93,FALSE))</f>
        <v>0.02</v>
      </c>
      <c r="L93" s="6">
        <f>IF(L89="",0,VLOOKUP($B90,Depreciation!$D$2:$E$31,$A93,FALSE))</f>
        <v>0.02</v>
      </c>
    </row>
    <row r="94" spans="1:12" ht="19.5" customHeight="1">
      <c r="A94" s="3">
        <v>2</v>
      </c>
      <c r="B94" s="5" t="s">
        <v>1</v>
      </c>
      <c r="C94" s="6">
        <f>IF(C89="",0,VLOOKUP(C89,Depreciation!$A$2:$C$58,$A94,FALSE))</f>
        <v>0.0375</v>
      </c>
      <c r="D94" s="6">
        <f>IF(D89="",0,VLOOKUP(D89,Depreciation!$A$2:$C$58,$A94,FALSE))</f>
        <v>0.07219</v>
      </c>
      <c r="E94" s="6">
        <f>IF(E89="",0,VLOOKUP(E89,Depreciation!$A$2:$C$58,$A94,FALSE))</f>
        <v>0.06677</v>
      </c>
      <c r="F94" s="6">
        <f>IF(F89="",0,VLOOKUP(F89,Depreciation!$A$2:$C$58,$A94,FALSE))</f>
        <v>0.06177</v>
      </c>
      <c r="G94" s="6">
        <f>IF(G89="",0,VLOOKUP(G89,Depreciation!$A$2:$C$58,$A94,FALSE))</f>
        <v>0.05713</v>
      </c>
      <c r="H94" s="6">
        <f>IF(H89="",0,VLOOKUP(H89,Depreciation!$A$2:$C$58,$A94,FALSE))</f>
        <v>0.05285</v>
      </c>
      <c r="I94" s="6">
        <f>IF(I89="",0,VLOOKUP(I89,Depreciation!$A$2:$C$58,$A94,FALSE))</f>
        <v>0.04888</v>
      </c>
      <c r="J94" s="6">
        <f>IF(J89="",0,VLOOKUP(J89,Depreciation!$A$2:$C$58,$A94,FALSE))</f>
        <v>0.04522</v>
      </c>
      <c r="K94" s="6">
        <f>IF(K89="",0,VLOOKUP(K89,Depreciation!$A$2:$C$58,$A94,FALSE))</f>
        <v>0.04462</v>
      </c>
      <c r="L94" s="6">
        <f>IF(L89="",0,VLOOKUP(L89,Depreciation!$A$2:$C$58,$A94,FALSE))</f>
        <v>0.04461</v>
      </c>
    </row>
    <row r="95" spans="1:12" ht="19.5" customHeight="1">
      <c r="A95" s="71"/>
      <c r="B95" s="31" t="s">
        <v>2</v>
      </c>
      <c r="C95" s="7">
        <f>Input!B$3</f>
        <v>0.38665999999999995</v>
      </c>
      <c r="D95" s="7">
        <f>Input!C$3</f>
        <v>0.38665999999999995</v>
      </c>
      <c r="E95" s="7">
        <f>Input!D$3</f>
        <v>0.38665999999999995</v>
      </c>
      <c r="F95" s="7">
        <f>Input!E$3</f>
        <v>0.38665999999999995</v>
      </c>
      <c r="G95" s="7">
        <f>Input!F$3</f>
        <v>0.38665999999999995</v>
      </c>
      <c r="H95" s="7">
        <f>Input!G$3</f>
        <v>0.38665999999999995</v>
      </c>
      <c r="I95" s="7">
        <f>Input!H$3</f>
        <v>0.38665999999999995</v>
      </c>
      <c r="J95" s="7">
        <f>Input!I$3</f>
        <v>0.38665999999999995</v>
      </c>
      <c r="K95" s="7">
        <f>Input!J$3</f>
        <v>0.38665999999999995</v>
      </c>
      <c r="L95" s="7">
        <f>Input!K$3</f>
        <v>0.38665999999999995</v>
      </c>
    </row>
    <row r="96" spans="1:12" ht="19.5" customHeight="1">
      <c r="A96" s="3"/>
      <c r="B96" s="2" t="s">
        <v>3</v>
      </c>
      <c r="C96" s="170">
        <f>SUM($C107:C107)</f>
        <v>538149.7248637141</v>
      </c>
      <c r="D96" s="170">
        <f>SUM($C107:D107)</f>
        <v>554981.8281609089</v>
      </c>
      <c r="E96" s="170">
        <f>SUM($C107:E107)</f>
        <v>568979.8214900765</v>
      </c>
      <c r="F96" s="170">
        <f>SUM($C107:F107)</f>
        <v>580363.3222288131</v>
      </c>
      <c r="G96" s="170">
        <f>SUM($C107:G107)</f>
        <v>589320.5738436297</v>
      </c>
      <c r="H96" s="170">
        <f>SUM($C107:H107)</f>
        <v>596039.8198010373</v>
      </c>
      <c r="I96" s="170">
        <f>SUM($C107:I107)</f>
        <v>600683.1586416428</v>
      </c>
      <c r="J96" s="170">
        <f>SUM($C107:J107)</f>
        <v>603412.6889060527</v>
      </c>
      <c r="K96" s="170">
        <f>SUM($C107:K107)</f>
        <v>605828.480059611</v>
      </c>
      <c r="L96" s="170">
        <f>SUM($C107:L107)</f>
        <v>608239.0422279884</v>
      </c>
    </row>
    <row r="97" spans="2:12" ht="19.5" customHeight="1">
      <c r="B97" s="2" t="s">
        <v>4</v>
      </c>
      <c r="C97" s="170">
        <f>SUM($C99:C99)</f>
        <v>11269.558916666667</v>
      </c>
      <c r="D97" s="170">
        <f>SUM($C99:D99)</f>
        <v>65363.441716666675</v>
      </c>
      <c r="E97" s="170">
        <f>SUM($C99:E99)</f>
        <v>119457.32451666667</v>
      </c>
      <c r="F97" s="170">
        <f>SUM($C99:F99)</f>
        <v>173551.20731666667</v>
      </c>
      <c r="G97" s="170">
        <f>SUM($C99:G99)</f>
        <v>227645.0901166667</v>
      </c>
      <c r="H97" s="170">
        <f>SUM($C99:H99)</f>
        <v>281738.9729166667</v>
      </c>
      <c r="I97" s="170">
        <f>SUM($C99:I99)</f>
        <v>335832.85571666673</v>
      </c>
      <c r="J97" s="170">
        <f>SUM($C99:J99)</f>
        <v>389926.73851666675</v>
      </c>
      <c r="K97" s="170">
        <f>SUM($C99:K99)</f>
        <v>444020.6213166668</v>
      </c>
      <c r="L97" s="170">
        <f>SUM($C99:L99)</f>
        <v>498114.5041166668</v>
      </c>
    </row>
    <row r="98" spans="2:12" ht="19.5" customHeight="1">
      <c r="B98" s="11" t="s">
        <v>5</v>
      </c>
      <c r="C98" s="170">
        <f>C91</f>
        <v>2704694.14</v>
      </c>
      <c r="D98" s="170">
        <f>C98+D91</f>
        <v>2704694.14</v>
      </c>
      <c r="E98" s="170">
        <f aca="true" t="shared" si="50" ref="E98:L98">D98+E91</f>
        <v>2704694.14</v>
      </c>
      <c r="F98" s="170">
        <f t="shared" si="50"/>
        <v>2704694.14</v>
      </c>
      <c r="G98" s="170">
        <f t="shared" si="50"/>
        <v>2704694.14</v>
      </c>
      <c r="H98" s="170">
        <f t="shared" si="50"/>
        <v>2704694.14</v>
      </c>
      <c r="I98" s="170">
        <f t="shared" si="50"/>
        <v>2704694.14</v>
      </c>
      <c r="J98" s="170">
        <f t="shared" si="50"/>
        <v>2704694.14</v>
      </c>
      <c r="K98" s="170">
        <f t="shared" si="50"/>
        <v>2704694.14</v>
      </c>
      <c r="L98" s="170">
        <f t="shared" si="50"/>
        <v>2704694.14</v>
      </c>
    </row>
    <row r="99" spans="1:12" ht="19.5" customHeight="1">
      <c r="A99" s="214" t="s">
        <v>359</v>
      </c>
      <c r="B99" s="11" t="s">
        <v>6</v>
      </c>
      <c r="C99" s="170">
        <f aca="true" t="shared" si="51" ref="C99:L99">IF(C89=1,(12.5-VLOOKUP(C87,$Q$5:$R$16,2,))*C93/12*C98,C98*C93)</f>
        <v>11269.558916666667</v>
      </c>
      <c r="D99" s="170">
        <f t="shared" si="51"/>
        <v>54093.88280000001</v>
      </c>
      <c r="E99" s="170">
        <f t="shared" si="51"/>
        <v>54093.88280000001</v>
      </c>
      <c r="F99" s="170">
        <f t="shared" si="51"/>
        <v>54093.88280000001</v>
      </c>
      <c r="G99" s="170">
        <f t="shared" si="51"/>
        <v>54093.88280000001</v>
      </c>
      <c r="H99" s="170">
        <f t="shared" si="51"/>
        <v>54093.88280000001</v>
      </c>
      <c r="I99" s="170">
        <f t="shared" si="51"/>
        <v>54093.88280000001</v>
      </c>
      <c r="J99" s="170">
        <f t="shared" si="51"/>
        <v>54093.88280000001</v>
      </c>
      <c r="K99" s="170">
        <f t="shared" si="51"/>
        <v>54093.88280000001</v>
      </c>
      <c r="L99" s="170">
        <f t="shared" si="51"/>
        <v>54093.88280000001</v>
      </c>
    </row>
    <row r="100" spans="2:12" ht="19.5" customHeight="1">
      <c r="B100" s="5" t="s">
        <v>7</v>
      </c>
      <c r="C100" s="170">
        <f>C91</f>
        <v>2704694.14</v>
      </c>
      <c r="D100" s="170">
        <f aca="true" t="shared" si="52" ref="D100:L100">C100+D91</f>
        <v>2704694.14</v>
      </c>
      <c r="E100" s="170">
        <f t="shared" si="52"/>
        <v>2704694.14</v>
      </c>
      <c r="F100" s="170">
        <f t="shared" si="52"/>
        <v>2704694.14</v>
      </c>
      <c r="G100" s="170">
        <f t="shared" si="52"/>
        <v>2704694.14</v>
      </c>
      <c r="H100" s="170">
        <f t="shared" si="52"/>
        <v>2704694.14</v>
      </c>
      <c r="I100" s="170">
        <f t="shared" si="52"/>
        <v>2704694.14</v>
      </c>
      <c r="J100" s="170">
        <f t="shared" si="52"/>
        <v>2704694.14</v>
      </c>
      <c r="K100" s="170">
        <f t="shared" si="52"/>
        <v>2704694.14</v>
      </c>
      <c r="L100" s="170">
        <f t="shared" si="52"/>
        <v>2704694.14</v>
      </c>
    </row>
    <row r="101" spans="2:12" ht="19.5" customHeight="1">
      <c r="B101" s="213" t="s">
        <v>361</v>
      </c>
      <c r="C101" s="170">
        <f>IF(C89=1,IF($A99="Bonus",SUM($C91:C91)*VLOOKUP(C88,Depreciation!$D$41:$E$50,2),0),0)</f>
        <v>1352347.07</v>
      </c>
      <c r="D101" s="170">
        <f>IF(D89=1,IF($A99="Bonus",SUM($C91:D91)*VLOOKUP(D88,Depreciation!$D$41:$E$50,2),0),0)</f>
        <v>0</v>
      </c>
      <c r="E101" s="170">
        <f>IF(E89=1,IF($A99="Bonus",SUM($C91:E91)*VLOOKUP(E88,Depreciation!$D$41:$E$50,2),0),0)</f>
        <v>0</v>
      </c>
      <c r="F101" s="170">
        <f>IF(F89=1,IF($A99="Bonus",SUM($C91:F91)*VLOOKUP(F88,Depreciation!$D$41:$E$50,2),0),0)</f>
        <v>0</v>
      </c>
      <c r="G101" s="170">
        <f>IF(G89=1,IF($A99="Bonus",SUM($C91:G91)*VLOOKUP(G88,Depreciation!$D$41:$E$50,2),0),0)</f>
        <v>0</v>
      </c>
      <c r="H101" s="170">
        <f>IF(H89=1,IF($A99="Bonus",SUM($C91:H91)*VLOOKUP(H88,Depreciation!$D$41:$E$50,2),0),0)</f>
        <v>0</v>
      </c>
      <c r="I101" s="170">
        <f>IF(I89=1,IF($A99="Bonus",SUM($C91:I91)*VLOOKUP(I88,Depreciation!$D$41:$E$50,2),0),0)</f>
        <v>0</v>
      </c>
      <c r="J101" s="170">
        <f>IF(J89=1,IF($A99="Bonus",SUM($C91:J91)*VLOOKUP(J88,Depreciation!$D$41:$E$50,2),0),0)</f>
        <v>0</v>
      </c>
      <c r="K101" s="170">
        <f>IF(K89=1,IF($A99="Bonus",SUM($C91:K91)*VLOOKUP(K88,Depreciation!$D$41:$E$50,2),0),0)</f>
        <v>0</v>
      </c>
      <c r="L101" s="170">
        <f>IF(L89=1,IF($A99="Bonus",SUM($C91:L91)*VLOOKUP(L88,Depreciation!$D$41:$E$50,2),0),0)</f>
        <v>0</v>
      </c>
    </row>
    <row r="102" spans="2:12" ht="19.5" customHeight="1">
      <c r="B102" s="5" t="s">
        <v>362</v>
      </c>
      <c r="C102" s="170">
        <f>IF(C89&gt;=1,IF($A99="Bonus",C92*(1-VLOOKUP($A89,Depreciation!$D$41:$N$50,C88-2014))*C94,C92*C94),C92*C94)</f>
        <v>50713.015125</v>
      </c>
      <c r="D102" s="170">
        <f>IF(D89&gt;=1,IF($A99="Bonus",D92*(1-VLOOKUP($A89,Depreciation!$D$41:$N$50,D88-2014))*D94,D92*D94),D92*D94)</f>
        <v>97625.93498330002</v>
      </c>
      <c r="E102" s="170">
        <f>IF(E89&gt;=1,IF($A99="Bonus",E92*(1-VLOOKUP($A89,Depreciation!$D$41:$N$50,E88-2014))*E94,E92*E94),E92*E94)</f>
        <v>90296.2138639</v>
      </c>
      <c r="F102" s="170">
        <f>IF(F89&gt;=1,IF($A99="Bonus",F92*(1-VLOOKUP($A89,Depreciation!$D$41:$N$50,F88-2014))*F94,F92*F94),F92*F94)</f>
        <v>83534.4785139</v>
      </c>
      <c r="G102" s="170">
        <f>IF(G89&gt;=1,IF($A99="Bonus",G92*(1-VLOOKUP($A89,Depreciation!$D$41:$N$50,G88-2014))*G94,G92*G94),G92*G94)</f>
        <v>77259.5881091</v>
      </c>
      <c r="H102" s="170">
        <f>IF(H89&gt;=1,IF($A99="Bonus",H92*(1-VLOOKUP($A89,Depreciation!$D$41:$N$50,H88-2014))*H94,H92*H94),H92*H94)</f>
        <v>71471.5426495</v>
      </c>
      <c r="I102" s="170">
        <f>IF(I89&gt;=1,IF($A99="Bonus",I92*(1-VLOOKUP($A89,Depreciation!$D$41:$N$50,I88-2014))*I94,I92*I94),I92*I94)</f>
        <v>66102.7247816</v>
      </c>
      <c r="J102" s="170">
        <f>IF(J89&gt;=1,IF($A99="Bonus",J92*(1-VLOOKUP($A89,Depreciation!$D$41:$N$50,J88-2014))*J94,J92*J94),J92*J94)</f>
        <v>61153.134505400005</v>
      </c>
      <c r="K102" s="170">
        <f>IF(K89&gt;=1,IF($A99="Bonus",K92*(1-VLOOKUP($A89,Depreciation!$D$41:$N$50,K88-2014))*K94,K92*K94),K92*K94)</f>
        <v>60341.7262634</v>
      </c>
      <c r="L102" s="170">
        <f>IF(L89&gt;=1,IF($A99="Bonus",L92*(1-VLOOKUP($A89,Depreciation!$D$41:$N$50,L88-2014))*L94,L92*L94),L92*L94)</f>
        <v>60328.2027927</v>
      </c>
    </row>
    <row r="103" spans="2:12" ht="19.5" customHeight="1">
      <c r="B103" s="5" t="s">
        <v>17</v>
      </c>
      <c r="C103" s="7">
        <f>Input!J$31</f>
        <v>0.10152297909805327</v>
      </c>
      <c r="D103" s="7">
        <f>Input!K$31</f>
        <v>0.10152297909805327</v>
      </c>
      <c r="E103" s="7">
        <f>Input!L$31</f>
        <v>0.10152297909805327</v>
      </c>
      <c r="F103" s="7">
        <f>Input!M$31</f>
        <v>0.10152297909805327</v>
      </c>
      <c r="G103" s="7">
        <f>Input!N$31</f>
        <v>0.10152297909805327</v>
      </c>
      <c r="H103" s="7">
        <f>Input!O$31</f>
        <v>0.10152297909805327</v>
      </c>
      <c r="I103" s="7">
        <f>Input!P$31</f>
        <v>0.10152297909805327</v>
      </c>
      <c r="J103" s="7">
        <f>Input!Q$31</f>
        <v>0.10152297909805327</v>
      </c>
      <c r="K103" s="7">
        <f>Input!R$31</f>
        <v>0.10152297909805327</v>
      </c>
      <c r="L103" s="7">
        <f>Input!S$31</f>
        <v>0.10152297909805327</v>
      </c>
    </row>
    <row r="104" spans="2:12" ht="19.5" customHeight="1">
      <c r="B104" s="5" t="s">
        <v>8</v>
      </c>
      <c r="C104" s="171">
        <f>C99</f>
        <v>11269.558916666667</v>
      </c>
      <c r="D104" s="171">
        <f aca="true" t="shared" si="53" ref="D104:L104">D99</f>
        <v>54093.88280000001</v>
      </c>
      <c r="E104" s="171">
        <f t="shared" si="53"/>
        <v>54093.88280000001</v>
      </c>
      <c r="F104" s="171">
        <f t="shared" si="53"/>
        <v>54093.88280000001</v>
      </c>
      <c r="G104" s="171">
        <f t="shared" si="53"/>
        <v>54093.88280000001</v>
      </c>
      <c r="H104" s="171">
        <f t="shared" si="53"/>
        <v>54093.88280000001</v>
      </c>
      <c r="I104" s="171">
        <f t="shared" si="53"/>
        <v>54093.88280000001</v>
      </c>
      <c r="J104" s="171">
        <f t="shared" si="53"/>
        <v>54093.88280000001</v>
      </c>
      <c r="K104" s="171">
        <f t="shared" si="53"/>
        <v>54093.88280000001</v>
      </c>
      <c r="L104" s="171">
        <f t="shared" si="53"/>
        <v>54093.88280000001</v>
      </c>
    </row>
    <row r="105" spans="2:12" ht="19.5" customHeight="1">
      <c r="B105" s="11" t="s">
        <v>364</v>
      </c>
      <c r="C105" s="171">
        <f aca="true" t="shared" si="54" ref="C105:L105">SUM(C101,C102)</f>
        <v>1403060.085125</v>
      </c>
      <c r="D105" s="171">
        <f t="shared" si="54"/>
        <v>97625.93498330002</v>
      </c>
      <c r="E105" s="171">
        <f t="shared" si="54"/>
        <v>90296.2138639</v>
      </c>
      <c r="F105" s="171">
        <f t="shared" si="54"/>
        <v>83534.4785139</v>
      </c>
      <c r="G105" s="171">
        <f t="shared" si="54"/>
        <v>77259.5881091</v>
      </c>
      <c r="H105" s="171">
        <f t="shared" si="54"/>
        <v>71471.5426495</v>
      </c>
      <c r="I105" s="171">
        <f t="shared" si="54"/>
        <v>66102.7247816</v>
      </c>
      <c r="J105" s="171">
        <f t="shared" si="54"/>
        <v>61153.134505400005</v>
      </c>
      <c r="K105" s="171">
        <f t="shared" si="54"/>
        <v>60341.7262634</v>
      </c>
      <c r="L105" s="171">
        <f t="shared" si="54"/>
        <v>60328.2027927</v>
      </c>
    </row>
    <row r="106" spans="2:12" ht="19.5" customHeight="1">
      <c r="B106" s="2" t="s">
        <v>9</v>
      </c>
      <c r="C106" s="8">
        <f>Input!$B$6</f>
        <v>0.0015</v>
      </c>
      <c r="D106" s="8">
        <f aca="true" t="shared" si="55" ref="D106:I106">C106</f>
        <v>0.0015</v>
      </c>
      <c r="E106" s="8">
        <f t="shared" si="55"/>
        <v>0.0015</v>
      </c>
      <c r="F106" s="8">
        <f t="shared" si="55"/>
        <v>0.0015</v>
      </c>
      <c r="G106" s="8">
        <f t="shared" si="55"/>
        <v>0.0015</v>
      </c>
      <c r="H106" s="8">
        <f t="shared" si="55"/>
        <v>0.0015</v>
      </c>
      <c r="I106" s="8">
        <f t="shared" si="55"/>
        <v>0.0015</v>
      </c>
      <c r="J106" s="8">
        <f>I106</f>
        <v>0.0015</v>
      </c>
      <c r="K106" s="8">
        <f>J106</f>
        <v>0.0015</v>
      </c>
      <c r="L106" s="8">
        <f>K106</f>
        <v>0.0015</v>
      </c>
    </row>
    <row r="107" spans="2:12" ht="19.5" customHeight="1">
      <c r="B107" s="4" t="s">
        <v>363</v>
      </c>
      <c r="C107" s="171">
        <f aca="true" t="shared" si="56" ref="C107:L107">(C105-C104)*C95</f>
        <v>538149.7248637141</v>
      </c>
      <c r="D107" s="171">
        <f t="shared" si="56"/>
        <v>16832.10329719478</v>
      </c>
      <c r="E107" s="171">
        <f t="shared" si="56"/>
        <v>13997.993329167572</v>
      </c>
      <c r="F107" s="171">
        <f t="shared" si="56"/>
        <v>11383.500738736571</v>
      </c>
      <c r="G107" s="171">
        <f t="shared" si="56"/>
        <v>8957.251614816603</v>
      </c>
      <c r="H107" s="171">
        <f t="shared" si="56"/>
        <v>6719.2459574076665</v>
      </c>
      <c r="I107" s="171">
        <f t="shared" si="56"/>
        <v>4643.338840605454</v>
      </c>
      <c r="J107" s="171">
        <f t="shared" si="56"/>
        <v>2729.530264409963</v>
      </c>
      <c r="K107" s="171">
        <f t="shared" si="56"/>
        <v>2415.791153558241</v>
      </c>
      <c r="L107" s="171">
        <f t="shared" si="56"/>
        <v>2410.5621683773797</v>
      </c>
    </row>
    <row r="108" spans="2:12" ht="19.5" customHeight="1"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9.5" customHeight="1">
      <c r="B109" s="10" t="s">
        <v>15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9.5" customHeight="1">
      <c r="B110" s="5" t="s">
        <v>16</v>
      </c>
      <c r="C110" s="169">
        <f aca="true" t="shared" si="57" ref="C110:I110">C92</f>
        <v>2704694.14</v>
      </c>
      <c r="D110" s="169">
        <f t="shared" si="57"/>
        <v>2704694.14</v>
      </c>
      <c r="E110" s="169">
        <f t="shared" si="57"/>
        <v>2704694.14</v>
      </c>
      <c r="F110" s="169">
        <f t="shared" si="57"/>
        <v>2704694.14</v>
      </c>
      <c r="G110" s="169">
        <f t="shared" si="57"/>
        <v>2704694.14</v>
      </c>
      <c r="H110" s="169">
        <f t="shared" si="57"/>
        <v>2704694.14</v>
      </c>
      <c r="I110" s="169">
        <f t="shared" si="57"/>
        <v>2704694.14</v>
      </c>
      <c r="J110" s="169">
        <f>J92</f>
        <v>2704694.14</v>
      </c>
      <c r="K110" s="169">
        <f>K92</f>
        <v>2704694.14</v>
      </c>
      <c r="L110" s="169">
        <f>L92</f>
        <v>2704694.14</v>
      </c>
    </row>
    <row r="111" spans="1:12" ht="19.5" customHeight="1">
      <c r="A111" s="3"/>
      <c r="B111" s="4" t="s">
        <v>44</v>
      </c>
      <c r="C111" s="170">
        <v>0</v>
      </c>
      <c r="D111" s="170">
        <f aca="true" t="shared" si="58" ref="D111:L111">C111</f>
        <v>0</v>
      </c>
      <c r="E111" s="170">
        <f t="shared" si="58"/>
        <v>0</v>
      </c>
      <c r="F111" s="170">
        <f t="shared" si="58"/>
        <v>0</v>
      </c>
      <c r="G111" s="170">
        <f t="shared" si="58"/>
        <v>0</v>
      </c>
      <c r="H111" s="170">
        <f t="shared" si="58"/>
        <v>0</v>
      </c>
      <c r="I111" s="170">
        <f t="shared" si="58"/>
        <v>0</v>
      </c>
      <c r="J111" s="170">
        <f t="shared" si="58"/>
        <v>0</v>
      </c>
      <c r="K111" s="170">
        <f t="shared" si="58"/>
        <v>0</v>
      </c>
      <c r="L111" s="170">
        <f t="shared" si="58"/>
        <v>0</v>
      </c>
    </row>
    <row r="112" spans="2:12" ht="19.5" customHeight="1">
      <c r="B112" s="2" t="s">
        <v>10</v>
      </c>
      <c r="C112" s="170">
        <f aca="true" t="shared" si="59" ref="C112:I112">-C97</f>
        <v>-11269.558916666667</v>
      </c>
      <c r="D112" s="170">
        <f t="shared" si="59"/>
        <v>-65363.441716666675</v>
      </c>
      <c r="E112" s="170">
        <f t="shared" si="59"/>
        <v>-119457.32451666667</v>
      </c>
      <c r="F112" s="170">
        <f t="shared" si="59"/>
        <v>-173551.20731666667</v>
      </c>
      <c r="G112" s="170">
        <f t="shared" si="59"/>
        <v>-227645.0901166667</v>
      </c>
      <c r="H112" s="170">
        <f t="shared" si="59"/>
        <v>-281738.9729166667</v>
      </c>
      <c r="I112" s="170">
        <f t="shared" si="59"/>
        <v>-335832.85571666673</v>
      </c>
      <c r="J112" s="170">
        <f>-J97</f>
        <v>-389926.73851666675</v>
      </c>
      <c r="K112" s="170">
        <f>-K97</f>
        <v>-444020.6213166668</v>
      </c>
      <c r="L112" s="170">
        <f>-L97</f>
        <v>-498114.5041166668</v>
      </c>
    </row>
    <row r="113" spans="2:12" ht="19.5" customHeight="1">
      <c r="B113" s="2" t="s">
        <v>45</v>
      </c>
      <c r="C113" s="170">
        <v>0</v>
      </c>
      <c r="D113" s="170">
        <f aca="true" t="shared" si="60" ref="D113:L113">C113</f>
        <v>0</v>
      </c>
      <c r="E113" s="170">
        <f t="shared" si="60"/>
        <v>0</v>
      </c>
      <c r="F113" s="170">
        <f t="shared" si="60"/>
        <v>0</v>
      </c>
      <c r="G113" s="170">
        <f t="shared" si="60"/>
        <v>0</v>
      </c>
      <c r="H113" s="170">
        <f t="shared" si="60"/>
        <v>0</v>
      </c>
      <c r="I113" s="170">
        <f t="shared" si="60"/>
        <v>0</v>
      </c>
      <c r="J113" s="170">
        <f t="shared" si="60"/>
        <v>0</v>
      </c>
      <c r="K113" s="170">
        <f t="shared" si="60"/>
        <v>0</v>
      </c>
      <c r="L113" s="170">
        <f t="shared" si="60"/>
        <v>0</v>
      </c>
    </row>
    <row r="114" spans="2:12" ht="19.5" customHeight="1">
      <c r="B114" s="2" t="s">
        <v>46</v>
      </c>
      <c r="C114" s="170">
        <f aca="true" t="shared" si="61" ref="C114:I114">-C96</f>
        <v>-538149.7248637141</v>
      </c>
      <c r="D114" s="170">
        <f t="shared" si="61"/>
        <v>-554981.8281609089</v>
      </c>
      <c r="E114" s="170">
        <f t="shared" si="61"/>
        <v>-568979.8214900765</v>
      </c>
      <c r="F114" s="170">
        <f t="shared" si="61"/>
        <v>-580363.3222288131</v>
      </c>
      <c r="G114" s="170">
        <f t="shared" si="61"/>
        <v>-589320.5738436297</v>
      </c>
      <c r="H114" s="170">
        <f t="shared" si="61"/>
        <v>-596039.8198010373</v>
      </c>
      <c r="I114" s="170">
        <f t="shared" si="61"/>
        <v>-600683.1586416428</v>
      </c>
      <c r="J114" s="170">
        <f>-J96</f>
        <v>-603412.6889060527</v>
      </c>
      <c r="K114" s="170">
        <f>-K96</f>
        <v>-605828.480059611</v>
      </c>
      <c r="L114" s="170">
        <f>-L96</f>
        <v>-608239.0422279884</v>
      </c>
    </row>
    <row r="115" spans="2:12" ht="19.5" customHeight="1">
      <c r="B115" s="2" t="s">
        <v>47</v>
      </c>
      <c r="C115" s="170">
        <v>0</v>
      </c>
      <c r="D115" s="170">
        <f aca="true" t="shared" si="62" ref="D115:L115">C115</f>
        <v>0</v>
      </c>
      <c r="E115" s="170">
        <f t="shared" si="62"/>
        <v>0</v>
      </c>
      <c r="F115" s="170">
        <f t="shared" si="62"/>
        <v>0</v>
      </c>
      <c r="G115" s="170">
        <f t="shared" si="62"/>
        <v>0</v>
      </c>
      <c r="H115" s="170">
        <f t="shared" si="62"/>
        <v>0</v>
      </c>
      <c r="I115" s="170">
        <f t="shared" si="62"/>
        <v>0</v>
      </c>
      <c r="J115" s="170">
        <f t="shared" si="62"/>
        <v>0</v>
      </c>
      <c r="K115" s="170">
        <f t="shared" si="62"/>
        <v>0</v>
      </c>
      <c r="L115" s="170">
        <f t="shared" si="62"/>
        <v>0</v>
      </c>
    </row>
    <row r="116" spans="2:12" ht="19.5" customHeight="1">
      <c r="B116" s="2" t="s">
        <v>11</v>
      </c>
      <c r="C116" s="170">
        <f aca="true" t="shared" si="63" ref="C116:I116">SUM(C110:C115)</f>
        <v>2155274.8562196195</v>
      </c>
      <c r="D116" s="170">
        <f t="shared" si="63"/>
        <v>2084348.8701224243</v>
      </c>
      <c r="E116" s="170">
        <f t="shared" si="63"/>
        <v>2016256.9939932572</v>
      </c>
      <c r="F116" s="170">
        <f t="shared" si="63"/>
        <v>1950779.6104545202</v>
      </c>
      <c r="G116" s="170">
        <f t="shared" si="63"/>
        <v>1887728.476039704</v>
      </c>
      <c r="H116" s="170">
        <f t="shared" si="63"/>
        <v>1826915.347282296</v>
      </c>
      <c r="I116" s="170">
        <f t="shared" si="63"/>
        <v>1768178.1256416906</v>
      </c>
      <c r="J116" s="170">
        <f>SUM(J110:J115)</f>
        <v>1711354.7125772806</v>
      </c>
      <c r="K116" s="170">
        <f>SUM(K110:K115)</f>
        <v>1654845.0386237223</v>
      </c>
      <c r="L116" s="170">
        <f>SUM(L110:L115)</f>
        <v>1598340.5936553448</v>
      </c>
    </row>
    <row r="117" spans="2:12" ht="19.5" customHeight="1">
      <c r="B117" s="2" t="s">
        <v>12</v>
      </c>
      <c r="C117" s="7">
        <f aca="true" t="shared" si="64" ref="C117:I117">C103</f>
        <v>0.10152297909805327</v>
      </c>
      <c r="D117" s="7">
        <f t="shared" si="64"/>
        <v>0.10152297909805327</v>
      </c>
      <c r="E117" s="7">
        <f t="shared" si="64"/>
        <v>0.10152297909805327</v>
      </c>
      <c r="F117" s="7">
        <f t="shared" si="64"/>
        <v>0.10152297909805327</v>
      </c>
      <c r="G117" s="7">
        <f t="shared" si="64"/>
        <v>0.10152297909805327</v>
      </c>
      <c r="H117" s="7">
        <f t="shared" si="64"/>
        <v>0.10152297909805327</v>
      </c>
      <c r="I117" s="7">
        <f t="shared" si="64"/>
        <v>0.10152297909805327</v>
      </c>
      <c r="J117" s="7">
        <f>J103</f>
        <v>0.10152297909805327</v>
      </c>
      <c r="K117" s="7">
        <f>K103</f>
        <v>0.10152297909805327</v>
      </c>
      <c r="L117" s="7">
        <f>L103</f>
        <v>0.10152297909805327</v>
      </c>
    </row>
    <row r="118" spans="2:12" ht="19.5" customHeight="1">
      <c r="B118" s="34" t="s">
        <v>58</v>
      </c>
      <c r="C118" s="174">
        <f aca="true" t="shared" si="65" ref="C118:I118">C116*C117</f>
        <v>218809.9241785442</v>
      </c>
      <c r="D118" s="174">
        <f t="shared" si="65"/>
        <v>211609.30677448984</v>
      </c>
      <c r="E118" s="174">
        <f t="shared" si="65"/>
        <v>204696.41665748117</v>
      </c>
      <c r="F118" s="174">
        <f t="shared" si="65"/>
        <v>198048.95761708275</v>
      </c>
      <c r="G118" s="174">
        <f t="shared" si="65"/>
        <v>191647.81861577882</v>
      </c>
      <c r="H118" s="174">
        <f t="shared" si="65"/>
        <v>185473.88861605327</v>
      </c>
      <c r="I118" s="174">
        <f t="shared" si="65"/>
        <v>179510.71089115637</v>
      </c>
      <c r="J118" s="174">
        <f>J116*J117</f>
        <v>173741.82871433822</v>
      </c>
      <c r="K118" s="174">
        <f>K116*K117</f>
        <v>168004.7982667133</v>
      </c>
      <c r="L118" s="174">
        <f>L116*L117</f>
        <v>162268.29868124163</v>
      </c>
    </row>
    <row r="119" spans="1:12" ht="19.5" customHeight="1">
      <c r="A119" s="3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ht="19.5" customHeight="1">
      <c r="B120" s="1" t="s">
        <v>52</v>
      </c>
      <c r="C120" s="170">
        <v>0</v>
      </c>
      <c r="D120" s="170">
        <f>C120</f>
        <v>0</v>
      </c>
      <c r="E120" s="170">
        <f aca="true" t="shared" si="66" ref="E120:L120">D120</f>
        <v>0</v>
      </c>
      <c r="F120" s="170">
        <f t="shared" si="66"/>
        <v>0</v>
      </c>
      <c r="G120" s="170">
        <f t="shared" si="66"/>
        <v>0</v>
      </c>
      <c r="H120" s="170">
        <f t="shared" si="66"/>
        <v>0</v>
      </c>
      <c r="I120" s="170">
        <f t="shared" si="66"/>
        <v>0</v>
      </c>
      <c r="J120" s="170">
        <f t="shared" si="66"/>
        <v>0</v>
      </c>
      <c r="K120" s="170">
        <f t="shared" si="66"/>
        <v>0</v>
      </c>
      <c r="L120" s="170">
        <f t="shared" si="66"/>
        <v>0</v>
      </c>
    </row>
    <row r="121" spans="2:12" ht="19.5" customHeight="1">
      <c r="B121" s="2" t="s">
        <v>48</v>
      </c>
      <c r="C121" s="170">
        <f aca="true" t="shared" si="67" ref="C121:I121">C104</f>
        <v>11269.558916666667</v>
      </c>
      <c r="D121" s="170">
        <f t="shared" si="67"/>
        <v>54093.88280000001</v>
      </c>
      <c r="E121" s="170">
        <f t="shared" si="67"/>
        <v>54093.88280000001</v>
      </c>
      <c r="F121" s="170">
        <f t="shared" si="67"/>
        <v>54093.88280000001</v>
      </c>
      <c r="G121" s="170">
        <f t="shared" si="67"/>
        <v>54093.88280000001</v>
      </c>
      <c r="H121" s="170">
        <f t="shared" si="67"/>
        <v>54093.88280000001</v>
      </c>
      <c r="I121" s="170">
        <f t="shared" si="67"/>
        <v>54093.88280000001</v>
      </c>
      <c r="J121" s="170">
        <f>J104</f>
        <v>54093.88280000001</v>
      </c>
      <c r="K121" s="170">
        <f>K104</f>
        <v>54093.88280000001</v>
      </c>
      <c r="L121" s="170">
        <f>L104</f>
        <v>54093.88280000001</v>
      </c>
    </row>
    <row r="122" spans="2:12" ht="19.5" customHeight="1">
      <c r="B122" s="2" t="s">
        <v>49</v>
      </c>
      <c r="C122" s="170">
        <v>0</v>
      </c>
      <c r="D122" s="170">
        <f aca="true" t="shared" si="68" ref="D122:L122">C122</f>
        <v>0</v>
      </c>
      <c r="E122" s="170">
        <f t="shared" si="68"/>
        <v>0</v>
      </c>
      <c r="F122" s="170">
        <f t="shared" si="68"/>
        <v>0</v>
      </c>
      <c r="G122" s="170">
        <f t="shared" si="68"/>
        <v>0</v>
      </c>
      <c r="H122" s="170">
        <f t="shared" si="68"/>
        <v>0</v>
      </c>
      <c r="I122" s="170">
        <f t="shared" si="68"/>
        <v>0</v>
      </c>
      <c r="J122" s="170">
        <f t="shared" si="68"/>
        <v>0</v>
      </c>
      <c r="K122" s="170">
        <f t="shared" si="68"/>
        <v>0</v>
      </c>
      <c r="L122" s="170">
        <f t="shared" si="68"/>
        <v>0</v>
      </c>
    </row>
    <row r="123" spans="2:12" ht="19.5" customHeight="1">
      <c r="B123" s="2" t="s">
        <v>50</v>
      </c>
      <c r="C123" s="170">
        <v>0</v>
      </c>
      <c r="D123" s="170">
        <f aca="true" t="shared" si="69" ref="D123:L123">D106*(C110+C112)</f>
        <v>4040.1368716250004</v>
      </c>
      <c r="E123" s="170">
        <f t="shared" si="69"/>
        <v>3958.996047425</v>
      </c>
      <c r="F123" s="170">
        <f t="shared" si="69"/>
        <v>3877.8552232250004</v>
      </c>
      <c r="G123" s="170">
        <f t="shared" si="69"/>
        <v>3796.714399025</v>
      </c>
      <c r="H123" s="170">
        <f t="shared" si="69"/>
        <v>3715.5735748250004</v>
      </c>
      <c r="I123" s="170">
        <f t="shared" si="69"/>
        <v>3634.432750625</v>
      </c>
      <c r="J123" s="170">
        <f t="shared" si="69"/>
        <v>3553.2919264250004</v>
      </c>
      <c r="K123" s="170">
        <f t="shared" si="69"/>
        <v>3472.1511022249997</v>
      </c>
      <c r="L123" s="170">
        <f t="shared" si="69"/>
        <v>3391.0102780250004</v>
      </c>
    </row>
    <row r="124" spans="2:12" ht="19.5" customHeight="1">
      <c r="B124" s="21" t="s">
        <v>51</v>
      </c>
      <c r="C124" s="174">
        <f aca="true" t="shared" si="70" ref="C124:I124">SUM(C120:C123)</f>
        <v>11269.558916666667</v>
      </c>
      <c r="D124" s="174">
        <f t="shared" si="70"/>
        <v>58134.01967162501</v>
      </c>
      <c r="E124" s="174">
        <f t="shared" si="70"/>
        <v>58052.878847425</v>
      </c>
      <c r="F124" s="174">
        <f t="shared" si="70"/>
        <v>57971.73802322501</v>
      </c>
      <c r="G124" s="174">
        <f t="shared" si="70"/>
        <v>57890.597199025004</v>
      </c>
      <c r="H124" s="174">
        <f t="shared" si="70"/>
        <v>57809.45637482501</v>
      </c>
      <c r="I124" s="174">
        <f t="shared" si="70"/>
        <v>57728.315550625004</v>
      </c>
      <c r="J124" s="174">
        <f>SUM(J120:J123)</f>
        <v>57647.17472642501</v>
      </c>
      <c r="K124" s="174">
        <f>SUM(K120:K123)</f>
        <v>57566.033902225005</v>
      </c>
      <c r="L124" s="174">
        <f>SUM(L120:L123)</f>
        <v>57484.89307802501</v>
      </c>
    </row>
    <row r="125" spans="3:12" ht="19.5" customHeight="1">
      <c r="C125" s="34"/>
      <c r="D125" s="268"/>
      <c r="E125" s="268"/>
      <c r="F125" s="268"/>
      <c r="G125" s="268"/>
      <c r="H125" s="268"/>
      <c r="I125" s="268"/>
      <c r="J125" s="268"/>
      <c r="K125" s="268"/>
      <c r="L125" s="268"/>
    </row>
    <row r="126" spans="2:12" ht="19.5" customHeight="1">
      <c r="B126" s="1" t="s">
        <v>59</v>
      </c>
      <c r="C126" s="170">
        <f aca="true" t="shared" si="71" ref="C126:I126">C118+C124</f>
        <v>230079.48309521086</v>
      </c>
      <c r="D126" s="170">
        <f t="shared" si="71"/>
        <v>269743.32644611486</v>
      </c>
      <c r="E126" s="170">
        <f t="shared" si="71"/>
        <v>262749.29550490616</v>
      </c>
      <c r="F126" s="170">
        <f t="shared" si="71"/>
        <v>256020.69564030776</v>
      </c>
      <c r="G126" s="170">
        <f t="shared" si="71"/>
        <v>249538.41581480383</v>
      </c>
      <c r="H126" s="170">
        <f t="shared" si="71"/>
        <v>243283.34499087828</v>
      </c>
      <c r="I126" s="170">
        <f t="shared" si="71"/>
        <v>237239.02644178137</v>
      </c>
      <c r="J126" s="170">
        <f>J118+J124</f>
        <v>231389.00344076322</v>
      </c>
      <c r="K126" s="170">
        <f>K118+K124</f>
        <v>225570.8321689383</v>
      </c>
      <c r="L126" s="170">
        <f>L118+L124</f>
        <v>219753.19175926666</v>
      </c>
    </row>
    <row r="127" ht="19.5" customHeight="1"/>
    <row r="128" ht="19.5" customHeight="1"/>
    <row r="129" spans="2:12" ht="19.5" customHeight="1">
      <c r="B129" s="11"/>
      <c r="C129" s="212" t="s">
        <v>266</v>
      </c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9.5" customHeight="1">
      <c r="A130" s="28"/>
      <c r="B130" s="28"/>
      <c r="C130" s="29">
        <f>C4</f>
        <v>2016</v>
      </c>
      <c r="D130" s="29">
        <f aca="true" t="shared" si="72" ref="D130:L130">C130+1</f>
        <v>2017</v>
      </c>
      <c r="E130" s="29">
        <f t="shared" si="72"/>
        <v>2018</v>
      </c>
      <c r="F130" s="29">
        <f t="shared" si="72"/>
        <v>2019</v>
      </c>
      <c r="G130" s="29">
        <f t="shared" si="72"/>
        <v>2020</v>
      </c>
      <c r="H130" s="29">
        <f t="shared" si="72"/>
        <v>2021</v>
      </c>
      <c r="I130" s="29">
        <f t="shared" si="72"/>
        <v>2022</v>
      </c>
      <c r="J130" s="29">
        <f t="shared" si="72"/>
        <v>2023</v>
      </c>
      <c r="K130" s="29">
        <f t="shared" si="72"/>
        <v>2024</v>
      </c>
      <c r="L130" s="29">
        <f t="shared" si="72"/>
        <v>2025</v>
      </c>
    </row>
    <row r="131" spans="1:12" ht="19.5" customHeight="1">
      <c r="A131" s="258">
        <v>2016</v>
      </c>
      <c r="B131" s="28" t="s">
        <v>43</v>
      </c>
      <c r="C131" s="209">
        <v>1</v>
      </c>
      <c r="D131" s="209">
        <f aca="true" t="shared" si="73" ref="D131:L131">C131+1</f>
        <v>2</v>
      </c>
      <c r="E131" s="209">
        <f t="shared" si="73"/>
        <v>3</v>
      </c>
      <c r="F131" s="209">
        <f t="shared" si="73"/>
        <v>4</v>
      </c>
      <c r="G131" s="209">
        <f t="shared" si="73"/>
        <v>5</v>
      </c>
      <c r="H131" s="209">
        <f t="shared" si="73"/>
        <v>6</v>
      </c>
      <c r="I131" s="209">
        <f t="shared" si="73"/>
        <v>7</v>
      </c>
      <c r="J131" s="209">
        <f t="shared" si="73"/>
        <v>8</v>
      </c>
      <c r="K131" s="209">
        <f t="shared" si="73"/>
        <v>9</v>
      </c>
      <c r="L131" s="209">
        <f t="shared" si="73"/>
        <v>10</v>
      </c>
    </row>
    <row r="132" spans="1:12" ht="19.5" customHeight="1">
      <c r="A132" s="3"/>
      <c r="B132" s="211" t="s">
        <v>28</v>
      </c>
      <c r="C132" s="13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9.5" customHeight="1">
      <c r="A133" s="60" t="s">
        <v>308</v>
      </c>
      <c r="B133" s="10" t="s">
        <v>393</v>
      </c>
      <c r="C133" s="172">
        <f>VLOOKUP(C$4,'Cash Flows-KU'!$B$28:$H$38,$A134)</f>
        <v>2075316.5</v>
      </c>
      <c r="D133" s="172">
        <f>VLOOKUP(D$4,'Cash Flows-KU'!$B$28:$H$38,$A134)</f>
        <v>0</v>
      </c>
      <c r="E133" s="172">
        <f>VLOOKUP(E$4,'Cash Flows-KU'!$B$28:$H$38,$A134)</f>
        <v>0</v>
      </c>
      <c r="F133" s="172">
        <f>VLOOKUP(F$4,'Cash Flows-KU'!$B$28:$H$38,$A134)</f>
        <v>0</v>
      </c>
      <c r="G133" s="172">
        <f>VLOOKUP(G$4,'Cash Flows-KU'!$B$28:$H$38,$A134)</f>
        <v>0</v>
      </c>
      <c r="H133" s="172">
        <f>VLOOKUP(H$4,'Cash Flows-KU'!$B$28:$H$38,$A134)</f>
        <v>0</v>
      </c>
      <c r="I133" s="172">
        <f>VLOOKUP(I$4,'Cash Flows-KU'!$B$28:$H$38,$A134)</f>
        <v>0</v>
      </c>
      <c r="J133" s="172">
        <f>VLOOKUP(J$4,'Cash Flows-KU'!$B$28:$H$38,$A134)</f>
        <v>0</v>
      </c>
      <c r="K133" s="172">
        <f>VLOOKUP(K$4,'Cash Flows-KU'!$B$28:$H$38,$A134)</f>
        <v>0</v>
      </c>
      <c r="L133" s="172">
        <f>VLOOKUP(L$4,'Cash Flows-KU'!$B$28:$H$38,$A134)</f>
        <v>0</v>
      </c>
    </row>
    <row r="134" spans="1:13" ht="19.5" customHeight="1">
      <c r="A134" s="3">
        <v>5</v>
      </c>
      <c r="B134" s="40" t="s">
        <v>57</v>
      </c>
      <c r="C134" s="172">
        <f>SUM($C133:C133)</f>
        <v>2075316.5</v>
      </c>
      <c r="D134" s="172">
        <f>SUM($C133:D133)</f>
        <v>2075316.5</v>
      </c>
      <c r="E134" s="172">
        <f>SUM($C133:E133)</f>
        <v>2075316.5</v>
      </c>
      <c r="F134" s="172">
        <f>SUM($C133:F133)</f>
        <v>2075316.5</v>
      </c>
      <c r="G134" s="172">
        <f>SUM($C133:G133)</f>
        <v>2075316.5</v>
      </c>
      <c r="H134" s="172">
        <f>SUM($C133:H133)</f>
        <v>2075316.5</v>
      </c>
      <c r="I134" s="172">
        <f>SUM($C133:I133)</f>
        <v>2075316.5</v>
      </c>
      <c r="J134" s="172">
        <f>SUM($C133:J133)</f>
        <v>2075316.5</v>
      </c>
      <c r="K134" s="172">
        <f>SUM($C133:K133)</f>
        <v>2075316.5</v>
      </c>
      <c r="L134" s="172">
        <f>SUM($C133:L133)</f>
        <v>2075316.5</v>
      </c>
      <c r="M134" s="18"/>
    </row>
    <row r="135" spans="1:12" ht="19.5" customHeight="1">
      <c r="A135" s="3">
        <v>2</v>
      </c>
      <c r="B135" s="5" t="s">
        <v>0</v>
      </c>
      <c r="C135" s="6">
        <f>IF(C131="",0,VLOOKUP($B132,Depreciation!$D$2:$E$31,$A135,FALSE))</f>
        <v>0.0231</v>
      </c>
      <c r="D135" s="6">
        <f>IF(D131="",0,VLOOKUP($B132,Depreciation!$D$2:$E$31,$A135,FALSE))</f>
        <v>0.0231</v>
      </c>
      <c r="E135" s="6">
        <f>IF(E131="",0,VLOOKUP($B132,Depreciation!$D$2:$E$31,$A135,FALSE))</f>
        <v>0.0231</v>
      </c>
      <c r="F135" s="6">
        <f>IF(F131="",0,VLOOKUP($B132,Depreciation!$D$2:$E$31,$A135,FALSE))</f>
        <v>0.0231</v>
      </c>
      <c r="G135" s="6">
        <f>IF(G131="",0,VLOOKUP($B132,Depreciation!$D$2:$E$31,$A135,FALSE))</f>
        <v>0.0231</v>
      </c>
      <c r="H135" s="6">
        <f>IF(H131="",0,VLOOKUP($B132,Depreciation!$D$2:$E$31,$A135,FALSE))</f>
        <v>0.0231</v>
      </c>
      <c r="I135" s="6">
        <f>IF(I131="",0,VLOOKUP($B132,Depreciation!$D$2:$E$31,$A135,FALSE))</f>
        <v>0.0231</v>
      </c>
      <c r="J135" s="6">
        <f>IF(J131="",0,VLOOKUP($B132,Depreciation!$D$2:$E$31,$A135,FALSE))</f>
        <v>0.0231</v>
      </c>
      <c r="K135" s="6">
        <f>IF(K131="",0,VLOOKUP($B132,Depreciation!$D$2:$E$31,$A135,FALSE))</f>
        <v>0.0231</v>
      </c>
      <c r="L135" s="6">
        <f>IF(L131="",0,VLOOKUP($B132,Depreciation!$D$2:$E$31,$A135,FALSE))</f>
        <v>0.0231</v>
      </c>
    </row>
    <row r="136" spans="1:12" ht="19.5" customHeight="1">
      <c r="A136" s="3">
        <v>2</v>
      </c>
      <c r="B136" s="5" t="s">
        <v>1</v>
      </c>
      <c r="C136" s="6">
        <f>IF(C131="",0,VLOOKUP(C131,Depreciation!$A$2:$C$58,$A136,FALSE))</f>
        <v>0.0375</v>
      </c>
      <c r="D136" s="6">
        <f>IF(D131="",0,VLOOKUP(D131,Depreciation!$A$2:$C$58,$A136,FALSE))</f>
        <v>0.07219</v>
      </c>
      <c r="E136" s="6">
        <f>IF(E131="",0,VLOOKUP(E131,Depreciation!$A$2:$C$58,$A136,FALSE))</f>
        <v>0.06677</v>
      </c>
      <c r="F136" s="6">
        <f>IF(F131="",0,VLOOKUP(F131,Depreciation!$A$2:$C$58,$A136,FALSE))</f>
        <v>0.06177</v>
      </c>
      <c r="G136" s="6">
        <f>IF(G131="",0,VLOOKUP(G131,Depreciation!$A$2:$C$58,$A136,FALSE))</f>
        <v>0.05713</v>
      </c>
      <c r="H136" s="6">
        <f>IF(H131="",0,VLOOKUP(H131,Depreciation!$A$2:$C$58,$A136,FALSE))</f>
        <v>0.05285</v>
      </c>
      <c r="I136" s="6">
        <f>IF(I131="",0,VLOOKUP(I131,Depreciation!$A$2:$C$58,$A136,FALSE))</f>
        <v>0.04888</v>
      </c>
      <c r="J136" s="6">
        <f>IF(J131="",0,VLOOKUP(J131,Depreciation!$A$2:$C$58,$A136,FALSE))</f>
        <v>0.04522</v>
      </c>
      <c r="K136" s="6">
        <f>IF(K131="",0,VLOOKUP(K131,Depreciation!$A$2:$C$58,$A136,FALSE))</f>
        <v>0.04462</v>
      </c>
      <c r="L136" s="6">
        <f>IF(L131="",0,VLOOKUP(L131,Depreciation!$A$2:$C$58,$A136,FALSE))</f>
        <v>0.04461</v>
      </c>
    </row>
    <row r="137" spans="1:12" ht="19.5" customHeight="1">
      <c r="A137" s="71"/>
      <c r="B137" s="31" t="s">
        <v>2</v>
      </c>
      <c r="C137" s="7">
        <f>Input!B$3</f>
        <v>0.38665999999999995</v>
      </c>
      <c r="D137" s="7">
        <f>Input!C$3</f>
        <v>0.38665999999999995</v>
      </c>
      <c r="E137" s="7">
        <f>Input!D$3</f>
        <v>0.38665999999999995</v>
      </c>
      <c r="F137" s="7">
        <f>Input!E$3</f>
        <v>0.38665999999999995</v>
      </c>
      <c r="G137" s="7">
        <f>Input!F$3</f>
        <v>0.38665999999999995</v>
      </c>
      <c r="H137" s="7">
        <f>Input!G$3</f>
        <v>0.38665999999999995</v>
      </c>
      <c r="I137" s="7">
        <f>Input!H$3</f>
        <v>0.38665999999999995</v>
      </c>
      <c r="J137" s="7">
        <f>Input!I$3</f>
        <v>0.38665999999999995</v>
      </c>
      <c r="K137" s="7">
        <f>Input!J$3</f>
        <v>0.38665999999999995</v>
      </c>
      <c r="L137" s="7">
        <f>Input!K$3</f>
        <v>0.38665999999999995</v>
      </c>
    </row>
    <row r="138" spans="1:12" ht="19.5" customHeight="1">
      <c r="A138" s="3"/>
      <c r="B138" s="2" t="s">
        <v>3</v>
      </c>
      <c r="C138" s="170">
        <f>SUM($C149:C149)</f>
        <v>412404.97261809185</v>
      </c>
      <c r="D138" s="170">
        <f>SUM($C149:D149)</f>
        <v>422832.7048212724</v>
      </c>
      <c r="E138" s="170">
        <f>SUM($C149:E149)</f>
        <v>431085.81953537103</v>
      </c>
      <c r="F138" s="170">
        <f>SUM($C149:F149)</f>
        <v>437332.8295547447</v>
      </c>
      <c r="G138" s="170">
        <f>SUM($C149:G149)</f>
        <v>441718.17441741354</v>
      </c>
      <c r="H138" s="170">
        <f>SUM($C149:H149)</f>
        <v>444386.29366139777</v>
      </c>
      <c r="I138" s="170">
        <f>SUM($C149:I149)</f>
        <v>445461.56577777036</v>
      </c>
      <c r="J138" s="170">
        <f>SUM($C149:J149)</f>
        <v>445068.36925760424</v>
      </c>
      <c r="K138" s="170">
        <f>SUM($C149:K149)</f>
        <v>444434.4401740711</v>
      </c>
      <c r="L138" s="170">
        <f>SUM($C149:L149)</f>
        <v>443796.4988811486</v>
      </c>
    </row>
    <row r="139" spans="2:12" ht="19.5" customHeight="1">
      <c r="B139" s="2" t="s">
        <v>4</v>
      </c>
      <c r="C139" s="170">
        <f>SUM($C141:C141)</f>
        <v>9987.46065625</v>
      </c>
      <c r="D139" s="170">
        <f>SUM($C141:D141)</f>
        <v>57927.27180625</v>
      </c>
      <c r="E139" s="170">
        <f>SUM($C141:E141)</f>
        <v>105867.08295625</v>
      </c>
      <c r="F139" s="170">
        <f>SUM($C141:F141)</f>
        <v>153806.89410625</v>
      </c>
      <c r="G139" s="170">
        <f>SUM($C141:G141)</f>
        <v>201746.70525625</v>
      </c>
      <c r="H139" s="170">
        <f>SUM($C141:H141)</f>
        <v>249686.51640624998</v>
      </c>
      <c r="I139" s="170">
        <f>SUM($C141:I141)</f>
        <v>297626.32755625</v>
      </c>
      <c r="J139" s="170">
        <f>SUM($C141:J141)</f>
        <v>345566.13870625</v>
      </c>
      <c r="K139" s="170">
        <f>SUM($C141:K141)</f>
        <v>393505.94985625</v>
      </c>
      <c r="L139" s="170">
        <f>SUM($C141:L141)</f>
        <v>441445.76100625005</v>
      </c>
    </row>
    <row r="140" spans="2:12" ht="19.5" customHeight="1">
      <c r="B140" s="11" t="s">
        <v>5</v>
      </c>
      <c r="C140" s="170">
        <f>C133</f>
        <v>2075316.5</v>
      </c>
      <c r="D140" s="170">
        <f>C140+D133</f>
        <v>2075316.5</v>
      </c>
      <c r="E140" s="170">
        <f aca="true" t="shared" si="74" ref="E140:L140">D140+E133</f>
        <v>2075316.5</v>
      </c>
      <c r="F140" s="170">
        <f t="shared" si="74"/>
        <v>2075316.5</v>
      </c>
      <c r="G140" s="170">
        <f t="shared" si="74"/>
        <v>2075316.5</v>
      </c>
      <c r="H140" s="170">
        <f t="shared" si="74"/>
        <v>2075316.5</v>
      </c>
      <c r="I140" s="170">
        <f t="shared" si="74"/>
        <v>2075316.5</v>
      </c>
      <c r="J140" s="170">
        <f t="shared" si="74"/>
        <v>2075316.5</v>
      </c>
      <c r="K140" s="170">
        <f t="shared" si="74"/>
        <v>2075316.5</v>
      </c>
      <c r="L140" s="170">
        <f t="shared" si="74"/>
        <v>2075316.5</v>
      </c>
    </row>
    <row r="141" spans="1:12" ht="19.5" customHeight="1">
      <c r="A141" s="214" t="s">
        <v>359</v>
      </c>
      <c r="B141" s="11" t="s">
        <v>6</v>
      </c>
      <c r="C141" s="170">
        <f aca="true" t="shared" si="75" ref="C141:L141">IF(C131=1,(12.5-VLOOKUP(C129,$Q$5:$R$16,2,))*C135/12*C140,C140*C135)</f>
        <v>9987.46065625</v>
      </c>
      <c r="D141" s="170">
        <f t="shared" si="75"/>
        <v>47939.81115</v>
      </c>
      <c r="E141" s="170">
        <f t="shared" si="75"/>
        <v>47939.81115</v>
      </c>
      <c r="F141" s="170">
        <f t="shared" si="75"/>
        <v>47939.81115</v>
      </c>
      <c r="G141" s="170">
        <f t="shared" si="75"/>
        <v>47939.81115</v>
      </c>
      <c r="H141" s="170">
        <f t="shared" si="75"/>
        <v>47939.81115</v>
      </c>
      <c r="I141" s="170">
        <f t="shared" si="75"/>
        <v>47939.81115</v>
      </c>
      <c r="J141" s="170">
        <f t="shared" si="75"/>
        <v>47939.81115</v>
      </c>
      <c r="K141" s="170">
        <f t="shared" si="75"/>
        <v>47939.81115</v>
      </c>
      <c r="L141" s="170">
        <f t="shared" si="75"/>
        <v>47939.81115</v>
      </c>
    </row>
    <row r="142" spans="2:12" ht="19.5" customHeight="1">
      <c r="B142" s="5" t="s">
        <v>7</v>
      </c>
      <c r="C142" s="170">
        <f>C133</f>
        <v>2075316.5</v>
      </c>
      <c r="D142" s="170">
        <f aca="true" t="shared" si="76" ref="D142:L142">C142+D133</f>
        <v>2075316.5</v>
      </c>
      <c r="E142" s="170">
        <f t="shared" si="76"/>
        <v>2075316.5</v>
      </c>
      <c r="F142" s="170">
        <f t="shared" si="76"/>
        <v>2075316.5</v>
      </c>
      <c r="G142" s="170">
        <f t="shared" si="76"/>
        <v>2075316.5</v>
      </c>
      <c r="H142" s="170">
        <f t="shared" si="76"/>
        <v>2075316.5</v>
      </c>
      <c r="I142" s="170">
        <f t="shared" si="76"/>
        <v>2075316.5</v>
      </c>
      <c r="J142" s="170">
        <f t="shared" si="76"/>
        <v>2075316.5</v>
      </c>
      <c r="K142" s="170">
        <f t="shared" si="76"/>
        <v>2075316.5</v>
      </c>
      <c r="L142" s="170">
        <f t="shared" si="76"/>
        <v>2075316.5</v>
      </c>
    </row>
    <row r="143" spans="2:12" ht="19.5" customHeight="1">
      <c r="B143" s="213" t="s">
        <v>361</v>
      </c>
      <c r="C143" s="170">
        <f>IF(C131=1,IF($A141="Bonus",SUM($C133:C133)*VLOOKUP(C130,Depreciation!$D$41:$E$50,2),0),0)</f>
        <v>1037658.25</v>
      </c>
      <c r="D143" s="170">
        <f>IF(D131=1,IF($A141="Bonus",SUM($C133:D133)*VLOOKUP(D130,Depreciation!$D$41:$E$50,2),0),0)</f>
        <v>0</v>
      </c>
      <c r="E143" s="170">
        <f>IF(E131=1,IF($A141="Bonus",SUM($C133:E133)*VLOOKUP(E130,Depreciation!$D$41:$E$50,2),0),0)</f>
        <v>0</v>
      </c>
      <c r="F143" s="170">
        <f>IF(F131=1,IF($A141="Bonus",SUM($C133:F133)*VLOOKUP(F130,Depreciation!$D$41:$E$50,2),0),0)</f>
        <v>0</v>
      </c>
      <c r="G143" s="170">
        <f>IF(G131=1,IF($A141="Bonus",SUM($C133:G133)*VLOOKUP(G130,Depreciation!$D$41:$E$50,2),0),0)</f>
        <v>0</v>
      </c>
      <c r="H143" s="170">
        <f>IF(H131=1,IF($A141="Bonus",SUM($C133:H133)*VLOOKUP(H130,Depreciation!$D$41:$E$50,2),0),0)</f>
        <v>0</v>
      </c>
      <c r="I143" s="170">
        <f>IF(I131=1,IF($A141="Bonus",SUM($C133:I133)*VLOOKUP(I130,Depreciation!$D$41:$E$50,2),0),0)</f>
        <v>0</v>
      </c>
      <c r="J143" s="170">
        <f>IF(J131=1,IF($A141="Bonus",SUM($C133:J133)*VLOOKUP(J130,Depreciation!$D$41:$E$50,2),0),0)</f>
        <v>0</v>
      </c>
      <c r="K143" s="170">
        <f>IF(K131=1,IF($A141="Bonus",SUM($C133:K133)*VLOOKUP(K130,Depreciation!$D$41:$E$50,2),0),0)</f>
        <v>0</v>
      </c>
      <c r="L143" s="170">
        <f>IF(L131=1,IF($A141="Bonus",SUM($C133:L133)*VLOOKUP(L130,Depreciation!$D$41:$E$50,2),0),0)</f>
        <v>0</v>
      </c>
    </row>
    <row r="144" spans="2:12" ht="19.5" customHeight="1">
      <c r="B144" s="5" t="s">
        <v>362</v>
      </c>
      <c r="C144" s="170">
        <f>IF(C131&gt;=1,IF($A141="Bonus",C134*(1-VLOOKUP($A131,Depreciation!$D$41:$N$50,C130-2014))*C136,C134*C136),C134*C136)</f>
        <v>38912.184375</v>
      </c>
      <c r="D144" s="170">
        <f>IF(D131&gt;=1,IF($A141="Bonus",D134*(1-VLOOKUP($A131,Depreciation!$D$41:$N$50,D130-2014))*D136,D134*D136),D134*D136)</f>
        <v>74908.5490675</v>
      </c>
      <c r="E144" s="170">
        <f>IF(E131&gt;=1,IF($A141="Bonus",E134*(1-VLOOKUP($A131,Depreciation!$D$41:$N$50,E130-2014))*E136,E134*E136),E134*E136)</f>
        <v>69284.4413525</v>
      </c>
      <c r="F144" s="170">
        <f>IF(F131&gt;=1,IF($A141="Bonus",F134*(1-VLOOKUP($A131,Depreciation!$D$41:$N$50,F130-2014))*F136,F134*F136),F134*F136)</f>
        <v>64096.150102499996</v>
      </c>
      <c r="G144" s="170">
        <f>IF(G131&gt;=1,IF($A141="Bonus",G134*(1-VLOOKUP($A131,Depreciation!$D$41:$N$50,G130-2014))*G136,G134*G136),G134*G136)</f>
        <v>59281.4158225</v>
      </c>
      <c r="H144" s="170">
        <f>IF(H131&gt;=1,IF($A141="Bonus",H134*(1-VLOOKUP($A131,Depreciation!$D$41:$N$50,H130-2014))*H136,H134*H136),H134*H136)</f>
        <v>54840.2385125</v>
      </c>
      <c r="I144" s="170">
        <f>IF(I131&gt;=1,IF($A141="Bonus",I134*(1-VLOOKUP($A131,Depreciation!$D$41:$N$50,I130-2014))*I136,I134*I136),I134*I136)</f>
        <v>50720.73526</v>
      </c>
      <c r="J144" s="170">
        <f>IF(J131&gt;=1,IF($A141="Bonus",J134*(1-VLOOKUP($A131,Depreciation!$D$41:$N$50,J130-2014))*J136,J134*J136),J134*J136)</f>
        <v>46922.906065</v>
      </c>
      <c r="K144" s="170">
        <f>IF(K131&gt;=1,IF($A141="Bonus",K134*(1-VLOOKUP($A131,Depreciation!$D$41:$N$50,K130-2014))*K136,K134*K136),K134*K136)</f>
        <v>46300.311115</v>
      </c>
      <c r="L144" s="170">
        <f>IF(L131&gt;=1,IF($A141="Bonus",L134*(1-VLOOKUP($A131,Depreciation!$D$41:$N$50,L130-2014))*L136,L134*L136),L134*L136)</f>
        <v>46289.934532499996</v>
      </c>
    </row>
    <row r="145" spans="2:12" ht="19.5" customHeight="1">
      <c r="B145" s="5" t="s">
        <v>17</v>
      </c>
      <c r="C145" s="7">
        <f>Input!J$31</f>
        <v>0.10152297909805327</v>
      </c>
      <c r="D145" s="7">
        <f>Input!K$31</f>
        <v>0.10152297909805327</v>
      </c>
      <c r="E145" s="7">
        <f>Input!L$31</f>
        <v>0.10152297909805327</v>
      </c>
      <c r="F145" s="7">
        <f>Input!M$31</f>
        <v>0.10152297909805327</v>
      </c>
      <c r="G145" s="7">
        <f>Input!N$31</f>
        <v>0.10152297909805327</v>
      </c>
      <c r="H145" s="7">
        <f>Input!O$31</f>
        <v>0.10152297909805327</v>
      </c>
      <c r="I145" s="7">
        <f>Input!P$31</f>
        <v>0.10152297909805327</v>
      </c>
      <c r="J145" s="7">
        <f>Input!Q$31</f>
        <v>0.10152297909805327</v>
      </c>
      <c r="K145" s="7">
        <f>Input!R$31</f>
        <v>0.10152297909805327</v>
      </c>
      <c r="L145" s="7">
        <f>Input!S$31</f>
        <v>0.10152297909805327</v>
      </c>
    </row>
    <row r="146" spans="2:12" ht="19.5" customHeight="1">
      <c r="B146" s="5" t="s">
        <v>8</v>
      </c>
      <c r="C146" s="171">
        <f>C141</f>
        <v>9987.46065625</v>
      </c>
      <c r="D146" s="171">
        <f aca="true" t="shared" si="77" ref="D146:L146">D141</f>
        <v>47939.81115</v>
      </c>
      <c r="E146" s="171">
        <f t="shared" si="77"/>
        <v>47939.81115</v>
      </c>
      <c r="F146" s="171">
        <f t="shared" si="77"/>
        <v>47939.81115</v>
      </c>
      <c r="G146" s="171">
        <f t="shared" si="77"/>
        <v>47939.81115</v>
      </c>
      <c r="H146" s="171">
        <f t="shared" si="77"/>
        <v>47939.81115</v>
      </c>
      <c r="I146" s="171">
        <f t="shared" si="77"/>
        <v>47939.81115</v>
      </c>
      <c r="J146" s="171">
        <f t="shared" si="77"/>
        <v>47939.81115</v>
      </c>
      <c r="K146" s="171">
        <f t="shared" si="77"/>
        <v>47939.81115</v>
      </c>
      <c r="L146" s="171">
        <f t="shared" si="77"/>
        <v>47939.81115</v>
      </c>
    </row>
    <row r="147" spans="2:12" ht="19.5" customHeight="1">
      <c r="B147" s="11" t="s">
        <v>364</v>
      </c>
      <c r="C147" s="171">
        <f aca="true" t="shared" si="78" ref="C147:L147">SUM(C143,C144)</f>
        <v>1076570.434375</v>
      </c>
      <c r="D147" s="171">
        <f t="shared" si="78"/>
        <v>74908.5490675</v>
      </c>
      <c r="E147" s="171">
        <f t="shared" si="78"/>
        <v>69284.4413525</v>
      </c>
      <c r="F147" s="171">
        <f t="shared" si="78"/>
        <v>64096.150102499996</v>
      </c>
      <c r="G147" s="171">
        <f t="shared" si="78"/>
        <v>59281.4158225</v>
      </c>
      <c r="H147" s="171">
        <f t="shared" si="78"/>
        <v>54840.2385125</v>
      </c>
      <c r="I147" s="171">
        <f t="shared" si="78"/>
        <v>50720.73526</v>
      </c>
      <c r="J147" s="171">
        <f t="shared" si="78"/>
        <v>46922.906065</v>
      </c>
      <c r="K147" s="171">
        <f t="shared" si="78"/>
        <v>46300.311115</v>
      </c>
      <c r="L147" s="171">
        <f t="shared" si="78"/>
        <v>46289.934532499996</v>
      </c>
    </row>
    <row r="148" spans="2:12" ht="19.5" customHeight="1">
      <c r="B148" s="2" t="s">
        <v>9</v>
      </c>
      <c r="C148" s="8">
        <f>Input!$B$6</f>
        <v>0.0015</v>
      </c>
      <c r="D148" s="8">
        <f aca="true" t="shared" si="79" ref="D148:I148">C148</f>
        <v>0.0015</v>
      </c>
      <c r="E148" s="8">
        <f t="shared" si="79"/>
        <v>0.0015</v>
      </c>
      <c r="F148" s="8">
        <f t="shared" si="79"/>
        <v>0.0015</v>
      </c>
      <c r="G148" s="8">
        <f t="shared" si="79"/>
        <v>0.0015</v>
      </c>
      <c r="H148" s="8">
        <f t="shared" si="79"/>
        <v>0.0015</v>
      </c>
      <c r="I148" s="8">
        <f t="shared" si="79"/>
        <v>0.0015</v>
      </c>
      <c r="J148" s="8">
        <f>I148</f>
        <v>0.0015</v>
      </c>
      <c r="K148" s="8">
        <f>J148</f>
        <v>0.0015</v>
      </c>
      <c r="L148" s="8">
        <f>K148</f>
        <v>0.0015</v>
      </c>
    </row>
    <row r="149" spans="2:12" ht="19.5" customHeight="1">
      <c r="B149" s="4" t="s">
        <v>363</v>
      </c>
      <c r="C149" s="171">
        <f aca="true" t="shared" si="80" ref="C149:L149">(C147-C146)*C137</f>
        <v>412404.97261809185</v>
      </c>
      <c r="D149" s="171">
        <f t="shared" si="80"/>
        <v>10427.732203180549</v>
      </c>
      <c r="E149" s="171">
        <f t="shared" si="80"/>
        <v>8253.114714098647</v>
      </c>
      <c r="F149" s="171">
        <f t="shared" si="80"/>
        <v>6247.010019373647</v>
      </c>
      <c r="G149" s="171">
        <f t="shared" si="80"/>
        <v>4385.344862668849</v>
      </c>
      <c r="H149" s="171">
        <f t="shared" si="80"/>
        <v>2668.1192439842494</v>
      </c>
      <c r="I149" s="171">
        <f t="shared" si="80"/>
        <v>1075.2721163725998</v>
      </c>
      <c r="J149" s="171">
        <f t="shared" si="80"/>
        <v>-393.1965201660994</v>
      </c>
      <c r="K149" s="171">
        <f t="shared" si="80"/>
        <v>-633.9290835331017</v>
      </c>
      <c r="L149" s="171">
        <f t="shared" si="80"/>
        <v>-637.9412929225521</v>
      </c>
    </row>
    <row r="150" spans="2:12" ht="19.5" customHeight="1">
      <c r="B150" s="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9.5" customHeight="1">
      <c r="B151" s="10" t="s">
        <v>15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9.5" customHeight="1">
      <c r="B152" s="5" t="s">
        <v>16</v>
      </c>
      <c r="C152" s="169">
        <f aca="true" t="shared" si="81" ref="C152:I152">C134</f>
        <v>2075316.5</v>
      </c>
      <c r="D152" s="169">
        <f t="shared" si="81"/>
        <v>2075316.5</v>
      </c>
      <c r="E152" s="169">
        <f t="shared" si="81"/>
        <v>2075316.5</v>
      </c>
      <c r="F152" s="169">
        <f t="shared" si="81"/>
        <v>2075316.5</v>
      </c>
      <c r="G152" s="169">
        <f t="shared" si="81"/>
        <v>2075316.5</v>
      </c>
      <c r="H152" s="169">
        <f t="shared" si="81"/>
        <v>2075316.5</v>
      </c>
      <c r="I152" s="169">
        <f t="shared" si="81"/>
        <v>2075316.5</v>
      </c>
      <c r="J152" s="169">
        <f>J134</f>
        <v>2075316.5</v>
      </c>
      <c r="K152" s="169">
        <f>K134</f>
        <v>2075316.5</v>
      </c>
      <c r="L152" s="169">
        <f>L134</f>
        <v>2075316.5</v>
      </c>
    </row>
    <row r="153" spans="1:12" ht="19.5" customHeight="1">
      <c r="A153" s="3"/>
      <c r="B153" s="4" t="s">
        <v>44</v>
      </c>
      <c r="C153" s="170">
        <v>0</v>
      </c>
      <c r="D153" s="170">
        <f aca="true" t="shared" si="82" ref="D153:L153">C153</f>
        <v>0</v>
      </c>
      <c r="E153" s="170">
        <f t="shared" si="82"/>
        <v>0</v>
      </c>
      <c r="F153" s="170">
        <f t="shared" si="82"/>
        <v>0</v>
      </c>
      <c r="G153" s="170">
        <f t="shared" si="82"/>
        <v>0</v>
      </c>
      <c r="H153" s="170">
        <f t="shared" si="82"/>
        <v>0</v>
      </c>
      <c r="I153" s="170">
        <f t="shared" si="82"/>
        <v>0</v>
      </c>
      <c r="J153" s="170">
        <f t="shared" si="82"/>
        <v>0</v>
      </c>
      <c r="K153" s="170">
        <f t="shared" si="82"/>
        <v>0</v>
      </c>
      <c r="L153" s="170">
        <f t="shared" si="82"/>
        <v>0</v>
      </c>
    </row>
    <row r="154" spans="2:12" ht="19.5" customHeight="1">
      <c r="B154" s="2" t="s">
        <v>10</v>
      </c>
      <c r="C154" s="170">
        <f aca="true" t="shared" si="83" ref="C154:I154">-C139</f>
        <v>-9987.46065625</v>
      </c>
      <c r="D154" s="170">
        <f t="shared" si="83"/>
        <v>-57927.27180625</v>
      </c>
      <c r="E154" s="170">
        <f t="shared" si="83"/>
        <v>-105867.08295625</v>
      </c>
      <c r="F154" s="170">
        <f t="shared" si="83"/>
        <v>-153806.89410625</v>
      </c>
      <c r="G154" s="170">
        <f t="shared" si="83"/>
        <v>-201746.70525625</v>
      </c>
      <c r="H154" s="170">
        <f t="shared" si="83"/>
        <v>-249686.51640624998</v>
      </c>
      <c r="I154" s="170">
        <f t="shared" si="83"/>
        <v>-297626.32755625</v>
      </c>
      <c r="J154" s="170">
        <f>-J139</f>
        <v>-345566.13870625</v>
      </c>
      <c r="K154" s="170">
        <f>-K139</f>
        <v>-393505.94985625</v>
      </c>
      <c r="L154" s="170">
        <f>-L139</f>
        <v>-441445.76100625005</v>
      </c>
    </row>
    <row r="155" spans="2:12" ht="19.5" customHeight="1">
      <c r="B155" s="2" t="s">
        <v>45</v>
      </c>
      <c r="C155" s="170">
        <v>0</v>
      </c>
      <c r="D155" s="170">
        <f aca="true" t="shared" si="84" ref="D155:L155">C155</f>
        <v>0</v>
      </c>
      <c r="E155" s="170">
        <f t="shared" si="84"/>
        <v>0</v>
      </c>
      <c r="F155" s="170">
        <f t="shared" si="84"/>
        <v>0</v>
      </c>
      <c r="G155" s="170">
        <f t="shared" si="84"/>
        <v>0</v>
      </c>
      <c r="H155" s="170">
        <f t="shared" si="84"/>
        <v>0</v>
      </c>
      <c r="I155" s="170">
        <f t="shared" si="84"/>
        <v>0</v>
      </c>
      <c r="J155" s="170">
        <f t="shared" si="84"/>
        <v>0</v>
      </c>
      <c r="K155" s="170">
        <f t="shared" si="84"/>
        <v>0</v>
      </c>
      <c r="L155" s="170">
        <f t="shared" si="84"/>
        <v>0</v>
      </c>
    </row>
    <row r="156" spans="2:12" ht="19.5" customHeight="1">
      <c r="B156" s="2" t="s">
        <v>46</v>
      </c>
      <c r="C156" s="170">
        <f aca="true" t="shared" si="85" ref="C156:I156">-C138</f>
        <v>-412404.97261809185</v>
      </c>
      <c r="D156" s="170">
        <f t="shared" si="85"/>
        <v>-422832.7048212724</v>
      </c>
      <c r="E156" s="170">
        <f t="shared" si="85"/>
        <v>-431085.81953537103</v>
      </c>
      <c r="F156" s="170">
        <f t="shared" si="85"/>
        <v>-437332.8295547447</v>
      </c>
      <c r="G156" s="170">
        <f t="shared" si="85"/>
        <v>-441718.17441741354</v>
      </c>
      <c r="H156" s="170">
        <f t="shared" si="85"/>
        <v>-444386.29366139777</v>
      </c>
      <c r="I156" s="170">
        <f t="shared" si="85"/>
        <v>-445461.56577777036</v>
      </c>
      <c r="J156" s="170">
        <f>-J138</f>
        <v>-445068.36925760424</v>
      </c>
      <c r="K156" s="170">
        <f>-K138</f>
        <v>-444434.4401740711</v>
      </c>
      <c r="L156" s="170">
        <f>-L138</f>
        <v>-443796.4988811486</v>
      </c>
    </row>
    <row r="157" spans="2:12" ht="19.5" customHeight="1">
      <c r="B157" s="2" t="s">
        <v>47</v>
      </c>
      <c r="C157" s="170">
        <v>0</v>
      </c>
      <c r="D157" s="170">
        <f aca="true" t="shared" si="86" ref="D157:L157">C157</f>
        <v>0</v>
      </c>
      <c r="E157" s="170">
        <f t="shared" si="86"/>
        <v>0</v>
      </c>
      <c r="F157" s="170">
        <f t="shared" si="86"/>
        <v>0</v>
      </c>
      <c r="G157" s="170">
        <f t="shared" si="86"/>
        <v>0</v>
      </c>
      <c r="H157" s="170">
        <f t="shared" si="86"/>
        <v>0</v>
      </c>
      <c r="I157" s="170">
        <f t="shared" si="86"/>
        <v>0</v>
      </c>
      <c r="J157" s="170">
        <f t="shared" si="86"/>
        <v>0</v>
      </c>
      <c r="K157" s="170">
        <f t="shared" si="86"/>
        <v>0</v>
      </c>
      <c r="L157" s="170">
        <f t="shared" si="86"/>
        <v>0</v>
      </c>
    </row>
    <row r="158" spans="2:12" ht="19.5" customHeight="1">
      <c r="B158" s="2" t="s">
        <v>11</v>
      </c>
      <c r="C158" s="170">
        <f aca="true" t="shared" si="87" ref="C158:I158">SUM(C152:C157)</f>
        <v>1652924.0667256583</v>
      </c>
      <c r="D158" s="170">
        <f t="shared" si="87"/>
        <v>1594556.5233724774</v>
      </c>
      <c r="E158" s="170">
        <f t="shared" si="87"/>
        <v>1538363.5975083788</v>
      </c>
      <c r="F158" s="170">
        <f t="shared" si="87"/>
        <v>1484176.7763390052</v>
      </c>
      <c r="G158" s="170">
        <f t="shared" si="87"/>
        <v>1431851.6203263365</v>
      </c>
      <c r="H158" s="170">
        <f t="shared" si="87"/>
        <v>1381243.6899323524</v>
      </c>
      <c r="I158" s="170">
        <f t="shared" si="87"/>
        <v>1332228.6066659796</v>
      </c>
      <c r="J158" s="170">
        <f>SUM(J152:J157)</f>
        <v>1284681.9920361456</v>
      </c>
      <c r="K158" s="170">
        <f>SUM(K152:K157)</f>
        <v>1237376.1099696788</v>
      </c>
      <c r="L158" s="170">
        <f>SUM(L152:L157)</f>
        <v>1190074.2401126013</v>
      </c>
    </row>
    <row r="159" spans="2:12" ht="19.5" customHeight="1">
      <c r="B159" s="2" t="s">
        <v>12</v>
      </c>
      <c r="C159" s="7">
        <f aca="true" t="shared" si="88" ref="C159:I159">C145</f>
        <v>0.10152297909805327</v>
      </c>
      <c r="D159" s="7">
        <f t="shared" si="88"/>
        <v>0.10152297909805327</v>
      </c>
      <c r="E159" s="7">
        <f t="shared" si="88"/>
        <v>0.10152297909805327</v>
      </c>
      <c r="F159" s="7">
        <f t="shared" si="88"/>
        <v>0.10152297909805327</v>
      </c>
      <c r="G159" s="7">
        <f t="shared" si="88"/>
        <v>0.10152297909805327</v>
      </c>
      <c r="H159" s="7">
        <f t="shared" si="88"/>
        <v>0.10152297909805327</v>
      </c>
      <c r="I159" s="7">
        <f t="shared" si="88"/>
        <v>0.10152297909805327</v>
      </c>
      <c r="J159" s="7">
        <f>J145</f>
        <v>0.10152297909805327</v>
      </c>
      <c r="K159" s="7">
        <f>K145</f>
        <v>0.10152297909805327</v>
      </c>
      <c r="L159" s="7">
        <f>L145</f>
        <v>0.10152297909805327</v>
      </c>
    </row>
    <row r="160" spans="2:12" ht="19.5" customHeight="1">
      <c r="B160" s="34" t="s">
        <v>58</v>
      </c>
      <c r="C160" s="174">
        <f aca="true" t="shared" si="89" ref="C160:I160">C158*C159</f>
        <v>167809.77547685822</v>
      </c>
      <c r="D160" s="174">
        <f t="shared" si="89"/>
        <v>161884.12859300853</v>
      </c>
      <c r="E160" s="174">
        <f t="shared" si="89"/>
        <v>156179.2553550492</v>
      </c>
      <c r="F160" s="174">
        <f t="shared" si="89"/>
        <v>150678.0478420809</v>
      </c>
      <c r="G160" s="174">
        <f t="shared" si="89"/>
        <v>145365.84212190437</v>
      </c>
      <c r="H160" s="174">
        <f t="shared" si="89"/>
        <v>140227.97426232017</v>
      </c>
      <c r="I160" s="174">
        <f t="shared" si="89"/>
        <v>135251.81698837888</v>
      </c>
      <c r="J160" s="174">
        <f>J158*J159</f>
        <v>130424.74302513106</v>
      </c>
      <c r="K160" s="174">
        <f>K158*K159</f>
        <v>125622.10894888217</v>
      </c>
      <c r="L160" s="174">
        <f>L158*L159</f>
        <v>120819.88220408326</v>
      </c>
    </row>
    <row r="161" spans="1:12" ht="19.5" customHeight="1">
      <c r="A161" s="3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2:12" ht="19.5" customHeight="1">
      <c r="B162" s="1" t="s">
        <v>52</v>
      </c>
      <c r="C162" s="170">
        <v>0</v>
      </c>
      <c r="D162" s="170">
        <f>C162</f>
        <v>0</v>
      </c>
      <c r="E162" s="170">
        <f aca="true" t="shared" si="90" ref="E162:L162">D162</f>
        <v>0</v>
      </c>
      <c r="F162" s="170">
        <f t="shared" si="90"/>
        <v>0</v>
      </c>
      <c r="G162" s="170">
        <f t="shared" si="90"/>
        <v>0</v>
      </c>
      <c r="H162" s="170">
        <f t="shared" si="90"/>
        <v>0</v>
      </c>
      <c r="I162" s="170">
        <f t="shared" si="90"/>
        <v>0</v>
      </c>
      <c r="J162" s="170">
        <f t="shared" si="90"/>
        <v>0</v>
      </c>
      <c r="K162" s="170">
        <f t="shared" si="90"/>
        <v>0</v>
      </c>
      <c r="L162" s="170">
        <f t="shared" si="90"/>
        <v>0</v>
      </c>
    </row>
    <row r="163" spans="2:12" ht="19.5" customHeight="1">
      <c r="B163" s="2" t="s">
        <v>48</v>
      </c>
      <c r="C163" s="170">
        <f aca="true" t="shared" si="91" ref="C163:I163">C146</f>
        <v>9987.46065625</v>
      </c>
      <c r="D163" s="170">
        <f t="shared" si="91"/>
        <v>47939.81115</v>
      </c>
      <c r="E163" s="170">
        <f t="shared" si="91"/>
        <v>47939.81115</v>
      </c>
      <c r="F163" s="170">
        <f t="shared" si="91"/>
        <v>47939.81115</v>
      </c>
      <c r="G163" s="170">
        <f t="shared" si="91"/>
        <v>47939.81115</v>
      </c>
      <c r="H163" s="170">
        <f t="shared" si="91"/>
        <v>47939.81115</v>
      </c>
      <c r="I163" s="170">
        <f t="shared" si="91"/>
        <v>47939.81115</v>
      </c>
      <c r="J163" s="170">
        <f>J146</f>
        <v>47939.81115</v>
      </c>
      <c r="K163" s="170">
        <f>K146</f>
        <v>47939.81115</v>
      </c>
      <c r="L163" s="170">
        <f>L146</f>
        <v>47939.81115</v>
      </c>
    </row>
    <row r="164" spans="2:12" ht="19.5" customHeight="1">
      <c r="B164" s="2" t="s">
        <v>49</v>
      </c>
      <c r="C164" s="170">
        <v>0</v>
      </c>
      <c r="D164" s="170">
        <f aca="true" t="shared" si="92" ref="D164:L164">C164</f>
        <v>0</v>
      </c>
      <c r="E164" s="170">
        <f t="shared" si="92"/>
        <v>0</v>
      </c>
      <c r="F164" s="170">
        <f t="shared" si="92"/>
        <v>0</v>
      </c>
      <c r="G164" s="170">
        <f t="shared" si="92"/>
        <v>0</v>
      </c>
      <c r="H164" s="170">
        <f t="shared" si="92"/>
        <v>0</v>
      </c>
      <c r="I164" s="170">
        <f t="shared" si="92"/>
        <v>0</v>
      </c>
      <c r="J164" s="170">
        <f t="shared" si="92"/>
        <v>0</v>
      </c>
      <c r="K164" s="170">
        <f t="shared" si="92"/>
        <v>0</v>
      </c>
      <c r="L164" s="170">
        <f t="shared" si="92"/>
        <v>0</v>
      </c>
    </row>
    <row r="165" spans="2:12" ht="19.5" customHeight="1">
      <c r="B165" s="2" t="s">
        <v>50</v>
      </c>
      <c r="C165" s="170">
        <v>0</v>
      </c>
      <c r="D165" s="170">
        <f aca="true" t="shared" si="93" ref="D165:L165">D148*(C152+C154)</f>
        <v>3097.993559015625</v>
      </c>
      <c r="E165" s="170">
        <f t="shared" si="93"/>
        <v>3026.083842290625</v>
      </c>
      <c r="F165" s="170">
        <f t="shared" si="93"/>
        <v>2954.1741255656248</v>
      </c>
      <c r="G165" s="170">
        <f t="shared" si="93"/>
        <v>2882.264408840625</v>
      </c>
      <c r="H165" s="170">
        <f t="shared" si="93"/>
        <v>2810.354692115625</v>
      </c>
      <c r="I165" s="170">
        <f t="shared" si="93"/>
        <v>2738.444975390625</v>
      </c>
      <c r="J165" s="170">
        <f t="shared" si="93"/>
        <v>2666.535258665625</v>
      </c>
      <c r="K165" s="170">
        <f t="shared" si="93"/>
        <v>2594.6255419406248</v>
      </c>
      <c r="L165" s="170">
        <f t="shared" si="93"/>
        <v>2522.715825215625</v>
      </c>
    </row>
    <row r="166" spans="2:12" ht="19.5" customHeight="1">
      <c r="B166" s="21" t="s">
        <v>51</v>
      </c>
      <c r="C166" s="174">
        <f aca="true" t="shared" si="94" ref="C166:I166">SUM(C162:C165)</f>
        <v>9987.46065625</v>
      </c>
      <c r="D166" s="174">
        <f t="shared" si="94"/>
        <v>51037.804709015625</v>
      </c>
      <c r="E166" s="174">
        <f t="shared" si="94"/>
        <v>50965.894992290625</v>
      </c>
      <c r="F166" s="174">
        <f t="shared" si="94"/>
        <v>50893.985275565625</v>
      </c>
      <c r="G166" s="174">
        <f t="shared" si="94"/>
        <v>50822.075558840625</v>
      </c>
      <c r="H166" s="174">
        <f t="shared" si="94"/>
        <v>50750.165842115624</v>
      </c>
      <c r="I166" s="174">
        <f t="shared" si="94"/>
        <v>50678.256125390624</v>
      </c>
      <c r="J166" s="174">
        <f>SUM(J162:J165)</f>
        <v>50606.346408665624</v>
      </c>
      <c r="K166" s="174">
        <f>SUM(K162:K165)</f>
        <v>50534.436691940624</v>
      </c>
      <c r="L166" s="174">
        <f>SUM(L162:L165)</f>
        <v>50462.526975215624</v>
      </c>
    </row>
    <row r="167" spans="3:12" ht="19.5" customHeight="1">
      <c r="C167" s="34"/>
      <c r="D167" s="268"/>
      <c r="E167" s="268"/>
      <c r="F167" s="268"/>
      <c r="G167" s="268"/>
      <c r="H167" s="268"/>
      <c r="I167" s="268"/>
      <c r="J167" s="268"/>
      <c r="K167" s="268"/>
      <c r="L167" s="268"/>
    </row>
    <row r="168" spans="2:12" ht="19.5" customHeight="1">
      <c r="B168" s="1" t="s">
        <v>59</v>
      </c>
      <c r="C168" s="170">
        <f aca="true" t="shared" si="95" ref="C168:I168">C160+C166</f>
        <v>177797.23613310824</v>
      </c>
      <c r="D168" s="170">
        <f t="shared" si="95"/>
        <v>212921.93330202415</v>
      </c>
      <c r="E168" s="170">
        <f t="shared" si="95"/>
        <v>207145.1503473398</v>
      </c>
      <c r="F168" s="170">
        <f t="shared" si="95"/>
        <v>201572.03311764653</v>
      </c>
      <c r="G168" s="170">
        <f t="shared" si="95"/>
        <v>196187.91768074498</v>
      </c>
      <c r="H168" s="170">
        <f t="shared" si="95"/>
        <v>190978.1401044358</v>
      </c>
      <c r="I168" s="170">
        <f t="shared" si="95"/>
        <v>185930.0731137695</v>
      </c>
      <c r="J168" s="170">
        <f>J160+J166</f>
        <v>181031.08943379667</v>
      </c>
      <c r="K168" s="170">
        <f>K160+K166</f>
        <v>176156.5456408228</v>
      </c>
      <c r="L168" s="170">
        <f>L160+L166</f>
        <v>171282.40917929888</v>
      </c>
    </row>
  </sheetData>
  <sheetProtection/>
  <dataValidations count="1">
    <dataValidation type="list" allowBlank="1" showInputMessage="1" showErrorMessage="1" sqref="A99 A15 A57 A141">
      <formula1>"Bonus, No Bonus"</formula1>
    </dataValidation>
  </dataValidations>
  <printOptions horizontalCentered="1"/>
  <pageMargins left="0.75" right="0.75" top="1" bottom="0.5" header="0.5" footer="0.5"/>
  <pageSetup horizontalDpi="600" verticalDpi="600" orientation="landscape" scale="62" r:id="rId1"/>
  <rowBreaks count="3" manualBreakCount="3">
    <brk id="44" min="2" max="11" man="1"/>
    <brk id="86" min="2" max="11" man="1"/>
    <brk id="128" min="2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0"/>
  <sheetViews>
    <sheetView zoomScale="75" zoomScaleNormal="75" zoomScalePageLayoutView="0" workbookViewId="0" topLeftCell="A1">
      <selection activeCell="A1" sqref="A1"/>
    </sheetView>
  </sheetViews>
  <sheetFormatPr defaultColWidth="9.33203125" defaultRowHeight="11.25"/>
  <cols>
    <col min="1" max="1" width="12.66015625" style="2" bestFit="1" customWidth="1"/>
    <col min="2" max="2" width="66" style="2" customWidth="1"/>
    <col min="3" max="12" width="14.83203125" style="2" customWidth="1"/>
    <col min="13" max="13" width="9.33203125" style="2" customWidth="1"/>
    <col min="14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8.75" customHeight="1">
      <c r="B2" s="110" t="s">
        <v>314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8.75" customHeight="1">
      <c r="B3" s="11"/>
      <c r="C3" s="212" t="s">
        <v>257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29">
        <f>Input!B2</f>
        <v>2016</v>
      </c>
      <c r="D4" s="29">
        <f aca="true" t="shared" si="0" ref="D4:I5">C4+1</f>
        <v>2017</v>
      </c>
      <c r="E4" s="29">
        <f t="shared" si="0"/>
        <v>2018</v>
      </c>
      <c r="F4" s="29">
        <f t="shared" si="0"/>
        <v>2019</v>
      </c>
      <c r="G4" s="29">
        <f t="shared" si="0"/>
        <v>2020</v>
      </c>
      <c r="H4" s="29">
        <f t="shared" si="0"/>
        <v>2021</v>
      </c>
      <c r="I4" s="29">
        <f t="shared" si="0"/>
        <v>2022</v>
      </c>
      <c r="J4" s="29">
        <f aca="true" t="shared" si="1" ref="J4:L5">I4+1</f>
        <v>2023</v>
      </c>
      <c r="K4" s="29">
        <f t="shared" si="1"/>
        <v>2024</v>
      </c>
      <c r="L4" s="29">
        <f t="shared" si="1"/>
        <v>2025</v>
      </c>
    </row>
    <row r="5" spans="1:18" s="28" customFormat="1" ht="18.75" customHeight="1">
      <c r="A5" s="258">
        <v>2018</v>
      </c>
      <c r="B5" s="28" t="s">
        <v>43</v>
      </c>
      <c r="C5" s="209">
        <v>1</v>
      </c>
      <c r="D5" s="209">
        <f>C5+1</f>
        <v>2</v>
      </c>
      <c r="E5" s="209">
        <f t="shared" si="0"/>
        <v>3</v>
      </c>
      <c r="F5" s="209">
        <f t="shared" si="0"/>
        <v>4</v>
      </c>
      <c r="G5" s="209">
        <f t="shared" si="0"/>
        <v>5</v>
      </c>
      <c r="H5" s="209">
        <f t="shared" si="0"/>
        <v>6</v>
      </c>
      <c r="I5" s="209">
        <f t="shared" si="0"/>
        <v>7</v>
      </c>
      <c r="J5" s="209">
        <f t="shared" si="1"/>
        <v>8</v>
      </c>
      <c r="K5" s="209">
        <f t="shared" si="1"/>
        <v>9</v>
      </c>
      <c r="L5" s="209">
        <f t="shared" si="1"/>
        <v>10</v>
      </c>
      <c r="M5" s="28" t="s">
        <v>21</v>
      </c>
      <c r="Q5" s="28" t="s">
        <v>257</v>
      </c>
      <c r="R5" s="28">
        <v>1</v>
      </c>
    </row>
    <row r="6" spans="1:18" ht="18.75" customHeight="1">
      <c r="A6" s="3"/>
      <c r="B6" s="211" t="s">
        <v>330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60" t="s">
        <v>309</v>
      </c>
      <c r="B7" s="10" t="s">
        <v>394</v>
      </c>
      <c r="C7" s="172">
        <f>VLOOKUP(C$4,'Cash Flows-KU'!$B$44:$H$54,$A8)</f>
        <v>1159500</v>
      </c>
      <c r="D7" s="172">
        <f>VLOOKUP(D$4,'Cash Flows-KU'!$B$44:$H$54,$A8)</f>
        <v>7979000</v>
      </c>
      <c r="E7" s="172">
        <f>VLOOKUP(E$4,'Cash Flows-KU'!$B$44:$H$54,$A8)</f>
        <v>10647000</v>
      </c>
      <c r="F7" s="172">
        <f>VLOOKUP(F$4,'Cash Flows-KU'!$B$44:$H$54,$A8)</f>
        <v>0</v>
      </c>
      <c r="G7" s="172">
        <f>VLOOKUP(G$4,'Cash Flows-KU'!$B$44:$H$54,$A8)</f>
        <v>0</v>
      </c>
      <c r="H7" s="172">
        <f>VLOOKUP(H$4,'Cash Flows-KU'!$B$44:$H$54,$A8)</f>
        <v>0</v>
      </c>
      <c r="I7" s="172">
        <f>VLOOKUP(I$4,'Cash Flows-KU'!$B$44:$H$54,$A8)</f>
        <v>0</v>
      </c>
      <c r="J7" s="172">
        <f>VLOOKUP(J$4,'Cash Flows-KU'!$B$44:$H$54,$A8)</f>
        <v>0</v>
      </c>
      <c r="K7" s="172">
        <f>VLOOKUP(K$4,'Cash Flows-KU'!$B$44:$H$54,$A8)</f>
        <v>0</v>
      </c>
      <c r="L7" s="172">
        <f>VLOOKUP(L$4,'Cash Flows-KU'!$B$44:$H$54,$A8)</f>
        <v>0</v>
      </c>
      <c r="M7" s="173"/>
      <c r="Q7" s="28" t="s">
        <v>259</v>
      </c>
      <c r="R7" s="2">
        <v>3</v>
      </c>
    </row>
    <row r="8" spans="1:18" ht="18.75" customHeight="1">
      <c r="A8" s="3">
        <v>2</v>
      </c>
      <c r="B8" s="40" t="s">
        <v>57</v>
      </c>
      <c r="C8" s="172">
        <f>SUM($C7:C7)</f>
        <v>1159500</v>
      </c>
      <c r="D8" s="172">
        <f>SUM($C7:D7)</f>
        <v>9138500</v>
      </c>
      <c r="E8" s="172">
        <f>SUM($C7:E7)</f>
        <v>19785500</v>
      </c>
      <c r="F8" s="172">
        <f>SUM($C7:F7)</f>
        <v>19785500</v>
      </c>
      <c r="G8" s="172">
        <f>SUM($C7:G7)</f>
        <v>19785500</v>
      </c>
      <c r="H8" s="172">
        <f>SUM($C7:H7)</f>
        <v>19785500</v>
      </c>
      <c r="I8" s="172">
        <f>SUM($C7:I7)</f>
        <v>19785500</v>
      </c>
      <c r="J8" s="172">
        <f>SUM($C7:J7)</f>
        <v>19785500</v>
      </c>
      <c r="K8" s="172">
        <f>SUM($C7:K7)</f>
        <v>19785500</v>
      </c>
      <c r="L8" s="172">
        <f>SUM($C7:L7)</f>
        <v>19785500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</v>
      </c>
      <c r="D9" s="6">
        <f>IF(D5="",0,VLOOKUP($B6,Depreciation!$D$2:$E$31,$A9,FALSE))</f>
        <v>0</v>
      </c>
      <c r="E9" s="6">
        <f>IF(E5="",0,VLOOKUP($B6,Depreciation!$D$2:$E$31,$A9,FALSE))</f>
        <v>0</v>
      </c>
      <c r="F9" s="6">
        <f>IF(F5="",0,VLOOKUP($B6,Depreciation!$D$2:$E$31,$A9,FALSE))</f>
        <v>0</v>
      </c>
      <c r="G9" s="6">
        <f>IF(G5="",0,VLOOKUP($B6,Depreciation!$D$2:$E$31,$A9,FALSE))</f>
        <v>0</v>
      </c>
      <c r="H9" s="6">
        <f>IF(H5="",0,VLOOKUP($B6,Depreciation!$D$2:$E$31,$A9,FALSE))</f>
        <v>0</v>
      </c>
      <c r="I9" s="6">
        <f>IF(I5="",0,VLOOKUP($B6,Depreciation!$D$2:$E$31,$A9,FALSE))</f>
        <v>0</v>
      </c>
      <c r="J9" s="6">
        <f>IF(J5="",0,VLOOKUP($B6,Depreciation!$D$2:$E$31,$A9,FALSE))</f>
        <v>0</v>
      </c>
      <c r="K9" s="6">
        <f>IF(K5="",0,VLOOKUP($B6,Depreciation!$D$2:$E$31,$A9,FALSE))</f>
        <v>0</v>
      </c>
      <c r="L9" s="6">
        <f>IF(L5="",0,VLOOKUP($B6,Depreciation!$D$2:$E$31,$A9,FALSE))</f>
        <v>0</v>
      </c>
      <c r="Q9" s="28" t="s">
        <v>261</v>
      </c>
      <c r="R9" s="2">
        <v>5</v>
      </c>
    </row>
    <row r="10" spans="1:18" ht="18.75" customHeight="1">
      <c r="A10" s="3">
        <v>3</v>
      </c>
      <c r="B10" s="5" t="s">
        <v>1</v>
      </c>
      <c r="C10" s="6">
        <f>IF(C5="",0,VLOOKUP(C5,Depreciation!$A$2:$C$58,$A10,FALSE))</f>
        <v>1</v>
      </c>
      <c r="D10" s="6">
        <f>IF(D5="",0,VLOOKUP(D5,Depreciation!$A$2:$C$58,$A10,FALSE))</f>
        <v>1</v>
      </c>
      <c r="E10" s="6">
        <f>IF(E5="",0,VLOOKUP(E5,Depreciation!$A$2:$C$58,$A10,FALSE))</f>
        <v>1</v>
      </c>
      <c r="F10" s="6">
        <f>IF(F5="",0,VLOOKUP(F5,Depreciation!$A$2:$C$58,$A10,FALSE))</f>
        <v>1</v>
      </c>
      <c r="G10" s="6">
        <f>IF(G5="",0,VLOOKUP(G5,Depreciation!$A$2:$C$58,$A10,FALSE))</f>
        <v>1</v>
      </c>
      <c r="H10" s="6">
        <f>IF(H5="",0,VLOOKUP(H5,Depreciation!$A$2:$C$58,$A10,FALSE))</f>
        <v>1</v>
      </c>
      <c r="I10" s="6">
        <f>IF(I5="",0,VLOOKUP(I5,Depreciation!$A$2:$C$58,$A10,FALSE))</f>
        <v>1</v>
      </c>
      <c r="J10" s="6">
        <f>IF(J5="",0,VLOOKUP(J5,Depreciation!$A$2:$C$58,$A10,FALSE))</f>
        <v>1</v>
      </c>
      <c r="K10" s="6">
        <f>IF(K5="",0,VLOOKUP(K5,Depreciation!$A$2:$C$58,$A10,FALSE))</f>
        <v>1</v>
      </c>
      <c r="L10" s="6">
        <f>IF(L5="",0,VLOOKUP(L5,Depreciation!$A$2:$C$58,$A10,FALSE))</f>
        <v>1</v>
      </c>
      <c r="Q10" s="28" t="s">
        <v>262</v>
      </c>
      <c r="R10" s="2">
        <v>6</v>
      </c>
    </row>
    <row r="11" spans="2:18" s="30" customFormat="1" ht="18.75" customHeight="1"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2:18" ht="18.75" customHeight="1">
      <c r="B12" s="2" t="s">
        <v>3</v>
      </c>
      <c r="C12" s="170">
        <f>SUM($C23:C23)</f>
        <v>-5005803.213380395</v>
      </c>
      <c r="D12" s="170">
        <f>SUM($C23:D23)</f>
        <v>-7374778.556760791</v>
      </c>
      <c r="E12" s="170">
        <f>SUM($C23:E23)</f>
        <v>-8712145.020141186</v>
      </c>
      <c r="F12" s="170">
        <f>SUM($C23:F23)</f>
        <v>-14166280.50352158</v>
      </c>
      <c r="G12" s="170">
        <f>SUM($C23:G23)</f>
        <v>-14166280.50352158</v>
      </c>
      <c r="H12" s="170">
        <f>SUM($C23:H23)</f>
        <v>-14166280.50352158</v>
      </c>
      <c r="I12" s="170">
        <f>SUM($C23:I23)</f>
        <v>-14166280.50352158</v>
      </c>
      <c r="J12" s="170">
        <f>SUM($C23:J23)</f>
        <v>-14166280.50352158</v>
      </c>
      <c r="K12" s="170">
        <f>SUM($C23:K23)</f>
        <v>-14166280.50352158</v>
      </c>
      <c r="L12" s="170">
        <f>SUM($C23:L23)</f>
        <v>-14166280.50352158</v>
      </c>
      <c r="Q12" s="28" t="s">
        <v>264</v>
      </c>
      <c r="R12" s="2">
        <v>8</v>
      </c>
    </row>
    <row r="13" spans="2:18" ht="18.75" customHeight="1">
      <c r="B13" s="2" t="s">
        <v>4</v>
      </c>
      <c r="C13" s="169">
        <f>SUM($C15:C15)</f>
        <v>14105766.004708001</v>
      </c>
      <c r="D13" s="169">
        <f>SUM($C15:D15)</f>
        <v>28211532.009416003</v>
      </c>
      <c r="E13" s="169">
        <f>SUM($C15:E15)</f>
        <v>42317298.014124006</v>
      </c>
      <c r="F13" s="169">
        <f>SUM($C15:F15)</f>
        <v>56423064.018832006</v>
      </c>
      <c r="G13" s="169"/>
      <c r="H13" s="169"/>
      <c r="I13" s="169"/>
      <c r="J13" s="169"/>
      <c r="K13" s="169"/>
      <c r="L13" s="169"/>
      <c r="Q13" s="28" t="s">
        <v>265</v>
      </c>
      <c r="R13" s="2">
        <v>9</v>
      </c>
    </row>
    <row r="14" spans="2:18" ht="18.75" customHeight="1">
      <c r="B14" s="11" t="s">
        <v>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Q14" s="28" t="s">
        <v>266</v>
      </c>
      <c r="R14" s="2">
        <v>10</v>
      </c>
    </row>
    <row r="15" spans="1:18" ht="18.75" customHeight="1">
      <c r="A15" s="214" t="s">
        <v>372</v>
      </c>
      <c r="B15" s="11" t="s">
        <v>6</v>
      </c>
      <c r="C15" s="169">
        <v>14105766.004708001</v>
      </c>
      <c r="D15" s="169">
        <f>C15</f>
        <v>14105766.004708001</v>
      </c>
      <c r="E15" s="169">
        <f>D15</f>
        <v>14105766.004708001</v>
      </c>
      <c r="F15" s="169">
        <f>E15</f>
        <v>14105766.004708001</v>
      </c>
      <c r="G15" s="169"/>
      <c r="H15" s="169"/>
      <c r="I15" s="169"/>
      <c r="J15" s="169"/>
      <c r="K15" s="169"/>
      <c r="L15" s="169"/>
      <c r="Q15" s="28" t="s">
        <v>267</v>
      </c>
      <c r="R15" s="2">
        <v>11</v>
      </c>
    </row>
    <row r="16" spans="2:18" ht="18.75" customHeight="1">
      <c r="B16" s="5" t="s">
        <v>7</v>
      </c>
      <c r="C16" s="169">
        <f>C7</f>
        <v>1159500</v>
      </c>
      <c r="D16" s="169">
        <f aca="true" t="shared" si="2" ref="D16:L16">C16+D7</f>
        <v>9138500</v>
      </c>
      <c r="E16" s="169">
        <f t="shared" si="2"/>
        <v>19785500</v>
      </c>
      <c r="F16" s="169">
        <f t="shared" si="2"/>
        <v>19785500</v>
      </c>
      <c r="G16" s="169">
        <f t="shared" si="2"/>
        <v>19785500</v>
      </c>
      <c r="H16" s="169">
        <f t="shared" si="2"/>
        <v>19785500</v>
      </c>
      <c r="I16" s="169">
        <f t="shared" si="2"/>
        <v>19785500</v>
      </c>
      <c r="J16" s="169">
        <f t="shared" si="2"/>
        <v>19785500</v>
      </c>
      <c r="K16" s="169">
        <f t="shared" si="2"/>
        <v>19785500</v>
      </c>
      <c r="L16" s="169">
        <f t="shared" si="2"/>
        <v>19785500</v>
      </c>
      <c r="Q16" s="28" t="s">
        <v>268</v>
      </c>
      <c r="R16" s="2">
        <v>12</v>
      </c>
    </row>
    <row r="17" spans="2:17" ht="18.75" customHeight="1">
      <c r="B17" s="213" t="s">
        <v>361</v>
      </c>
      <c r="C17" s="169">
        <f>IF(C5=1,IF($A15="Bonus",SUM($C7:C7)*VLOOKUP(C4,Depreciation!$D$41:$E$50,2),0),0)</f>
        <v>0</v>
      </c>
      <c r="D17" s="169">
        <f>IF(D5=1,IF($A15="Bonus",SUM($C7:D7)*VLOOKUP(D4,Depreciation!$D$41:$E$50,2),0),0)</f>
        <v>0</v>
      </c>
      <c r="E17" s="169">
        <f>IF(E5=1,IF($A15="Bonus",SUM($C7:E7)*VLOOKUP(E4,Depreciation!$D$41:$E$50,2),0),0)</f>
        <v>0</v>
      </c>
      <c r="F17" s="169">
        <f>IF(F5=1,IF($A15="Bonus",SUM($C7:F7)*VLOOKUP(F4,Depreciation!$D$41:$E$50,2),0),0)</f>
        <v>0</v>
      </c>
      <c r="G17" s="169">
        <f>IF(G5=1,IF($A15="Bonus",SUM($C7:G7)*VLOOKUP(G4,Depreciation!$D$41:$E$50,2),0),0)</f>
        <v>0</v>
      </c>
      <c r="H17" s="169">
        <f>IF(H5=1,IF($A15="Bonus",SUM($C7:H7)*VLOOKUP(H4,Depreciation!$D$41:$E$50,2),0),0)</f>
        <v>0</v>
      </c>
      <c r="I17" s="169">
        <f>IF(I5=1,IF($A15="Bonus",SUM($C7:I7)*VLOOKUP(I4,Depreciation!$D$41:$E$50,2),0),0)</f>
        <v>0</v>
      </c>
      <c r="J17" s="169">
        <f>IF(J5=1,IF($A15="Bonus",SUM($C7:J7)*VLOOKUP(J4,Depreciation!$D$41:$E$50,2),0),0)</f>
        <v>0</v>
      </c>
      <c r="K17" s="169">
        <f>IF(K5=1,IF($A15="Bonus",SUM($C7:K7)*VLOOKUP(K4,Depreciation!$D$41:$E$50,2),0),0)</f>
        <v>0</v>
      </c>
      <c r="L17" s="169">
        <f>IF(L5=1,IF($A15="Bonus",SUM($C7:L7)*VLOOKUP(L4,Depreciation!$D$41:$E$50,2),0),0)</f>
        <v>0</v>
      </c>
      <c r="Q17" s="28"/>
    </row>
    <row r="18" spans="2:12" ht="18.75" customHeight="1">
      <c r="B18" s="5" t="s">
        <v>362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 ht="18.75" customHeight="1">
      <c r="B19" s="5" t="s">
        <v>17</v>
      </c>
      <c r="C19" s="7">
        <f>Input!J$31</f>
        <v>0.10152297909805327</v>
      </c>
      <c r="D19" s="7">
        <f>Input!K$31</f>
        <v>0.10152297909805327</v>
      </c>
      <c r="E19" s="7">
        <f>Input!L$31</f>
        <v>0.10152297909805327</v>
      </c>
      <c r="F19" s="7">
        <f>Input!M$31</f>
        <v>0.10152297909805327</v>
      </c>
      <c r="G19" s="7">
        <f>Input!N$31</f>
        <v>0.10152297909805327</v>
      </c>
      <c r="H19" s="7">
        <f>Input!O$31</f>
        <v>0.10152297909805327</v>
      </c>
      <c r="I19" s="7">
        <f>Input!P$31</f>
        <v>0.10152297909805327</v>
      </c>
      <c r="J19" s="7">
        <f>Input!Q$31</f>
        <v>0.10152297909805327</v>
      </c>
      <c r="K19" s="7">
        <f>Input!R$31</f>
        <v>0.10152297909805327</v>
      </c>
      <c r="L19" s="7">
        <f>Input!S$31</f>
        <v>0.10152297909805327</v>
      </c>
    </row>
    <row r="20" spans="2:12" ht="18.75" customHeight="1">
      <c r="B20" s="5" t="s">
        <v>8</v>
      </c>
      <c r="C20" s="181">
        <f>C15</f>
        <v>14105766.004708001</v>
      </c>
      <c r="D20" s="181">
        <f>D15</f>
        <v>14105766.004708001</v>
      </c>
      <c r="E20" s="181">
        <f>E15</f>
        <v>14105766.004708001</v>
      </c>
      <c r="F20" s="181">
        <f>F15</f>
        <v>14105766.004708001</v>
      </c>
      <c r="G20" s="181">
        <f aca="true" t="shared" si="3" ref="G20:L20">G15</f>
        <v>0</v>
      </c>
      <c r="H20" s="181">
        <f t="shared" si="3"/>
        <v>0</v>
      </c>
      <c r="I20" s="181">
        <f t="shared" si="3"/>
        <v>0</v>
      </c>
      <c r="J20" s="181">
        <f t="shared" si="3"/>
        <v>0</v>
      </c>
      <c r="K20" s="181">
        <f t="shared" si="3"/>
        <v>0</v>
      </c>
      <c r="L20" s="181">
        <f t="shared" si="3"/>
        <v>0</v>
      </c>
    </row>
    <row r="21" spans="2:12" ht="18.75" customHeight="1">
      <c r="B21" s="11" t="s">
        <v>364</v>
      </c>
      <c r="C21" s="181">
        <f>C7*C10</f>
        <v>1159500</v>
      </c>
      <c r="D21" s="181">
        <f aca="true" t="shared" si="4" ref="D21:L21">D7*D10</f>
        <v>7979000</v>
      </c>
      <c r="E21" s="181">
        <f t="shared" si="4"/>
        <v>10647000</v>
      </c>
      <c r="F21" s="181">
        <f t="shared" si="4"/>
        <v>0</v>
      </c>
      <c r="G21" s="181">
        <f t="shared" si="4"/>
        <v>0</v>
      </c>
      <c r="H21" s="181">
        <f t="shared" si="4"/>
        <v>0</v>
      </c>
      <c r="I21" s="181">
        <f t="shared" si="4"/>
        <v>0</v>
      </c>
      <c r="J21" s="181">
        <f t="shared" si="4"/>
        <v>0</v>
      </c>
      <c r="K21" s="181">
        <f t="shared" si="4"/>
        <v>0</v>
      </c>
      <c r="L21" s="181">
        <f t="shared" si="4"/>
        <v>0</v>
      </c>
    </row>
    <row r="22" spans="2:12" ht="18.75" customHeight="1">
      <c r="B22" s="3" t="s">
        <v>9</v>
      </c>
      <c r="C22" s="8">
        <f>Input!$B$6</f>
        <v>0.0015</v>
      </c>
      <c r="D22" s="8">
        <f aca="true" t="shared" si="5" ref="D22:I22">C22</f>
        <v>0.0015</v>
      </c>
      <c r="E22" s="8">
        <f t="shared" si="5"/>
        <v>0.0015</v>
      </c>
      <c r="F22" s="8">
        <f t="shared" si="5"/>
        <v>0.0015</v>
      </c>
      <c r="G22" s="8">
        <f t="shared" si="5"/>
        <v>0.0015</v>
      </c>
      <c r="H22" s="8">
        <f t="shared" si="5"/>
        <v>0.0015</v>
      </c>
      <c r="I22" s="8">
        <f t="shared" si="5"/>
        <v>0.0015</v>
      </c>
      <c r="J22" s="8">
        <f>I22</f>
        <v>0.0015</v>
      </c>
      <c r="K22" s="8">
        <f>J22</f>
        <v>0.0015</v>
      </c>
      <c r="L22" s="8">
        <f>K22</f>
        <v>0.0015</v>
      </c>
    </row>
    <row r="23" spans="2:12" ht="18.75" customHeight="1">
      <c r="B23" s="102" t="s">
        <v>363</v>
      </c>
      <c r="C23" s="171">
        <f aca="true" t="shared" si="6" ref="C23:L23">(C21-C20)*C11</f>
        <v>-5005803.213380395</v>
      </c>
      <c r="D23" s="171">
        <f t="shared" si="6"/>
        <v>-2368975.3433803953</v>
      </c>
      <c r="E23" s="171">
        <f t="shared" si="6"/>
        <v>-1337366.4633803957</v>
      </c>
      <c r="F23" s="171">
        <f t="shared" si="6"/>
        <v>-5454135.483380395</v>
      </c>
      <c r="G23" s="171">
        <f t="shared" si="6"/>
        <v>0</v>
      </c>
      <c r="H23" s="171">
        <f t="shared" si="6"/>
        <v>0</v>
      </c>
      <c r="I23" s="171">
        <f t="shared" si="6"/>
        <v>0</v>
      </c>
      <c r="J23" s="171">
        <f t="shared" si="6"/>
        <v>0</v>
      </c>
      <c r="K23" s="171">
        <f t="shared" si="6"/>
        <v>0</v>
      </c>
      <c r="L23" s="171">
        <f t="shared" si="6"/>
        <v>0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7" ref="C26:L26">C8</f>
        <v>1159500</v>
      </c>
      <c r="D26" s="169">
        <f t="shared" si="7"/>
        <v>9138500</v>
      </c>
      <c r="E26" s="169">
        <f t="shared" si="7"/>
        <v>19785500</v>
      </c>
      <c r="F26" s="169">
        <f t="shared" si="7"/>
        <v>19785500</v>
      </c>
      <c r="G26" s="169">
        <f t="shared" si="7"/>
        <v>19785500</v>
      </c>
      <c r="H26" s="169">
        <f t="shared" si="7"/>
        <v>19785500</v>
      </c>
      <c r="I26" s="169">
        <f t="shared" si="7"/>
        <v>19785500</v>
      </c>
      <c r="J26" s="169">
        <f t="shared" si="7"/>
        <v>19785500</v>
      </c>
      <c r="K26" s="169">
        <f t="shared" si="7"/>
        <v>19785500</v>
      </c>
      <c r="L26" s="169">
        <f t="shared" si="7"/>
        <v>19785500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8" ref="D27:I27">C27</f>
        <v>0</v>
      </c>
      <c r="E27" s="170">
        <f t="shared" si="8"/>
        <v>0</v>
      </c>
      <c r="F27" s="170">
        <f t="shared" si="8"/>
        <v>0</v>
      </c>
      <c r="G27" s="170">
        <f t="shared" si="8"/>
        <v>0</v>
      </c>
      <c r="H27" s="170">
        <f t="shared" si="8"/>
        <v>0</v>
      </c>
      <c r="I27" s="170">
        <f t="shared" si="8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2" ht="18.75" customHeight="1">
      <c r="B28" s="2" t="s">
        <v>10</v>
      </c>
      <c r="C28" s="170">
        <f aca="true" t="shared" si="9" ref="C28:L28">-C13</f>
        <v>-14105766.004708001</v>
      </c>
      <c r="D28" s="170">
        <f t="shared" si="9"/>
        <v>-28211532.009416003</v>
      </c>
      <c r="E28" s="170">
        <f t="shared" si="9"/>
        <v>-42317298.014124006</v>
      </c>
      <c r="F28" s="170">
        <f t="shared" si="9"/>
        <v>-56423064.018832006</v>
      </c>
      <c r="G28" s="170">
        <f t="shared" si="9"/>
        <v>0</v>
      </c>
      <c r="H28" s="170">
        <f t="shared" si="9"/>
        <v>0</v>
      </c>
      <c r="I28" s="170">
        <f t="shared" si="9"/>
        <v>0</v>
      </c>
      <c r="J28" s="170">
        <f t="shared" si="9"/>
        <v>0</v>
      </c>
      <c r="K28" s="170">
        <f t="shared" si="9"/>
        <v>0</v>
      </c>
      <c r="L28" s="170">
        <f t="shared" si="9"/>
        <v>0</v>
      </c>
    </row>
    <row r="29" spans="2:12" ht="18.75" customHeight="1">
      <c r="B29" s="2" t="s">
        <v>45</v>
      </c>
      <c r="C29" s="170">
        <v>0</v>
      </c>
      <c r="D29" s="170">
        <f>C29</f>
        <v>0</v>
      </c>
      <c r="E29" s="170">
        <f>D29</f>
        <v>0</v>
      </c>
      <c r="F29" s="170">
        <f>E29</f>
        <v>0</v>
      </c>
      <c r="G29" s="170">
        <f aca="true" t="shared" si="10" ref="G29:L29">F29</f>
        <v>0</v>
      </c>
      <c r="H29" s="170">
        <f t="shared" si="10"/>
        <v>0</v>
      </c>
      <c r="I29" s="170">
        <f t="shared" si="10"/>
        <v>0</v>
      </c>
      <c r="J29" s="170">
        <f t="shared" si="10"/>
        <v>0</v>
      </c>
      <c r="K29" s="170">
        <f t="shared" si="10"/>
        <v>0</v>
      </c>
      <c r="L29" s="170">
        <f t="shared" si="10"/>
        <v>0</v>
      </c>
    </row>
    <row r="30" spans="2:12" ht="18.75" customHeight="1">
      <c r="B30" s="2" t="s">
        <v>46</v>
      </c>
      <c r="C30" s="170">
        <f aca="true" t="shared" si="11" ref="C30:L30">-C12</f>
        <v>5005803.213380395</v>
      </c>
      <c r="D30" s="170">
        <f t="shared" si="11"/>
        <v>7374778.556760791</v>
      </c>
      <c r="E30" s="170">
        <f t="shared" si="11"/>
        <v>8712145.020141186</v>
      </c>
      <c r="F30" s="170">
        <f t="shared" si="11"/>
        <v>14166280.50352158</v>
      </c>
      <c r="G30" s="170">
        <f t="shared" si="11"/>
        <v>14166280.50352158</v>
      </c>
      <c r="H30" s="170">
        <f t="shared" si="11"/>
        <v>14166280.50352158</v>
      </c>
      <c r="I30" s="170">
        <f t="shared" si="11"/>
        <v>14166280.50352158</v>
      </c>
      <c r="J30" s="170">
        <f t="shared" si="11"/>
        <v>14166280.50352158</v>
      </c>
      <c r="K30" s="170">
        <f t="shared" si="11"/>
        <v>14166280.50352158</v>
      </c>
      <c r="L30" s="170">
        <f t="shared" si="11"/>
        <v>14166280.50352158</v>
      </c>
    </row>
    <row r="31" spans="2:12" ht="18.75" customHeight="1">
      <c r="B31" s="2" t="s">
        <v>47</v>
      </c>
      <c r="C31" s="170">
        <v>0</v>
      </c>
      <c r="D31" s="170">
        <f aca="true" t="shared" si="12" ref="D31:I31">C31</f>
        <v>0</v>
      </c>
      <c r="E31" s="170">
        <f t="shared" si="12"/>
        <v>0</v>
      </c>
      <c r="F31" s="170">
        <f t="shared" si="12"/>
        <v>0</v>
      </c>
      <c r="G31" s="170">
        <f t="shared" si="12"/>
        <v>0</v>
      </c>
      <c r="H31" s="170">
        <f t="shared" si="12"/>
        <v>0</v>
      </c>
      <c r="I31" s="170">
        <f t="shared" si="12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 aca="true" t="shared" si="13" ref="C32:I32">SUM(C26:C31)</f>
        <v>-7940462.791327606</v>
      </c>
      <c r="D32" s="170">
        <f t="shared" si="13"/>
        <v>-11698253.452655211</v>
      </c>
      <c r="E32" s="170">
        <f t="shared" si="13"/>
        <v>-13819652.99398282</v>
      </c>
      <c r="F32" s="170">
        <f t="shared" si="13"/>
        <v>-22471283.515310425</v>
      </c>
      <c r="G32" s="170">
        <f t="shared" si="13"/>
        <v>33951780.50352158</v>
      </c>
      <c r="H32" s="170">
        <f t="shared" si="13"/>
        <v>33951780.50352158</v>
      </c>
      <c r="I32" s="170">
        <f t="shared" si="13"/>
        <v>33951780.50352158</v>
      </c>
      <c r="J32" s="170">
        <f>SUM(J26:J31)</f>
        <v>33951780.50352158</v>
      </c>
      <c r="K32" s="170">
        <f>SUM(K26:K31)</f>
        <v>33951780.50352158</v>
      </c>
      <c r="L32" s="170">
        <f>SUM(L26:L31)</f>
        <v>33951780.50352158</v>
      </c>
    </row>
    <row r="33" spans="2:12" ht="18.75" customHeight="1">
      <c r="B33" s="2" t="s">
        <v>12</v>
      </c>
      <c r="C33" s="7">
        <f aca="true" t="shared" si="14" ref="C33:I33">C19</f>
        <v>0.10152297909805327</v>
      </c>
      <c r="D33" s="7">
        <f t="shared" si="14"/>
        <v>0.10152297909805327</v>
      </c>
      <c r="E33" s="7">
        <f t="shared" si="14"/>
        <v>0.10152297909805327</v>
      </c>
      <c r="F33" s="7">
        <f t="shared" si="14"/>
        <v>0.10152297909805327</v>
      </c>
      <c r="G33" s="7">
        <f t="shared" si="14"/>
        <v>0.10152297909805327</v>
      </c>
      <c r="H33" s="7">
        <f t="shared" si="14"/>
        <v>0.10152297909805327</v>
      </c>
      <c r="I33" s="7">
        <f t="shared" si="14"/>
        <v>0.10152297909805327</v>
      </c>
      <c r="J33" s="7">
        <f>J19</f>
        <v>0.10152297909805327</v>
      </c>
      <c r="K33" s="7">
        <f>K19</f>
        <v>0.10152297909805327</v>
      </c>
      <c r="L33" s="7">
        <f>L19</f>
        <v>0.10152297909805327</v>
      </c>
    </row>
    <row r="34" spans="2:12" ht="18.75" customHeight="1">
      <c r="B34" s="34" t="s">
        <v>58</v>
      </c>
      <c r="C34" s="174">
        <f aca="true" t="shared" si="15" ref="C34:I34">C32*C33</f>
        <v>-806139.4379928223</v>
      </c>
      <c r="D34" s="174">
        <f t="shared" si="15"/>
        <v>-1187641.5407576445</v>
      </c>
      <c r="E34" s="174">
        <f t="shared" si="15"/>
        <v>-1403012.3420504672</v>
      </c>
      <c r="F34" s="174">
        <f t="shared" si="15"/>
        <v>-2281351.6466312893</v>
      </c>
      <c r="G34" s="174">
        <f t="shared" si="15"/>
        <v>3446885.9024007134</v>
      </c>
      <c r="H34" s="174">
        <f t="shared" si="15"/>
        <v>3446885.9024007134</v>
      </c>
      <c r="I34" s="174">
        <f t="shared" si="15"/>
        <v>3446885.9024007134</v>
      </c>
      <c r="J34" s="174">
        <f>J32*J33</f>
        <v>3446885.9024007134</v>
      </c>
      <c r="K34" s="174">
        <f>K32*K33</f>
        <v>3446885.9024007134</v>
      </c>
      <c r="L34" s="174">
        <f>L32*L33</f>
        <v>3446885.9024007134</v>
      </c>
    </row>
    <row r="35" spans="2:12" s="3" customFormat="1" ht="18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8.75" customHeight="1">
      <c r="B36" s="1" t="s">
        <v>52</v>
      </c>
      <c r="C36" s="170">
        <v>0</v>
      </c>
      <c r="D36" s="170">
        <f>C36</f>
        <v>0</v>
      </c>
      <c r="E36" s="170">
        <f aca="true" t="shared" si="16" ref="E36:L36">D36</f>
        <v>0</v>
      </c>
      <c r="F36" s="170">
        <f t="shared" si="16"/>
        <v>0</v>
      </c>
      <c r="G36" s="170">
        <f t="shared" si="16"/>
        <v>0</v>
      </c>
      <c r="H36" s="170">
        <f t="shared" si="16"/>
        <v>0</v>
      </c>
      <c r="I36" s="170">
        <f t="shared" si="16"/>
        <v>0</v>
      </c>
      <c r="J36" s="170">
        <f t="shared" si="16"/>
        <v>0</v>
      </c>
      <c r="K36" s="170">
        <f t="shared" si="16"/>
        <v>0</v>
      </c>
      <c r="L36" s="170">
        <f t="shared" si="16"/>
        <v>0</v>
      </c>
    </row>
    <row r="37" spans="2:12" ht="18.75" customHeight="1">
      <c r="B37" s="2" t="s">
        <v>48</v>
      </c>
      <c r="C37" s="170">
        <v>0</v>
      </c>
      <c r="D37" s="170">
        <f>C37</f>
        <v>0</v>
      </c>
      <c r="E37" s="170">
        <f>D37</f>
        <v>0</v>
      </c>
      <c r="F37" s="170">
        <f>E37</f>
        <v>0</v>
      </c>
      <c r="G37" s="170">
        <f aca="true" t="shared" si="17" ref="G37:L37">G20</f>
        <v>0</v>
      </c>
      <c r="H37" s="170">
        <f t="shared" si="17"/>
        <v>0</v>
      </c>
      <c r="I37" s="170">
        <f t="shared" si="17"/>
        <v>0</v>
      </c>
      <c r="J37" s="170">
        <f t="shared" si="17"/>
        <v>0</v>
      </c>
      <c r="K37" s="170">
        <f t="shared" si="17"/>
        <v>0</v>
      </c>
      <c r="L37" s="170">
        <f t="shared" si="17"/>
        <v>0</v>
      </c>
    </row>
    <row r="38" spans="2:12" ht="18.75" customHeight="1">
      <c r="B38" s="2" t="s">
        <v>434</v>
      </c>
      <c r="C38" s="170">
        <f>C15</f>
        <v>14105766.004708001</v>
      </c>
      <c r="D38" s="170">
        <f aca="true" t="shared" si="18" ref="D38:L38">D15</f>
        <v>14105766.004708001</v>
      </c>
      <c r="E38" s="170">
        <f t="shared" si="18"/>
        <v>14105766.004708001</v>
      </c>
      <c r="F38" s="170">
        <f t="shared" si="18"/>
        <v>14105766.004708001</v>
      </c>
      <c r="G38" s="170">
        <f>G15</f>
        <v>0</v>
      </c>
      <c r="H38" s="170">
        <f t="shared" si="18"/>
        <v>0</v>
      </c>
      <c r="I38" s="170">
        <f t="shared" si="18"/>
        <v>0</v>
      </c>
      <c r="J38" s="170">
        <f t="shared" si="18"/>
        <v>0</v>
      </c>
      <c r="K38" s="170">
        <f t="shared" si="18"/>
        <v>0</v>
      </c>
      <c r="L38" s="170">
        <f t="shared" si="18"/>
        <v>0</v>
      </c>
    </row>
    <row r="39" spans="2:12" ht="18.75" customHeight="1">
      <c r="B39" s="2" t="s">
        <v>50</v>
      </c>
      <c r="C39" s="170">
        <v>0</v>
      </c>
      <c r="D39" s="170">
        <f aca="true" t="shared" si="19" ref="D39:I39">D22*(C26+C28)</f>
        <v>-19419.399007062002</v>
      </c>
      <c r="E39" s="170">
        <f t="shared" si="19"/>
        <v>-28609.548014124004</v>
      </c>
      <c r="F39" s="170">
        <f t="shared" si="19"/>
        <v>-33797.69702118601</v>
      </c>
      <c r="G39" s="170">
        <f t="shared" si="19"/>
        <v>-54956.34602824801</v>
      </c>
      <c r="H39" s="170">
        <f t="shared" si="19"/>
        <v>29678.25</v>
      </c>
      <c r="I39" s="170">
        <f t="shared" si="19"/>
        <v>29678.25</v>
      </c>
      <c r="J39" s="170">
        <f>J22*(I26+I28)</f>
        <v>29678.25</v>
      </c>
      <c r="K39" s="170">
        <f>K22*(J26+J28)</f>
        <v>29678.25</v>
      </c>
      <c r="L39" s="170">
        <f>L22*(K26+K28)</f>
        <v>29678.25</v>
      </c>
    </row>
    <row r="40" spans="2:12" ht="18.75" customHeight="1">
      <c r="B40" s="21" t="s">
        <v>51</v>
      </c>
      <c r="C40" s="174">
        <f aca="true" t="shared" si="20" ref="C40:I40">SUM(C36:C39)</f>
        <v>14105766.004708001</v>
      </c>
      <c r="D40" s="174">
        <f t="shared" si="20"/>
        <v>14086346.60570094</v>
      </c>
      <c r="E40" s="174">
        <f t="shared" si="20"/>
        <v>14077156.456693877</v>
      </c>
      <c r="F40" s="174">
        <f t="shared" si="20"/>
        <v>14071968.307686815</v>
      </c>
      <c r="G40" s="174">
        <f t="shared" si="20"/>
        <v>-54956.34602824801</v>
      </c>
      <c r="H40" s="174">
        <f t="shared" si="20"/>
        <v>29678.25</v>
      </c>
      <c r="I40" s="174">
        <f t="shared" si="20"/>
        <v>29678.25</v>
      </c>
      <c r="J40" s="174">
        <f>SUM(J36:J39)</f>
        <v>29678.25</v>
      </c>
      <c r="K40" s="174">
        <f>SUM(K36:K39)</f>
        <v>29678.25</v>
      </c>
      <c r="L40" s="174">
        <f>SUM(L36:L39)</f>
        <v>29678.25</v>
      </c>
    </row>
    <row r="41" spans="3:12" ht="18.75" customHeight="1">
      <c r="C41" s="34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2:12" ht="18.75" customHeight="1">
      <c r="B42" s="1" t="s">
        <v>59</v>
      </c>
      <c r="C42" s="170">
        <f aca="true" t="shared" si="21" ref="C42:I42">C34+C40</f>
        <v>13299626.566715179</v>
      </c>
      <c r="D42" s="170">
        <f t="shared" si="21"/>
        <v>12898705.064943295</v>
      </c>
      <c r="E42" s="170">
        <f t="shared" si="21"/>
        <v>12674144.11464341</v>
      </c>
      <c r="F42" s="170">
        <f t="shared" si="21"/>
        <v>11790616.661055526</v>
      </c>
      <c r="G42" s="170">
        <f t="shared" si="21"/>
        <v>3391929.5563724656</v>
      </c>
      <c r="H42" s="170">
        <f t="shared" si="21"/>
        <v>3476564.1524007134</v>
      </c>
      <c r="I42" s="170">
        <f t="shared" si="21"/>
        <v>3476564.1524007134</v>
      </c>
      <c r="J42" s="170">
        <f>J34+J40</f>
        <v>3476564.1524007134</v>
      </c>
      <c r="K42" s="170">
        <f>K34+K40</f>
        <v>3476564.1524007134</v>
      </c>
      <c r="L42" s="170">
        <f>L34+L40</f>
        <v>3476564.1524007134</v>
      </c>
    </row>
    <row r="43" spans="2:12" s="3" customFormat="1" ht="18.7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2" ht="18.75" customHeight="1"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8.75" customHeight="1">
      <c r="B45" s="11"/>
      <c r="C45" s="212" t="s">
        <v>257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8.75" customHeight="1">
      <c r="A46" s="28"/>
      <c r="B46" s="28"/>
      <c r="C46" s="29">
        <f>C4</f>
        <v>2016</v>
      </c>
      <c r="D46" s="29">
        <f aca="true" t="shared" si="22" ref="D46:L47">C46+1</f>
        <v>2017</v>
      </c>
      <c r="E46" s="29">
        <f t="shared" si="22"/>
        <v>2018</v>
      </c>
      <c r="F46" s="29">
        <f t="shared" si="22"/>
        <v>2019</v>
      </c>
      <c r="G46" s="29">
        <f t="shared" si="22"/>
        <v>2020</v>
      </c>
      <c r="H46" s="29">
        <f t="shared" si="22"/>
        <v>2021</v>
      </c>
      <c r="I46" s="29">
        <f t="shared" si="22"/>
        <v>2022</v>
      </c>
      <c r="J46" s="29">
        <f t="shared" si="22"/>
        <v>2023</v>
      </c>
      <c r="K46" s="29">
        <f t="shared" si="22"/>
        <v>2024</v>
      </c>
      <c r="L46" s="29">
        <f t="shared" si="22"/>
        <v>2025</v>
      </c>
    </row>
    <row r="47" spans="1:12" ht="18.75" customHeight="1">
      <c r="A47" s="258">
        <v>2018</v>
      </c>
      <c r="B47" s="28" t="s">
        <v>43</v>
      </c>
      <c r="C47" s="209">
        <v>1</v>
      </c>
      <c r="D47" s="209">
        <f>C47+1</f>
        <v>2</v>
      </c>
      <c r="E47" s="209">
        <f t="shared" si="22"/>
        <v>3</v>
      </c>
      <c r="F47" s="209">
        <f t="shared" si="22"/>
        <v>4</v>
      </c>
      <c r="G47" s="209">
        <f t="shared" si="22"/>
        <v>5</v>
      </c>
      <c r="H47" s="209">
        <f t="shared" si="22"/>
        <v>6</v>
      </c>
      <c r="I47" s="209">
        <f t="shared" si="22"/>
        <v>7</v>
      </c>
      <c r="J47" s="209">
        <f t="shared" si="22"/>
        <v>8</v>
      </c>
      <c r="K47" s="209">
        <f t="shared" si="22"/>
        <v>9</v>
      </c>
      <c r="L47" s="209">
        <f t="shared" si="22"/>
        <v>10</v>
      </c>
    </row>
    <row r="48" spans="1:12" ht="18.75" customHeight="1">
      <c r="A48" s="3"/>
      <c r="B48" s="211" t="s">
        <v>330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75" customHeight="1">
      <c r="A49" s="60" t="s">
        <v>309</v>
      </c>
      <c r="B49" s="10" t="s">
        <v>395</v>
      </c>
      <c r="C49" s="172">
        <f>VLOOKUP(C$4,'Cash Flows-KU'!$B$44:$H$54,$A50)</f>
        <v>1698000</v>
      </c>
      <c r="D49" s="172">
        <f>VLOOKUP(D$4,'Cash Flows-KU'!$B$44:$H$54,$A50)</f>
        <v>8854000</v>
      </c>
      <c r="E49" s="172">
        <f>VLOOKUP(E$4,'Cash Flows-KU'!$B$44:$H$54,$A50)</f>
        <v>10884000</v>
      </c>
      <c r="F49" s="172">
        <f>VLOOKUP(F$4,'Cash Flows-KU'!$B$44:$H$54,$A50)</f>
        <v>0</v>
      </c>
      <c r="G49" s="172">
        <f>VLOOKUP(G$4,'Cash Flows-KU'!$B$44:$H$54,$A50)</f>
        <v>0</v>
      </c>
      <c r="H49" s="172">
        <f>VLOOKUP(H$4,'Cash Flows-KU'!$B$44:$H$54,$A50)</f>
        <v>0</v>
      </c>
      <c r="I49" s="172">
        <f>VLOOKUP(I$4,'Cash Flows-KU'!$B$44:$H$54,$A50)</f>
        <v>0</v>
      </c>
      <c r="J49" s="172">
        <f>VLOOKUP(J$4,'Cash Flows-KU'!$B$44:$H$54,$A50)</f>
        <v>0</v>
      </c>
      <c r="K49" s="172">
        <f>VLOOKUP(K$4,'Cash Flows-KU'!$B$44:$H$54,$A50)</f>
        <v>0</v>
      </c>
      <c r="L49" s="172">
        <f>VLOOKUP(L$4,'Cash Flows-KU'!$B$44:$H$54,$A50)</f>
        <v>0</v>
      </c>
    </row>
    <row r="50" spans="1:13" ht="18.75" customHeight="1">
      <c r="A50" s="3">
        <v>3</v>
      </c>
      <c r="B50" s="40" t="s">
        <v>57</v>
      </c>
      <c r="C50" s="172">
        <f>SUM($C49:C49)</f>
        <v>1698000</v>
      </c>
      <c r="D50" s="172">
        <f>SUM($C49:D49)</f>
        <v>10552000</v>
      </c>
      <c r="E50" s="172">
        <f>SUM($C49:E49)</f>
        <v>21436000</v>
      </c>
      <c r="F50" s="172">
        <f>SUM($C49:F49)</f>
        <v>21436000</v>
      </c>
      <c r="G50" s="172">
        <f>SUM($C49:G49)</f>
        <v>21436000</v>
      </c>
      <c r="H50" s="172">
        <f>SUM($C49:H49)</f>
        <v>21436000</v>
      </c>
      <c r="I50" s="172">
        <f>SUM($C49:I49)</f>
        <v>21436000</v>
      </c>
      <c r="J50" s="172">
        <f>SUM($C49:J49)</f>
        <v>21436000</v>
      </c>
      <c r="K50" s="172">
        <f>SUM($C49:K49)</f>
        <v>21436000</v>
      </c>
      <c r="L50" s="172">
        <f>SUM($C49:L49)</f>
        <v>21436000</v>
      </c>
      <c r="M50" s="18"/>
    </row>
    <row r="51" spans="1:12" ht="18.75" customHeight="1">
      <c r="A51" s="3">
        <v>2</v>
      </c>
      <c r="B51" s="5" t="s">
        <v>0</v>
      </c>
      <c r="C51" s="6">
        <f>IF(C47="",0,VLOOKUP($B48,Depreciation!$D$2:$E$31,$A51,FALSE))</f>
        <v>0</v>
      </c>
      <c r="D51" s="6">
        <f>IF(D47="",0,VLOOKUP($B48,Depreciation!$D$2:$E$31,$A51,FALSE))</f>
        <v>0</v>
      </c>
      <c r="E51" s="6">
        <f>IF(E47="",0,VLOOKUP($B48,Depreciation!$D$2:$E$31,$A51,FALSE))</f>
        <v>0</v>
      </c>
      <c r="F51" s="6">
        <f>IF(F47="",0,VLOOKUP($B48,Depreciation!$D$2:$E$31,$A51,FALSE))</f>
        <v>0</v>
      </c>
      <c r="G51" s="6">
        <f>IF(G47="",0,VLOOKUP($B48,Depreciation!$D$2:$E$31,$A51,FALSE))</f>
        <v>0</v>
      </c>
      <c r="H51" s="6">
        <f>IF(H47="",0,VLOOKUP($B48,Depreciation!$D$2:$E$31,$A51,FALSE))</f>
        <v>0</v>
      </c>
      <c r="I51" s="6">
        <f>IF(I47="",0,VLOOKUP($B48,Depreciation!$D$2:$E$31,$A51,FALSE))</f>
        <v>0</v>
      </c>
      <c r="J51" s="6">
        <f>IF(J47="",0,VLOOKUP($B48,Depreciation!$D$2:$E$31,$A51,FALSE))</f>
        <v>0</v>
      </c>
      <c r="K51" s="6">
        <f>IF(K47="",0,VLOOKUP($B48,Depreciation!$D$2:$E$31,$A51,FALSE))</f>
        <v>0</v>
      </c>
      <c r="L51" s="6">
        <f>IF(L47="",0,VLOOKUP($B48,Depreciation!$D$2:$E$31,$A51,FALSE))</f>
        <v>0</v>
      </c>
    </row>
    <row r="52" spans="1:12" ht="18.75" customHeight="1">
      <c r="A52" s="3">
        <v>3</v>
      </c>
      <c r="B52" s="5" t="s">
        <v>1</v>
      </c>
      <c r="C52" s="6">
        <f>IF(C47="",0,VLOOKUP(C47,Depreciation!$A$2:$C$58,$A52,FALSE))</f>
        <v>1</v>
      </c>
      <c r="D52" s="6">
        <f>IF(D47="",0,VLOOKUP(D47,Depreciation!$A$2:$C$58,$A52,FALSE))</f>
        <v>1</v>
      </c>
      <c r="E52" s="6">
        <f>IF(E47="",0,VLOOKUP(E47,Depreciation!$A$2:$C$58,$A52,FALSE))</f>
        <v>1</v>
      </c>
      <c r="F52" s="6">
        <f>IF(F47="",0,VLOOKUP(F47,Depreciation!$A$2:$C$58,$A52,FALSE))</f>
        <v>1</v>
      </c>
      <c r="G52" s="6">
        <f>IF(G47="",0,VLOOKUP(G47,Depreciation!$A$2:$C$58,$A52,FALSE))</f>
        <v>1</v>
      </c>
      <c r="H52" s="6">
        <f>IF(H47="",0,VLOOKUP(H47,Depreciation!$A$2:$C$58,$A52,FALSE))</f>
        <v>1</v>
      </c>
      <c r="I52" s="6">
        <f>IF(I47="",0,VLOOKUP(I47,Depreciation!$A$2:$C$58,$A52,FALSE))</f>
        <v>1</v>
      </c>
      <c r="J52" s="6">
        <f>IF(J47="",0,VLOOKUP(J47,Depreciation!$A$2:$C$58,$A52,FALSE))</f>
        <v>1</v>
      </c>
      <c r="K52" s="6">
        <f>IF(K47="",0,VLOOKUP(K47,Depreciation!$A$2:$C$58,$A52,FALSE))</f>
        <v>1</v>
      </c>
      <c r="L52" s="6">
        <f>IF(L47="",0,VLOOKUP(L47,Depreciation!$A$2:$C$58,$A52,FALSE))</f>
        <v>1</v>
      </c>
    </row>
    <row r="53" spans="1:12" ht="18.75" customHeight="1">
      <c r="A53" s="30"/>
      <c r="B53" s="31" t="s">
        <v>2</v>
      </c>
      <c r="C53" s="7">
        <f>Input!B$3</f>
        <v>0.38665999999999995</v>
      </c>
      <c r="D53" s="7">
        <f>Input!C$3</f>
        <v>0.38665999999999995</v>
      </c>
      <c r="E53" s="7">
        <f>Input!D$3</f>
        <v>0.38665999999999995</v>
      </c>
      <c r="F53" s="7">
        <f>Input!E$3</f>
        <v>0.38665999999999995</v>
      </c>
      <c r="G53" s="7">
        <f>Input!F$3</f>
        <v>0.38665999999999995</v>
      </c>
      <c r="H53" s="7">
        <f>Input!G$3</f>
        <v>0.38665999999999995</v>
      </c>
      <c r="I53" s="7">
        <f>Input!H$3</f>
        <v>0.38665999999999995</v>
      </c>
      <c r="J53" s="7">
        <f>Input!I$3</f>
        <v>0.38665999999999995</v>
      </c>
      <c r="K53" s="7">
        <f>Input!J$3</f>
        <v>0.38665999999999995</v>
      </c>
      <c r="L53" s="7">
        <f>Input!K$3</f>
        <v>0.38665999999999995</v>
      </c>
    </row>
    <row r="54" spans="2:12" ht="18.75" customHeight="1">
      <c r="B54" s="2" t="s">
        <v>3</v>
      </c>
      <c r="C54" s="170">
        <f>SUM($C65:C65)</f>
        <v>656548.6799999999</v>
      </c>
      <c r="D54" s="170">
        <f>SUM($C65:D65)</f>
        <v>4080036.3199999994</v>
      </c>
      <c r="E54" s="170">
        <f>SUM($C65:E65)</f>
        <v>8288443.759999999</v>
      </c>
      <c r="F54" s="170">
        <f>SUM($C65:F65)</f>
        <v>8288443.759999999</v>
      </c>
      <c r="G54" s="170">
        <f>SUM($C65:G65)</f>
        <v>8288443.759999999</v>
      </c>
      <c r="H54" s="170">
        <f>SUM($C65:H65)</f>
        <v>8288443.759999999</v>
      </c>
      <c r="I54" s="170">
        <f>SUM($C65:I65)</f>
        <v>8288443.759999999</v>
      </c>
      <c r="J54" s="170">
        <f>SUM($C65:J65)</f>
        <v>8288443.759999999</v>
      </c>
      <c r="K54" s="170">
        <f>SUM($C65:K65)</f>
        <v>8288443.759999999</v>
      </c>
      <c r="L54" s="170">
        <f>SUM($C65:L65)</f>
        <v>8288443.759999999</v>
      </c>
    </row>
    <row r="55" spans="2:12" ht="18.75" customHeight="1">
      <c r="B55" s="2" t="s">
        <v>4</v>
      </c>
      <c r="C55" s="170">
        <f>SUM($C57:C57)</f>
        <v>0</v>
      </c>
      <c r="D55" s="170">
        <f>SUM($C57:D57)</f>
        <v>0</v>
      </c>
      <c r="E55" s="170">
        <f>SUM($C57:E57)</f>
        <v>0</v>
      </c>
      <c r="F55" s="170">
        <f>SUM($C57:F57)</f>
        <v>0</v>
      </c>
      <c r="G55" s="170">
        <f>SUM($C57:G57)</f>
        <v>0</v>
      </c>
      <c r="H55" s="170">
        <f>SUM($C57:H57)</f>
        <v>0</v>
      </c>
      <c r="I55" s="170">
        <f>SUM($C57:I57)</f>
        <v>0</v>
      </c>
      <c r="J55" s="170">
        <f>SUM($C57:J57)</f>
        <v>0</v>
      </c>
      <c r="K55" s="170">
        <f>SUM($C57:K57)</f>
        <v>0</v>
      </c>
      <c r="L55" s="170">
        <f>SUM($C57:L57)</f>
        <v>0</v>
      </c>
    </row>
    <row r="56" spans="2:12" ht="18.75" customHeight="1">
      <c r="B56" s="11" t="s">
        <v>5</v>
      </c>
      <c r="C56" s="170">
        <f>C49</f>
        <v>1698000</v>
      </c>
      <c r="D56" s="170">
        <f>C56+D49</f>
        <v>10552000</v>
      </c>
      <c r="E56" s="170">
        <f aca="true" t="shared" si="23" ref="E56:L56">D56+E49</f>
        <v>21436000</v>
      </c>
      <c r="F56" s="170">
        <f t="shared" si="23"/>
        <v>21436000</v>
      </c>
      <c r="G56" s="170">
        <f t="shared" si="23"/>
        <v>21436000</v>
      </c>
      <c r="H56" s="170">
        <f t="shared" si="23"/>
        <v>21436000</v>
      </c>
      <c r="I56" s="170">
        <f t="shared" si="23"/>
        <v>21436000</v>
      </c>
      <c r="J56" s="170">
        <f t="shared" si="23"/>
        <v>21436000</v>
      </c>
      <c r="K56" s="170">
        <f t="shared" si="23"/>
        <v>21436000</v>
      </c>
      <c r="L56" s="170">
        <f t="shared" si="23"/>
        <v>21436000</v>
      </c>
    </row>
    <row r="57" spans="1:12" ht="18.75" customHeight="1">
      <c r="A57" s="214" t="s">
        <v>372</v>
      </c>
      <c r="B57" s="11" t="s">
        <v>6</v>
      </c>
      <c r="C57" s="170">
        <f aca="true" t="shared" si="24" ref="C57:L57">IF(C47=1,(12.5-VLOOKUP(C45,$Q$5:$R$16,2,))*C51/12*C56,C56*C51)</f>
        <v>0</v>
      </c>
      <c r="D57" s="170">
        <f t="shared" si="24"/>
        <v>0</v>
      </c>
      <c r="E57" s="170">
        <f t="shared" si="24"/>
        <v>0</v>
      </c>
      <c r="F57" s="170">
        <f t="shared" si="24"/>
        <v>0</v>
      </c>
      <c r="G57" s="170">
        <f t="shared" si="24"/>
        <v>0</v>
      </c>
      <c r="H57" s="170">
        <f t="shared" si="24"/>
        <v>0</v>
      </c>
      <c r="I57" s="170">
        <f t="shared" si="24"/>
        <v>0</v>
      </c>
      <c r="J57" s="170">
        <f t="shared" si="24"/>
        <v>0</v>
      </c>
      <c r="K57" s="170">
        <f t="shared" si="24"/>
        <v>0</v>
      </c>
      <c r="L57" s="170">
        <f t="shared" si="24"/>
        <v>0</v>
      </c>
    </row>
    <row r="58" spans="2:12" ht="18.75" customHeight="1">
      <c r="B58" s="5" t="s">
        <v>7</v>
      </c>
      <c r="C58" s="170">
        <f>C49</f>
        <v>1698000</v>
      </c>
      <c r="D58" s="170">
        <f aca="true" t="shared" si="25" ref="D58:L58">C58+D49</f>
        <v>10552000</v>
      </c>
      <c r="E58" s="170">
        <f t="shared" si="25"/>
        <v>21436000</v>
      </c>
      <c r="F58" s="170">
        <f t="shared" si="25"/>
        <v>21436000</v>
      </c>
      <c r="G58" s="170">
        <f t="shared" si="25"/>
        <v>21436000</v>
      </c>
      <c r="H58" s="170">
        <f t="shared" si="25"/>
        <v>21436000</v>
      </c>
      <c r="I58" s="170">
        <f t="shared" si="25"/>
        <v>21436000</v>
      </c>
      <c r="J58" s="170">
        <f t="shared" si="25"/>
        <v>21436000</v>
      </c>
      <c r="K58" s="170">
        <f t="shared" si="25"/>
        <v>21436000</v>
      </c>
      <c r="L58" s="170">
        <f t="shared" si="25"/>
        <v>21436000</v>
      </c>
    </row>
    <row r="59" spans="2:12" ht="18.75" customHeight="1">
      <c r="B59" s="213" t="s">
        <v>361</v>
      </c>
      <c r="C59" s="170">
        <f>IF(C47=1,IF($A57="Bonus",SUM($C49:C49)*VLOOKUP(C46,Depreciation!$D$41:$E$50,2),0),0)</f>
        <v>0</v>
      </c>
      <c r="D59" s="170">
        <f>IF(D47=1,IF($A57="Bonus",SUM($C49:D49)*VLOOKUP(D46,Depreciation!$D$41:$E$50,2),0),0)</f>
        <v>0</v>
      </c>
      <c r="E59" s="170">
        <f>IF(E47=1,IF($A57="Bonus",SUM($C49:E49)*VLOOKUP(E46,Depreciation!$D$41:$E$50,2),0),0)</f>
        <v>0</v>
      </c>
      <c r="F59" s="170">
        <f>IF(F47=1,IF($A57="Bonus",SUM($C49:F49)*VLOOKUP(F46,Depreciation!$D$41:$E$50,2),0),0)</f>
        <v>0</v>
      </c>
      <c r="G59" s="170">
        <f>IF(G47=1,IF($A57="Bonus",SUM($C49:G49)*VLOOKUP(G46,Depreciation!$D$41:$E$50,2),0),0)</f>
        <v>0</v>
      </c>
      <c r="H59" s="170">
        <f>IF(H47=1,IF($A57="Bonus",SUM($C49:H49)*VLOOKUP(H46,Depreciation!$D$41:$E$50,2),0),0)</f>
        <v>0</v>
      </c>
      <c r="I59" s="170">
        <f>IF(I47=1,IF($A57="Bonus",SUM($C49:I49)*VLOOKUP(I46,Depreciation!$D$41:$E$50,2),0),0)</f>
        <v>0</v>
      </c>
      <c r="J59" s="170">
        <f>IF(J47=1,IF($A57="Bonus",SUM($C49:J49)*VLOOKUP(J46,Depreciation!$D$41:$E$50,2),0),0)</f>
        <v>0</v>
      </c>
      <c r="K59" s="170">
        <f>IF(K47=1,IF($A57="Bonus",SUM($C49:K49)*VLOOKUP(K46,Depreciation!$D$41:$E$50,2),0),0)</f>
        <v>0</v>
      </c>
      <c r="L59" s="170">
        <f>IF(L47=1,IF($A57="Bonus",SUM($C49:L49)*VLOOKUP(L46,Depreciation!$D$41:$E$50,2),0),0)</f>
        <v>0</v>
      </c>
    </row>
    <row r="60" spans="2:12" ht="18.75" customHeight="1">
      <c r="B60" s="5" t="s">
        <v>362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2:12" ht="18.75" customHeight="1">
      <c r="B61" s="5" t="s">
        <v>17</v>
      </c>
      <c r="C61" s="7">
        <f>Input!J$31</f>
        <v>0.10152297909805327</v>
      </c>
      <c r="D61" s="7">
        <f>Input!K$31</f>
        <v>0.10152297909805327</v>
      </c>
      <c r="E61" s="7">
        <f>Input!L$31</f>
        <v>0.10152297909805327</v>
      </c>
      <c r="F61" s="7">
        <f>Input!M$31</f>
        <v>0.10152297909805327</v>
      </c>
      <c r="G61" s="7">
        <f>Input!N$31</f>
        <v>0.10152297909805327</v>
      </c>
      <c r="H61" s="7">
        <f>Input!O$31</f>
        <v>0.10152297909805327</v>
      </c>
      <c r="I61" s="7">
        <f>Input!P$31</f>
        <v>0.10152297909805327</v>
      </c>
      <c r="J61" s="7">
        <f>Input!Q$31</f>
        <v>0.10152297909805327</v>
      </c>
      <c r="K61" s="7">
        <f>Input!R$31</f>
        <v>0.10152297909805327</v>
      </c>
      <c r="L61" s="7">
        <f>Input!S$31</f>
        <v>0.10152297909805327</v>
      </c>
    </row>
    <row r="62" spans="2:12" ht="18.75" customHeight="1">
      <c r="B62" s="5" t="s">
        <v>8</v>
      </c>
      <c r="C62" s="181">
        <f aca="true" t="shared" si="26" ref="C62:L62">C57</f>
        <v>0</v>
      </c>
      <c r="D62" s="181">
        <f t="shared" si="26"/>
        <v>0</v>
      </c>
      <c r="E62" s="181">
        <f t="shared" si="26"/>
        <v>0</v>
      </c>
      <c r="F62" s="181">
        <f t="shared" si="26"/>
        <v>0</v>
      </c>
      <c r="G62" s="181">
        <f t="shared" si="26"/>
        <v>0</v>
      </c>
      <c r="H62" s="181">
        <f t="shared" si="26"/>
        <v>0</v>
      </c>
      <c r="I62" s="181">
        <f t="shared" si="26"/>
        <v>0</v>
      </c>
      <c r="J62" s="181">
        <f t="shared" si="26"/>
        <v>0</v>
      </c>
      <c r="K62" s="181">
        <f t="shared" si="26"/>
        <v>0</v>
      </c>
      <c r="L62" s="181">
        <f t="shared" si="26"/>
        <v>0</v>
      </c>
    </row>
    <row r="63" spans="2:12" ht="18.75" customHeight="1">
      <c r="B63" s="11" t="s">
        <v>364</v>
      </c>
      <c r="C63" s="181">
        <f>C49*C52</f>
        <v>1698000</v>
      </c>
      <c r="D63" s="181">
        <f aca="true" t="shared" si="27" ref="D63:L63">D49*D52</f>
        <v>8854000</v>
      </c>
      <c r="E63" s="181">
        <f t="shared" si="27"/>
        <v>10884000</v>
      </c>
      <c r="F63" s="181">
        <f t="shared" si="27"/>
        <v>0</v>
      </c>
      <c r="G63" s="181">
        <f t="shared" si="27"/>
        <v>0</v>
      </c>
      <c r="H63" s="181">
        <f t="shared" si="27"/>
        <v>0</v>
      </c>
      <c r="I63" s="181">
        <f t="shared" si="27"/>
        <v>0</v>
      </c>
      <c r="J63" s="181">
        <f t="shared" si="27"/>
        <v>0</v>
      </c>
      <c r="K63" s="181">
        <f t="shared" si="27"/>
        <v>0</v>
      </c>
      <c r="L63" s="181">
        <f t="shared" si="27"/>
        <v>0</v>
      </c>
    </row>
    <row r="64" spans="2:12" ht="18.75" customHeight="1">
      <c r="B64" s="3" t="s">
        <v>9</v>
      </c>
      <c r="C64" s="8">
        <f>Input!$B$6</f>
        <v>0.0015</v>
      </c>
      <c r="D64" s="8">
        <f aca="true" t="shared" si="28" ref="D64:I64">C64</f>
        <v>0.0015</v>
      </c>
      <c r="E64" s="8">
        <f t="shared" si="28"/>
        <v>0.0015</v>
      </c>
      <c r="F64" s="8">
        <f t="shared" si="28"/>
        <v>0.0015</v>
      </c>
      <c r="G64" s="8">
        <f t="shared" si="28"/>
        <v>0.0015</v>
      </c>
      <c r="H64" s="8">
        <f t="shared" si="28"/>
        <v>0.0015</v>
      </c>
      <c r="I64" s="8">
        <f t="shared" si="28"/>
        <v>0.0015</v>
      </c>
      <c r="J64" s="8">
        <f>I64</f>
        <v>0.0015</v>
      </c>
      <c r="K64" s="8">
        <f>J64</f>
        <v>0.0015</v>
      </c>
      <c r="L64" s="8">
        <f>K64</f>
        <v>0.0015</v>
      </c>
    </row>
    <row r="65" spans="2:12" ht="18.75" customHeight="1">
      <c r="B65" s="102" t="s">
        <v>363</v>
      </c>
      <c r="C65" s="171">
        <f aca="true" t="shared" si="29" ref="C65:L65">(C63-C62)*C53</f>
        <v>656548.6799999999</v>
      </c>
      <c r="D65" s="171">
        <f t="shared" si="29"/>
        <v>3423487.6399999997</v>
      </c>
      <c r="E65" s="171">
        <f t="shared" si="29"/>
        <v>4208407.4399999995</v>
      </c>
      <c r="F65" s="171">
        <f t="shared" si="29"/>
        <v>0</v>
      </c>
      <c r="G65" s="171">
        <f t="shared" si="29"/>
        <v>0</v>
      </c>
      <c r="H65" s="171">
        <f t="shared" si="29"/>
        <v>0</v>
      </c>
      <c r="I65" s="171">
        <f t="shared" si="29"/>
        <v>0</v>
      </c>
      <c r="J65" s="171">
        <f t="shared" si="29"/>
        <v>0</v>
      </c>
      <c r="K65" s="171">
        <f t="shared" si="29"/>
        <v>0</v>
      </c>
      <c r="L65" s="171">
        <f t="shared" si="29"/>
        <v>0</v>
      </c>
    </row>
    <row r="66" spans="2:12" ht="18.75" customHeight="1">
      <c r="B66" s="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8.75" customHeight="1">
      <c r="B67" s="10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8.75" customHeight="1">
      <c r="B68" s="5" t="s">
        <v>16</v>
      </c>
      <c r="C68" s="169">
        <f aca="true" t="shared" si="30" ref="C68:I68">C50</f>
        <v>1698000</v>
      </c>
      <c r="D68" s="169">
        <f t="shared" si="30"/>
        <v>10552000</v>
      </c>
      <c r="E68" s="169">
        <f t="shared" si="30"/>
        <v>21436000</v>
      </c>
      <c r="F68" s="169">
        <f t="shared" si="30"/>
        <v>21436000</v>
      </c>
      <c r="G68" s="169">
        <f t="shared" si="30"/>
        <v>21436000</v>
      </c>
      <c r="H68" s="169">
        <f t="shared" si="30"/>
        <v>21436000</v>
      </c>
      <c r="I68" s="169">
        <f t="shared" si="30"/>
        <v>21436000</v>
      </c>
      <c r="J68" s="169">
        <f>J50</f>
        <v>21436000</v>
      </c>
      <c r="K68" s="169">
        <f>K50</f>
        <v>21436000</v>
      </c>
      <c r="L68" s="169">
        <f>L50</f>
        <v>21436000</v>
      </c>
    </row>
    <row r="69" spans="1:12" ht="18.75" customHeight="1">
      <c r="A69" s="3"/>
      <c r="B69" s="4" t="s">
        <v>44</v>
      </c>
      <c r="C69" s="170">
        <v>0</v>
      </c>
      <c r="D69" s="170">
        <f aca="true" t="shared" si="31" ref="D69:L69">C69</f>
        <v>0</v>
      </c>
      <c r="E69" s="170">
        <f t="shared" si="31"/>
        <v>0</v>
      </c>
      <c r="F69" s="170">
        <f t="shared" si="31"/>
        <v>0</v>
      </c>
      <c r="G69" s="170">
        <f t="shared" si="31"/>
        <v>0</v>
      </c>
      <c r="H69" s="170">
        <f t="shared" si="31"/>
        <v>0</v>
      </c>
      <c r="I69" s="170">
        <f t="shared" si="31"/>
        <v>0</v>
      </c>
      <c r="J69" s="170">
        <f t="shared" si="31"/>
        <v>0</v>
      </c>
      <c r="K69" s="170">
        <f t="shared" si="31"/>
        <v>0</v>
      </c>
      <c r="L69" s="170">
        <f t="shared" si="31"/>
        <v>0</v>
      </c>
    </row>
    <row r="70" spans="2:12" ht="18.75" customHeight="1">
      <c r="B70" s="2" t="s">
        <v>10</v>
      </c>
      <c r="C70" s="170">
        <f aca="true" t="shared" si="32" ref="C70:I70">-C55</f>
        <v>0</v>
      </c>
      <c r="D70" s="170">
        <f t="shared" si="32"/>
        <v>0</v>
      </c>
      <c r="E70" s="170">
        <f t="shared" si="32"/>
        <v>0</v>
      </c>
      <c r="F70" s="170">
        <f t="shared" si="32"/>
        <v>0</v>
      </c>
      <c r="G70" s="170">
        <f t="shared" si="32"/>
        <v>0</v>
      </c>
      <c r="H70" s="170">
        <f t="shared" si="32"/>
        <v>0</v>
      </c>
      <c r="I70" s="170">
        <f t="shared" si="32"/>
        <v>0</v>
      </c>
      <c r="J70" s="170">
        <f>-J55</f>
        <v>0</v>
      </c>
      <c r="K70" s="170">
        <f>-K55</f>
        <v>0</v>
      </c>
      <c r="L70" s="170">
        <f>-L55</f>
        <v>0</v>
      </c>
    </row>
    <row r="71" spans="2:12" ht="18.75" customHeight="1">
      <c r="B71" s="2" t="s">
        <v>45</v>
      </c>
      <c r="C71" s="170">
        <v>0</v>
      </c>
      <c r="D71" s="170">
        <f aca="true" t="shared" si="33" ref="D71:L71">C71</f>
        <v>0</v>
      </c>
      <c r="E71" s="170">
        <f t="shared" si="33"/>
        <v>0</v>
      </c>
      <c r="F71" s="170">
        <f t="shared" si="33"/>
        <v>0</v>
      </c>
      <c r="G71" s="170">
        <f t="shared" si="33"/>
        <v>0</v>
      </c>
      <c r="H71" s="170">
        <f t="shared" si="33"/>
        <v>0</v>
      </c>
      <c r="I71" s="170">
        <f t="shared" si="33"/>
        <v>0</v>
      </c>
      <c r="J71" s="170">
        <f t="shared" si="33"/>
        <v>0</v>
      </c>
      <c r="K71" s="170">
        <f t="shared" si="33"/>
        <v>0</v>
      </c>
      <c r="L71" s="170">
        <f t="shared" si="33"/>
        <v>0</v>
      </c>
    </row>
    <row r="72" spans="2:12" ht="18.75" customHeight="1">
      <c r="B72" s="2" t="s">
        <v>46</v>
      </c>
      <c r="C72" s="170">
        <f aca="true" t="shared" si="34" ref="C72:I72">-C54</f>
        <v>-656548.6799999999</v>
      </c>
      <c r="D72" s="170">
        <f t="shared" si="34"/>
        <v>-4080036.3199999994</v>
      </c>
      <c r="E72" s="170">
        <f t="shared" si="34"/>
        <v>-8288443.759999999</v>
      </c>
      <c r="F72" s="170">
        <f t="shared" si="34"/>
        <v>-8288443.759999999</v>
      </c>
      <c r="G72" s="170">
        <f t="shared" si="34"/>
        <v>-8288443.759999999</v>
      </c>
      <c r="H72" s="170">
        <f t="shared" si="34"/>
        <v>-8288443.759999999</v>
      </c>
      <c r="I72" s="170">
        <f t="shared" si="34"/>
        <v>-8288443.759999999</v>
      </c>
      <c r="J72" s="170">
        <f>-J54</f>
        <v>-8288443.759999999</v>
      </c>
      <c r="K72" s="170">
        <f>-K54</f>
        <v>-8288443.759999999</v>
      </c>
      <c r="L72" s="170">
        <f>-L54</f>
        <v>-8288443.759999999</v>
      </c>
    </row>
    <row r="73" spans="2:12" ht="18.75" customHeight="1">
      <c r="B73" s="2" t="s">
        <v>47</v>
      </c>
      <c r="C73" s="170">
        <v>0</v>
      </c>
      <c r="D73" s="170">
        <f aca="true" t="shared" si="35" ref="D73:L73">C73</f>
        <v>0</v>
      </c>
      <c r="E73" s="170">
        <f t="shared" si="35"/>
        <v>0</v>
      </c>
      <c r="F73" s="170">
        <f t="shared" si="35"/>
        <v>0</v>
      </c>
      <c r="G73" s="170">
        <f t="shared" si="35"/>
        <v>0</v>
      </c>
      <c r="H73" s="170">
        <f t="shared" si="35"/>
        <v>0</v>
      </c>
      <c r="I73" s="170">
        <f t="shared" si="35"/>
        <v>0</v>
      </c>
      <c r="J73" s="170">
        <f t="shared" si="35"/>
        <v>0</v>
      </c>
      <c r="K73" s="170">
        <f t="shared" si="35"/>
        <v>0</v>
      </c>
      <c r="L73" s="170">
        <f t="shared" si="35"/>
        <v>0</v>
      </c>
    </row>
    <row r="74" spans="2:12" ht="18.75" customHeight="1">
      <c r="B74" s="2" t="s">
        <v>11</v>
      </c>
      <c r="C74" s="170">
        <f aca="true" t="shared" si="36" ref="C74:I74">SUM(C68:C73)</f>
        <v>1041451.3200000001</v>
      </c>
      <c r="D74" s="170">
        <f t="shared" si="36"/>
        <v>6471963.680000001</v>
      </c>
      <c r="E74" s="170">
        <f t="shared" si="36"/>
        <v>13147556.240000002</v>
      </c>
      <c r="F74" s="170">
        <f t="shared" si="36"/>
        <v>13147556.240000002</v>
      </c>
      <c r="G74" s="170">
        <f t="shared" si="36"/>
        <v>13147556.240000002</v>
      </c>
      <c r="H74" s="170">
        <f t="shared" si="36"/>
        <v>13147556.240000002</v>
      </c>
      <c r="I74" s="170">
        <f t="shared" si="36"/>
        <v>13147556.240000002</v>
      </c>
      <c r="J74" s="170">
        <f>SUM(J68:J73)</f>
        <v>13147556.240000002</v>
      </c>
      <c r="K74" s="170">
        <f>SUM(K68:K73)</f>
        <v>13147556.240000002</v>
      </c>
      <c r="L74" s="170">
        <f>SUM(L68:L73)</f>
        <v>13147556.240000002</v>
      </c>
    </row>
    <row r="75" spans="2:12" ht="18.75" customHeight="1">
      <c r="B75" s="2" t="s">
        <v>12</v>
      </c>
      <c r="C75" s="7">
        <f aca="true" t="shared" si="37" ref="C75:I75">C61</f>
        <v>0.10152297909805327</v>
      </c>
      <c r="D75" s="7">
        <f t="shared" si="37"/>
        <v>0.10152297909805327</v>
      </c>
      <c r="E75" s="7">
        <f t="shared" si="37"/>
        <v>0.10152297909805327</v>
      </c>
      <c r="F75" s="7">
        <f t="shared" si="37"/>
        <v>0.10152297909805327</v>
      </c>
      <c r="G75" s="7">
        <f t="shared" si="37"/>
        <v>0.10152297909805327</v>
      </c>
      <c r="H75" s="7">
        <f t="shared" si="37"/>
        <v>0.10152297909805327</v>
      </c>
      <c r="I75" s="7">
        <f t="shared" si="37"/>
        <v>0.10152297909805327</v>
      </c>
      <c r="J75" s="7">
        <f>J61</f>
        <v>0.10152297909805327</v>
      </c>
      <c r="K75" s="7">
        <f>K61</f>
        <v>0.10152297909805327</v>
      </c>
      <c r="L75" s="7">
        <f>L61</f>
        <v>0.10152297909805327</v>
      </c>
    </row>
    <row r="76" spans="2:12" ht="18.75" customHeight="1">
      <c r="B76" s="34" t="s">
        <v>58</v>
      </c>
      <c r="C76" s="174">
        <f aca="true" t="shared" si="38" ref="C76:I76">C74*C75</f>
        <v>105731.240592</v>
      </c>
      <c r="D76" s="174">
        <f t="shared" si="38"/>
        <v>657053.033408</v>
      </c>
      <c r="E76" s="174">
        <f t="shared" si="38"/>
        <v>1334779.077344</v>
      </c>
      <c r="F76" s="174">
        <f t="shared" si="38"/>
        <v>1334779.077344</v>
      </c>
      <c r="G76" s="174">
        <f t="shared" si="38"/>
        <v>1334779.077344</v>
      </c>
      <c r="H76" s="174">
        <f t="shared" si="38"/>
        <v>1334779.077344</v>
      </c>
      <c r="I76" s="174">
        <f t="shared" si="38"/>
        <v>1334779.077344</v>
      </c>
      <c r="J76" s="174">
        <f>J74*J75</f>
        <v>1334779.077344</v>
      </c>
      <c r="K76" s="174">
        <f>K74*K75</f>
        <v>1334779.077344</v>
      </c>
      <c r="L76" s="174">
        <f>L74*L75</f>
        <v>1334779.077344</v>
      </c>
    </row>
    <row r="77" spans="1:12" ht="18.75" customHeight="1">
      <c r="A77" s="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8.75" customHeight="1">
      <c r="B78" s="1" t="s">
        <v>52</v>
      </c>
      <c r="C78" s="170">
        <v>0</v>
      </c>
      <c r="D78" s="170">
        <f>C78</f>
        <v>0</v>
      </c>
      <c r="E78" s="170">
        <f aca="true" t="shared" si="39" ref="E78:L78">D78</f>
        <v>0</v>
      </c>
      <c r="F78" s="170">
        <f t="shared" si="39"/>
        <v>0</v>
      </c>
      <c r="G78" s="170">
        <f t="shared" si="39"/>
        <v>0</v>
      </c>
      <c r="H78" s="170">
        <f t="shared" si="39"/>
        <v>0</v>
      </c>
      <c r="I78" s="170">
        <f t="shared" si="39"/>
        <v>0</v>
      </c>
      <c r="J78" s="170">
        <f t="shared" si="39"/>
        <v>0</v>
      </c>
      <c r="K78" s="170">
        <f t="shared" si="39"/>
        <v>0</v>
      </c>
      <c r="L78" s="170">
        <f t="shared" si="39"/>
        <v>0</v>
      </c>
    </row>
    <row r="79" spans="2:12" ht="18.75" customHeight="1">
      <c r="B79" s="2" t="s">
        <v>48</v>
      </c>
      <c r="C79" s="170">
        <f aca="true" t="shared" si="40" ref="C79:I79">C62</f>
        <v>0</v>
      </c>
      <c r="D79" s="170">
        <f t="shared" si="40"/>
        <v>0</v>
      </c>
      <c r="E79" s="170">
        <f t="shared" si="40"/>
        <v>0</v>
      </c>
      <c r="F79" s="170">
        <f t="shared" si="40"/>
        <v>0</v>
      </c>
      <c r="G79" s="170">
        <f t="shared" si="40"/>
        <v>0</v>
      </c>
      <c r="H79" s="170">
        <f t="shared" si="40"/>
        <v>0</v>
      </c>
      <c r="I79" s="170">
        <f t="shared" si="40"/>
        <v>0</v>
      </c>
      <c r="J79" s="170">
        <f>J62</f>
        <v>0</v>
      </c>
      <c r="K79" s="170">
        <f>K62</f>
        <v>0</v>
      </c>
      <c r="L79" s="170">
        <f>L62</f>
        <v>0</v>
      </c>
    </row>
    <row r="80" spans="2:12" ht="18.75" customHeight="1">
      <c r="B80" s="2" t="s">
        <v>434</v>
      </c>
      <c r="C80" s="170">
        <v>0</v>
      </c>
      <c r="D80" s="170">
        <f aca="true" t="shared" si="41" ref="D80:L80">C80</f>
        <v>0</v>
      </c>
      <c r="E80" s="170">
        <f t="shared" si="41"/>
        <v>0</v>
      </c>
      <c r="F80" s="170">
        <f t="shared" si="41"/>
        <v>0</v>
      </c>
      <c r="G80" s="170">
        <f t="shared" si="41"/>
        <v>0</v>
      </c>
      <c r="H80" s="170">
        <f t="shared" si="41"/>
        <v>0</v>
      </c>
      <c r="I80" s="170">
        <f t="shared" si="41"/>
        <v>0</v>
      </c>
      <c r="J80" s="170">
        <f t="shared" si="41"/>
        <v>0</v>
      </c>
      <c r="K80" s="170">
        <f t="shared" si="41"/>
        <v>0</v>
      </c>
      <c r="L80" s="170">
        <f t="shared" si="41"/>
        <v>0</v>
      </c>
    </row>
    <row r="81" spans="2:12" ht="18.75" customHeight="1">
      <c r="B81" s="2" t="s">
        <v>50</v>
      </c>
      <c r="C81" s="170">
        <v>0</v>
      </c>
      <c r="D81" s="170">
        <f aca="true" t="shared" si="42" ref="D81:L81">D64*(C68+C70)</f>
        <v>2547</v>
      </c>
      <c r="E81" s="170">
        <f t="shared" si="42"/>
        <v>15828</v>
      </c>
      <c r="F81" s="170">
        <f t="shared" si="42"/>
        <v>32154</v>
      </c>
      <c r="G81" s="170">
        <f t="shared" si="42"/>
        <v>32154</v>
      </c>
      <c r="H81" s="170">
        <f t="shared" si="42"/>
        <v>32154</v>
      </c>
      <c r="I81" s="170">
        <f t="shared" si="42"/>
        <v>32154</v>
      </c>
      <c r="J81" s="170">
        <f t="shared" si="42"/>
        <v>32154</v>
      </c>
      <c r="K81" s="170">
        <f t="shared" si="42"/>
        <v>32154</v>
      </c>
      <c r="L81" s="170">
        <f t="shared" si="42"/>
        <v>32154</v>
      </c>
    </row>
    <row r="82" spans="2:12" ht="18.75" customHeight="1">
      <c r="B82" s="21" t="s">
        <v>51</v>
      </c>
      <c r="C82" s="174">
        <f aca="true" t="shared" si="43" ref="C82:I82">SUM(C78:C81)</f>
        <v>0</v>
      </c>
      <c r="D82" s="174">
        <f t="shared" si="43"/>
        <v>2547</v>
      </c>
      <c r="E82" s="174">
        <f t="shared" si="43"/>
        <v>15828</v>
      </c>
      <c r="F82" s="174">
        <f t="shared" si="43"/>
        <v>32154</v>
      </c>
      <c r="G82" s="174">
        <f t="shared" si="43"/>
        <v>32154</v>
      </c>
      <c r="H82" s="174">
        <f t="shared" si="43"/>
        <v>32154</v>
      </c>
      <c r="I82" s="174">
        <f t="shared" si="43"/>
        <v>32154</v>
      </c>
      <c r="J82" s="174">
        <f>SUM(J78:J81)</f>
        <v>32154</v>
      </c>
      <c r="K82" s="174">
        <f>SUM(K78:K81)</f>
        <v>32154</v>
      </c>
      <c r="L82" s="174">
        <f>SUM(L78:L81)</f>
        <v>32154</v>
      </c>
    </row>
    <row r="83" spans="3:12" ht="18.75" customHeight="1">
      <c r="C83" s="34"/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t="18.75" customHeight="1">
      <c r="B84" s="1" t="s">
        <v>59</v>
      </c>
      <c r="C84" s="170">
        <f aca="true" t="shared" si="44" ref="C84:I84">C76+C82</f>
        <v>105731.240592</v>
      </c>
      <c r="D84" s="170">
        <f t="shared" si="44"/>
        <v>659600.033408</v>
      </c>
      <c r="E84" s="170">
        <f t="shared" si="44"/>
        <v>1350607.077344</v>
      </c>
      <c r="F84" s="170">
        <f t="shared" si="44"/>
        <v>1366933.077344</v>
      </c>
      <c r="G84" s="170">
        <f t="shared" si="44"/>
        <v>1366933.077344</v>
      </c>
      <c r="H84" s="170">
        <f t="shared" si="44"/>
        <v>1366933.077344</v>
      </c>
      <c r="I84" s="170">
        <f t="shared" si="44"/>
        <v>1366933.077344</v>
      </c>
      <c r="J84" s="170">
        <f>J76+J82</f>
        <v>1366933.077344</v>
      </c>
      <c r="K84" s="170">
        <f>K76+K82</f>
        <v>1366933.077344</v>
      </c>
      <c r="L84" s="170">
        <f>L76+L82</f>
        <v>1366933.077344</v>
      </c>
    </row>
    <row r="85" ht="18.75" customHeight="1"/>
    <row r="86" ht="18.75" customHeight="1"/>
    <row r="87" spans="2:12" ht="18.75" customHeight="1">
      <c r="B87" s="11"/>
      <c r="C87" s="212" t="s">
        <v>257</v>
      </c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8.75" customHeight="1">
      <c r="A88" s="28"/>
      <c r="B88" s="28"/>
      <c r="C88" s="29">
        <f>C46</f>
        <v>2016</v>
      </c>
      <c r="D88" s="29">
        <f aca="true" t="shared" si="45" ref="D88:L89">C88+1</f>
        <v>2017</v>
      </c>
      <c r="E88" s="29">
        <f t="shared" si="45"/>
        <v>2018</v>
      </c>
      <c r="F88" s="29">
        <f t="shared" si="45"/>
        <v>2019</v>
      </c>
      <c r="G88" s="29">
        <f t="shared" si="45"/>
        <v>2020</v>
      </c>
      <c r="H88" s="29">
        <f t="shared" si="45"/>
        <v>2021</v>
      </c>
      <c r="I88" s="29">
        <f t="shared" si="45"/>
        <v>2022</v>
      </c>
      <c r="J88" s="29">
        <f t="shared" si="45"/>
        <v>2023</v>
      </c>
      <c r="K88" s="29">
        <f t="shared" si="45"/>
        <v>2024</v>
      </c>
      <c r="L88" s="29">
        <f t="shared" si="45"/>
        <v>2025</v>
      </c>
    </row>
    <row r="89" spans="1:12" ht="18.75" customHeight="1">
      <c r="A89" s="258">
        <v>2018</v>
      </c>
      <c r="B89" s="28" t="s">
        <v>43</v>
      </c>
      <c r="C89" s="209">
        <v>1</v>
      </c>
      <c r="D89" s="209">
        <f>C89+1</f>
        <v>2</v>
      </c>
      <c r="E89" s="209">
        <f t="shared" si="45"/>
        <v>3</v>
      </c>
      <c r="F89" s="209">
        <f t="shared" si="45"/>
        <v>4</v>
      </c>
      <c r="G89" s="209">
        <f t="shared" si="45"/>
        <v>5</v>
      </c>
      <c r="H89" s="209">
        <f t="shared" si="45"/>
        <v>6</v>
      </c>
      <c r="I89" s="209">
        <f t="shared" si="45"/>
        <v>7</v>
      </c>
      <c r="J89" s="209">
        <f t="shared" si="45"/>
        <v>8</v>
      </c>
      <c r="K89" s="209">
        <f t="shared" si="45"/>
        <v>9</v>
      </c>
      <c r="L89" s="209">
        <f t="shared" si="45"/>
        <v>10</v>
      </c>
    </row>
    <row r="90" spans="1:12" ht="18.75" customHeight="1">
      <c r="A90" s="3"/>
      <c r="B90" s="211" t="s">
        <v>330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8.75" customHeight="1">
      <c r="A91" s="60" t="s">
        <v>309</v>
      </c>
      <c r="B91" s="10" t="s">
        <v>396</v>
      </c>
      <c r="C91" s="172">
        <f>VLOOKUP(C$4,'Cash Flows-KU'!$B$44:$H$54,$A92)</f>
        <v>872000</v>
      </c>
      <c r="D91" s="172">
        <f>VLOOKUP(D$4,'Cash Flows-KU'!$B$44:$H$54,$A92)</f>
        <v>5170000</v>
      </c>
      <c r="E91" s="172">
        <f>VLOOKUP(E$4,'Cash Flows-KU'!$B$44:$H$54,$A92)</f>
        <v>9147000</v>
      </c>
      <c r="F91" s="172">
        <f>VLOOKUP(F$4,'Cash Flows-KU'!$B$44:$H$54,$A92)</f>
        <v>0</v>
      </c>
      <c r="G91" s="172">
        <f>VLOOKUP(G$4,'Cash Flows-KU'!$B$44:$H$54,$A92)</f>
        <v>0</v>
      </c>
      <c r="H91" s="172">
        <f>VLOOKUP(H$4,'Cash Flows-KU'!$B$44:$H$54,$A92)</f>
        <v>0</v>
      </c>
      <c r="I91" s="172">
        <f>VLOOKUP(I$4,'Cash Flows-KU'!$B$44:$H$54,$A92)</f>
        <v>0</v>
      </c>
      <c r="J91" s="172">
        <f>VLOOKUP(J$4,'Cash Flows-KU'!$B$44:$H$54,$A92)</f>
        <v>0</v>
      </c>
      <c r="K91" s="172">
        <f>VLOOKUP(K$4,'Cash Flows-KU'!$B$44:$H$54,$A92)</f>
        <v>0</v>
      </c>
      <c r="L91" s="172">
        <f>VLOOKUP(L$4,'Cash Flows-KU'!$B$44:$H$54,$A92)</f>
        <v>0</v>
      </c>
    </row>
    <row r="92" spans="1:13" ht="18.75" customHeight="1">
      <c r="A92" s="3">
        <v>4</v>
      </c>
      <c r="B92" s="40" t="s">
        <v>57</v>
      </c>
      <c r="C92" s="172">
        <f>SUM($C91:C91)</f>
        <v>872000</v>
      </c>
      <c r="D92" s="172">
        <f>SUM($C91:D91)</f>
        <v>6042000</v>
      </c>
      <c r="E92" s="172">
        <f>SUM($C91:E91)</f>
        <v>15189000</v>
      </c>
      <c r="F92" s="172">
        <f>SUM($C91:F91)</f>
        <v>15189000</v>
      </c>
      <c r="G92" s="172">
        <f>SUM($C91:G91)</f>
        <v>15189000</v>
      </c>
      <c r="H92" s="172">
        <f>SUM($C91:H91)</f>
        <v>15189000</v>
      </c>
      <c r="I92" s="172">
        <f>SUM($C91:I91)</f>
        <v>15189000</v>
      </c>
      <c r="J92" s="172">
        <f>SUM($C91:J91)</f>
        <v>15189000</v>
      </c>
      <c r="K92" s="172">
        <f>SUM($C91:K91)</f>
        <v>15189000</v>
      </c>
      <c r="L92" s="172">
        <f>SUM($C91:L91)</f>
        <v>15189000</v>
      </c>
      <c r="M92" s="18"/>
    </row>
    <row r="93" spans="1:12" ht="18.75" customHeight="1">
      <c r="A93" s="3">
        <v>2</v>
      </c>
      <c r="B93" s="5" t="s">
        <v>0</v>
      </c>
      <c r="C93" s="6">
        <f>IF(C89="",0,VLOOKUP($B90,Depreciation!$D$2:$E$31,$A93,FALSE))</f>
        <v>0</v>
      </c>
      <c r="D93" s="6">
        <f>IF(D89="",0,VLOOKUP($B90,Depreciation!$D$2:$E$31,$A93,FALSE))</f>
        <v>0</v>
      </c>
      <c r="E93" s="6">
        <f>IF(E89="",0,VLOOKUP($B90,Depreciation!$D$2:$E$31,$A93,FALSE))</f>
        <v>0</v>
      </c>
      <c r="F93" s="6">
        <f>IF(F89="",0,VLOOKUP($B90,Depreciation!$D$2:$E$31,$A93,FALSE))</f>
        <v>0</v>
      </c>
      <c r="G93" s="6">
        <f>IF(G89="",0,VLOOKUP($B90,Depreciation!$D$2:$E$31,$A93,FALSE))</f>
        <v>0</v>
      </c>
      <c r="H93" s="6">
        <f>IF(H89="",0,VLOOKUP($B90,Depreciation!$D$2:$E$31,$A93,FALSE))</f>
        <v>0</v>
      </c>
      <c r="I93" s="6">
        <f>IF(I89="",0,VLOOKUP($B90,Depreciation!$D$2:$E$31,$A93,FALSE))</f>
        <v>0</v>
      </c>
      <c r="J93" s="6">
        <f>IF(J89="",0,VLOOKUP($B90,Depreciation!$D$2:$E$31,$A93,FALSE))</f>
        <v>0</v>
      </c>
      <c r="K93" s="6">
        <f>IF(K89="",0,VLOOKUP($B90,Depreciation!$D$2:$E$31,$A93,FALSE))</f>
        <v>0</v>
      </c>
      <c r="L93" s="6">
        <f>IF(L89="",0,VLOOKUP($B90,Depreciation!$D$2:$E$31,$A93,FALSE))</f>
        <v>0</v>
      </c>
    </row>
    <row r="94" spans="1:12" ht="18.75" customHeight="1">
      <c r="A94" s="3">
        <v>3</v>
      </c>
      <c r="B94" s="5" t="s">
        <v>1</v>
      </c>
      <c r="C94" s="6">
        <f>IF(C89="",0,VLOOKUP(C89,Depreciation!$A$2:$C$58,$A94,FALSE))</f>
        <v>1</v>
      </c>
      <c r="D94" s="6">
        <f>IF(D89="",0,VLOOKUP(D89,Depreciation!$A$2:$C$58,$A94,FALSE))</f>
        <v>1</v>
      </c>
      <c r="E94" s="6">
        <f>IF(E89="",0,VLOOKUP(E89,Depreciation!$A$2:$C$58,$A94,FALSE))</f>
        <v>1</v>
      </c>
      <c r="F94" s="6">
        <f>IF(F89="",0,VLOOKUP(F89,Depreciation!$A$2:$C$58,$A94,FALSE))</f>
        <v>1</v>
      </c>
      <c r="G94" s="6">
        <f>IF(G89="",0,VLOOKUP(G89,Depreciation!$A$2:$C$58,$A94,FALSE))</f>
        <v>1</v>
      </c>
      <c r="H94" s="6">
        <f>IF(H89="",0,VLOOKUP(H89,Depreciation!$A$2:$C$58,$A94,FALSE))</f>
        <v>1</v>
      </c>
      <c r="I94" s="6">
        <f>IF(I89="",0,VLOOKUP(I89,Depreciation!$A$2:$C$58,$A94,FALSE))</f>
        <v>1</v>
      </c>
      <c r="J94" s="6">
        <f>IF(J89="",0,VLOOKUP(J89,Depreciation!$A$2:$C$58,$A94,FALSE))</f>
        <v>1</v>
      </c>
      <c r="K94" s="6">
        <f>IF(K89="",0,VLOOKUP(K89,Depreciation!$A$2:$C$58,$A94,FALSE))</f>
        <v>1</v>
      </c>
      <c r="L94" s="6">
        <f>IF(L89="",0,VLOOKUP(L89,Depreciation!$A$2:$C$58,$A94,FALSE))</f>
        <v>1</v>
      </c>
    </row>
    <row r="95" spans="1:12" ht="18.75" customHeight="1">
      <c r="A95" s="30"/>
      <c r="B95" s="31" t="s">
        <v>2</v>
      </c>
      <c r="C95" s="7">
        <f>Input!B$3</f>
        <v>0.38665999999999995</v>
      </c>
      <c r="D95" s="7">
        <f>Input!C$3</f>
        <v>0.38665999999999995</v>
      </c>
      <c r="E95" s="7">
        <f>Input!D$3</f>
        <v>0.38665999999999995</v>
      </c>
      <c r="F95" s="7">
        <f>Input!E$3</f>
        <v>0.38665999999999995</v>
      </c>
      <c r="G95" s="7">
        <f>Input!F$3</f>
        <v>0.38665999999999995</v>
      </c>
      <c r="H95" s="7">
        <f>Input!G$3</f>
        <v>0.38665999999999995</v>
      </c>
      <c r="I95" s="7">
        <f>Input!H$3</f>
        <v>0.38665999999999995</v>
      </c>
      <c r="J95" s="7">
        <f>Input!I$3</f>
        <v>0.38665999999999995</v>
      </c>
      <c r="K95" s="7">
        <f>Input!J$3</f>
        <v>0.38665999999999995</v>
      </c>
      <c r="L95" s="7">
        <f>Input!K$3</f>
        <v>0.38665999999999995</v>
      </c>
    </row>
    <row r="96" spans="2:12" ht="18.75" customHeight="1">
      <c r="B96" s="2" t="s">
        <v>3</v>
      </c>
      <c r="C96" s="170">
        <f>SUM($C107:C107)</f>
        <v>337167.51999999996</v>
      </c>
      <c r="D96" s="170">
        <f>SUM($C107:D107)</f>
        <v>2336199.7199999997</v>
      </c>
      <c r="E96" s="170">
        <f>SUM($C107:E107)</f>
        <v>5872978.739999999</v>
      </c>
      <c r="F96" s="170">
        <f>SUM($C107:F107)</f>
        <v>5872978.739999999</v>
      </c>
      <c r="G96" s="170">
        <f>SUM($C107:G107)</f>
        <v>5872978.739999999</v>
      </c>
      <c r="H96" s="170">
        <f>SUM($C107:H107)</f>
        <v>5872978.739999999</v>
      </c>
      <c r="I96" s="170">
        <f>SUM($C107:I107)</f>
        <v>5872978.739999999</v>
      </c>
      <c r="J96" s="170">
        <f>SUM($C107:J107)</f>
        <v>5872978.739999999</v>
      </c>
      <c r="K96" s="170">
        <f>SUM($C107:K107)</f>
        <v>5872978.739999999</v>
      </c>
      <c r="L96" s="170">
        <f>SUM($C107:L107)</f>
        <v>5872978.739999999</v>
      </c>
    </row>
    <row r="97" spans="2:12" ht="18.75" customHeight="1">
      <c r="B97" s="2" t="s">
        <v>4</v>
      </c>
      <c r="C97" s="170">
        <f>SUM($C99:C99)</f>
        <v>0</v>
      </c>
      <c r="D97" s="170">
        <f>SUM($C99:D99)</f>
        <v>0</v>
      </c>
      <c r="E97" s="170">
        <f>SUM($C99:E99)</f>
        <v>0</v>
      </c>
      <c r="F97" s="170">
        <f>SUM($C99:F99)</f>
        <v>0</v>
      </c>
      <c r="G97" s="170">
        <f>SUM($C99:G99)</f>
        <v>0</v>
      </c>
      <c r="H97" s="170">
        <f>SUM($C99:H99)</f>
        <v>0</v>
      </c>
      <c r="I97" s="170">
        <f>SUM($C99:I99)</f>
        <v>0</v>
      </c>
      <c r="J97" s="170">
        <f>SUM($C99:J99)</f>
        <v>0</v>
      </c>
      <c r="K97" s="170">
        <f>SUM($C99:K99)</f>
        <v>0</v>
      </c>
      <c r="L97" s="170">
        <f>SUM($C99:L99)</f>
        <v>0</v>
      </c>
    </row>
    <row r="98" spans="2:12" ht="18.75" customHeight="1">
      <c r="B98" s="11" t="s">
        <v>5</v>
      </c>
      <c r="C98" s="170">
        <f>C91</f>
        <v>872000</v>
      </c>
      <c r="D98" s="170">
        <f>C98+D91</f>
        <v>6042000</v>
      </c>
      <c r="E98" s="170">
        <f aca="true" t="shared" si="46" ref="E98:L98">D98+E91</f>
        <v>15189000</v>
      </c>
      <c r="F98" s="170">
        <f t="shared" si="46"/>
        <v>15189000</v>
      </c>
      <c r="G98" s="170">
        <f t="shared" si="46"/>
        <v>15189000</v>
      </c>
      <c r="H98" s="170">
        <f t="shared" si="46"/>
        <v>15189000</v>
      </c>
      <c r="I98" s="170">
        <f t="shared" si="46"/>
        <v>15189000</v>
      </c>
      <c r="J98" s="170">
        <f t="shared" si="46"/>
        <v>15189000</v>
      </c>
      <c r="K98" s="170">
        <f t="shared" si="46"/>
        <v>15189000</v>
      </c>
      <c r="L98" s="170">
        <f t="shared" si="46"/>
        <v>15189000</v>
      </c>
    </row>
    <row r="99" spans="1:12" ht="18.75" customHeight="1">
      <c r="A99" s="214" t="s">
        <v>372</v>
      </c>
      <c r="B99" s="11" t="s">
        <v>6</v>
      </c>
      <c r="C99" s="170">
        <f aca="true" t="shared" si="47" ref="C99:L99">IF(C89=1,(12.5-VLOOKUP(C87,$Q$5:$R$16,2,))*C93/12*C98,C98*C93)</f>
        <v>0</v>
      </c>
      <c r="D99" s="170">
        <f t="shared" si="47"/>
        <v>0</v>
      </c>
      <c r="E99" s="170">
        <f t="shared" si="47"/>
        <v>0</v>
      </c>
      <c r="F99" s="170">
        <f t="shared" si="47"/>
        <v>0</v>
      </c>
      <c r="G99" s="170">
        <f t="shared" si="47"/>
        <v>0</v>
      </c>
      <c r="H99" s="170">
        <f t="shared" si="47"/>
        <v>0</v>
      </c>
      <c r="I99" s="170">
        <f t="shared" si="47"/>
        <v>0</v>
      </c>
      <c r="J99" s="170">
        <f t="shared" si="47"/>
        <v>0</v>
      </c>
      <c r="K99" s="170">
        <f t="shared" si="47"/>
        <v>0</v>
      </c>
      <c r="L99" s="170">
        <f t="shared" si="47"/>
        <v>0</v>
      </c>
    </row>
    <row r="100" spans="2:12" ht="18.75" customHeight="1">
      <c r="B100" s="5" t="s">
        <v>7</v>
      </c>
      <c r="C100" s="170">
        <f>C91</f>
        <v>872000</v>
      </c>
      <c r="D100" s="170">
        <f aca="true" t="shared" si="48" ref="D100:L100">C100+D91</f>
        <v>6042000</v>
      </c>
      <c r="E100" s="170">
        <f t="shared" si="48"/>
        <v>15189000</v>
      </c>
      <c r="F100" s="170">
        <f t="shared" si="48"/>
        <v>15189000</v>
      </c>
      <c r="G100" s="170">
        <f t="shared" si="48"/>
        <v>15189000</v>
      </c>
      <c r="H100" s="170">
        <f t="shared" si="48"/>
        <v>15189000</v>
      </c>
      <c r="I100" s="170">
        <f t="shared" si="48"/>
        <v>15189000</v>
      </c>
      <c r="J100" s="170">
        <f t="shared" si="48"/>
        <v>15189000</v>
      </c>
      <c r="K100" s="170">
        <f t="shared" si="48"/>
        <v>15189000</v>
      </c>
      <c r="L100" s="170">
        <f t="shared" si="48"/>
        <v>15189000</v>
      </c>
    </row>
    <row r="101" spans="2:12" ht="18.75" customHeight="1">
      <c r="B101" s="213" t="s">
        <v>361</v>
      </c>
      <c r="C101" s="170">
        <f>IF(C89=1,IF($A99="Bonus",SUM($C91:C91)*VLOOKUP(C88,Depreciation!$D$41:$E$50,2),0),0)</f>
        <v>0</v>
      </c>
      <c r="D101" s="170">
        <f>IF(D89=1,IF($A99="Bonus",SUM($C91:D91)*VLOOKUP(D88,Depreciation!$D$41:$E$50,2),0),0)</f>
        <v>0</v>
      </c>
      <c r="E101" s="170">
        <f>IF(E89=1,IF($A99="Bonus",SUM($C91:E91)*VLOOKUP(E88,Depreciation!$D$41:$E$50,2),0),0)</f>
        <v>0</v>
      </c>
      <c r="F101" s="170">
        <f>IF(F89=1,IF($A99="Bonus",SUM($C91:F91)*VLOOKUP(F88,Depreciation!$D$41:$E$50,2),0),0)</f>
        <v>0</v>
      </c>
      <c r="G101" s="170">
        <f>IF(G89=1,IF($A99="Bonus",SUM($C91:G91)*VLOOKUP(G88,Depreciation!$D$41:$E$50,2),0),0)</f>
        <v>0</v>
      </c>
      <c r="H101" s="170">
        <f>IF(H89=1,IF($A99="Bonus",SUM($C91:H91)*VLOOKUP(H88,Depreciation!$D$41:$E$50,2),0),0)</f>
        <v>0</v>
      </c>
      <c r="I101" s="170">
        <f>IF(I89=1,IF($A99="Bonus",SUM($C91:I91)*VLOOKUP(I88,Depreciation!$D$41:$E$50,2),0),0)</f>
        <v>0</v>
      </c>
      <c r="J101" s="170">
        <f>IF(J89=1,IF($A99="Bonus",SUM($C91:J91)*VLOOKUP(J88,Depreciation!$D$41:$E$50,2),0),0)</f>
        <v>0</v>
      </c>
      <c r="K101" s="170">
        <f>IF(K89=1,IF($A99="Bonus",SUM($C91:K91)*VLOOKUP(K88,Depreciation!$D$41:$E$50,2),0),0)</f>
        <v>0</v>
      </c>
      <c r="L101" s="170">
        <f>IF(L89=1,IF($A99="Bonus",SUM($C91:L91)*VLOOKUP(L88,Depreciation!$D$41:$E$50,2),0),0)</f>
        <v>0</v>
      </c>
    </row>
    <row r="102" spans="2:12" ht="18.75" customHeight="1">
      <c r="B102" s="5" t="s">
        <v>362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</row>
    <row r="103" spans="2:12" ht="18.75" customHeight="1">
      <c r="B103" s="5" t="s">
        <v>17</v>
      </c>
      <c r="C103" s="7">
        <f>Input!J$31</f>
        <v>0.10152297909805327</v>
      </c>
      <c r="D103" s="7">
        <f>Input!K$31</f>
        <v>0.10152297909805327</v>
      </c>
      <c r="E103" s="7">
        <f>Input!L$31</f>
        <v>0.10152297909805327</v>
      </c>
      <c r="F103" s="7">
        <f>Input!M$31</f>
        <v>0.10152297909805327</v>
      </c>
      <c r="G103" s="7">
        <f>Input!N$31</f>
        <v>0.10152297909805327</v>
      </c>
      <c r="H103" s="7">
        <f>Input!O$31</f>
        <v>0.10152297909805327</v>
      </c>
      <c r="I103" s="7">
        <f>Input!P$31</f>
        <v>0.10152297909805327</v>
      </c>
      <c r="J103" s="7">
        <f>Input!Q$31</f>
        <v>0.10152297909805327</v>
      </c>
      <c r="K103" s="7">
        <f>Input!R$31</f>
        <v>0.10152297909805327</v>
      </c>
      <c r="L103" s="7">
        <f>Input!S$31</f>
        <v>0.10152297909805327</v>
      </c>
    </row>
    <row r="104" spans="2:12" ht="18.75" customHeight="1">
      <c r="B104" s="5" t="s">
        <v>8</v>
      </c>
      <c r="C104" s="181">
        <f aca="true" t="shared" si="49" ref="C104:L104">C99</f>
        <v>0</v>
      </c>
      <c r="D104" s="181">
        <f t="shared" si="49"/>
        <v>0</v>
      </c>
      <c r="E104" s="181">
        <f t="shared" si="49"/>
        <v>0</v>
      </c>
      <c r="F104" s="181">
        <f t="shared" si="49"/>
        <v>0</v>
      </c>
      <c r="G104" s="181">
        <f t="shared" si="49"/>
        <v>0</v>
      </c>
      <c r="H104" s="181">
        <f t="shared" si="49"/>
        <v>0</v>
      </c>
      <c r="I104" s="181">
        <f t="shared" si="49"/>
        <v>0</v>
      </c>
      <c r="J104" s="181">
        <f t="shared" si="49"/>
        <v>0</v>
      </c>
      <c r="K104" s="181">
        <f t="shared" si="49"/>
        <v>0</v>
      </c>
      <c r="L104" s="181">
        <f t="shared" si="49"/>
        <v>0</v>
      </c>
    </row>
    <row r="105" spans="2:12" ht="18.75" customHeight="1">
      <c r="B105" s="11" t="s">
        <v>364</v>
      </c>
      <c r="C105" s="181">
        <f>C91*C94</f>
        <v>872000</v>
      </c>
      <c r="D105" s="181">
        <f aca="true" t="shared" si="50" ref="D105:L105">D91*D94</f>
        <v>5170000</v>
      </c>
      <c r="E105" s="181">
        <f t="shared" si="50"/>
        <v>9147000</v>
      </c>
      <c r="F105" s="181">
        <f t="shared" si="50"/>
        <v>0</v>
      </c>
      <c r="G105" s="181">
        <f t="shared" si="50"/>
        <v>0</v>
      </c>
      <c r="H105" s="181">
        <f t="shared" si="50"/>
        <v>0</v>
      </c>
      <c r="I105" s="181">
        <f t="shared" si="50"/>
        <v>0</v>
      </c>
      <c r="J105" s="181">
        <f t="shared" si="50"/>
        <v>0</v>
      </c>
      <c r="K105" s="181">
        <f t="shared" si="50"/>
        <v>0</v>
      </c>
      <c r="L105" s="181">
        <f t="shared" si="50"/>
        <v>0</v>
      </c>
    </row>
    <row r="106" spans="2:12" ht="18.75" customHeight="1">
      <c r="B106" s="3" t="s">
        <v>9</v>
      </c>
      <c r="C106" s="8">
        <f>Input!$B$6</f>
        <v>0.0015</v>
      </c>
      <c r="D106" s="8">
        <f aca="true" t="shared" si="51" ref="D106:I106">C106</f>
        <v>0.0015</v>
      </c>
      <c r="E106" s="8">
        <f t="shared" si="51"/>
        <v>0.0015</v>
      </c>
      <c r="F106" s="8">
        <f t="shared" si="51"/>
        <v>0.0015</v>
      </c>
      <c r="G106" s="8">
        <f t="shared" si="51"/>
        <v>0.0015</v>
      </c>
      <c r="H106" s="8">
        <f t="shared" si="51"/>
        <v>0.0015</v>
      </c>
      <c r="I106" s="8">
        <f t="shared" si="51"/>
        <v>0.0015</v>
      </c>
      <c r="J106" s="8">
        <f>I106</f>
        <v>0.0015</v>
      </c>
      <c r="K106" s="8">
        <f>J106</f>
        <v>0.0015</v>
      </c>
      <c r="L106" s="8">
        <f>K106</f>
        <v>0.0015</v>
      </c>
    </row>
    <row r="107" spans="2:12" ht="18.75" customHeight="1">
      <c r="B107" s="102" t="s">
        <v>363</v>
      </c>
      <c r="C107" s="171">
        <f aca="true" t="shared" si="52" ref="C107:L107">(C105-C104)*C95</f>
        <v>337167.51999999996</v>
      </c>
      <c r="D107" s="171">
        <f t="shared" si="52"/>
        <v>1999032.1999999997</v>
      </c>
      <c r="E107" s="171">
        <f t="shared" si="52"/>
        <v>3536779.0199999996</v>
      </c>
      <c r="F107" s="171">
        <f t="shared" si="52"/>
        <v>0</v>
      </c>
      <c r="G107" s="171">
        <f t="shared" si="52"/>
        <v>0</v>
      </c>
      <c r="H107" s="171">
        <f t="shared" si="52"/>
        <v>0</v>
      </c>
      <c r="I107" s="171">
        <f t="shared" si="52"/>
        <v>0</v>
      </c>
      <c r="J107" s="171">
        <f t="shared" si="52"/>
        <v>0</v>
      </c>
      <c r="K107" s="171">
        <f t="shared" si="52"/>
        <v>0</v>
      </c>
      <c r="L107" s="171">
        <f t="shared" si="52"/>
        <v>0</v>
      </c>
    </row>
    <row r="108" spans="2:12" ht="18.75" customHeight="1"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8.75" customHeight="1">
      <c r="B109" s="10" t="s">
        <v>15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8.75" customHeight="1">
      <c r="B110" s="5" t="s">
        <v>16</v>
      </c>
      <c r="C110" s="169">
        <f aca="true" t="shared" si="53" ref="C110:I110">C92</f>
        <v>872000</v>
      </c>
      <c r="D110" s="169">
        <f t="shared" si="53"/>
        <v>6042000</v>
      </c>
      <c r="E110" s="169">
        <f t="shared" si="53"/>
        <v>15189000</v>
      </c>
      <c r="F110" s="169">
        <f t="shared" si="53"/>
        <v>15189000</v>
      </c>
      <c r="G110" s="169">
        <f t="shared" si="53"/>
        <v>15189000</v>
      </c>
      <c r="H110" s="169">
        <f t="shared" si="53"/>
        <v>15189000</v>
      </c>
      <c r="I110" s="169">
        <f t="shared" si="53"/>
        <v>15189000</v>
      </c>
      <c r="J110" s="169">
        <f>J92</f>
        <v>15189000</v>
      </c>
      <c r="K110" s="169">
        <f>K92</f>
        <v>15189000</v>
      </c>
      <c r="L110" s="169">
        <f>L92</f>
        <v>15189000</v>
      </c>
    </row>
    <row r="111" spans="1:12" ht="18.75" customHeight="1">
      <c r="A111" s="3"/>
      <c r="B111" s="4" t="s">
        <v>44</v>
      </c>
      <c r="C111" s="170">
        <v>0</v>
      </c>
      <c r="D111" s="170">
        <f aca="true" t="shared" si="54" ref="D111:L111">C111</f>
        <v>0</v>
      </c>
      <c r="E111" s="170">
        <f t="shared" si="54"/>
        <v>0</v>
      </c>
      <c r="F111" s="170">
        <f t="shared" si="54"/>
        <v>0</v>
      </c>
      <c r="G111" s="170">
        <f t="shared" si="54"/>
        <v>0</v>
      </c>
      <c r="H111" s="170">
        <f t="shared" si="54"/>
        <v>0</v>
      </c>
      <c r="I111" s="170">
        <f t="shared" si="54"/>
        <v>0</v>
      </c>
      <c r="J111" s="170">
        <f t="shared" si="54"/>
        <v>0</v>
      </c>
      <c r="K111" s="170">
        <f t="shared" si="54"/>
        <v>0</v>
      </c>
      <c r="L111" s="170">
        <f t="shared" si="54"/>
        <v>0</v>
      </c>
    </row>
    <row r="112" spans="2:12" ht="18.75" customHeight="1">
      <c r="B112" s="2" t="s">
        <v>10</v>
      </c>
      <c r="C112" s="170">
        <f aca="true" t="shared" si="55" ref="C112:I112">-C97</f>
        <v>0</v>
      </c>
      <c r="D112" s="170">
        <f t="shared" si="55"/>
        <v>0</v>
      </c>
      <c r="E112" s="170">
        <f t="shared" si="55"/>
        <v>0</v>
      </c>
      <c r="F112" s="170">
        <f t="shared" si="55"/>
        <v>0</v>
      </c>
      <c r="G112" s="170">
        <f t="shared" si="55"/>
        <v>0</v>
      </c>
      <c r="H112" s="170">
        <f t="shared" si="55"/>
        <v>0</v>
      </c>
      <c r="I112" s="170">
        <f t="shared" si="55"/>
        <v>0</v>
      </c>
      <c r="J112" s="170">
        <f>-J97</f>
        <v>0</v>
      </c>
      <c r="K112" s="170">
        <f>-K97</f>
        <v>0</v>
      </c>
      <c r="L112" s="170">
        <f>-L97</f>
        <v>0</v>
      </c>
    </row>
    <row r="113" spans="2:12" ht="18.75" customHeight="1">
      <c r="B113" s="2" t="s">
        <v>45</v>
      </c>
      <c r="C113" s="170">
        <v>0</v>
      </c>
      <c r="D113" s="170">
        <f aca="true" t="shared" si="56" ref="D113:L113">C113</f>
        <v>0</v>
      </c>
      <c r="E113" s="170">
        <f t="shared" si="56"/>
        <v>0</v>
      </c>
      <c r="F113" s="170">
        <f t="shared" si="56"/>
        <v>0</v>
      </c>
      <c r="G113" s="170">
        <f t="shared" si="56"/>
        <v>0</v>
      </c>
      <c r="H113" s="170">
        <f t="shared" si="56"/>
        <v>0</v>
      </c>
      <c r="I113" s="170">
        <f t="shared" si="56"/>
        <v>0</v>
      </c>
      <c r="J113" s="170">
        <f t="shared" si="56"/>
        <v>0</v>
      </c>
      <c r="K113" s="170">
        <f t="shared" si="56"/>
        <v>0</v>
      </c>
      <c r="L113" s="170">
        <f t="shared" si="56"/>
        <v>0</v>
      </c>
    </row>
    <row r="114" spans="2:12" ht="18.75" customHeight="1">
      <c r="B114" s="2" t="s">
        <v>46</v>
      </c>
      <c r="C114" s="170">
        <f aca="true" t="shared" si="57" ref="C114:I114">-C96</f>
        <v>-337167.51999999996</v>
      </c>
      <c r="D114" s="170">
        <f t="shared" si="57"/>
        <v>-2336199.7199999997</v>
      </c>
      <c r="E114" s="170">
        <f t="shared" si="57"/>
        <v>-5872978.739999999</v>
      </c>
      <c r="F114" s="170">
        <f t="shared" si="57"/>
        <v>-5872978.739999999</v>
      </c>
      <c r="G114" s="170">
        <f t="shared" si="57"/>
        <v>-5872978.739999999</v>
      </c>
      <c r="H114" s="170">
        <f t="shared" si="57"/>
        <v>-5872978.739999999</v>
      </c>
      <c r="I114" s="170">
        <f t="shared" si="57"/>
        <v>-5872978.739999999</v>
      </c>
      <c r="J114" s="170">
        <f>-J96</f>
        <v>-5872978.739999999</v>
      </c>
      <c r="K114" s="170">
        <f>-K96</f>
        <v>-5872978.739999999</v>
      </c>
      <c r="L114" s="170">
        <f>-L96</f>
        <v>-5872978.739999999</v>
      </c>
    </row>
    <row r="115" spans="2:12" ht="18.75" customHeight="1">
      <c r="B115" s="2" t="s">
        <v>47</v>
      </c>
      <c r="C115" s="170">
        <v>0</v>
      </c>
      <c r="D115" s="170">
        <f aca="true" t="shared" si="58" ref="D115:L115">C115</f>
        <v>0</v>
      </c>
      <c r="E115" s="170">
        <f t="shared" si="58"/>
        <v>0</v>
      </c>
      <c r="F115" s="170">
        <f t="shared" si="58"/>
        <v>0</v>
      </c>
      <c r="G115" s="170">
        <f t="shared" si="58"/>
        <v>0</v>
      </c>
      <c r="H115" s="170">
        <f t="shared" si="58"/>
        <v>0</v>
      </c>
      <c r="I115" s="170">
        <f t="shared" si="58"/>
        <v>0</v>
      </c>
      <c r="J115" s="170">
        <f t="shared" si="58"/>
        <v>0</v>
      </c>
      <c r="K115" s="170">
        <f t="shared" si="58"/>
        <v>0</v>
      </c>
      <c r="L115" s="170">
        <f t="shared" si="58"/>
        <v>0</v>
      </c>
    </row>
    <row r="116" spans="2:12" ht="18.75" customHeight="1">
      <c r="B116" s="2" t="s">
        <v>11</v>
      </c>
      <c r="C116" s="170">
        <f aca="true" t="shared" si="59" ref="C116:I116">SUM(C110:C115)</f>
        <v>534832.48</v>
      </c>
      <c r="D116" s="170">
        <f t="shared" si="59"/>
        <v>3705800.2800000003</v>
      </c>
      <c r="E116" s="170">
        <f t="shared" si="59"/>
        <v>9316021.260000002</v>
      </c>
      <c r="F116" s="170">
        <f t="shared" si="59"/>
        <v>9316021.260000002</v>
      </c>
      <c r="G116" s="170">
        <f t="shared" si="59"/>
        <v>9316021.260000002</v>
      </c>
      <c r="H116" s="170">
        <f t="shared" si="59"/>
        <v>9316021.260000002</v>
      </c>
      <c r="I116" s="170">
        <f t="shared" si="59"/>
        <v>9316021.260000002</v>
      </c>
      <c r="J116" s="170">
        <f>SUM(J110:J115)</f>
        <v>9316021.260000002</v>
      </c>
      <c r="K116" s="170">
        <f>SUM(K110:K115)</f>
        <v>9316021.260000002</v>
      </c>
      <c r="L116" s="170">
        <f>SUM(L110:L115)</f>
        <v>9316021.260000002</v>
      </c>
    </row>
    <row r="117" spans="2:12" ht="18.75" customHeight="1">
      <c r="B117" s="2" t="s">
        <v>12</v>
      </c>
      <c r="C117" s="7">
        <f aca="true" t="shared" si="60" ref="C117:I117">C103</f>
        <v>0.10152297909805327</v>
      </c>
      <c r="D117" s="7">
        <f t="shared" si="60"/>
        <v>0.10152297909805327</v>
      </c>
      <c r="E117" s="7">
        <f t="shared" si="60"/>
        <v>0.10152297909805327</v>
      </c>
      <c r="F117" s="7">
        <f t="shared" si="60"/>
        <v>0.10152297909805327</v>
      </c>
      <c r="G117" s="7">
        <f t="shared" si="60"/>
        <v>0.10152297909805327</v>
      </c>
      <c r="H117" s="7">
        <f t="shared" si="60"/>
        <v>0.10152297909805327</v>
      </c>
      <c r="I117" s="7">
        <f t="shared" si="60"/>
        <v>0.10152297909805327</v>
      </c>
      <c r="J117" s="7">
        <f>J103</f>
        <v>0.10152297909805327</v>
      </c>
      <c r="K117" s="7">
        <f>K103</f>
        <v>0.10152297909805327</v>
      </c>
      <c r="L117" s="7">
        <f>L103</f>
        <v>0.10152297909805327</v>
      </c>
    </row>
    <row r="118" spans="2:12" ht="18.75" customHeight="1">
      <c r="B118" s="34" t="s">
        <v>58</v>
      </c>
      <c r="C118" s="174">
        <f aca="true" t="shared" si="61" ref="C118:I118">C116*C117</f>
        <v>54297.78668799999</v>
      </c>
      <c r="D118" s="174">
        <f t="shared" si="61"/>
        <v>376223.88436799997</v>
      </c>
      <c r="E118" s="174">
        <f t="shared" si="61"/>
        <v>945790.2316560001</v>
      </c>
      <c r="F118" s="174">
        <f t="shared" si="61"/>
        <v>945790.2316560001</v>
      </c>
      <c r="G118" s="174">
        <f t="shared" si="61"/>
        <v>945790.2316560001</v>
      </c>
      <c r="H118" s="174">
        <f t="shared" si="61"/>
        <v>945790.2316560001</v>
      </c>
      <c r="I118" s="174">
        <f t="shared" si="61"/>
        <v>945790.2316560001</v>
      </c>
      <c r="J118" s="174">
        <f>J116*J117</f>
        <v>945790.2316560001</v>
      </c>
      <c r="K118" s="174">
        <f>K116*K117</f>
        <v>945790.2316560001</v>
      </c>
      <c r="L118" s="174">
        <f>L116*L117</f>
        <v>945790.2316560001</v>
      </c>
    </row>
    <row r="119" spans="1:12" ht="18.75" customHeight="1">
      <c r="A119" s="3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ht="18.75" customHeight="1">
      <c r="B120" s="1" t="s">
        <v>52</v>
      </c>
      <c r="C120" s="170">
        <v>0</v>
      </c>
      <c r="D120" s="170">
        <f>C120</f>
        <v>0</v>
      </c>
      <c r="E120" s="170">
        <f aca="true" t="shared" si="62" ref="E120:L120">D120</f>
        <v>0</v>
      </c>
      <c r="F120" s="170">
        <f t="shared" si="62"/>
        <v>0</v>
      </c>
      <c r="G120" s="170">
        <f t="shared" si="62"/>
        <v>0</v>
      </c>
      <c r="H120" s="170">
        <f t="shared" si="62"/>
        <v>0</v>
      </c>
      <c r="I120" s="170">
        <f t="shared" si="62"/>
        <v>0</v>
      </c>
      <c r="J120" s="170">
        <f t="shared" si="62"/>
        <v>0</v>
      </c>
      <c r="K120" s="170">
        <f t="shared" si="62"/>
        <v>0</v>
      </c>
      <c r="L120" s="170">
        <f t="shared" si="62"/>
        <v>0</v>
      </c>
    </row>
    <row r="121" spans="2:12" ht="18.75" customHeight="1">
      <c r="B121" s="2" t="s">
        <v>48</v>
      </c>
      <c r="C121" s="170">
        <f aca="true" t="shared" si="63" ref="C121:I121">C104</f>
        <v>0</v>
      </c>
      <c r="D121" s="170">
        <f t="shared" si="63"/>
        <v>0</v>
      </c>
      <c r="E121" s="170">
        <f t="shared" si="63"/>
        <v>0</v>
      </c>
      <c r="F121" s="170">
        <f t="shared" si="63"/>
        <v>0</v>
      </c>
      <c r="G121" s="170">
        <f t="shared" si="63"/>
        <v>0</v>
      </c>
      <c r="H121" s="170">
        <f t="shared" si="63"/>
        <v>0</v>
      </c>
      <c r="I121" s="170">
        <f t="shared" si="63"/>
        <v>0</v>
      </c>
      <c r="J121" s="170">
        <f>J104</f>
        <v>0</v>
      </c>
      <c r="K121" s="170">
        <f>K104</f>
        <v>0</v>
      </c>
      <c r="L121" s="170">
        <f>L104</f>
        <v>0</v>
      </c>
    </row>
    <row r="122" spans="2:12" ht="18.75" customHeight="1">
      <c r="B122" s="2" t="s">
        <v>434</v>
      </c>
      <c r="C122" s="170">
        <v>0</v>
      </c>
      <c r="D122" s="170">
        <f aca="true" t="shared" si="64" ref="D122:L122">C122</f>
        <v>0</v>
      </c>
      <c r="E122" s="170">
        <f t="shared" si="64"/>
        <v>0</v>
      </c>
      <c r="F122" s="170">
        <f t="shared" si="64"/>
        <v>0</v>
      </c>
      <c r="G122" s="170">
        <f t="shared" si="64"/>
        <v>0</v>
      </c>
      <c r="H122" s="170">
        <f t="shared" si="64"/>
        <v>0</v>
      </c>
      <c r="I122" s="170">
        <f t="shared" si="64"/>
        <v>0</v>
      </c>
      <c r="J122" s="170">
        <f t="shared" si="64"/>
        <v>0</v>
      </c>
      <c r="K122" s="170">
        <f t="shared" si="64"/>
        <v>0</v>
      </c>
      <c r="L122" s="170">
        <f t="shared" si="64"/>
        <v>0</v>
      </c>
    </row>
    <row r="123" spans="2:12" ht="18.75" customHeight="1">
      <c r="B123" s="2" t="s">
        <v>50</v>
      </c>
      <c r="C123" s="170">
        <v>0</v>
      </c>
      <c r="D123" s="170">
        <f aca="true" t="shared" si="65" ref="D123:L123">D106*(C110+C112)</f>
        <v>1308</v>
      </c>
      <c r="E123" s="170">
        <f t="shared" si="65"/>
        <v>9063</v>
      </c>
      <c r="F123" s="170">
        <f t="shared" si="65"/>
        <v>22783.5</v>
      </c>
      <c r="G123" s="170">
        <f t="shared" si="65"/>
        <v>22783.5</v>
      </c>
      <c r="H123" s="170">
        <f t="shared" si="65"/>
        <v>22783.5</v>
      </c>
      <c r="I123" s="170">
        <f t="shared" si="65"/>
        <v>22783.5</v>
      </c>
      <c r="J123" s="170">
        <f t="shared" si="65"/>
        <v>22783.5</v>
      </c>
      <c r="K123" s="170">
        <f t="shared" si="65"/>
        <v>22783.5</v>
      </c>
      <c r="L123" s="170">
        <f t="shared" si="65"/>
        <v>22783.5</v>
      </c>
    </row>
    <row r="124" spans="2:12" ht="18.75" customHeight="1">
      <c r="B124" s="21" t="s">
        <v>51</v>
      </c>
      <c r="C124" s="174">
        <f aca="true" t="shared" si="66" ref="C124:I124">SUM(C120:C123)</f>
        <v>0</v>
      </c>
      <c r="D124" s="174">
        <f t="shared" si="66"/>
        <v>1308</v>
      </c>
      <c r="E124" s="174">
        <f t="shared" si="66"/>
        <v>9063</v>
      </c>
      <c r="F124" s="174">
        <f t="shared" si="66"/>
        <v>22783.5</v>
      </c>
      <c r="G124" s="174">
        <f t="shared" si="66"/>
        <v>22783.5</v>
      </c>
      <c r="H124" s="174">
        <f t="shared" si="66"/>
        <v>22783.5</v>
      </c>
      <c r="I124" s="174">
        <f t="shared" si="66"/>
        <v>22783.5</v>
      </c>
      <c r="J124" s="174">
        <f>SUM(J120:J123)</f>
        <v>22783.5</v>
      </c>
      <c r="K124" s="174">
        <f>SUM(K120:K123)</f>
        <v>22783.5</v>
      </c>
      <c r="L124" s="174">
        <f>SUM(L120:L123)</f>
        <v>22783.5</v>
      </c>
    </row>
    <row r="125" spans="3:12" ht="18.75" customHeight="1">
      <c r="C125" s="34"/>
      <c r="D125" s="268"/>
      <c r="E125" s="268"/>
      <c r="F125" s="268"/>
      <c r="G125" s="268"/>
      <c r="H125" s="268"/>
      <c r="I125" s="268"/>
      <c r="J125" s="268"/>
      <c r="K125" s="268"/>
      <c r="L125" s="268"/>
    </row>
    <row r="126" spans="2:12" ht="18.75" customHeight="1">
      <c r="B126" s="1" t="s">
        <v>59</v>
      </c>
      <c r="C126" s="170">
        <f aca="true" t="shared" si="67" ref="C126:I126">C118+C124</f>
        <v>54297.78668799999</v>
      </c>
      <c r="D126" s="170">
        <f t="shared" si="67"/>
        <v>377531.88436799997</v>
      </c>
      <c r="E126" s="170">
        <f t="shared" si="67"/>
        <v>954853.2316560001</v>
      </c>
      <c r="F126" s="170">
        <f t="shared" si="67"/>
        <v>968573.7316560001</v>
      </c>
      <c r="G126" s="170">
        <f t="shared" si="67"/>
        <v>968573.7316560001</v>
      </c>
      <c r="H126" s="170">
        <f t="shared" si="67"/>
        <v>968573.7316560001</v>
      </c>
      <c r="I126" s="170">
        <f t="shared" si="67"/>
        <v>968573.7316560001</v>
      </c>
      <c r="J126" s="170">
        <f>J118+J124</f>
        <v>968573.7316560001</v>
      </c>
      <c r="K126" s="170">
        <f>K118+K124</f>
        <v>968573.7316560001</v>
      </c>
      <c r="L126" s="170">
        <f>L118+L124</f>
        <v>968573.7316560001</v>
      </c>
    </row>
    <row r="127" ht="18.75" customHeight="1"/>
    <row r="128" ht="18.75" customHeight="1"/>
    <row r="129" spans="2:12" ht="18.75" customHeight="1">
      <c r="B129" s="11"/>
      <c r="C129" s="212" t="s">
        <v>257</v>
      </c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8.75" customHeight="1">
      <c r="A130" s="28"/>
      <c r="B130" s="28"/>
      <c r="C130" s="29">
        <f>C88</f>
        <v>2016</v>
      </c>
      <c r="D130" s="29">
        <f aca="true" t="shared" si="68" ref="D130:L131">C130+1</f>
        <v>2017</v>
      </c>
      <c r="E130" s="52">
        <f t="shared" si="68"/>
        <v>2018</v>
      </c>
      <c r="F130" s="52">
        <f t="shared" si="68"/>
        <v>2019</v>
      </c>
      <c r="G130" s="29">
        <f t="shared" si="68"/>
        <v>2020</v>
      </c>
      <c r="H130" s="29">
        <f t="shared" si="68"/>
        <v>2021</v>
      </c>
      <c r="I130" s="29">
        <f t="shared" si="68"/>
        <v>2022</v>
      </c>
      <c r="J130" s="29">
        <f t="shared" si="68"/>
        <v>2023</v>
      </c>
      <c r="K130" s="29">
        <f t="shared" si="68"/>
        <v>2024</v>
      </c>
      <c r="L130" s="29">
        <f t="shared" si="68"/>
        <v>2025</v>
      </c>
    </row>
    <row r="131" spans="1:12" ht="18.75" customHeight="1">
      <c r="A131" s="258">
        <v>2019</v>
      </c>
      <c r="B131" s="28" t="s">
        <v>43</v>
      </c>
      <c r="C131" s="209">
        <v>1</v>
      </c>
      <c r="D131" s="209">
        <f>C131+1</f>
        <v>2</v>
      </c>
      <c r="E131" s="209">
        <f t="shared" si="68"/>
        <v>3</v>
      </c>
      <c r="F131" s="209">
        <f t="shared" si="68"/>
        <v>4</v>
      </c>
      <c r="G131" s="209">
        <f t="shared" si="68"/>
        <v>5</v>
      </c>
      <c r="H131" s="209">
        <f t="shared" si="68"/>
        <v>6</v>
      </c>
      <c r="I131" s="209">
        <f t="shared" si="68"/>
        <v>7</v>
      </c>
      <c r="J131" s="209">
        <f t="shared" si="68"/>
        <v>8</v>
      </c>
      <c r="K131" s="209">
        <f t="shared" si="68"/>
        <v>9</v>
      </c>
      <c r="L131" s="209">
        <f t="shared" si="68"/>
        <v>10</v>
      </c>
    </row>
    <row r="132" spans="1:12" ht="18.75" customHeight="1">
      <c r="A132" s="3"/>
      <c r="B132" s="211" t="s">
        <v>336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8.75" customHeight="1">
      <c r="A133" s="60" t="s">
        <v>309</v>
      </c>
      <c r="B133" s="10" t="s">
        <v>397</v>
      </c>
      <c r="C133" s="172">
        <f>VLOOKUP(C$4,'Cash Flows-KU'!$B$44:$H$54,$A134)</f>
        <v>323000</v>
      </c>
      <c r="D133" s="172">
        <f>VLOOKUP(D$4,'Cash Flows-KU'!$B$44:$H$54,$A134)</f>
        <v>155000</v>
      </c>
      <c r="E133" s="172">
        <f>VLOOKUP(E$4,'Cash Flows-KU'!$B$44:$H$54,$A134)</f>
        <v>2705000</v>
      </c>
      <c r="F133" s="172">
        <f>VLOOKUP(F$4,'Cash Flows-KU'!$B$44:$H$54,$A134)</f>
        <v>4826000</v>
      </c>
      <c r="G133" s="172">
        <f>VLOOKUP(G$4,'Cash Flows-KU'!$B$44:$H$54,$A134)</f>
        <v>0</v>
      </c>
      <c r="H133" s="172">
        <f>VLOOKUP(H$4,'Cash Flows-KU'!$B$44:$H$54,$A134)</f>
        <v>0</v>
      </c>
      <c r="I133" s="172">
        <f>VLOOKUP(I$4,'Cash Flows-KU'!$B$44:$H$54,$A134)</f>
        <v>0</v>
      </c>
      <c r="J133" s="172">
        <f>VLOOKUP(J$4,'Cash Flows-KU'!$B$44:$H$54,$A134)</f>
        <v>0</v>
      </c>
      <c r="K133" s="172">
        <f>VLOOKUP(K$4,'Cash Flows-KU'!$B$44:$H$54,$A134)</f>
        <v>0</v>
      </c>
      <c r="L133" s="172">
        <f>VLOOKUP(L$4,'Cash Flows-KU'!$B$44:$H$54,$A134)</f>
        <v>0</v>
      </c>
    </row>
    <row r="134" spans="1:13" ht="18.75" customHeight="1">
      <c r="A134" s="3">
        <v>5</v>
      </c>
      <c r="B134" s="40" t="s">
        <v>57</v>
      </c>
      <c r="C134" s="172">
        <f>SUM($C133:C133)</f>
        <v>323000</v>
      </c>
      <c r="D134" s="172">
        <f>SUM($C133:D133)</f>
        <v>478000</v>
      </c>
      <c r="E134" s="172">
        <f>SUM($C133:E133)</f>
        <v>3183000</v>
      </c>
      <c r="F134" s="172">
        <f>SUM($C133:F133)</f>
        <v>8009000</v>
      </c>
      <c r="G134" s="172">
        <f>SUM($C133:G133)</f>
        <v>8009000</v>
      </c>
      <c r="H134" s="172">
        <f>SUM($C133:H133)</f>
        <v>8009000</v>
      </c>
      <c r="I134" s="172">
        <f>SUM($C133:I133)</f>
        <v>8009000</v>
      </c>
      <c r="J134" s="172">
        <f>SUM($C133:J133)</f>
        <v>8009000</v>
      </c>
      <c r="K134" s="172">
        <f>SUM($C133:K133)</f>
        <v>8009000</v>
      </c>
      <c r="L134" s="172">
        <f>SUM($C133:L133)</f>
        <v>8009000</v>
      </c>
      <c r="M134" s="18"/>
    </row>
    <row r="135" spans="1:12" ht="18.75" customHeight="1">
      <c r="A135" s="3">
        <v>2</v>
      </c>
      <c r="B135" s="5" t="s">
        <v>0</v>
      </c>
      <c r="C135" s="6">
        <f>IF(C131="",0,VLOOKUP($B132,Depreciation!$D$2:$E$31,$A135,FALSE))</f>
        <v>0</v>
      </c>
      <c r="D135" s="6">
        <f>IF(D131="",0,VLOOKUP($B132,Depreciation!$D$2:$E$31,$A135,FALSE))</f>
        <v>0</v>
      </c>
      <c r="E135" s="6">
        <f>IF(E131="",0,VLOOKUP($B132,Depreciation!$D$2:$E$31,$A135,FALSE))</f>
        <v>0</v>
      </c>
      <c r="F135" s="6">
        <f>IF(F131="",0,VLOOKUP($B132,Depreciation!$D$2:$E$31,$A135,FALSE))</f>
        <v>0</v>
      </c>
      <c r="G135" s="6">
        <f>IF(G131="",0,VLOOKUP($B132,Depreciation!$D$2:$E$31,$A135,FALSE))</f>
        <v>0</v>
      </c>
      <c r="H135" s="6">
        <f>IF(H131="",0,VLOOKUP($B132,Depreciation!$D$2:$E$31,$A135,FALSE))</f>
        <v>0</v>
      </c>
      <c r="I135" s="6">
        <f>IF(I131="",0,VLOOKUP($B132,Depreciation!$D$2:$E$31,$A135,FALSE))</f>
        <v>0</v>
      </c>
      <c r="J135" s="6">
        <f>IF(J131="",0,VLOOKUP($B132,Depreciation!$D$2:$E$31,$A135,FALSE))</f>
        <v>0</v>
      </c>
      <c r="K135" s="6">
        <f>IF(K131="",0,VLOOKUP($B132,Depreciation!$D$2:$E$31,$A135,FALSE))</f>
        <v>0</v>
      </c>
      <c r="L135" s="6">
        <f>IF(L131="",0,VLOOKUP($B132,Depreciation!$D$2:$E$31,$A135,FALSE))</f>
        <v>0</v>
      </c>
    </row>
    <row r="136" spans="1:12" ht="18.75" customHeight="1">
      <c r="A136" s="3">
        <v>3</v>
      </c>
      <c r="B136" s="5" t="s">
        <v>1</v>
      </c>
      <c r="C136" s="6">
        <f>IF(C131="",0,VLOOKUP(C131,Depreciation!$A$2:$C$58,$A136,FALSE))</f>
        <v>1</v>
      </c>
      <c r="D136" s="6">
        <f>IF(D131="",0,VLOOKUP(D131,Depreciation!$A$2:$C$58,$A136,FALSE))</f>
        <v>1</v>
      </c>
      <c r="E136" s="6">
        <f>IF(E131="",0,VLOOKUP(E131,Depreciation!$A$2:$C$58,$A136,FALSE))</f>
        <v>1</v>
      </c>
      <c r="F136" s="6">
        <f>IF(F131="",0,VLOOKUP(F131,Depreciation!$A$2:$C$58,$A136,FALSE))</f>
        <v>1</v>
      </c>
      <c r="G136" s="6">
        <f>IF(G131="",0,VLOOKUP(G131,Depreciation!$A$2:$C$58,$A136,FALSE))</f>
        <v>1</v>
      </c>
      <c r="H136" s="6">
        <f>IF(H131="",0,VLOOKUP(H131,Depreciation!$A$2:$C$58,$A136,FALSE))</f>
        <v>1</v>
      </c>
      <c r="I136" s="6">
        <f>IF(I131="",0,VLOOKUP(I131,Depreciation!$A$2:$C$58,$A136,FALSE))</f>
        <v>1</v>
      </c>
      <c r="J136" s="6">
        <f>IF(J131="",0,VLOOKUP(J131,Depreciation!$A$2:$C$58,$A136,FALSE))</f>
        <v>1</v>
      </c>
      <c r="K136" s="6">
        <f>IF(K131="",0,VLOOKUP(K131,Depreciation!$A$2:$C$58,$A136,FALSE))</f>
        <v>1</v>
      </c>
      <c r="L136" s="6">
        <f>IF(L131="",0,VLOOKUP(L131,Depreciation!$A$2:$C$58,$A136,FALSE))</f>
        <v>1</v>
      </c>
    </row>
    <row r="137" spans="1:12" ht="18.75" customHeight="1">
      <c r="A137" s="30"/>
      <c r="B137" s="31" t="s">
        <v>2</v>
      </c>
      <c r="C137" s="7">
        <f>Input!B$3</f>
        <v>0.38665999999999995</v>
      </c>
      <c r="D137" s="7">
        <f>Input!C$3</f>
        <v>0.38665999999999995</v>
      </c>
      <c r="E137" s="7">
        <f>Input!D$3</f>
        <v>0.38665999999999995</v>
      </c>
      <c r="F137" s="7">
        <f>Input!E$3</f>
        <v>0.38665999999999995</v>
      </c>
      <c r="G137" s="7">
        <f>Input!F$3</f>
        <v>0.38665999999999995</v>
      </c>
      <c r="H137" s="7">
        <f>Input!G$3</f>
        <v>0.38665999999999995</v>
      </c>
      <c r="I137" s="7">
        <f>Input!H$3</f>
        <v>0.38665999999999995</v>
      </c>
      <c r="J137" s="7">
        <f>Input!I$3</f>
        <v>0.38665999999999995</v>
      </c>
      <c r="K137" s="7">
        <f>Input!J$3</f>
        <v>0.38665999999999995</v>
      </c>
      <c r="L137" s="7">
        <f>Input!K$3</f>
        <v>0.38665999999999995</v>
      </c>
    </row>
    <row r="138" spans="2:12" ht="18.75" customHeight="1">
      <c r="B138" s="2" t="s">
        <v>3</v>
      </c>
      <c r="C138" s="170">
        <f>SUM($C149:C149)</f>
        <v>-649298.805</v>
      </c>
      <c r="D138" s="170">
        <f>SUM($C149:D149)</f>
        <v>-1363556.49</v>
      </c>
      <c r="E138" s="170">
        <f>SUM($C149:E149)</f>
        <v>-1091831.175</v>
      </c>
      <c r="F138" s="170">
        <f>SUM($C149:F149)</f>
        <v>0</v>
      </c>
      <c r="G138" s="170">
        <f>SUM($C149:G149)</f>
        <v>-2.3283064365386963E-10</v>
      </c>
      <c r="H138" s="170">
        <f>SUM($C149:H149)</f>
        <v>-2.3283064365386963E-10</v>
      </c>
      <c r="I138" s="170">
        <f>SUM($C149:I149)</f>
        <v>-2.3283064365386963E-10</v>
      </c>
      <c r="J138" s="170">
        <f>SUM($C149:J149)</f>
        <v>-2.3283064365386963E-10</v>
      </c>
      <c r="K138" s="170">
        <f>SUM($C149:K149)</f>
        <v>-2.3283064365386963E-10</v>
      </c>
      <c r="L138" s="170">
        <f>SUM($C149:L149)</f>
        <v>-2.3283064365386963E-10</v>
      </c>
    </row>
    <row r="139" spans="2:12" ht="18.75" customHeight="1">
      <c r="B139" s="2" t="s">
        <v>4</v>
      </c>
      <c r="C139" s="169">
        <f>SUM($C141:C141)</f>
        <v>2002250.0000000002</v>
      </c>
      <c r="D139" s="169">
        <f>SUM($C141:D141)</f>
        <v>4004500.0000000005</v>
      </c>
      <c r="E139" s="169">
        <f>SUM($C141:E141)</f>
        <v>6006750.000000001</v>
      </c>
      <c r="F139" s="169">
        <f>SUM($C141:F141)</f>
        <v>8009000.000000001</v>
      </c>
      <c r="G139" s="169"/>
      <c r="H139" s="169"/>
      <c r="I139" s="169"/>
      <c r="J139" s="169"/>
      <c r="K139" s="169"/>
      <c r="L139" s="169"/>
    </row>
    <row r="140" spans="2:12" ht="18.75" customHeight="1">
      <c r="B140" s="11" t="s">
        <v>5</v>
      </c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</row>
    <row r="141" spans="1:12" ht="18.75" customHeight="1">
      <c r="A141" s="214" t="s">
        <v>372</v>
      </c>
      <c r="B141" s="11" t="s">
        <v>6</v>
      </c>
      <c r="C141" s="169">
        <v>2002250.0000000002</v>
      </c>
      <c r="D141" s="169">
        <f>C141</f>
        <v>2002250.0000000002</v>
      </c>
      <c r="E141" s="169">
        <f>D141</f>
        <v>2002250.0000000002</v>
      </c>
      <c r="F141" s="169">
        <f>E141</f>
        <v>2002250.0000000002</v>
      </c>
      <c r="G141" s="169"/>
      <c r="H141" s="169"/>
      <c r="I141" s="169"/>
      <c r="J141" s="169"/>
      <c r="K141" s="169"/>
      <c r="L141" s="169"/>
    </row>
    <row r="142" spans="2:12" ht="18.75" customHeight="1">
      <c r="B142" s="5" t="s">
        <v>7</v>
      </c>
      <c r="C142" s="169">
        <f>C133</f>
        <v>323000</v>
      </c>
      <c r="D142" s="169">
        <f aca="true" t="shared" si="69" ref="D142:L142">C142+D133</f>
        <v>478000</v>
      </c>
      <c r="E142" s="169">
        <f t="shared" si="69"/>
        <v>3183000</v>
      </c>
      <c r="F142" s="169">
        <f t="shared" si="69"/>
        <v>8009000</v>
      </c>
      <c r="G142" s="169">
        <f t="shared" si="69"/>
        <v>8009000</v>
      </c>
      <c r="H142" s="169">
        <f t="shared" si="69"/>
        <v>8009000</v>
      </c>
      <c r="I142" s="169">
        <f t="shared" si="69"/>
        <v>8009000</v>
      </c>
      <c r="J142" s="169">
        <f t="shared" si="69"/>
        <v>8009000</v>
      </c>
      <c r="K142" s="169">
        <f t="shared" si="69"/>
        <v>8009000</v>
      </c>
      <c r="L142" s="169">
        <f t="shared" si="69"/>
        <v>8009000</v>
      </c>
    </row>
    <row r="143" spans="2:12" ht="18.75" customHeight="1">
      <c r="B143" s="213" t="s">
        <v>361</v>
      </c>
      <c r="C143" s="169">
        <f>IF(C131=1,IF($A141="Bonus",SUM($C133:C133)*VLOOKUP(C130,Depreciation!$D$41:$E$50,2),0),0)</f>
        <v>0</v>
      </c>
      <c r="D143" s="169">
        <f>IF(D131=1,IF($A141="Bonus",SUM($C133:D133)*VLOOKUP(D130,Depreciation!$D$41:$E$50,2),0),0)</f>
        <v>0</v>
      </c>
      <c r="E143" s="169">
        <f>IF(E131=1,IF($A141="Bonus",SUM($C133:E133)*VLOOKUP(E130,Depreciation!$D$41:$E$50,2),0),0)</f>
        <v>0</v>
      </c>
      <c r="F143" s="169">
        <f>IF(F131=1,IF($A141="Bonus",SUM($C133:F133)*VLOOKUP(F130,Depreciation!$D$41:$E$50,2),0),0)</f>
        <v>0</v>
      </c>
      <c r="G143" s="169">
        <f>IF(G131=1,IF($A141="Bonus",SUM($C133:G133)*VLOOKUP(G130,Depreciation!$D$41:$E$50,2),0),0)</f>
        <v>0</v>
      </c>
      <c r="H143" s="169">
        <f>IF(H131=1,IF($A141="Bonus",SUM($C133:H133)*VLOOKUP(H130,Depreciation!$D$41:$E$50,2),0),0)</f>
        <v>0</v>
      </c>
      <c r="I143" s="169">
        <f>IF(I131=1,IF($A141="Bonus",SUM($C133:I133)*VLOOKUP(I130,Depreciation!$D$41:$E$50,2),0),0)</f>
        <v>0</v>
      </c>
      <c r="J143" s="169">
        <f>IF(J131=1,IF($A141="Bonus",SUM($C133:J133)*VLOOKUP(J130,Depreciation!$D$41:$E$50,2),0),0)</f>
        <v>0</v>
      </c>
      <c r="K143" s="169">
        <f>IF(K131=1,IF($A141="Bonus",SUM($C133:K133)*VLOOKUP(K130,Depreciation!$D$41:$E$50,2),0),0)</f>
        <v>0</v>
      </c>
      <c r="L143" s="169">
        <f>IF(L131=1,IF($A141="Bonus",SUM($C133:L133)*VLOOKUP(L130,Depreciation!$D$41:$E$50,2),0),0)</f>
        <v>0</v>
      </c>
    </row>
    <row r="144" spans="2:12" ht="18.75" customHeight="1">
      <c r="B144" s="5" t="s">
        <v>362</v>
      </c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</row>
    <row r="145" spans="2:12" ht="18.75" customHeight="1">
      <c r="B145" s="5" t="s">
        <v>17</v>
      </c>
      <c r="C145" s="7">
        <f>Input!J$31</f>
        <v>0.10152297909805327</v>
      </c>
      <c r="D145" s="7">
        <f>Input!K$31</f>
        <v>0.10152297909805327</v>
      </c>
      <c r="E145" s="7">
        <f>Input!L$31</f>
        <v>0.10152297909805327</v>
      </c>
      <c r="F145" s="7">
        <f>Input!M$31</f>
        <v>0.10152297909805327</v>
      </c>
      <c r="G145" s="7">
        <f>Input!N$31</f>
        <v>0.10152297909805327</v>
      </c>
      <c r="H145" s="7">
        <f>Input!O$31</f>
        <v>0.10152297909805327</v>
      </c>
      <c r="I145" s="7">
        <f>Input!P$31</f>
        <v>0.10152297909805327</v>
      </c>
      <c r="J145" s="7">
        <f>Input!Q$31</f>
        <v>0.10152297909805327</v>
      </c>
      <c r="K145" s="7">
        <f>Input!R$31</f>
        <v>0.10152297909805327</v>
      </c>
      <c r="L145" s="7">
        <f>Input!S$31</f>
        <v>0.10152297909805327</v>
      </c>
    </row>
    <row r="146" spans="2:12" ht="18.75" customHeight="1">
      <c r="B146" s="5" t="s">
        <v>8</v>
      </c>
      <c r="C146" s="181">
        <f>C141</f>
        <v>2002250.0000000002</v>
      </c>
      <c r="D146" s="181">
        <f>D141</f>
        <v>2002250.0000000002</v>
      </c>
      <c r="E146" s="181">
        <f aca="true" t="shared" si="70" ref="E146:L146">E141</f>
        <v>2002250.0000000002</v>
      </c>
      <c r="F146" s="181">
        <f t="shared" si="70"/>
        <v>2002250.0000000002</v>
      </c>
      <c r="G146" s="181">
        <f t="shared" si="70"/>
        <v>0</v>
      </c>
      <c r="H146" s="181">
        <f t="shared" si="70"/>
        <v>0</v>
      </c>
      <c r="I146" s="181">
        <f t="shared" si="70"/>
        <v>0</v>
      </c>
      <c r="J146" s="181">
        <f t="shared" si="70"/>
        <v>0</v>
      </c>
      <c r="K146" s="181">
        <f t="shared" si="70"/>
        <v>0</v>
      </c>
      <c r="L146" s="181">
        <f t="shared" si="70"/>
        <v>0</v>
      </c>
    </row>
    <row r="147" spans="2:12" ht="18.75" customHeight="1">
      <c r="B147" s="11" t="s">
        <v>364</v>
      </c>
      <c r="C147" s="181">
        <f>C133*C136</f>
        <v>323000</v>
      </c>
      <c r="D147" s="181">
        <f aca="true" t="shared" si="71" ref="D147:L147">D133*D136</f>
        <v>155000</v>
      </c>
      <c r="E147" s="181">
        <f t="shared" si="71"/>
        <v>2705000</v>
      </c>
      <c r="F147" s="181">
        <f t="shared" si="71"/>
        <v>4826000</v>
      </c>
      <c r="G147" s="181">
        <f t="shared" si="71"/>
        <v>0</v>
      </c>
      <c r="H147" s="181">
        <f t="shared" si="71"/>
        <v>0</v>
      </c>
      <c r="I147" s="181">
        <f t="shared" si="71"/>
        <v>0</v>
      </c>
      <c r="J147" s="181">
        <f t="shared" si="71"/>
        <v>0</v>
      </c>
      <c r="K147" s="181">
        <f t="shared" si="71"/>
        <v>0</v>
      </c>
      <c r="L147" s="181">
        <f t="shared" si="71"/>
        <v>0</v>
      </c>
    </row>
    <row r="148" spans="2:12" ht="18.75" customHeight="1">
      <c r="B148" s="3" t="s">
        <v>9</v>
      </c>
      <c r="C148" s="8">
        <f>Input!$B$6</f>
        <v>0.0015</v>
      </c>
      <c r="D148" s="8">
        <f aca="true" t="shared" si="72" ref="D148:L148">C148</f>
        <v>0.0015</v>
      </c>
      <c r="E148" s="8">
        <f t="shared" si="72"/>
        <v>0.0015</v>
      </c>
      <c r="F148" s="8">
        <f t="shared" si="72"/>
        <v>0.0015</v>
      </c>
      <c r="G148" s="8">
        <f t="shared" si="72"/>
        <v>0.0015</v>
      </c>
      <c r="H148" s="8">
        <f t="shared" si="72"/>
        <v>0.0015</v>
      </c>
      <c r="I148" s="8">
        <f t="shared" si="72"/>
        <v>0.0015</v>
      </c>
      <c r="J148" s="8">
        <f t="shared" si="72"/>
        <v>0.0015</v>
      </c>
      <c r="K148" s="8">
        <f t="shared" si="72"/>
        <v>0.0015</v>
      </c>
      <c r="L148" s="8">
        <f t="shared" si="72"/>
        <v>0.0015</v>
      </c>
    </row>
    <row r="149" spans="2:12" ht="18.75" customHeight="1">
      <c r="B149" s="102" t="s">
        <v>363</v>
      </c>
      <c r="C149" s="171">
        <f aca="true" t="shared" si="73" ref="C149:L149">(C147-C146)*C137</f>
        <v>-649298.805</v>
      </c>
      <c r="D149" s="171">
        <f t="shared" si="73"/>
        <v>-714257.6849999999</v>
      </c>
      <c r="E149" s="171">
        <f t="shared" si="73"/>
        <v>271725.3149999999</v>
      </c>
      <c r="F149" s="171">
        <f t="shared" si="73"/>
        <v>1091831.1749999998</v>
      </c>
      <c r="G149" s="171">
        <f t="shared" si="73"/>
        <v>0</v>
      </c>
      <c r="H149" s="171">
        <f t="shared" si="73"/>
        <v>0</v>
      </c>
      <c r="I149" s="171">
        <f t="shared" si="73"/>
        <v>0</v>
      </c>
      <c r="J149" s="171">
        <f t="shared" si="73"/>
        <v>0</v>
      </c>
      <c r="K149" s="171">
        <f t="shared" si="73"/>
        <v>0</v>
      </c>
      <c r="L149" s="171">
        <f t="shared" si="73"/>
        <v>0</v>
      </c>
    </row>
    <row r="150" spans="2:12" ht="18.75" customHeight="1">
      <c r="B150" s="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8.75" customHeight="1">
      <c r="B151" s="10" t="s">
        <v>15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8.75" customHeight="1">
      <c r="B152" s="5" t="s">
        <v>16</v>
      </c>
      <c r="C152" s="169">
        <f aca="true" t="shared" si="74" ref="C152:L152">C134</f>
        <v>323000</v>
      </c>
      <c r="D152" s="169">
        <f t="shared" si="74"/>
        <v>478000</v>
      </c>
      <c r="E152" s="169">
        <f t="shared" si="74"/>
        <v>3183000</v>
      </c>
      <c r="F152" s="169">
        <f t="shared" si="74"/>
        <v>8009000</v>
      </c>
      <c r="G152" s="169">
        <f t="shared" si="74"/>
        <v>8009000</v>
      </c>
      <c r="H152" s="169">
        <f t="shared" si="74"/>
        <v>8009000</v>
      </c>
      <c r="I152" s="169">
        <f t="shared" si="74"/>
        <v>8009000</v>
      </c>
      <c r="J152" s="169">
        <f t="shared" si="74"/>
        <v>8009000</v>
      </c>
      <c r="K152" s="169">
        <f t="shared" si="74"/>
        <v>8009000</v>
      </c>
      <c r="L152" s="169">
        <f t="shared" si="74"/>
        <v>8009000</v>
      </c>
    </row>
    <row r="153" spans="1:12" ht="18.75" customHeight="1">
      <c r="A153" s="3"/>
      <c r="B153" s="4" t="s">
        <v>44</v>
      </c>
      <c r="C153" s="170">
        <v>0</v>
      </c>
      <c r="D153" s="170">
        <f aca="true" t="shared" si="75" ref="D153:L153">C153</f>
        <v>0</v>
      </c>
      <c r="E153" s="170">
        <f t="shared" si="75"/>
        <v>0</v>
      </c>
      <c r="F153" s="170">
        <f t="shared" si="75"/>
        <v>0</v>
      </c>
      <c r="G153" s="170">
        <f t="shared" si="75"/>
        <v>0</v>
      </c>
      <c r="H153" s="170">
        <f t="shared" si="75"/>
        <v>0</v>
      </c>
      <c r="I153" s="170">
        <f t="shared" si="75"/>
        <v>0</v>
      </c>
      <c r="J153" s="170">
        <f t="shared" si="75"/>
        <v>0</v>
      </c>
      <c r="K153" s="170">
        <f t="shared" si="75"/>
        <v>0</v>
      </c>
      <c r="L153" s="170">
        <f t="shared" si="75"/>
        <v>0</v>
      </c>
    </row>
    <row r="154" spans="2:12" ht="18.75" customHeight="1">
      <c r="B154" s="2" t="s">
        <v>10</v>
      </c>
      <c r="C154" s="170">
        <f aca="true" t="shared" si="76" ref="C154:L154">-C139</f>
        <v>-2002250.0000000002</v>
      </c>
      <c r="D154" s="170">
        <f t="shared" si="76"/>
        <v>-4004500.0000000005</v>
      </c>
      <c r="E154" s="170">
        <f t="shared" si="76"/>
        <v>-6006750.000000001</v>
      </c>
      <c r="F154" s="170">
        <f t="shared" si="76"/>
        <v>-8009000.000000001</v>
      </c>
      <c r="G154" s="170">
        <f t="shared" si="76"/>
        <v>0</v>
      </c>
      <c r="H154" s="170">
        <f t="shared" si="76"/>
        <v>0</v>
      </c>
      <c r="I154" s="170">
        <f t="shared" si="76"/>
        <v>0</v>
      </c>
      <c r="J154" s="170">
        <f t="shared" si="76"/>
        <v>0</v>
      </c>
      <c r="K154" s="170">
        <f t="shared" si="76"/>
        <v>0</v>
      </c>
      <c r="L154" s="170">
        <f t="shared" si="76"/>
        <v>0</v>
      </c>
    </row>
    <row r="155" spans="2:12" ht="18.75" customHeight="1">
      <c r="B155" s="2" t="s">
        <v>45</v>
      </c>
      <c r="C155" s="170">
        <v>0</v>
      </c>
      <c r="D155" s="170">
        <f aca="true" t="shared" si="77" ref="D155:L155">C155</f>
        <v>0</v>
      </c>
      <c r="E155" s="170">
        <f t="shared" si="77"/>
        <v>0</v>
      </c>
      <c r="F155" s="170">
        <f t="shared" si="77"/>
        <v>0</v>
      </c>
      <c r="G155" s="170">
        <f t="shared" si="77"/>
        <v>0</v>
      </c>
      <c r="H155" s="170">
        <f t="shared" si="77"/>
        <v>0</v>
      </c>
      <c r="I155" s="170">
        <f t="shared" si="77"/>
        <v>0</v>
      </c>
      <c r="J155" s="170">
        <f t="shared" si="77"/>
        <v>0</v>
      </c>
      <c r="K155" s="170">
        <f t="shared" si="77"/>
        <v>0</v>
      </c>
      <c r="L155" s="170">
        <f t="shared" si="77"/>
        <v>0</v>
      </c>
    </row>
    <row r="156" spans="2:12" ht="18.75" customHeight="1">
      <c r="B156" s="2" t="s">
        <v>46</v>
      </c>
      <c r="C156" s="170">
        <f aca="true" t="shared" si="78" ref="C156:L156">-C138</f>
        <v>649298.805</v>
      </c>
      <c r="D156" s="170">
        <f t="shared" si="78"/>
        <v>1363556.49</v>
      </c>
      <c r="E156" s="170">
        <f t="shared" si="78"/>
        <v>1091831.175</v>
      </c>
      <c r="F156" s="170">
        <f t="shared" si="78"/>
        <v>0</v>
      </c>
      <c r="G156" s="170">
        <f t="shared" si="78"/>
        <v>2.3283064365386963E-10</v>
      </c>
      <c r="H156" s="170">
        <f t="shared" si="78"/>
        <v>2.3283064365386963E-10</v>
      </c>
      <c r="I156" s="170">
        <f t="shared" si="78"/>
        <v>2.3283064365386963E-10</v>
      </c>
      <c r="J156" s="170">
        <f t="shared" si="78"/>
        <v>2.3283064365386963E-10</v>
      </c>
      <c r="K156" s="170">
        <f t="shared" si="78"/>
        <v>2.3283064365386963E-10</v>
      </c>
      <c r="L156" s="170">
        <f t="shared" si="78"/>
        <v>2.3283064365386963E-10</v>
      </c>
    </row>
    <row r="157" spans="2:12" ht="18.75" customHeight="1">
      <c r="B157" s="2" t="s">
        <v>47</v>
      </c>
      <c r="C157" s="170">
        <v>0</v>
      </c>
      <c r="D157" s="170">
        <f aca="true" t="shared" si="79" ref="D157:L157">C157</f>
        <v>0</v>
      </c>
      <c r="E157" s="170">
        <f t="shared" si="79"/>
        <v>0</v>
      </c>
      <c r="F157" s="170">
        <f t="shared" si="79"/>
        <v>0</v>
      </c>
      <c r="G157" s="170">
        <f t="shared" si="79"/>
        <v>0</v>
      </c>
      <c r="H157" s="170">
        <f t="shared" si="79"/>
        <v>0</v>
      </c>
      <c r="I157" s="170">
        <f t="shared" si="79"/>
        <v>0</v>
      </c>
      <c r="J157" s="170">
        <f t="shared" si="79"/>
        <v>0</v>
      </c>
      <c r="K157" s="170">
        <f t="shared" si="79"/>
        <v>0</v>
      </c>
      <c r="L157" s="170">
        <f t="shared" si="79"/>
        <v>0</v>
      </c>
    </row>
    <row r="158" spans="2:12" ht="18.75" customHeight="1">
      <c r="B158" s="2" t="s">
        <v>11</v>
      </c>
      <c r="C158" s="170">
        <f aca="true" t="shared" si="80" ref="C158:I158">SUM(C152:C157)</f>
        <v>-1029951.1950000002</v>
      </c>
      <c r="D158" s="170">
        <f t="shared" si="80"/>
        <v>-2162943.5100000007</v>
      </c>
      <c r="E158" s="170">
        <f t="shared" si="80"/>
        <v>-1731918.825000001</v>
      </c>
      <c r="F158" s="170">
        <f t="shared" si="80"/>
        <v>-9.313225746154785E-10</v>
      </c>
      <c r="G158" s="170">
        <f t="shared" si="80"/>
        <v>8009000</v>
      </c>
      <c r="H158" s="170">
        <f t="shared" si="80"/>
        <v>8009000</v>
      </c>
      <c r="I158" s="170">
        <f t="shared" si="80"/>
        <v>8009000</v>
      </c>
      <c r="J158" s="170">
        <f>SUM(J152:J157)</f>
        <v>8009000</v>
      </c>
      <c r="K158" s="170">
        <f>SUM(K152:K157)</f>
        <v>8009000</v>
      </c>
      <c r="L158" s="170">
        <f>SUM(L152:L157)</f>
        <v>8009000</v>
      </c>
    </row>
    <row r="159" spans="2:12" ht="18.75" customHeight="1">
      <c r="B159" s="2" t="s">
        <v>12</v>
      </c>
      <c r="C159" s="7">
        <f aca="true" t="shared" si="81" ref="C159:I159">C145</f>
        <v>0.10152297909805327</v>
      </c>
      <c r="D159" s="7">
        <f t="shared" si="81"/>
        <v>0.10152297909805327</v>
      </c>
      <c r="E159" s="7">
        <f t="shared" si="81"/>
        <v>0.10152297909805327</v>
      </c>
      <c r="F159" s="7">
        <f t="shared" si="81"/>
        <v>0.10152297909805327</v>
      </c>
      <c r="G159" s="7">
        <f t="shared" si="81"/>
        <v>0.10152297909805327</v>
      </c>
      <c r="H159" s="7">
        <f t="shared" si="81"/>
        <v>0.10152297909805327</v>
      </c>
      <c r="I159" s="7">
        <f t="shared" si="81"/>
        <v>0.10152297909805327</v>
      </c>
      <c r="J159" s="7">
        <f>J145</f>
        <v>0.10152297909805327</v>
      </c>
      <c r="K159" s="7">
        <f>K145</f>
        <v>0.10152297909805327</v>
      </c>
      <c r="L159" s="7">
        <f>L145</f>
        <v>0.10152297909805327</v>
      </c>
    </row>
    <row r="160" spans="2:12" ht="18.75" customHeight="1">
      <c r="B160" s="34" t="s">
        <v>58</v>
      </c>
      <c r="C160" s="174">
        <f aca="true" t="shared" si="82" ref="C160:I160">C158*C159</f>
        <v>-104563.713642</v>
      </c>
      <c r="D160" s="174">
        <f t="shared" si="82"/>
        <v>-219588.46875600005</v>
      </c>
      <c r="E160" s="174">
        <f t="shared" si="82"/>
        <v>-175829.5586700001</v>
      </c>
      <c r="F160" s="174">
        <f t="shared" si="82"/>
        <v>-9.455064227623239E-11</v>
      </c>
      <c r="G160" s="174">
        <f t="shared" si="82"/>
        <v>813097.5395963087</v>
      </c>
      <c r="H160" s="174">
        <f t="shared" si="82"/>
        <v>813097.5395963087</v>
      </c>
      <c r="I160" s="174">
        <f t="shared" si="82"/>
        <v>813097.5395963087</v>
      </c>
      <c r="J160" s="174">
        <f>J158*J159</f>
        <v>813097.5395963087</v>
      </c>
      <c r="K160" s="174">
        <f>K158*K159</f>
        <v>813097.5395963087</v>
      </c>
      <c r="L160" s="174">
        <f>L158*L159</f>
        <v>813097.5395963087</v>
      </c>
    </row>
    <row r="161" spans="1:12" ht="18.75" customHeight="1">
      <c r="A161" s="3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2:12" ht="18.75" customHeight="1">
      <c r="B162" s="1" t="s">
        <v>52</v>
      </c>
      <c r="C162" s="170">
        <v>0</v>
      </c>
      <c r="D162" s="170">
        <f>C162</f>
        <v>0</v>
      </c>
      <c r="E162" s="170">
        <f aca="true" t="shared" si="83" ref="E162:L162">D162</f>
        <v>0</v>
      </c>
      <c r="F162" s="170">
        <f t="shared" si="83"/>
        <v>0</v>
      </c>
      <c r="G162" s="170">
        <f t="shared" si="83"/>
        <v>0</v>
      </c>
      <c r="H162" s="170">
        <f t="shared" si="83"/>
        <v>0</v>
      </c>
      <c r="I162" s="170">
        <f t="shared" si="83"/>
        <v>0</v>
      </c>
      <c r="J162" s="170">
        <f t="shared" si="83"/>
        <v>0</v>
      </c>
      <c r="K162" s="170">
        <f t="shared" si="83"/>
        <v>0</v>
      </c>
      <c r="L162" s="170">
        <f t="shared" si="83"/>
        <v>0</v>
      </c>
    </row>
    <row r="163" spans="2:12" ht="18.75" customHeight="1">
      <c r="B163" s="2" t="s">
        <v>48</v>
      </c>
      <c r="C163" s="170">
        <v>0</v>
      </c>
      <c r="D163" s="170">
        <f>C163</f>
        <v>0</v>
      </c>
      <c r="E163" s="170">
        <f>D163</f>
        <v>0</v>
      </c>
      <c r="F163" s="170">
        <f>E163</f>
        <v>0</v>
      </c>
      <c r="G163" s="170">
        <f aca="true" t="shared" si="84" ref="G163:L163">G146</f>
        <v>0</v>
      </c>
      <c r="H163" s="170">
        <f t="shared" si="84"/>
        <v>0</v>
      </c>
      <c r="I163" s="170">
        <f t="shared" si="84"/>
        <v>0</v>
      </c>
      <c r="J163" s="170">
        <f t="shared" si="84"/>
        <v>0</v>
      </c>
      <c r="K163" s="170">
        <f t="shared" si="84"/>
        <v>0</v>
      </c>
      <c r="L163" s="170">
        <f t="shared" si="84"/>
        <v>0</v>
      </c>
    </row>
    <row r="164" spans="2:12" ht="18.75" customHeight="1">
      <c r="B164" s="2" t="s">
        <v>434</v>
      </c>
      <c r="C164" s="170">
        <f>C141</f>
        <v>2002250.0000000002</v>
      </c>
      <c r="D164" s="170">
        <f aca="true" t="shared" si="85" ref="D164:L164">D141</f>
        <v>2002250.0000000002</v>
      </c>
      <c r="E164" s="170">
        <f t="shared" si="85"/>
        <v>2002250.0000000002</v>
      </c>
      <c r="F164" s="170">
        <f t="shared" si="85"/>
        <v>2002250.0000000002</v>
      </c>
      <c r="G164" s="170">
        <f t="shared" si="85"/>
        <v>0</v>
      </c>
      <c r="H164" s="170">
        <f t="shared" si="85"/>
        <v>0</v>
      </c>
      <c r="I164" s="170">
        <f t="shared" si="85"/>
        <v>0</v>
      </c>
      <c r="J164" s="170">
        <f t="shared" si="85"/>
        <v>0</v>
      </c>
      <c r="K164" s="170">
        <f t="shared" si="85"/>
        <v>0</v>
      </c>
      <c r="L164" s="170">
        <f t="shared" si="85"/>
        <v>0</v>
      </c>
    </row>
    <row r="165" spans="2:12" ht="18.75" customHeight="1">
      <c r="B165" s="2" t="s">
        <v>50</v>
      </c>
      <c r="C165" s="170">
        <v>0</v>
      </c>
      <c r="D165" s="170">
        <f aca="true" t="shared" si="86" ref="D165:L165">D148*(C152+C154)</f>
        <v>-2518.8750000000005</v>
      </c>
      <c r="E165" s="170">
        <f t="shared" si="86"/>
        <v>-5289.750000000001</v>
      </c>
      <c r="F165" s="170">
        <f t="shared" si="86"/>
        <v>-4235.625000000002</v>
      </c>
      <c r="G165" s="170">
        <f t="shared" si="86"/>
        <v>-1.3969838619232178E-12</v>
      </c>
      <c r="H165" s="170">
        <f t="shared" si="86"/>
        <v>12013.5</v>
      </c>
      <c r="I165" s="170">
        <f t="shared" si="86"/>
        <v>12013.5</v>
      </c>
      <c r="J165" s="170">
        <f t="shared" si="86"/>
        <v>12013.5</v>
      </c>
      <c r="K165" s="170">
        <f t="shared" si="86"/>
        <v>12013.5</v>
      </c>
      <c r="L165" s="170">
        <f t="shared" si="86"/>
        <v>12013.5</v>
      </c>
    </row>
    <row r="166" spans="2:12" ht="18.75" customHeight="1">
      <c r="B166" s="21" t="s">
        <v>51</v>
      </c>
      <c r="C166" s="174">
        <f aca="true" t="shared" si="87" ref="C166:I166">SUM(C162:C165)</f>
        <v>2002250.0000000002</v>
      </c>
      <c r="D166" s="174">
        <f t="shared" si="87"/>
        <v>1999731.1250000002</v>
      </c>
      <c r="E166" s="174">
        <f t="shared" si="87"/>
        <v>1996960.2500000002</v>
      </c>
      <c r="F166" s="174">
        <f t="shared" si="87"/>
        <v>1998014.3750000002</v>
      </c>
      <c r="G166" s="174">
        <f t="shared" si="87"/>
        <v>-1.3969838619232178E-12</v>
      </c>
      <c r="H166" s="174">
        <f t="shared" si="87"/>
        <v>12013.5</v>
      </c>
      <c r="I166" s="174">
        <f t="shared" si="87"/>
        <v>12013.5</v>
      </c>
      <c r="J166" s="174">
        <f>SUM(J162:J165)</f>
        <v>12013.5</v>
      </c>
      <c r="K166" s="174">
        <f>SUM(K162:K165)</f>
        <v>12013.5</v>
      </c>
      <c r="L166" s="174">
        <f>SUM(L162:L165)</f>
        <v>12013.5</v>
      </c>
    </row>
    <row r="167" spans="3:12" ht="18.75" customHeight="1">
      <c r="C167" s="34"/>
      <c r="D167" s="268"/>
      <c r="E167" s="268"/>
      <c r="F167" s="268"/>
      <c r="G167" s="268"/>
      <c r="H167" s="268"/>
      <c r="I167" s="268"/>
      <c r="J167" s="268"/>
      <c r="K167" s="268"/>
      <c r="L167" s="268"/>
    </row>
    <row r="168" spans="2:12" ht="18.75" customHeight="1">
      <c r="B168" s="1" t="s">
        <v>59</v>
      </c>
      <c r="C168" s="170">
        <f aca="true" t="shared" si="88" ref="C168:I168">C160+C166</f>
        <v>1897686.2863580002</v>
      </c>
      <c r="D168" s="170">
        <f t="shared" si="88"/>
        <v>1780142.6562440002</v>
      </c>
      <c r="E168" s="170">
        <f t="shared" si="88"/>
        <v>1821130.69133</v>
      </c>
      <c r="F168" s="170">
        <f t="shared" si="88"/>
        <v>1998014.3750000002</v>
      </c>
      <c r="G168" s="170">
        <f t="shared" si="88"/>
        <v>813097.5395963087</v>
      </c>
      <c r="H168" s="170">
        <f t="shared" si="88"/>
        <v>825111.0395963087</v>
      </c>
      <c r="I168" s="170">
        <f t="shared" si="88"/>
        <v>825111.0395963087</v>
      </c>
      <c r="J168" s="170">
        <f>J160+J166</f>
        <v>825111.0395963087</v>
      </c>
      <c r="K168" s="170">
        <f>K160+K166</f>
        <v>825111.0395963087</v>
      </c>
      <c r="L168" s="170">
        <f>L160+L166</f>
        <v>825111.0395963087</v>
      </c>
    </row>
    <row r="169" ht="18.75" customHeight="1"/>
    <row r="170" ht="18.75" customHeight="1"/>
    <row r="171" spans="2:12" ht="18.75" customHeight="1">
      <c r="B171" s="11"/>
      <c r="C171" s="212" t="s">
        <v>257</v>
      </c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8.75" customHeight="1">
      <c r="A172" s="28"/>
      <c r="B172" s="28"/>
      <c r="C172" s="29">
        <f>C130</f>
        <v>2016</v>
      </c>
      <c r="D172" s="29">
        <f aca="true" t="shared" si="89" ref="D172:L173">C172+1</f>
        <v>2017</v>
      </c>
      <c r="E172" s="52">
        <f t="shared" si="89"/>
        <v>2018</v>
      </c>
      <c r="F172" s="52">
        <f t="shared" si="89"/>
        <v>2019</v>
      </c>
      <c r="G172" s="29">
        <f t="shared" si="89"/>
        <v>2020</v>
      </c>
      <c r="H172" s="29">
        <f t="shared" si="89"/>
        <v>2021</v>
      </c>
      <c r="I172" s="29">
        <f t="shared" si="89"/>
        <v>2022</v>
      </c>
      <c r="J172" s="29">
        <f t="shared" si="89"/>
        <v>2023</v>
      </c>
      <c r="K172" s="29">
        <f t="shared" si="89"/>
        <v>2024</v>
      </c>
      <c r="L172" s="29">
        <f t="shared" si="89"/>
        <v>2025</v>
      </c>
    </row>
    <row r="173" spans="1:12" ht="18.75" customHeight="1">
      <c r="A173" s="258">
        <v>2019</v>
      </c>
      <c r="B173" s="28" t="s">
        <v>43</v>
      </c>
      <c r="C173" s="209">
        <v>1</v>
      </c>
      <c r="D173" s="209">
        <f>C173+1</f>
        <v>2</v>
      </c>
      <c r="E173" s="209">
        <f t="shared" si="89"/>
        <v>3</v>
      </c>
      <c r="F173" s="209">
        <f t="shared" si="89"/>
        <v>4</v>
      </c>
      <c r="G173" s="209">
        <f t="shared" si="89"/>
        <v>5</v>
      </c>
      <c r="H173" s="209">
        <f t="shared" si="89"/>
        <v>6</v>
      </c>
      <c r="I173" s="209">
        <f t="shared" si="89"/>
        <v>7</v>
      </c>
      <c r="J173" s="209">
        <f t="shared" si="89"/>
        <v>8</v>
      </c>
      <c r="K173" s="209">
        <f t="shared" si="89"/>
        <v>9</v>
      </c>
      <c r="L173" s="209">
        <f t="shared" si="89"/>
        <v>10</v>
      </c>
    </row>
    <row r="174" spans="1:12" ht="18.75" customHeight="1">
      <c r="A174" s="3"/>
      <c r="B174" s="211" t="s">
        <v>337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8.75" customHeight="1">
      <c r="A175" s="60" t="s">
        <v>309</v>
      </c>
      <c r="B175" s="10" t="s">
        <v>398</v>
      </c>
      <c r="C175" s="172">
        <f>VLOOKUP(C$4,'Cash Flows-KU'!$B$44:$H$54,$A176)</f>
        <v>920000</v>
      </c>
      <c r="D175" s="172">
        <f>VLOOKUP(D$4,'Cash Flows-KU'!$B$44:$H$54,$A176)</f>
        <v>403000</v>
      </c>
      <c r="E175" s="172">
        <f>VLOOKUP(E$4,'Cash Flows-KU'!$B$44:$H$54,$A176)</f>
        <v>7293000</v>
      </c>
      <c r="F175" s="172">
        <f>VLOOKUP(F$4,'Cash Flows-KU'!$B$44:$H$54,$A176)</f>
        <v>4487000</v>
      </c>
      <c r="G175" s="172">
        <f>VLOOKUP(G$4,'Cash Flows-KU'!$B$44:$H$54,$A176)</f>
        <v>0</v>
      </c>
      <c r="H175" s="172">
        <f>VLOOKUP(H$4,'Cash Flows-KU'!$B$44:$H$54,$A176)</f>
        <v>0</v>
      </c>
      <c r="I175" s="172">
        <f>VLOOKUP(I$4,'Cash Flows-KU'!$B$44:$H$54,$A176)</f>
        <v>0</v>
      </c>
      <c r="J175" s="172">
        <f>VLOOKUP(J$4,'Cash Flows-KU'!$B$44:$H$54,$A176)</f>
        <v>0</v>
      </c>
      <c r="K175" s="172">
        <f>VLOOKUP(K$4,'Cash Flows-KU'!$B$44:$H$54,$A176)</f>
        <v>0</v>
      </c>
      <c r="L175" s="172">
        <f>VLOOKUP(L$4,'Cash Flows-KU'!$B$44:$H$54,$A176)</f>
        <v>0</v>
      </c>
    </row>
    <row r="176" spans="1:13" ht="18.75" customHeight="1">
      <c r="A176" s="3">
        <v>6</v>
      </c>
      <c r="B176" s="40" t="s">
        <v>57</v>
      </c>
      <c r="C176" s="172">
        <f>SUM($C175:C175)</f>
        <v>920000</v>
      </c>
      <c r="D176" s="172">
        <f>SUM($C175:D175)</f>
        <v>1323000</v>
      </c>
      <c r="E176" s="172">
        <f>SUM($C175:E175)</f>
        <v>8616000</v>
      </c>
      <c r="F176" s="172">
        <f>SUM($C175:F175)</f>
        <v>13103000</v>
      </c>
      <c r="G176" s="172">
        <f>SUM($C175:G175)</f>
        <v>13103000</v>
      </c>
      <c r="H176" s="172">
        <f>SUM($C175:H175)</f>
        <v>13103000</v>
      </c>
      <c r="I176" s="172">
        <f>SUM($C175:I175)</f>
        <v>13103000</v>
      </c>
      <c r="J176" s="172">
        <f>SUM($C175:J175)</f>
        <v>13103000</v>
      </c>
      <c r="K176" s="172">
        <f>SUM($C175:K175)</f>
        <v>13103000</v>
      </c>
      <c r="L176" s="172">
        <f>SUM($C175:L175)</f>
        <v>13103000</v>
      </c>
      <c r="M176" s="18"/>
    </row>
    <row r="177" spans="1:12" ht="18.75" customHeight="1">
      <c r="A177" s="3">
        <v>2</v>
      </c>
      <c r="B177" s="5" t="s">
        <v>0</v>
      </c>
      <c r="C177" s="6">
        <f>IF(C173="",0,VLOOKUP($B174,Depreciation!$D$2:$E$31,$A177,FALSE))</f>
        <v>0</v>
      </c>
      <c r="D177" s="6">
        <f>IF(D173="",0,VLOOKUP($B174,Depreciation!$D$2:$E$31,$A177,FALSE))</f>
        <v>0</v>
      </c>
      <c r="E177" s="6">
        <f>IF(E173="",0,VLOOKUP($B174,Depreciation!$D$2:$E$31,$A177,FALSE))</f>
        <v>0</v>
      </c>
      <c r="F177" s="6">
        <f>IF(F173="",0,VLOOKUP($B174,Depreciation!$D$2:$E$31,$A177,FALSE))</f>
        <v>0</v>
      </c>
      <c r="G177" s="6">
        <f>IF(G173="",0,VLOOKUP($B174,Depreciation!$D$2:$E$31,$A177,FALSE))</f>
        <v>0</v>
      </c>
      <c r="H177" s="6">
        <f>IF(H173="",0,VLOOKUP($B174,Depreciation!$D$2:$E$31,$A177,FALSE))</f>
        <v>0</v>
      </c>
      <c r="I177" s="6">
        <f>IF(I173="",0,VLOOKUP($B174,Depreciation!$D$2:$E$31,$A177,FALSE))</f>
        <v>0</v>
      </c>
      <c r="J177" s="6">
        <f>IF(J173="",0,VLOOKUP($B174,Depreciation!$D$2:$E$31,$A177,FALSE))</f>
        <v>0</v>
      </c>
      <c r="K177" s="6">
        <f>IF(K173="",0,VLOOKUP($B174,Depreciation!$D$2:$E$31,$A177,FALSE))</f>
        <v>0</v>
      </c>
      <c r="L177" s="6">
        <f>IF(L173="",0,VLOOKUP($B174,Depreciation!$D$2:$E$31,$A177,FALSE))</f>
        <v>0</v>
      </c>
    </row>
    <row r="178" spans="1:12" ht="18.75" customHeight="1">
      <c r="A178" s="3">
        <v>3</v>
      </c>
      <c r="B178" s="5" t="s">
        <v>1</v>
      </c>
      <c r="C178" s="6">
        <f>IF(C173="",0,VLOOKUP(C173,Depreciation!$A$2:$C$58,$A178,FALSE))</f>
        <v>1</v>
      </c>
      <c r="D178" s="6">
        <f>IF(D173="",0,VLOOKUP(D173,Depreciation!$A$2:$C$58,$A178,FALSE))</f>
        <v>1</v>
      </c>
      <c r="E178" s="6">
        <f>IF(E173="",0,VLOOKUP(E173,Depreciation!$A$2:$C$58,$A178,FALSE))</f>
        <v>1</v>
      </c>
      <c r="F178" s="6">
        <f>IF(F173="",0,VLOOKUP(F173,Depreciation!$A$2:$C$58,$A178,FALSE))</f>
        <v>1</v>
      </c>
      <c r="G178" s="6">
        <f>IF(G173="",0,VLOOKUP(G173,Depreciation!$A$2:$C$58,$A178,FALSE))</f>
        <v>1</v>
      </c>
      <c r="H178" s="6">
        <f>IF(H173="",0,VLOOKUP(H173,Depreciation!$A$2:$C$58,$A178,FALSE))</f>
        <v>1</v>
      </c>
      <c r="I178" s="6">
        <f>IF(I173="",0,VLOOKUP(I173,Depreciation!$A$2:$C$58,$A178,FALSE))</f>
        <v>1</v>
      </c>
      <c r="J178" s="6">
        <f>IF(J173="",0,VLOOKUP(J173,Depreciation!$A$2:$C$58,$A178,FALSE))</f>
        <v>1</v>
      </c>
      <c r="K178" s="6">
        <f>IF(K173="",0,VLOOKUP(K173,Depreciation!$A$2:$C$58,$A178,FALSE))</f>
        <v>1</v>
      </c>
      <c r="L178" s="6">
        <f>IF(L173="",0,VLOOKUP(L173,Depreciation!$A$2:$C$58,$A178,FALSE))</f>
        <v>1</v>
      </c>
    </row>
    <row r="179" spans="1:12" ht="18.75" customHeight="1">
      <c r="A179" s="30"/>
      <c r="B179" s="31" t="s">
        <v>2</v>
      </c>
      <c r="C179" s="7">
        <f>Input!B$3</f>
        <v>0.38665999999999995</v>
      </c>
      <c r="D179" s="7">
        <f>Input!C$3</f>
        <v>0.38665999999999995</v>
      </c>
      <c r="E179" s="7">
        <f>Input!D$3</f>
        <v>0.38665999999999995</v>
      </c>
      <c r="F179" s="7">
        <f>Input!E$3</f>
        <v>0.38665999999999995</v>
      </c>
      <c r="G179" s="7">
        <f>Input!F$3</f>
        <v>0.38665999999999995</v>
      </c>
      <c r="H179" s="7">
        <f>Input!G$3</f>
        <v>0.38665999999999995</v>
      </c>
      <c r="I179" s="7">
        <f>Input!H$3</f>
        <v>0.38665999999999995</v>
      </c>
      <c r="J179" s="7">
        <f>Input!I$3</f>
        <v>0.38665999999999995</v>
      </c>
      <c r="K179" s="7">
        <f>Input!J$3</f>
        <v>0.38665999999999995</v>
      </c>
      <c r="L179" s="7">
        <f>Input!K$3</f>
        <v>0.38665999999999995</v>
      </c>
    </row>
    <row r="180" spans="2:12" ht="18.75" customHeight="1">
      <c r="B180" s="2" t="s">
        <v>3</v>
      </c>
      <c r="C180" s="170">
        <f>SUM($C191:C191)</f>
        <v>-897635.2046424473</v>
      </c>
      <c r="D180" s="170">
        <f>SUM($C191:D191)</f>
        <v>-1995173.6292848946</v>
      </c>
      <c r="E180" s="170">
        <f>SUM($C191:E191)</f>
        <v>-428624.65392734203</v>
      </c>
      <c r="F180" s="170">
        <f>SUM($C191:F191)</f>
        <v>52956.36143021053</v>
      </c>
      <c r="G180" s="170">
        <f>SUM($C191:G191)</f>
        <v>52956.36143021053</v>
      </c>
      <c r="H180" s="170">
        <f>SUM($C191:H191)</f>
        <v>52956.36143021053</v>
      </c>
      <c r="I180" s="170">
        <f>SUM($C191:I191)</f>
        <v>52956.36143021053</v>
      </c>
      <c r="J180" s="170">
        <f>SUM($C191:J191)</f>
        <v>52956.36143021053</v>
      </c>
      <c r="K180" s="170">
        <f>SUM($C191:K191)</f>
        <v>52956.36143021053</v>
      </c>
      <c r="L180" s="170">
        <f>SUM($C191:L191)</f>
        <v>52956.36143021053</v>
      </c>
    </row>
    <row r="181" spans="2:12" ht="18.75" customHeight="1">
      <c r="B181" s="2" t="s">
        <v>4</v>
      </c>
      <c r="C181" s="169">
        <f>SUM($C183:C183)</f>
        <v>3241510.3828749997</v>
      </c>
      <c r="D181" s="169">
        <f>SUM($C183:D183)</f>
        <v>6483020.765749999</v>
      </c>
      <c r="E181" s="169">
        <f>SUM($C183:E183)</f>
        <v>9724531.148625</v>
      </c>
      <c r="F181" s="169">
        <f>SUM($C183:F183)</f>
        <v>12966041.531499999</v>
      </c>
      <c r="G181" s="169"/>
      <c r="H181" s="169"/>
      <c r="I181" s="169"/>
      <c r="J181" s="169"/>
      <c r="K181" s="169"/>
      <c r="L181" s="169"/>
    </row>
    <row r="182" spans="2:12" ht="18.75" customHeight="1">
      <c r="B182" s="11" t="s">
        <v>5</v>
      </c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</row>
    <row r="183" spans="1:12" ht="18.75" customHeight="1">
      <c r="A183" s="214" t="s">
        <v>372</v>
      </c>
      <c r="B183" s="11" t="s">
        <v>6</v>
      </c>
      <c r="C183" s="169">
        <v>3241510.3828749997</v>
      </c>
      <c r="D183" s="169">
        <f>C183</f>
        <v>3241510.3828749997</v>
      </c>
      <c r="E183" s="169">
        <f>D183</f>
        <v>3241510.3828749997</v>
      </c>
      <c r="F183" s="169">
        <f>E183</f>
        <v>3241510.3828749997</v>
      </c>
      <c r="G183" s="169"/>
      <c r="H183" s="169"/>
      <c r="I183" s="169"/>
      <c r="J183" s="169"/>
      <c r="K183" s="169"/>
      <c r="L183" s="169"/>
    </row>
    <row r="184" spans="2:12" ht="18.75" customHeight="1">
      <c r="B184" s="5" t="s">
        <v>7</v>
      </c>
      <c r="C184" s="169">
        <f>C175</f>
        <v>920000</v>
      </c>
      <c r="D184" s="169">
        <f aca="true" t="shared" si="90" ref="D184:L184">C184+D175</f>
        <v>1323000</v>
      </c>
      <c r="E184" s="169">
        <f t="shared" si="90"/>
        <v>8616000</v>
      </c>
      <c r="F184" s="169">
        <f t="shared" si="90"/>
        <v>13103000</v>
      </c>
      <c r="G184" s="169">
        <f t="shared" si="90"/>
        <v>13103000</v>
      </c>
      <c r="H184" s="169">
        <f t="shared" si="90"/>
        <v>13103000</v>
      </c>
      <c r="I184" s="169">
        <f t="shared" si="90"/>
        <v>13103000</v>
      </c>
      <c r="J184" s="169">
        <f t="shared" si="90"/>
        <v>13103000</v>
      </c>
      <c r="K184" s="169">
        <f t="shared" si="90"/>
        <v>13103000</v>
      </c>
      <c r="L184" s="169">
        <f t="shared" si="90"/>
        <v>13103000</v>
      </c>
    </row>
    <row r="185" spans="2:12" ht="18.75" customHeight="1">
      <c r="B185" s="213" t="s">
        <v>361</v>
      </c>
      <c r="C185" s="169">
        <f>IF(C173=1,IF($A183="Bonus",SUM($C175:C175)*VLOOKUP(C172,Depreciation!$D$41:$E$50,2),0),0)</f>
        <v>0</v>
      </c>
      <c r="D185" s="169">
        <f>IF(D173=1,IF($A183="Bonus",SUM($C175:D175)*VLOOKUP(D172,Depreciation!$D$41:$E$50,2),0),0)</f>
        <v>0</v>
      </c>
      <c r="E185" s="169">
        <f>IF(E173=1,IF($A183="Bonus",SUM($C175:E175)*VLOOKUP(E172,Depreciation!$D$41:$E$50,2),0),0)</f>
        <v>0</v>
      </c>
      <c r="F185" s="169">
        <f>IF(F173=1,IF($A183="Bonus",SUM($C175:F175)*VLOOKUP(F172,Depreciation!$D$41:$E$50,2),0),0)</f>
        <v>0</v>
      </c>
      <c r="G185" s="169">
        <f>IF(G173=1,IF($A183="Bonus",SUM($C175:G175)*VLOOKUP(G172,Depreciation!$D$41:$E$50,2),0),0)</f>
        <v>0</v>
      </c>
      <c r="H185" s="169">
        <f>IF(H173=1,IF($A183="Bonus",SUM($C175:H175)*VLOOKUP(H172,Depreciation!$D$41:$E$50,2),0),0)</f>
        <v>0</v>
      </c>
      <c r="I185" s="169">
        <f>IF(I173=1,IF($A183="Bonus",SUM($C175:I175)*VLOOKUP(I172,Depreciation!$D$41:$E$50,2),0),0)</f>
        <v>0</v>
      </c>
      <c r="J185" s="169">
        <f>IF(J173=1,IF($A183="Bonus",SUM($C175:J175)*VLOOKUP(J172,Depreciation!$D$41:$E$50,2),0),0)</f>
        <v>0</v>
      </c>
      <c r="K185" s="169">
        <f>IF(K173=1,IF($A183="Bonus",SUM($C175:K175)*VLOOKUP(K172,Depreciation!$D$41:$E$50,2),0),0)</f>
        <v>0</v>
      </c>
      <c r="L185" s="169">
        <f>IF(L173=1,IF($A183="Bonus",SUM($C175:L175)*VLOOKUP(L172,Depreciation!$D$41:$E$50,2),0),0)</f>
        <v>0</v>
      </c>
    </row>
    <row r="186" spans="2:12" ht="18.75" customHeight="1">
      <c r="B186" s="5" t="s">
        <v>362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</row>
    <row r="187" spans="2:12" ht="18.75" customHeight="1">
      <c r="B187" s="5" t="s">
        <v>17</v>
      </c>
      <c r="C187" s="7">
        <f>Input!J$31</f>
        <v>0.10152297909805327</v>
      </c>
      <c r="D187" s="7">
        <f>Input!K$31</f>
        <v>0.10152297909805327</v>
      </c>
      <c r="E187" s="7">
        <f>Input!L$31</f>
        <v>0.10152297909805327</v>
      </c>
      <c r="F187" s="7">
        <f>Input!M$31</f>
        <v>0.10152297909805327</v>
      </c>
      <c r="G187" s="7">
        <f>Input!N$31</f>
        <v>0.10152297909805327</v>
      </c>
      <c r="H187" s="7">
        <f>Input!O$31</f>
        <v>0.10152297909805327</v>
      </c>
      <c r="I187" s="7">
        <f>Input!P$31</f>
        <v>0.10152297909805327</v>
      </c>
      <c r="J187" s="7">
        <f>Input!Q$31</f>
        <v>0.10152297909805327</v>
      </c>
      <c r="K187" s="7">
        <f>Input!R$31</f>
        <v>0.10152297909805327</v>
      </c>
      <c r="L187" s="7">
        <f>Input!S$31</f>
        <v>0.10152297909805327</v>
      </c>
    </row>
    <row r="188" spans="2:12" ht="18.75" customHeight="1">
      <c r="B188" s="5" t="s">
        <v>8</v>
      </c>
      <c r="C188" s="181">
        <f>C183</f>
        <v>3241510.3828749997</v>
      </c>
      <c r="D188" s="181">
        <f>D183</f>
        <v>3241510.3828749997</v>
      </c>
      <c r="E188" s="181">
        <f aca="true" t="shared" si="91" ref="E188:L188">E183</f>
        <v>3241510.3828749997</v>
      </c>
      <c r="F188" s="181">
        <f t="shared" si="91"/>
        <v>3241510.3828749997</v>
      </c>
      <c r="G188" s="181">
        <f t="shared" si="91"/>
        <v>0</v>
      </c>
      <c r="H188" s="181">
        <f t="shared" si="91"/>
        <v>0</v>
      </c>
      <c r="I188" s="181">
        <f t="shared" si="91"/>
        <v>0</v>
      </c>
      <c r="J188" s="181">
        <f t="shared" si="91"/>
        <v>0</v>
      </c>
      <c r="K188" s="181">
        <f t="shared" si="91"/>
        <v>0</v>
      </c>
      <c r="L188" s="181">
        <f t="shared" si="91"/>
        <v>0</v>
      </c>
    </row>
    <row r="189" spans="2:12" ht="18.75" customHeight="1">
      <c r="B189" s="11" t="s">
        <v>364</v>
      </c>
      <c r="C189" s="181">
        <f>C175*C178</f>
        <v>920000</v>
      </c>
      <c r="D189" s="181">
        <f aca="true" t="shared" si="92" ref="D189:L189">D175*D178</f>
        <v>403000</v>
      </c>
      <c r="E189" s="181">
        <f t="shared" si="92"/>
        <v>7293000</v>
      </c>
      <c r="F189" s="181">
        <f t="shared" si="92"/>
        <v>4487000</v>
      </c>
      <c r="G189" s="181">
        <f t="shared" si="92"/>
        <v>0</v>
      </c>
      <c r="H189" s="181">
        <f t="shared" si="92"/>
        <v>0</v>
      </c>
      <c r="I189" s="181">
        <f t="shared" si="92"/>
        <v>0</v>
      </c>
      <c r="J189" s="181">
        <f t="shared" si="92"/>
        <v>0</v>
      </c>
      <c r="K189" s="181">
        <f t="shared" si="92"/>
        <v>0</v>
      </c>
      <c r="L189" s="181">
        <f t="shared" si="92"/>
        <v>0</v>
      </c>
    </row>
    <row r="190" spans="2:12" ht="18.75" customHeight="1">
      <c r="B190" s="3" t="s">
        <v>9</v>
      </c>
      <c r="C190" s="8">
        <f>Input!$B$6</f>
        <v>0.0015</v>
      </c>
      <c r="D190" s="8">
        <f aca="true" t="shared" si="93" ref="D190:L190">C190</f>
        <v>0.0015</v>
      </c>
      <c r="E190" s="8">
        <f t="shared" si="93"/>
        <v>0.0015</v>
      </c>
      <c r="F190" s="8">
        <f t="shared" si="93"/>
        <v>0.0015</v>
      </c>
      <c r="G190" s="8">
        <f t="shared" si="93"/>
        <v>0.0015</v>
      </c>
      <c r="H190" s="8">
        <f t="shared" si="93"/>
        <v>0.0015</v>
      </c>
      <c r="I190" s="8">
        <f t="shared" si="93"/>
        <v>0.0015</v>
      </c>
      <c r="J190" s="8">
        <f t="shared" si="93"/>
        <v>0.0015</v>
      </c>
      <c r="K190" s="8">
        <f t="shared" si="93"/>
        <v>0.0015</v>
      </c>
      <c r="L190" s="8">
        <f t="shared" si="93"/>
        <v>0.0015</v>
      </c>
    </row>
    <row r="191" spans="2:12" ht="18.75" customHeight="1">
      <c r="B191" s="102" t="s">
        <v>363</v>
      </c>
      <c r="C191" s="171">
        <f aca="true" t="shared" si="94" ref="C191:L191">(C189-C188)*C179</f>
        <v>-897635.2046424473</v>
      </c>
      <c r="D191" s="171">
        <f t="shared" si="94"/>
        <v>-1097538.4246424471</v>
      </c>
      <c r="E191" s="171">
        <f t="shared" si="94"/>
        <v>1566548.9753575525</v>
      </c>
      <c r="F191" s="171">
        <f t="shared" si="94"/>
        <v>481581.01535755256</v>
      </c>
      <c r="G191" s="171">
        <f t="shared" si="94"/>
        <v>0</v>
      </c>
      <c r="H191" s="171">
        <f t="shared" si="94"/>
        <v>0</v>
      </c>
      <c r="I191" s="171">
        <f t="shared" si="94"/>
        <v>0</v>
      </c>
      <c r="J191" s="171">
        <f t="shared" si="94"/>
        <v>0</v>
      </c>
      <c r="K191" s="171">
        <f t="shared" si="94"/>
        <v>0</v>
      </c>
      <c r="L191" s="171">
        <f t="shared" si="94"/>
        <v>0</v>
      </c>
    </row>
    <row r="192" spans="2:12" ht="18.75" customHeight="1">
      <c r="B192" s="4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8.75" customHeight="1">
      <c r="B193" s="10" t="s">
        <v>15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8.75" customHeight="1">
      <c r="B194" s="5" t="s">
        <v>16</v>
      </c>
      <c r="C194" s="169">
        <f aca="true" t="shared" si="95" ref="C194:L194">C176</f>
        <v>920000</v>
      </c>
      <c r="D194" s="169">
        <f t="shared" si="95"/>
        <v>1323000</v>
      </c>
      <c r="E194" s="169">
        <f t="shared" si="95"/>
        <v>8616000</v>
      </c>
      <c r="F194" s="169">
        <f t="shared" si="95"/>
        <v>13103000</v>
      </c>
      <c r="G194" s="169">
        <f t="shared" si="95"/>
        <v>13103000</v>
      </c>
      <c r="H194" s="169">
        <f t="shared" si="95"/>
        <v>13103000</v>
      </c>
      <c r="I194" s="169">
        <f t="shared" si="95"/>
        <v>13103000</v>
      </c>
      <c r="J194" s="169">
        <f t="shared" si="95"/>
        <v>13103000</v>
      </c>
      <c r="K194" s="169">
        <f t="shared" si="95"/>
        <v>13103000</v>
      </c>
      <c r="L194" s="169">
        <f t="shared" si="95"/>
        <v>13103000</v>
      </c>
    </row>
    <row r="195" spans="1:12" ht="18.75" customHeight="1">
      <c r="A195" s="3"/>
      <c r="B195" s="4" t="s">
        <v>44</v>
      </c>
      <c r="C195" s="170">
        <v>0</v>
      </c>
      <c r="D195" s="170">
        <f aca="true" t="shared" si="96" ref="D195:L195">C195</f>
        <v>0</v>
      </c>
      <c r="E195" s="170">
        <f t="shared" si="96"/>
        <v>0</v>
      </c>
      <c r="F195" s="170">
        <f t="shared" si="96"/>
        <v>0</v>
      </c>
      <c r="G195" s="170">
        <f t="shared" si="96"/>
        <v>0</v>
      </c>
      <c r="H195" s="170">
        <f t="shared" si="96"/>
        <v>0</v>
      </c>
      <c r="I195" s="170">
        <f t="shared" si="96"/>
        <v>0</v>
      </c>
      <c r="J195" s="170">
        <f t="shared" si="96"/>
        <v>0</v>
      </c>
      <c r="K195" s="170">
        <f t="shared" si="96"/>
        <v>0</v>
      </c>
      <c r="L195" s="170">
        <f t="shared" si="96"/>
        <v>0</v>
      </c>
    </row>
    <row r="196" spans="2:12" ht="18.75" customHeight="1">
      <c r="B196" s="2" t="s">
        <v>10</v>
      </c>
      <c r="C196" s="170">
        <f aca="true" t="shared" si="97" ref="C196:L196">-C181</f>
        <v>-3241510.3828749997</v>
      </c>
      <c r="D196" s="170">
        <f t="shared" si="97"/>
        <v>-6483020.765749999</v>
      </c>
      <c r="E196" s="170">
        <f t="shared" si="97"/>
        <v>-9724531.148625</v>
      </c>
      <c r="F196" s="170">
        <f t="shared" si="97"/>
        <v>-12966041.531499999</v>
      </c>
      <c r="G196" s="170">
        <f t="shared" si="97"/>
        <v>0</v>
      </c>
      <c r="H196" s="170">
        <f t="shared" si="97"/>
        <v>0</v>
      </c>
      <c r="I196" s="170">
        <f t="shared" si="97"/>
        <v>0</v>
      </c>
      <c r="J196" s="170">
        <f t="shared" si="97"/>
        <v>0</v>
      </c>
      <c r="K196" s="170">
        <f t="shared" si="97"/>
        <v>0</v>
      </c>
      <c r="L196" s="170">
        <f t="shared" si="97"/>
        <v>0</v>
      </c>
    </row>
    <row r="197" spans="2:12" ht="18.75" customHeight="1">
      <c r="B197" s="2" t="s">
        <v>45</v>
      </c>
      <c r="C197" s="170">
        <v>0</v>
      </c>
      <c r="D197" s="170">
        <f aca="true" t="shared" si="98" ref="D197:L197">C197</f>
        <v>0</v>
      </c>
      <c r="E197" s="170">
        <f t="shared" si="98"/>
        <v>0</v>
      </c>
      <c r="F197" s="170">
        <f t="shared" si="98"/>
        <v>0</v>
      </c>
      <c r="G197" s="170">
        <f t="shared" si="98"/>
        <v>0</v>
      </c>
      <c r="H197" s="170">
        <f t="shared" si="98"/>
        <v>0</v>
      </c>
      <c r="I197" s="170">
        <f t="shared" si="98"/>
        <v>0</v>
      </c>
      <c r="J197" s="170">
        <f t="shared" si="98"/>
        <v>0</v>
      </c>
      <c r="K197" s="170">
        <f t="shared" si="98"/>
        <v>0</v>
      </c>
      <c r="L197" s="170">
        <f t="shared" si="98"/>
        <v>0</v>
      </c>
    </row>
    <row r="198" spans="2:12" ht="18.75" customHeight="1">
      <c r="B198" s="2" t="s">
        <v>46</v>
      </c>
      <c r="C198" s="170">
        <f aca="true" t="shared" si="99" ref="C198:L198">-C180</f>
        <v>897635.2046424473</v>
      </c>
      <c r="D198" s="170">
        <f t="shared" si="99"/>
        <v>1995173.6292848946</v>
      </c>
      <c r="E198" s="170">
        <f t="shared" si="99"/>
        <v>428624.65392734203</v>
      </c>
      <c r="F198" s="170">
        <f t="shared" si="99"/>
        <v>-52956.36143021053</v>
      </c>
      <c r="G198" s="170">
        <f t="shared" si="99"/>
        <v>-52956.36143021053</v>
      </c>
      <c r="H198" s="170">
        <f t="shared" si="99"/>
        <v>-52956.36143021053</v>
      </c>
      <c r="I198" s="170">
        <f t="shared" si="99"/>
        <v>-52956.36143021053</v>
      </c>
      <c r="J198" s="170">
        <f t="shared" si="99"/>
        <v>-52956.36143021053</v>
      </c>
      <c r="K198" s="170">
        <f t="shared" si="99"/>
        <v>-52956.36143021053</v>
      </c>
      <c r="L198" s="170">
        <f t="shared" si="99"/>
        <v>-52956.36143021053</v>
      </c>
    </row>
    <row r="199" spans="2:12" ht="18.75" customHeight="1">
      <c r="B199" s="2" t="s">
        <v>47</v>
      </c>
      <c r="C199" s="170">
        <v>0</v>
      </c>
      <c r="D199" s="170">
        <f aca="true" t="shared" si="100" ref="D199:L199">C199</f>
        <v>0</v>
      </c>
      <c r="E199" s="170">
        <f t="shared" si="100"/>
        <v>0</v>
      </c>
      <c r="F199" s="170">
        <f t="shared" si="100"/>
        <v>0</v>
      </c>
      <c r="G199" s="170">
        <f t="shared" si="100"/>
        <v>0</v>
      </c>
      <c r="H199" s="170">
        <f t="shared" si="100"/>
        <v>0</v>
      </c>
      <c r="I199" s="170">
        <f t="shared" si="100"/>
        <v>0</v>
      </c>
      <c r="J199" s="170">
        <f t="shared" si="100"/>
        <v>0</v>
      </c>
      <c r="K199" s="170">
        <f t="shared" si="100"/>
        <v>0</v>
      </c>
      <c r="L199" s="170">
        <f t="shared" si="100"/>
        <v>0</v>
      </c>
    </row>
    <row r="200" spans="2:12" ht="18.75" customHeight="1">
      <c r="B200" s="2" t="s">
        <v>11</v>
      </c>
      <c r="C200" s="170">
        <f aca="true" t="shared" si="101" ref="C200:I200">SUM(C194:C199)</f>
        <v>-1423875.1782325525</v>
      </c>
      <c r="D200" s="170">
        <f t="shared" si="101"/>
        <v>-3164847.1364651048</v>
      </c>
      <c r="E200" s="170">
        <f t="shared" si="101"/>
        <v>-679906.4946976574</v>
      </c>
      <c r="F200" s="170">
        <f t="shared" si="101"/>
        <v>84002.10706979083</v>
      </c>
      <c r="G200" s="170">
        <f t="shared" si="101"/>
        <v>13050043.638569789</v>
      </c>
      <c r="H200" s="170">
        <f t="shared" si="101"/>
        <v>13050043.638569789</v>
      </c>
      <c r="I200" s="170">
        <f t="shared" si="101"/>
        <v>13050043.638569789</v>
      </c>
      <c r="J200" s="170">
        <f>SUM(J194:J199)</f>
        <v>13050043.638569789</v>
      </c>
      <c r="K200" s="170">
        <f>SUM(K194:K199)</f>
        <v>13050043.638569789</v>
      </c>
      <c r="L200" s="170">
        <f>SUM(L194:L199)</f>
        <v>13050043.638569789</v>
      </c>
    </row>
    <row r="201" spans="2:12" ht="18.75" customHeight="1">
      <c r="B201" s="2" t="s">
        <v>12</v>
      </c>
      <c r="C201" s="7">
        <f aca="true" t="shared" si="102" ref="C201:I201">C187</f>
        <v>0.10152297909805327</v>
      </c>
      <c r="D201" s="7">
        <f t="shared" si="102"/>
        <v>0.10152297909805327</v>
      </c>
      <c r="E201" s="7">
        <f t="shared" si="102"/>
        <v>0.10152297909805327</v>
      </c>
      <c r="F201" s="7">
        <f t="shared" si="102"/>
        <v>0.10152297909805327</v>
      </c>
      <c r="G201" s="7">
        <f t="shared" si="102"/>
        <v>0.10152297909805327</v>
      </c>
      <c r="H201" s="7">
        <f t="shared" si="102"/>
        <v>0.10152297909805327</v>
      </c>
      <c r="I201" s="7">
        <f t="shared" si="102"/>
        <v>0.10152297909805327</v>
      </c>
      <c r="J201" s="7">
        <f>J187</f>
        <v>0.10152297909805327</v>
      </c>
      <c r="K201" s="7">
        <f>K187</f>
        <v>0.10152297909805327</v>
      </c>
      <c r="L201" s="7">
        <f>L187</f>
        <v>0.10152297909805327</v>
      </c>
    </row>
    <row r="202" spans="2:12" ht="18.75" customHeight="1">
      <c r="B202" s="34" t="s">
        <v>58</v>
      </c>
      <c r="C202" s="174">
        <f aca="true" t="shared" si="103" ref="C202:I202">C200*C201</f>
        <v>-144556.0499579403</v>
      </c>
      <c r="D202" s="174">
        <f t="shared" si="103"/>
        <v>-321304.70968388056</v>
      </c>
      <c r="E202" s="174">
        <f t="shared" si="103"/>
        <v>-69026.13284982095</v>
      </c>
      <c r="F202" s="174">
        <f t="shared" si="103"/>
        <v>8528.144160238808</v>
      </c>
      <c r="G202" s="174">
        <f t="shared" si="103"/>
        <v>1324879.3075472037</v>
      </c>
      <c r="H202" s="174">
        <f t="shared" si="103"/>
        <v>1324879.3075472037</v>
      </c>
      <c r="I202" s="174">
        <f t="shared" si="103"/>
        <v>1324879.3075472037</v>
      </c>
      <c r="J202" s="174">
        <f>J200*J201</f>
        <v>1324879.3075472037</v>
      </c>
      <c r="K202" s="174">
        <f>K200*K201</f>
        <v>1324879.3075472037</v>
      </c>
      <c r="L202" s="174">
        <f>L200*L201</f>
        <v>1324879.3075472037</v>
      </c>
    </row>
    <row r="203" spans="1:12" ht="18.75" customHeight="1">
      <c r="A203" s="3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2:12" ht="18.75" customHeight="1">
      <c r="B204" s="1" t="s">
        <v>52</v>
      </c>
      <c r="C204" s="170">
        <v>0</v>
      </c>
      <c r="D204" s="170">
        <f>C204</f>
        <v>0</v>
      </c>
      <c r="E204" s="170">
        <f aca="true" t="shared" si="104" ref="E204:L204">D204</f>
        <v>0</v>
      </c>
      <c r="F204" s="170">
        <f t="shared" si="104"/>
        <v>0</v>
      </c>
      <c r="G204" s="170">
        <f t="shared" si="104"/>
        <v>0</v>
      </c>
      <c r="H204" s="170">
        <f t="shared" si="104"/>
        <v>0</v>
      </c>
      <c r="I204" s="170">
        <f t="shared" si="104"/>
        <v>0</v>
      </c>
      <c r="J204" s="170">
        <f t="shared" si="104"/>
        <v>0</v>
      </c>
      <c r="K204" s="170">
        <f t="shared" si="104"/>
        <v>0</v>
      </c>
      <c r="L204" s="170">
        <f t="shared" si="104"/>
        <v>0</v>
      </c>
    </row>
    <row r="205" spans="2:12" ht="18.75" customHeight="1">
      <c r="B205" s="2" t="s">
        <v>48</v>
      </c>
      <c r="C205" s="170">
        <v>0</v>
      </c>
      <c r="D205" s="170">
        <f>C205</f>
        <v>0</v>
      </c>
      <c r="E205" s="170">
        <f>D205</f>
        <v>0</v>
      </c>
      <c r="F205" s="170">
        <f>E205</f>
        <v>0</v>
      </c>
      <c r="G205" s="170">
        <f aca="true" t="shared" si="105" ref="G205:L205">G188</f>
        <v>0</v>
      </c>
      <c r="H205" s="170">
        <f t="shared" si="105"/>
        <v>0</v>
      </c>
      <c r="I205" s="170">
        <f t="shared" si="105"/>
        <v>0</v>
      </c>
      <c r="J205" s="170">
        <f t="shared" si="105"/>
        <v>0</v>
      </c>
      <c r="K205" s="170">
        <f t="shared" si="105"/>
        <v>0</v>
      </c>
      <c r="L205" s="170">
        <f t="shared" si="105"/>
        <v>0</v>
      </c>
    </row>
    <row r="206" spans="2:12" ht="18.75" customHeight="1">
      <c r="B206" s="2" t="s">
        <v>434</v>
      </c>
      <c r="C206" s="170">
        <f>C183</f>
        <v>3241510.3828749997</v>
      </c>
      <c r="D206" s="170">
        <f aca="true" t="shared" si="106" ref="D206:L206">D183</f>
        <v>3241510.3828749997</v>
      </c>
      <c r="E206" s="170">
        <f t="shared" si="106"/>
        <v>3241510.3828749997</v>
      </c>
      <c r="F206" s="170">
        <f t="shared" si="106"/>
        <v>3241510.3828749997</v>
      </c>
      <c r="G206" s="170">
        <f t="shared" si="106"/>
        <v>0</v>
      </c>
      <c r="H206" s="170">
        <f t="shared" si="106"/>
        <v>0</v>
      </c>
      <c r="I206" s="170">
        <f t="shared" si="106"/>
        <v>0</v>
      </c>
      <c r="J206" s="170">
        <f t="shared" si="106"/>
        <v>0</v>
      </c>
      <c r="K206" s="170">
        <f t="shared" si="106"/>
        <v>0</v>
      </c>
      <c r="L206" s="170">
        <f t="shared" si="106"/>
        <v>0</v>
      </c>
    </row>
    <row r="207" spans="2:12" ht="18.75" customHeight="1">
      <c r="B207" s="2" t="s">
        <v>50</v>
      </c>
      <c r="C207" s="170">
        <v>0</v>
      </c>
      <c r="D207" s="170">
        <f aca="true" t="shared" si="107" ref="D207:L207">D190*(C194+C196)</f>
        <v>-3482.2655743124997</v>
      </c>
      <c r="E207" s="170">
        <f t="shared" si="107"/>
        <v>-7740.031148624999</v>
      </c>
      <c r="F207" s="170">
        <f t="shared" si="107"/>
        <v>-1662.7967229374992</v>
      </c>
      <c r="G207" s="170">
        <f t="shared" si="107"/>
        <v>205.43770275000205</v>
      </c>
      <c r="H207" s="170">
        <f t="shared" si="107"/>
        <v>19654.5</v>
      </c>
      <c r="I207" s="170">
        <f t="shared" si="107"/>
        <v>19654.5</v>
      </c>
      <c r="J207" s="170">
        <f t="shared" si="107"/>
        <v>19654.5</v>
      </c>
      <c r="K207" s="170">
        <f t="shared" si="107"/>
        <v>19654.5</v>
      </c>
      <c r="L207" s="170">
        <f t="shared" si="107"/>
        <v>19654.5</v>
      </c>
    </row>
    <row r="208" spans="2:12" ht="18.75" customHeight="1">
      <c r="B208" s="21" t="s">
        <v>51</v>
      </c>
      <c r="C208" s="174">
        <f aca="true" t="shared" si="108" ref="C208:I208">SUM(C204:C207)</f>
        <v>3241510.3828749997</v>
      </c>
      <c r="D208" s="174">
        <f t="shared" si="108"/>
        <v>3238028.1173006874</v>
      </c>
      <c r="E208" s="174">
        <f t="shared" si="108"/>
        <v>3233770.3517263746</v>
      </c>
      <c r="F208" s="174">
        <f t="shared" si="108"/>
        <v>3239847.5861520623</v>
      </c>
      <c r="G208" s="174">
        <f t="shared" si="108"/>
        <v>205.43770275000205</v>
      </c>
      <c r="H208" s="174">
        <f t="shared" si="108"/>
        <v>19654.5</v>
      </c>
      <c r="I208" s="174">
        <f t="shared" si="108"/>
        <v>19654.5</v>
      </c>
      <c r="J208" s="174">
        <f>SUM(J204:J207)</f>
        <v>19654.5</v>
      </c>
      <c r="K208" s="174">
        <f>SUM(K204:K207)</f>
        <v>19654.5</v>
      </c>
      <c r="L208" s="174">
        <f>SUM(L204:L207)</f>
        <v>19654.5</v>
      </c>
    </row>
    <row r="209" spans="3:12" ht="18.75" customHeight="1">
      <c r="C209" s="34"/>
      <c r="D209" s="268"/>
      <c r="E209" s="268"/>
      <c r="F209" s="268"/>
      <c r="G209" s="268"/>
      <c r="H209" s="268"/>
      <c r="I209" s="268"/>
      <c r="J209" s="268"/>
      <c r="K209" s="268"/>
      <c r="L209" s="268"/>
    </row>
    <row r="210" spans="2:12" ht="18.75" customHeight="1">
      <c r="B210" s="1" t="s">
        <v>59</v>
      </c>
      <c r="C210" s="170">
        <f aca="true" t="shared" si="109" ref="C210:I210">C202+C208</f>
        <v>3096954.3329170593</v>
      </c>
      <c r="D210" s="170">
        <f t="shared" si="109"/>
        <v>2916723.4076168067</v>
      </c>
      <c r="E210" s="170">
        <f t="shared" si="109"/>
        <v>3164744.2188765537</v>
      </c>
      <c r="F210" s="170">
        <f t="shared" si="109"/>
        <v>3248375.7303123013</v>
      </c>
      <c r="G210" s="170">
        <f t="shared" si="109"/>
        <v>1325084.7452499538</v>
      </c>
      <c r="H210" s="170">
        <f t="shared" si="109"/>
        <v>1344533.8075472037</v>
      </c>
      <c r="I210" s="170">
        <f t="shared" si="109"/>
        <v>1344533.8075472037</v>
      </c>
      <c r="J210" s="170">
        <f>J202+J208</f>
        <v>1344533.8075472037</v>
      </c>
      <c r="K210" s="170">
        <f>K202+K208</f>
        <v>1344533.8075472037</v>
      </c>
      <c r="L210" s="170">
        <f>L202+L208</f>
        <v>1344533.8075472037</v>
      </c>
    </row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</sheetData>
  <sheetProtection/>
  <dataValidations count="1">
    <dataValidation type="list" allowBlank="1" showInputMessage="1" showErrorMessage="1" sqref="A141 A15 A57 A99 A183">
      <formula1>"Bonus, No Bonus"</formula1>
    </dataValidation>
  </dataValidations>
  <printOptions horizontalCentered="1"/>
  <pageMargins left="0.75" right="0.75" top="1" bottom="0.5" header="0.5" footer="0.5"/>
  <pageSetup horizontalDpi="600" verticalDpi="600" orientation="landscape" scale="64" r:id="rId1"/>
  <rowBreaks count="4" manualBreakCount="4">
    <brk id="44" min="2" max="11" man="1"/>
    <brk id="86" min="2" max="11" man="1"/>
    <brk id="128" min="2" max="11" man="1"/>
    <brk id="170" min="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252"/>
  <sheetViews>
    <sheetView zoomScale="75" zoomScaleNormal="75" zoomScalePageLayoutView="0" workbookViewId="0" topLeftCell="A1">
      <selection activeCell="A1" sqref="A1"/>
    </sheetView>
  </sheetViews>
  <sheetFormatPr defaultColWidth="9.33203125" defaultRowHeight="18.75" customHeight="1"/>
  <cols>
    <col min="1" max="1" width="12.66015625" style="2" bestFit="1" customWidth="1"/>
    <col min="2" max="2" width="66" style="2" customWidth="1"/>
    <col min="3" max="12" width="14.83203125" style="2" customWidth="1"/>
    <col min="13" max="13" width="9.33203125" style="2" customWidth="1"/>
    <col min="14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8.75" customHeight="1">
      <c r="B2" s="110" t="s">
        <v>315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8.75" customHeight="1">
      <c r="B3" s="11"/>
      <c r="C3" s="212" t="s">
        <v>257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29">
        <f>Input!B2</f>
        <v>2016</v>
      </c>
      <c r="D4" s="29">
        <f aca="true" t="shared" si="0" ref="D4:L5">C4+1</f>
        <v>2017</v>
      </c>
      <c r="E4" s="29">
        <f t="shared" si="0"/>
        <v>2018</v>
      </c>
      <c r="F4" s="29">
        <f t="shared" si="0"/>
        <v>2019</v>
      </c>
      <c r="G4" s="29">
        <f t="shared" si="0"/>
        <v>2020</v>
      </c>
      <c r="H4" s="29">
        <f t="shared" si="0"/>
        <v>2021</v>
      </c>
      <c r="I4" s="29">
        <f t="shared" si="0"/>
        <v>2022</v>
      </c>
      <c r="J4" s="29">
        <f t="shared" si="0"/>
        <v>2023</v>
      </c>
      <c r="K4" s="29">
        <f t="shared" si="0"/>
        <v>2024</v>
      </c>
      <c r="L4" s="29">
        <f t="shared" si="0"/>
        <v>2025</v>
      </c>
    </row>
    <row r="5" spans="1:18" s="28" customFormat="1" ht="18.75" customHeight="1">
      <c r="A5" s="258">
        <v>2018</v>
      </c>
      <c r="B5" s="28" t="s">
        <v>43</v>
      </c>
      <c r="C5" s="209">
        <v>1</v>
      </c>
      <c r="D5" s="209">
        <f>C5+1</f>
        <v>2</v>
      </c>
      <c r="E5" s="209">
        <f t="shared" si="0"/>
        <v>3</v>
      </c>
      <c r="F5" s="209">
        <f t="shared" si="0"/>
        <v>4</v>
      </c>
      <c r="G5" s="209">
        <f t="shared" si="0"/>
        <v>5</v>
      </c>
      <c r="H5" s="209">
        <f t="shared" si="0"/>
        <v>6</v>
      </c>
      <c r="I5" s="209">
        <f t="shared" si="0"/>
        <v>7</v>
      </c>
      <c r="J5" s="209">
        <f t="shared" si="0"/>
        <v>8</v>
      </c>
      <c r="K5" s="209">
        <f t="shared" si="0"/>
        <v>9</v>
      </c>
      <c r="L5" s="209">
        <f t="shared" si="0"/>
        <v>10</v>
      </c>
      <c r="M5" s="28" t="s">
        <v>21</v>
      </c>
      <c r="Q5" s="28" t="s">
        <v>257</v>
      </c>
      <c r="R5" s="28">
        <v>1</v>
      </c>
    </row>
    <row r="6" spans="1:18" ht="18.75" customHeight="1">
      <c r="A6" s="3"/>
      <c r="B6" s="211" t="s">
        <v>338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60" t="s">
        <v>310</v>
      </c>
      <c r="B7" s="10" t="s">
        <v>408</v>
      </c>
      <c r="C7" s="172">
        <f>VLOOKUP(C$4,'Cash Flows-KU'!$B$60:$I$70,$A8)</f>
        <v>1089476.1707476852</v>
      </c>
      <c r="D7" s="172">
        <f>VLOOKUP(D$4,'Cash Flows-KU'!$B$60:$I$70,$A8)</f>
        <v>4025000.0000000005</v>
      </c>
      <c r="E7" s="172">
        <f>VLOOKUP(E$4,'Cash Flows-KU'!$B$60:$I$70,$A8)</f>
        <v>1329000</v>
      </c>
      <c r="F7" s="172">
        <f>VLOOKUP(F$4,'Cash Flows-KU'!$B$60:$I$70,$A8)</f>
        <v>6160000</v>
      </c>
      <c r="G7" s="172">
        <f>VLOOKUP(G$4,'Cash Flows-KU'!$B$60:$I$70,$A8)</f>
        <v>5402000</v>
      </c>
      <c r="H7" s="172">
        <f>VLOOKUP(H$4,'Cash Flows-KU'!$B$60:$I$70,$A8)</f>
        <v>25909000</v>
      </c>
      <c r="I7" s="172">
        <f>VLOOKUP(I$4,'Cash Flows-KU'!$B$60:$I$70,$A8)</f>
        <v>22277000</v>
      </c>
      <c r="J7" s="172">
        <f>VLOOKUP(J$4,'Cash Flows-KU'!$B$60:$I$70,$A8)</f>
        <v>0</v>
      </c>
      <c r="K7" s="172">
        <f>VLOOKUP(K$4,'Cash Flows-KU'!$B$60:$I$70,$A8)</f>
        <v>0</v>
      </c>
      <c r="L7" s="172">
        <f>VLOOKUP(L$4,'Cash Flows-KU'!$B$60:$I$70,$A8)</f>
        <v>0</v>
      </c>
      <c r="M7" s="173"/>
      <c r="Q7" s="28" t="s">
        <v>259</v>
      </c>
      <c r="R7" s="2">
        <v>3</v>
      </c>
    </row>
    <row r="8" spans="1:18" ht="18.75" customHeight="1">
      <c r="A8" s="3">
        <v>2</v>
      </c>
      <c r="B8" s="40" t="s">
        <v>57</v>
      </c>
      <c r="C8" s="172">
        <f>SUM($C7:C7)</f>
        <v>1089476.1707476852</v>
      </c>
      <c r="D8" s="172">
        <f>SUM($C7:D7)</f>
        <v>5114476.170747686</v>
      </c>
      <c r="E8" s="172">
        <f>SUM($C7:E7)</f>
        <v>6443476.170747686</v>
      </c>
      <c r="F8" s="172">
        <f>SUM($C7:F7)</f>
        <v>12603476.170747686</v>
      </c>
      <c r="G8" s="172">
        <f>SUM($C7:G7)</f>
        <v>18005476.170747686</v>
      </c>
      <c r="H8" s="172">
        <f>SUM($C7:H7)</f>
        <v>43914476.17074768</v>
      </c>
      <c r="I8" s="172">
        <f>SUM($C7:I7)</f>
        <v>66191476.17074768</v>
      </c>
      <c r="J8" s="172">
        <f>SUM($C7:J7)</f>
        <v>66191476.17074768</v>
      </c>
      <c r="K8" s="172">
        <f>SUM($C7:K7)</f>
        <v>66191476.17074768</v>
      </c>
      <c r="L8" s="172">
        <f>SUM($C7:L7)</f>
        <v>66191476.17074768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</v>
      </c>
      <c r="D9" s="6">
        <f>IF(D5="",0,VLOOKUP($B6,Depreciation!$D$2:$E$31,$A9,FALSE))</f>
        <v>0</v>
      </c>
      <c r="E9" s="6">
        <f>IF(E5="",0,VLOOKUP($B6,Depreciation!$D$2:$E$31,$A9,FALSE))</f>
        <v>0</v>
      </c>
      <c r="F9" s="6">
        <f>IF(F5="",0,VLOOKUP($B6,Depreciation!$D$2:$E$31,$A9,FALSE))</f>
        <v>0</v>
      </c>
      <c r="G9" s="6">
        <f>IF(G5="",0,VLOOKUP($B6,Depreciation!$D$2:$E$31,$A9,FALSE))</f>
        <v>0</v>
      </c>
      <c r="H9" s="6">
        <f>IF(H5="",0,VLOOKUP($B6,Depreciation!$D$2:$E$31,$A9,FALSE))</f>
        <v>0</v>
      </c>
      <c r="I9" s="6">
        <f>IF(I5="",0,VLOOKUP($B6,Depreciation!$D$2:$E$31,$A9,FALSE))</f>
        <v>0</v>
      </c>
      <c r="J9" s="6">
        <f>IF(J5="",0,VLOOKUP($B6,Depreciation!$D$2:$E$31,$A9,FALSE))</f>
        <v>0</v>
      </c>
      <c r="K9" s="6">
        <f>IF(K5="",0,VLOOKUP($B6,Depreciation!$D$2:$E$31,$A9,FALSE))</f>
        <v>0</v>
      </c>
      <c r="L9" s="6">
        <f>IF(L5="",0,VLOOKUP($B6,Depreciation!$D$2:$E$31,$A9,FALSE))</f>
        <v>0</v>
      </c>
      <c r="Q9" s="28" t="s">
        <v>261</v>
      </c>
      <c r="R9" s="2">
        <v>5</v>
      </c>
    </row>
    <row r="10" spans="1:18" ht="18.75" customHeight="1">
      <c r="A10" s="3">
        <v>3</v>
      </c>
      <c r="B10" s="5" t="s">
        <v>1</v>
      </c>
      <c r="C10" s="6">
        <f>IF(C5="",0,VLOOKUP(C5,Depreciation!$A$2:$C$58,$A10,FALSE))</f>
        <v>1</v>
      </c>
      <c r="D10" s="6">
        <f>IF(D5="",0,VLOOKUP(D5,Depreciation!$A$2:$C$58,$A10,FALSE))</f>
        <v>1</v>
      </c>
      <c r="E10" s="6">
        <f>IF(E5="",0,VLOOKUP(E5,Depreciation!$A$2:$C$58,$A10,FALSE))</f>
        <v>1</v>
      </c>
      <c r="F10" s="6">
        <f>IF(F5="",0,VLOOKUP(F5,Depreciation!$A$2:$C$58,$A10,FALSE))</f>
        <v>1</v>
      </c>
      <c r="G10" s="6">
        <f>IF(G5="",0,VLOOKUP(G5,Depreciation!$A$2:$C$58,$A10,FALSE))</f>
        <v>1</v>
      </c>
      <c r="H10" s="6">
        <f>IF(H5="",0,VLOOKUP(H5,Depreciation!$A$2:$C$58,$A10,FALSE))</f>
        <v>1</v>
      </c>
      <c r="I10" s="6">
        <f>IF(I5="",0,VLOOKUP(I5,Depreciation!$A$2:$C$58,$A10,FALSE))</f>
        <v>1</v>
      </c>
      <c r="J10" s="6">
        <f>IF(J5="",0,VLOOKUP(J5,Depreciation!$A$2:$C$58,$A10,FALSE))</f>
        <v>1</v>
      </c>
      <c r="K10" s="6">
        <f>IF(K5="",0,VLOOKUP(K5,Depreciation!$A$2:$C$58,$A10,FALSE))</f>
        <v>1</v>
      </c>
      <c r="L10" s="6">
        <f>IF(L5="",0,VLOOKUP(L5,Depreciation!$A$2:$C$58,$A10,FALSE))</f>
        <v>1</v>
      </c>
      <c r="Q10" s="28" t="s">
        <v>262</v>
      </c>
      <c r="R10" s="2">
        <v>6</v>
      </c>
    </row>
    <row r="11" spans="2:18" s="30" customFormat="1" ht="18.75" customHeight="1"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2:18" ht="18.75" customHeight="1">
      <c r="B12" s="2" t="s">
        <v>3</v>
      </c>
      <c r="C12" s="170">
        <f>SUM($C23:C23)</f>
        <v>-3953739.3930995814</v>
      </c>
      <c r="D12" s="170">
        <f>SUM($C23:D23)</f>
        <v>-6772429.142380463</v>
      </c>
      <c r="E12" s="170">
        <f>SUM($C23:E23)</f>
        <v>-10633554.251661344</v>
      </c>
      <c r="F12" s="170">
        <f>SUM($C23:F23)</f>
        <v>-12626724.900942225</v>
      </c>
      <c r="G12" s="170">
        <f>SUM($C23:G23)</f>
        <v>-14912983.830223106</v>
      </c>
      <c r="H12" s="170">
        <f>SUM($C23:H23)</f>
        <v>-9270006.13950399</v>
      </c>
      <c r="I12" s="170">
        <f>SUM($C23:I23)</f>
        <v>-5031377.568784871</v>
      </c>
      <c r="J12" s="170">
        <f>SUM($C23:J23)</f>
        <v>-9406373.818065751</v>
      </c>
      <c r="K12" s="170">
        <f>SUM($C23:K23)</f>
        <v>-13781370.067346632</v>
      </c>
      <c r="L12" s="170">
        <f>SUM($C23:L23)</f>
        <v>-18156366.316627514</v>
      </c>
      <c r="Q12" s="28" t="s">
        <v>264</v>
      </c>
      <c r="R12" s="2">
        <v>8</v>
      </c>
    </row>
    <row r="13" spans="2:18" ht="18.75" customHeight="1">
      <c r="B13" s="2" t="s">
        <v>4</v>
      </c>
      <c r="C13" s="169">
        <f>SUM($C15:C15)</f>
        <v>11314840.555736</v>
      </c>
      <c r="D13" s="169">
        <f>SUM($C15:D15)</f>
        <v>22629681.111472</v>
      </c>
      <c r="E13" s="169">
        <f>SUM($C15:E15)</f>
        <v>33944521.667208</v>
      </c>
      <c r="F13" s="169">
        <f>SUM($C15:F15)</f>
        <v>45259362.222944</v>
      </c>
      <c r="G13" s="169">
        <f>SUM($C15:G15)</f>
        <v>56574202.77868</v>
      </c>
      <c r="H13" s="169">
        <f>SUM($C15:H15)</f>
        <v>67889043.334416</v>
      </c>
      <c r="I13" s="169">
        <f>SUM($C15:I15)</f>
        <v>79203883.890152</v>
      </c>
      <c r="J13" s="169">
        <f>SUM($C15:J15)</f>
        <v>90518724.44588801</v>
      </c>
      <c r="K13" s="169">
        <f>SUM($C15:K15)</f>
        <v>101833565.00162402</v>
      </c>
      <c r="L13" s="169">
        <f>SUM($C15:L15)</f>
        <v>113148405.55736002</v>
      </c>
      <c r="Q13" s="28" t="s">
        <v>265</v>
      </c>
      <c r="R13" s="2">
        <v>9</v>
      </c>
    </row>
    <row r="14" spans="2:18" ht="18.75" customHeight="1">
      <c r="B14" s="11" t="s">
        <v>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Q14" s="28" t="s">
        <v>266</v>
      </c>
      <c r="R14" s="2">
        <v>10</v>
      </c>
    </row>
    <row r="15" spans="1:18" ht="18.75" customHeight="1">
      <c r="A15" s="214" t="s">
        <v>372</v>
      </c>
      <c r="B15" s="11" t="s">
        <v>6</v>
      </c>
      <c r="C15" s="169">
        <v>11314840.555736</v>
      </c>
      <c r="D15" s="169">
        <f>C15</f>
        <v>11314840.555736</v>
      </c>
      <c r="E15" s="169">
        <f>D15</f>
        <v>11314840.555736</v>
      </c>
      <c r="F15" s="169">
        <f>E15</f>
        <v>11314840.555736</v>
      </c>
      <c r="G15" s="169">
        <f aca="true" t="shared" si="1" ref="G15:L15">F15</f>
        <v>11314840.555736</v>
      </c>
      <c r="H15" s="169">
        <f t="shared" si="1"/>
        <v>11314840.555736</v>
      </c>
      <c r="I15" s="169">
        <f t="shared" si="1"/>
        <v>11314840.555736</v>
      </c>
      <c r="J15" s="169">
        <f t="shared" si="1"/>
        <v>11314840.555736</v>
      </c>
      <c r="K15" s="169">
        <f t="shared" si="1"/>
        <v>11314840.555736</v>
      </c>
      <c r="L15" s="169">
        <f t="shared" si="1"/>
        <v>11314840.555736</v>
      </c>
      <c r="Q15" s="28" t="s">
        <v>267</v>
      </c>
      <c r="R15" s="2">
        <v>11</v>
      </c>
    </row>
    <row r="16" spans="2:18" ht="18.75" customHeight="1">
      <c r="B16" s="5" t="s">
        <v>7</v>
      </c>
      <c r="C16" s="169">
        <f>C7</f>
        <v>1089476.1707476852</v>
      </c>
      <c r="D16" s="169">
        <f aca="true" t="shared" si="2" ref="D16:L16">C16+D7</f>
        <v>5114476.170747686</v>
      </c>
      <c r="E16" s="169">
        <f t="shared" si="2"/>
        <v>6443476.170747686</v>
      </c>
      <c r="F16" s="169">
        <f t="shared" si="2"/>
        <v>12603476.170747686</v>
      </c>
      <c r="G16" s="169">
        <f t="shared" si="2"/>
        <v>18005476.170747686</v>
      </c>
      <c r="H16" s="169">
        <f t="shared" si="2"/>
        <v>43914476.17074768</v>
      </c>
      <c r="I16" s="169">
        <f t="shared" si="2"/>
        <v>66191476.17074768</v>
      </c>
      <c r="J16" s="169">
        <f t="shared" si="2"/>
        <v>66191476.17074768</v>
      </c>
      <c r="K16" s="169">
        <f t="shared" si="2"/>
        <v>66191476.17074768</v>
      </c>
      <c r="L16" s="169">
        <f t="shared" si="2"/>
        <v>66191476.17074768</v>
      </c>
      <c r="Q16" s="28" t="s">
        <v>268</v>
      </c>
      <c r="R16" s="2">
        <v>12</v>
      </c>
    </row>
    <row r="17" spans="2:17" ht="18.75" customHeight="1">
      <c r="B17" s="213" t="s">
        <v>361</v>
      </c>
      <c r="C17" s="169">
        <f>IF(C5=1,IF($A15="Bonus",SUM($C7:C7)*VLOOKUP(C4,Depreciation!$D$41:$E$50,2),0),0)</f>
        <v>0</v>
      </c>
      <c r="D17" s="169">
        <f>IF(D5=1,IF($A15="Bonus",SUM($C7:D7)*VLOOKUP(D4,Depreciation!$D$41:$E$50,2),0),0)</f>
        <v>0</v>
      </c>
      <c r="E17" s="169">
        <f>IF(E5=1,IF($A15="Bonus",SUM($C7:E7)*VLOOKUP(E4,Depreciation!$D$41:$E$50,2),0),0)</f>
        <v>0</v>
      </c>
      <c r="F17" s="169">
        <f>IF(F5=1,IF($A15="Bonus",SUM($C7:F7)*VLOOKUP(F4,Depreciation!$D$41:$E$50,2),0),0)</f>
        <v>0</v>
      </c>
      <c r="G17" s="169">
        <f>IF(G5=1,IF($A15="Bonus",SUM($C7:G7)*VLOOKUP(G4,Depreciation!$D$41:$E$50,2),0),0)</f>
        <v>0</v>
      </c>
      <c r="H17" s="169">
        <f>IF(H5=1,IF($A15="Bonus",SUM($C7:H7)*VLOOKUP(H4,Depreciation!$D$41:$E$50,2),0),0)</f>
        <v>0</v>
      </c>
      <c r="I17" s="169">
        <f>IF(I5=1,IF($A15="Bonus",SUM($C7:I7)*VLOOKUP(I4,Depreciation!$D$41:$E$50,2),0),0)</f>
        <v>0</v>
      </c>
      <c r="J17" s="169">
        <f>IF(J5=1,IF($A15="Bonus",SUM($C7:J7)*VLOOKUP(J4,Depreciation!$D$41:$E$50,2),0),0)</f>
        <v>0</v>
      </c>
      <c r="K17" s="169">
        <f>IF(K5=1,IF($A15="Bonus",SUM($C7:K7)*VLOOKUP(K4,Depreciation!$D$41:$E$50,2),0),0)</f>
        <v>0</v>
      </c>
      <c r="L17" s="169">
        <f>IF(L5=1,IF($A15="Bonus",SUM($C7:L7)*VLOOKUP(L4,Depreciation!$D$41:$E$50,2),0),0)</f>
        <v>0</v>
      </c>
      <c r="Q17" s="28"/>
    </row>
    <row r="18" spans="2:12" ht="18.75" customHeight="1">
      <c r="B18" s="5" t="s">
        <v>362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 ht="18.75" customHeight="1">
      <c r="B19" s="5" t="s">
        <v>17</v>
      </c>
      <c r="C19" s="7">
        <f>Input!J$31</f>
        <v>0.10152297909805327</v>
      </c>
      <c r="D19" s="7">
        <f>Input!K$31</f>
        <v>0.10152297909805327</v>
      </c>
      <c r="E19" s="7">
        <f>Input!L$31</f>
        <v>0.10152297909805327</v>
      </c>
      <c r="F19" s="7">
        <f>Input!M$31</f>
        <v>0.10152297909805327</v>
      </c>
      <c r="G19" s="7">
        <f>Input!N$31</f>
        <v>0.10152297909805327</v>
      </c>
      <c r="H19" s="7">
        <f>Input!O$31</f>
        <v>0.10152297909805327</v>
      </c>
      <c r="I19" s="7">
        <f>Input!P$31</f>
        <v>0.10152297909805327</v>
      </c>
      <c r="J19" s="7">
        <f>Input!Q$31</f>
        <v>0.10152297909805327</v>
      </c>
      <c r="K19" s="7">
        <f>Input!R$31</f>
        <v>0.10152297909805327</v>
      </c>
      <c r="L19" s="7">
        <f>Input!S$31</f>
        <v>0.10152297909805327</v>
      </c>
    </row>
    <row r="20" spans="2:12" ht="18.75" customHeight="1">
      <c r="B20" s="5" t="s">
        <v>8</v>
      </c>
      <c r="C20" s="181">
        <f>C15</f>
        <v>11314840.555736</v>
      </c>
      <c r="D20" s="181">
        <f>D15</f>
        <v>11314840.555736</v>
      </c>
      <c r="E20" s="181">
        <f aca="true" t="shared" si="3" ref="E20:L20">E15</f>
        <v>11314840.555736</v>
      </c>
      <c r="F20" s="181">
        <f t="shared" si="3"/>
        <v>11314840.555736</v>
      </c>
      <c r="G20" s="181">
        <f t="shared" si="3"/>
        <v>11314840.555736</v>
      </c>
      <c r="H20" s="181">
        <f t="shared" si="3"/>
        <v>11314840.555736</v>
      </c>
      <c r="I20" s="181">
        <f t="shared" si="3"/>
        <v>11314840.555736</v>
      </c>
      <c r="J20" s="181">
        <f t="shared" si="3"/>
        <v>11314840.555736</v>
      </c>
      <c r="K20" s="181">
        <f t="shared" si="3"/>
        <v>11314840.555736</v>
      </c>
      <c r="L20" s="181">
        <f t="shared" si="3"/>
        <v>11314840.555736</v>
      </c>
    </row>
    <row r="21" spans="2:12" ht="18.75" customHeight="1">
      <c r="B21" s="11" t="s">
        <v>364</v>
      </c>
      <c r="C21" s="181">
        <f>C7*C10</f>
        <v>1089476.1707476852</v>
      </c>
      <c r="D21" s="181">
        <f aca="true" t="shared" si="4" ref="D21:L21">D7*D10</f>
        <v>4025000.0000000005</v>
      </c>
      <c r="E21" s="181">
        <f t="shared" si="4"/>
        <v>1329000</v>
      </c>
      <c r="F21" s="181">
        <f t="shared" si="4"/>
        <v>6160000</v>
      </c>
      <c r="G21" s="181">
        <f t="shared" si="4"/>
        <v>5402000</v>
      </c>
      <c r="H21" s="181">
        <f t="shared" si="4"/>
        <v>25909000</v>
      </c>
      <c r="I21" s="181">
        <f t="shared" si="4"/>
        <v>22277000</v>
      </c>
      <c r="J21" s="181">
        <f t="shared" si="4"/>
        <v>0</v>
      </c>
      <c r="K21" s="181">
        <f t="shared" si="4"/>
        <v>0</v>
      </c>
      <c r="L21" s="181">
        <f t="shared" si="4"/>
        <v>0</v>
      </c>
    </row>
    <row r="22" spans="2:12" ht="18.75" customHeight="1">
      <c r="B22" s="3" t="s">
        <v>9</v>
      </c>
      <c r="C22" s="8">
        <f>Input!$B$6</f>
        <v>0.0015</v>
      </c>
      <c r="D22" s="8">
        <f aca="true" t="shared" si="5" ref="D22:I22">C22</f>
        <v>0.0015</v>
      </c>
      <c r="E22" s="8">
        <f t="shared" si="5"/>
        <v>0.0015</v>
      </c>
      <c r="F22" s="8">
        <f t="shared" si="5"/>
        <v>0.0015</v>
      </c>
      <c r="G22" s="8">
        <f t="shared" si="5"/>
        <v>0.0015</v>
      </c>
      <c r="H22" s="8">
        <f t="shared" si="5"/>
        <v>0.0015</v>
      </c>
      <c r="I22" s="8">
        <f t="shared" si="5"/>
        <v>0.0015</v>
      </c>
      <c r="J22" s="8">
        <f>I22</f>
        <v>0.0015</v>
      </c>
      <c r="K22" s="8">
        <f>J22</f>
        <v>0.0015</v>
      </c>
      <c r="L22" s="8">
        <f>K22</f>
        <v>0.0015</v>
      </c>
    </row>
    <row r="23" spans="2:12" ht="18.75" customHeight="1">
      <c r="B23" s="102" t="s">
        <v>363</v>
      </c>
      <c r="C23" s="171">
        <f aca="true" t="shared" si="6" ref="C23:L23">(C21-C20)*C11</f>
        <v>-3953739.3930995814</v>
      </c>
      <c r="D23" s="171">
        <f t="shared" si="6"/>
        <v>-2818689.749280881</v>
      </c>
      <c r="E23" s="171">
        <f t="shared" si="6"/>
        <v>-3861125.109280881</v>
      </c>
      <c r="F23" s="171">
        <f t="shared" si="6"/>
        <v>-1993170.6492808813</v>
      </c>
      <c r="G23" s="171">
        <f t="shared" si="6"/>
        <v>-2286258.9292808813</v>
      </c>
      <c r="H23" s="171">
        <f t="shared" si="6"/>
        <v>5642977.690719117</v>
      </c>
      <c r="I23" s="171">
        <f t="shared" si="6"/>
        <v>4238628.570719118</v>
      </c>
      <c r="J23" s="171">
        <f t="shared" si="6"/>
        <v>-4374996.249280881</v>
      </c>
      <c r="K23" s="171">
        <f t="shared" si="6"/>
        <v>-4374996.249280881</v>
      </c>
      <c r="L23" s="171">
        <f t="shared" si="6"/>
        <v>-4374996.249280881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7" ref="C26:L26">C8</f>
        <v>1089476.1707476852</v>
      </c>
      <c r="D26" s="169">
        <f t="shared" si="7"/>
        <v>5114476.170747686</v>
      </c>
      <c r="E26" s="169">
        <f t="shared" si="7"/>
        <v>6443476.170747686</v>
      </c>
      <c r="F26" s="169">
        <f t="shared" si="7"/>
        <v>12603476.170747686</v>
      </c>
      <c r="G26" s="169">
        <f t="shared" si="7"/>
        <v>18005476.170747686</v>
      </c>
      <c r="H26" s="169">
        <f t="shared" si="7"/>
        <v>43914476.17074768</v>
      </c>
      <c r="I26" s="169">
        <f t="shared" si="7"/>
        <v>66191476.17074768</v>
      </c>
      <c r="J26" s="169">
        <f t="shared" si="7"/>
        <v>66191476.17074768</v>
      </c>
      <c r="K26" s="169">
        <f t="shared" si="7"/>
        <v>66191476.17074768</v>
      </c>
      <c r="L26" s="169">
        <f t="shared" si="7"/>
        <v>66191476.17074768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8" ref="D27:I27">C27</f>
        <v>0</v>
      </c>
      <c r="E27" s="170">
        <f t="shared" si="8"/>
        <v>0</v>
      </c>
      <c r="F27" s="170">
        <f t="shared" si="8"/>
        <v>0</v>
      </c>
      <c r="G27" s="170">
        <f t="shared" si="8"/>
        <v>0</v>
      </c>
      <c r="H27" s="170">
        <f t="shared" si="8"/>
        <v>0</v>
      </c>
      <c r="I27" s="170">
        <f t="shared" si="8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2" ht="18.75" customHeight="1">
      <c r="B28" s="2" t="s">
        <v>10</v>
      </c>
      <c r="C28" s="170">
        <f aca="true" t="shared" si="9" ref="C28:L28">-C13</f>
        <v>-11314840.555736</v>
      </c>
      <c r="D28" s="170">
        <f t="shared" si="9"/>
        <v>-22629681.111472</v>
      </c>
      <c r="E28" s="170">
        <f t="shared" si="9"/>
        <v>-33944521.667208</v>
      </c>
      <c r="F28" s="170">
        <f t="shared" si="9"/>
        <v>-45259362.222944</v>
      </c>
      <c r="G28" s="170">
        <f t="shared" si="9"/>
        <v>-56574202.77868</v>
      </c>
      <c r="H28" s="170">
        <f t="shared" si="9"/>
        <v>-67889043.334416</v>
      </c>
      <c r="I28" s="170">
        <f t="shared" si="9"/>
        <v>-79203883.890152</v>
      </c>
      <c r="J28" s="170">
        <f t="shared" si="9"/>
        <v>-90518724.44588801</v>
      </c>
      <c r="K28" s="170">
        <f t="shared" si="9"/>
        <v>-101833565.00162402</v>
      </c>
      <c r="L28" s="170">
        <f t="shared" si="9"/>
        <v>-113148405.55736002</v>
      </c>
    </row>
    <row r="29" spans="2:12" ht="18.75" customHeight="1">
      <c r="B29" s="2" t="s">
        <v>45</v>
      </c>
      <c r="C29" s="170">
        <v>0</v>
      </c>
      <c r="D29" s="170">
        <f>C29</f>
        <v>0</v>
      </c>
      <c r="E29" s="170">
        <f>D29</f>
        <v>0</v>
      </c>
      <c r="F29" s="170">
        <f>E29</f>
        <v>0</v>
      </c>
      <c r="G29" s="170">
        <f aca="true" t="shared" si="10" ref="G29:L29">F29</f>
        <v>0</v>
      </c>
      <c r="H29" s="170">
        <f t="shared" si="10"/>
        <v>0</v>
      </c>
      <c r="I29" s="170">
        <f t="shared" si="10"/>
        <v>0</v>
      </c>
      <c r="J29" s="170">
        <f t="shared" si="10"/>
        <v>0</v>
      </c>
      <c r="K29" s="170">
        <f t="shared" si="10"/>
        <v>0</v>
      </c>
      <c r="L29" s="170">
        <f t="shared" si="10"/>
        <v>0</v>
      </c>
    </row>
    <row r="30" spans="2:12" ht="18.75" customHeight="1">
      <c r="B30" s="2" t="s">
        <v>46</v>
      </c>
      <c r="C30" s="170">
        <f aca="true" t="shared" si="11" ref="C30:L30">-C12</f>
        <v>3953739.3930995814</v>
      </c>
      <c r="D30" s="170">
        <f t="shared" si="11"/>
        <v>6772429.142380463</v>
      </c>
      <c r="E30" s="170">
        <f t="shared" si="11"/>
        <v>10633554.251661344</v>
      </c>
      <c r="F30" s="170">
        <f t="shared" si="11"/>
        <v>12626724.900942225</v>
      </c>
      <c r="G30" s="170">
        <f t="shared" si="11"/>
        <v>14912983.830223106</v>
      </c>
      <c r="H30" s="170">
        <f t="shared" si="11"/>
        <v>9270006.13950399</v>
      </c>
      <c r="I30" s="170">
        <f t="shared" si="11"/>
        <v>5031377.568784871</v>
      </c>
      <c r="J30" s="170">
        <f t="shared" si="11"/>
        <v>9406373.818065751</v>
      </c>
      <c r="K30" s="170">
        <f t="shared" si="11"/>
        <v>13781370.067346632</v>
      </c>
      <c r="L30" s="170">
        <f t="shared" si="11"/>
        <v>18156366.316627514</v>
      </c>
    </row>
    <row r="31" spans="2:12" ht="18.75" customHeight="1">
      <c r="B31" s="2" t="s">
        <v>47</v>
      </c>
      <c r="C31" s="170">
        <v>0</v>
      </c>
      <c r="D31" s="170">
        <f aca="true" t="shared" si="12" ref="D31:I31">C31</f>
        <v>0</v>
      </c>
      <c r="E31" s="170">
        <f t="shared" si="12"/>
        <v>0</v>
      </c>
      <c r="F31" s="170">
        <f t="shared" si="12"/>
        <v>0</v>
      </c>
      <c r="G31" s="170">
        <f t="shared" si="12"/>
        <v>0</v>
      </c>
      <c r="H31" s="170">
        <f t="shared" si="12"/>
        <v>0</v>
      </c>
      <c r="I31" s="170">
        <f t="shared" si="12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 aca="true" t="shared" si="13" ref="C32:I32">SUM(C26:C31)</f>
        <v>-6271624.991888734</v>
      </c>
      <c r="D32" s="170">
        <f t="shared" si="13"/>
        <v>-10742775.79834385</v>
      </c>
      <c r="E32" s="170">
        <f t="shared" si="13"/>
        <v>-16867491.244798973</v>
      </c>
      <c r="F32" s="170">
        <f t="shared" si="13"/>
        <v>-20029161.151254088</v>
      </c>
      <c r="G32" s="170">
        <f t="shared" si="13"/>
        <v>-23655742.77770921</v>
      </c>
      <c r="H32" s="170">
        <f t="shared" si="13"/>
        <v>-14704561.02416433</v>
      </c>
      <c r="I32" s="170">
        <f t="shared" si="13"/>
        <v>-7981030.150619454</v>
      </c>
      <c r="J32" s="170">
        <f>SUM(J26:J31)</f>
        <v>-14920874.457074579</v>
      </c>
      <c r="K32" s="170">
        <f>SUM(K26:K31)</f>
        <v>-21860718.763529703</v>
      </c>
      <c r="L32" s="170">
        <f>SUM(L26:L31)</f>
        <v>-28800563.069984827</v>
      </c>
    </row>
    <row r="33" spans="2:12" ht="18.75" customHeight="1">
      <c r="B33" s="2" t="s">
        <v>12</v>
      </c>
      <c r="C33" s="7">
        <f aca="true" t="shared" si="14" ref="C33:I33">C19</f>
        <v>0.10152297909805327</v>
      </c>
      <c r="D33" s="7">
        <f t="shared" si="14"/>
        <v>0.10152297909805327</v>
      </c>
      <c r="E33" s="7">
        <f t="shared" si="14"/>
        <v>0.10152297909805327</v>
      </c>
      <c r="F33" s="7">
        <f t="shared" si="14"/>
        <v>0.10152297909805327</v>
      </c>
      <c r="G33" s="7">
        <f t="shared" si="14"/>
        <v>0.10152297909805327</v>
      </c>
      <c r="H33" s="7">
        <f t="shared" si="14"/>
        <v>0.10152297909805327</v>
      </c>
      <c r="I33" s="7">
        <f t="shared" si="14"/>
        <v>0.10152297909805327</v>
      </c>
      <c r="J33" s="7">
        <f>J19</f>
        <v>0.10152297909805327</v>
      </c>
      <c r="K33" s="7">
        <f>K19</f>
        <v>0.10152297909805327</v>
      </c>
      <c r="L33" s="7">
        <f>L19</f>
        <v>0.10152297909805327</v>
      </c>
    </row>
    <row r="34" spans="2:12" ht="18.75" customHeight="1">
      <c r="B34" s="34" t="s">
        <v>58</v>
      </c>
      <c r="C34" s="174">
        <f aca="true" t="shared" si="15" ref="C34:I34">C32*C33</f>
        <v>-636714.0529623484</v>
      </c>
      <c r="D34" s="174">
        <f t="shared" si="15"/>
        <v>-1090638.6028303353</v>
      </c>
      <c r="E34" s="174">
        <f t="shared" si="15"/>
        <v>-1712437.9610823228</v>
      </c>
      <c r="F34" s="174">
        <f t="shared" si="15"/>
        <v>-2033420.1089103094</v>
      </c>
      <c r="G34" s="174">
        <f t="shared" si="15"/>
        <v>-2401601.4795702966</v>
      </c>
      <c r="H34" s="174">
        <f t="shared" si="15"/>
        <v>-1492850.8415022842</v>
      </c>
      <c r="I34" s="174">
        <f t="shared" si="15"/>
        <v>-810257.9571622717</v>
      </c>
      <c r="J34" s="174">
        <f>J32*J33</f>
        <v>-1514811.6256302595</v>
      </c>
      <c r="K34" s="174">
        <f>K32*K33</f>
        <v>-2219365.294098247</v>
      </c>
      <c r="L34" s="174">
        <f>L32*L33</f>
        <v>-2923918.9625662346</v>
      </c>
    </row>
    <row r="35" spans="2:12" s="3" customFormat="1" ht="18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8.75" customHeight="1">
      <c r="B36" s="1" t="s">
        <v>52</v>
      </c>
      <c r="C36" s="170">
        <v>0</v>
      </c>
      <c r="D36" s="170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</row>
    <row r="37" spans="2:12" ht="18.75" customHeight="1">
      <c r="B37" s="2" t="s">
        <v>48</v>
      </c>
      <c r="C37" s="170">
        <v>0</v>
      </c>
      <c r="D37" s="170">
        <f>C37</f>
        <v>0</v>
      </c>
      <c r="E37" s="170">
        <f aca="true" t="shared" si="16" ref="E37:L37">D37</f>
        <v>0</v>
      </c>
      <c r="F37" s="170">
        <f t="shared" si="16"/>
        <v>0</v>
      </c>
      <c r="G37" s="170">
        <f t="shared" si="16"/>
        <v>0</v>
      </c>
      <c r="H37" s="170">
        <f t="shared" si="16"/>
        <v>0</v>
      </c>
      <c r="I37" s="170">
        <f t="shared" si="16"/>
        <v>0</v>
      </c>
      <c r="J37" s="170">
        <f t="shared" si="16"/>
        <v>0</v>
      </c>
      <c r="K37" s="170">
        <f t="shared" si="16"/>
        <v>0</v>
      </c>
      <c r="L37" s="170">
        <f t="shared" si="16"/>
        <v>0</v>
      </c>
    </row>
    <row r="38" spans="2:12" ht="18.75" customHeight="1">
      <c r="B38" s="2" t="s">
        <v>434</v>
      </c>
      <c r="C38" s="170">
        <f>C15</f>
        <v>11314840.555736</v>
      </c>
      <c r="D38" s="170">
        <f aca="true" t="shared" si="17" ref="D38:L38">D15</f>
        <v>11314840.555736</v>
      </c>
      <c r="E38" s="170">
        <f t="shared" si="17"/>
        <v>11314840.555736</v>
      </c>
      <c r="F38" s="170">
        <f t="shared" si="17"/>
        <v>11314840.555736</v>
      </c>
      <c r="G38" s="170">
        <f t="shared" si="17"/>
        <v>11314840.555736</v>
      </c>
      <c r="H38" s="170">
        <f t="shared" si="17"/>
        <v>11314840.555736</v>
      </c>
      <c r="I38" s="170">
        <f t="shared" si="17"/>
        <v>11314840.555736</v>
      </c>
      <c r="J38" s="170">
        <f t="shared" si="17"/>
        <v>11314840.555736</v>
      </c>
      <c r="K38" s="170">
        <f t="shared" si="17"/>
        <v>11314840.555736</v>
      </c>
      <c r="L38" s="170">
        <f t="shared" si="17"/>
        <v>11314840.555736</v>
      </c>
    </row>
    <row r="39" spans="2:12" ht="18.75" customHeight="1">
      <c r="B39" s="2" t="s">
        <v>50</v>
      </c>
      <c r="C39" s="170">
        <v>0</v>
      </c>
      <c r="D39" s="170">
        <f aca="true" t="shared" si="18" ref="D39:I39">D22*(C26+C28)</f>
        <v>-15338.046577482473</v>
      </c>
      <c r="E39" s="170">
        <f t="shared" si="18"/>
        <v>-26272.80741108647</v>
      </c>
      <c r="F39" s="170">
        <f t="shared" si="18"/>
        <v>-41251.568244690476</v>
      </c>
      <c r="G39" s="170">
        <f t="shared" si="18"/>
        <v>-48983.82907829447</v>
      </c>
      <c r="H39" s="170">
        <f t="shared" si="18"/>
        <v>-57853.089911898474</v>
      </c>
      <c r="I39" s="170">
        <f t="shared" si="18"/>
        <v>-35961.85074550248</v>
      </c>
      <c r="J39" s="170">
        <f>J22*(I26+I28)</f>
        <v>-19518.611579106488</v>
      </c>
      <c r="K39" s="170">
        <f>K22*(J26+J28)</f>
        <v>-36490.872412710494</v>
      </c>
      <c r="L39" s="170">
        <f>L22*(K26+K28)</f>
        <v>-53463.1332463145</v>
      </c>
    </row>
    <row r="40" spans="2:12" ht="19.5" customHeight="1">
      <c r="B40" s="21" t="s">
        <v>51</v>
      </c>
      <c r="C40" s="174">
        <f aca="true" t="shared" si="19" ref="C40:I40">SUM(C36:C39)</f>
        <v>11314840.555736</v>
      </c>
      <c r="D40" s="174">
        <f t="shared" si="19"/>
        <v>11299502.509158518</v>
      </c>
      <c r="E40" s="174">
        <f t="shared" si="19"/>
        <v>11288567.748324914</v>
      </c>
      <c r="F40" s="174">
        <f t="shared" si="19"/>
        <v>11273588.98749131</v>
      </c>
      <c r="G40" s="174">
        <f t="shared" si="19"/>
        <v>11265856.726657705</v>
      </c>
      <c r="H40" s="174">
        <f t="shared" si="19"/>
        <v>11256987.465824101</v>
      </c>
      <c r="I40" s="174">
        <f t="shared" si="19"/>
        <v>11278878.704990497</v>
      </c>
      <c r="J40" s="174">
        <f>SUM(J36:J39)</f>
        <v>11295321.944156893</v>
      </c>
      <c r="K40" s="174">
        <f>SUM(K36:K39)</f>
        <v>11278349.683323288</v>
      </c>
      <c r="L40" s="174">
        <f>SUM(L36:L39)</f>
        <v>11261377.422489686</v>
      </c>
    </row>
    <row r="41" spans="3:12" ht="18.75" customHeight="1">
      <c r="C41" s="34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2:12" ht="18.75" customHeight="1">
      <c r="B42" s="1" t="s">
        <v>59</v>
      </c>
      <c r="C42" s="170">
        <f aca="true" t="shared" si="20" ref="C42:I42">C34+C40</f>
        <v>10678126.502773652</v>
      </c>
      <c r="D42" s="170">
        <f t="shared" si="20"/>
        <v>10208863.906328183</v>
      </c>
      <c r="E42" s="170">
        <f t="shared" si="20"/>
        <v>9576129.787242591</v>
      </c>
      <c r="F42" s="170">
        <f t="shared" si="20"/>
        <v>9240168.878581</v>
      </c>
      <c r="G42" s="170">
        <f t="shared" si="20"/>
        <v>8864255.247087408</v>
      </c>
      <c r="H42" s="170">
        <f t="shared" si="20"/>
        <v>9764136.624321816</v>
      </c>
      <c r="I42" s="170">
        <f t="shared" si="20"/>
        <v>10468620.747828225</v>
      </c>
      <c r="J42" s="170">
        <f>J34+J40</f>
        <v>9780510.318526633</v>
      </c>
      <c r="K42" s="170">
        <f>K34+K40</f>
        <v>9058984.389225041</v>
      </c>
      <c r="L42" s="170">
        <f>L34+L40</f>
        <v>8337458.459923452</v>
      </c>
    </row>
    <row r="43" spans="2:12" s="3" customFormat="1" ht="18.7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2" ht="18.75" customHeight="1"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8.75" customHeight="1">
      <c r="B45" s="11"/>
      <c r="C45" s="212" t="s">
        <v>257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8.75" customHeight="1">
      <c r="A46" s="28"/>
      <c r="B46" s="28"/>
      <c r="C46" s="29">
        <f>C4</f>
        <v>2016</v>
      </c>
      <c r="D46" s="29">
        <f aca="true" t="shared" si="21" ref="D46:L47">C46+1</f>
        <v>2017</v>
      </c>
      <c r="E46" s="29">
        <f t="shared" si="21"/>
        <v>2018</v>
      </c>
      <c r="F46" s="29">
        <f t="shared" si="21"/>
        <v>2019</v>
      </c>
      <c r="G46" s="29">
        <f t="shared" si="21"/>
        <v>2020</v>
      </c>
      <c r="H46" s="29">
        <f t="shared" si="21"/>
        <v>2021</v>
      </c>
      <c r="I46" s="52">
        <f t="shared" si="21"/>
        <v>2022</v>
      </c>
      <c r="J46" s="29">
        <f t="shared" si="21"/>
        <v>2023</v>
      </c>
      <c r="K46" s="29">
        <f t="shared" si="21"/>
        <v>2024</v>
      </c>
      <c r="L46" s="29">
        <f t="shared" si="21"/>
        <v>2025</v>
      </c>
    </row>
    <row r="47" spans="1:12" ht="18.75" customHeight="1">
      <c r="A47" s="258">
        <v>2022</v>
      </c>
      <c r="B47" s="28" t="s">
        <v>43</v>
      </c>
      <c r="C47" s="209">
        <v>1</v>
      </c>
      <c r="D47" s="209">
        <f>C47+1</f>
        <v>2</v>
      </c>
      <c r="E47" s="209">
        <f t="shared" si="21"/>
        <v>3</v>
      </c>
      <c r="F47" s="209">
        <f t="shared" si="21"/>
        <v>4</v>
      </c>
      <c r="G47" s="209">
        <f t="shared" si="21"/>
        <v>5</v>
      </c>
      <c r="H47" s="209">
        <f t="shared" si="21"/>
        <v>6</v>
      </c>
      <c r="I47" s="209">
        <f t="shared" si="21"/>
        <v>7</v>
      </c>
      <c r="J47" s="209">
        <f t="shared" si="21"/>
        <v>8</v>
      </c>
      <c r="K47" s="209">
        <f t="shared" si="21"/>
        <v>9</v>
      </c>
      <c r="L47" s="209">
        <f t="shared" si="21"/>
        <v>10</v>
      </c>
    </row>
    <row r="48" spans="1:12" ht="18.75" customHeight="1">
      <c r="A48" s="3"/>
      <c r="B48" s="211" t="s">
        <v>338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75" customHeight="1">
      <c r="A49" s="60" t="s">
        <v>310</v>
      </c>
      <c r="B49" s="10" t="s">
        <v>409</v>
      </c>
      <c r="C49" s="172">
        <f>VLOOKUP(C$4,'Cash Flows-KU'!$B$60:$H$70,$A50)</f>
        <v>2191097.7522569443</v>
      </c>
      <c r="D49" s="172">
        <f>VLOOKUP(D$4,'Cash Flows-KU'!$B$60:$H$70,$A50)</f>
        <v>10327000</v>
      </c>
      <c r="E49" s="172">
        <f>VLOOKUP(E$4,'Cash Flows-KU'!$B$60:$H$70,$A50)</f>
        <v>9843000</v>
      </c>
      <c r="F49" s="172">
        <f>VLOOKUP(F$4,'Cash Flows-KU'!$B$60:$H$70,$A50)</f>
        <v>7020000</v>
      </c>
      <c r="G49" s="172">
        <f>VLOOKUP(G$4,'Cash Flows-KU'!$B$60:$H$70,$A50)</f>
        <v>21478000</v>
      </c>
      <c r="H49" s="172">
        <f>VLOOKUP(H$4,'Cash Flows-KU'!$B$60:$H$70,$A50)</f>
        <v>26476000</v>
      </c>
      <c r="I49" s="172">
        <f>VLOOKUP(I$4,'Cash Flows-KU'!$B$60:$H$70,$A50)</f>
        <v>11099000</v>
      </c>
      <c r="J49" s="172">
        <f>VLOOKUP(J$4,'Cash Flows-KU'!$B$60:$H$70,$A50)</f>
        <v>0</v>
      </c>
      <c r="K49" s="172">
        <f>VLOOKUP(K$4,'Cash Flows-KU'!$B$60:$H$70,$A50)</f>
        <v>0</v>
      </c>
      <c r="L49" s="172">
        <f>VLOOKUP(L$4,'Cash Flows-KU'!$B$60:$H$70,$A50)</f>
        <v>0</v>
      </c>
    </row>
    <row r="50" spans="1:13" ht="18.75" customHeight="1">
      <c r="A50" s="3">
        <v>3</v>
      </c>
      <c r="B50" s="40" t="s">
        <v>57</v>
      </c>
      <c r="C50" s="172">
        <f>SUM($C49:C49)</f>
        <v>2191097.7522569443</v>
      </c>
      <c r="D50" s="172">
        <f>SUM($C49:D49)</f>
        <v>12518097.752256945</v>
      </c>
      <c r="E50" s="172">
        <f>SUM($C49:E49)</f>
        <v>22361097.752256945</v>
      </c>
      <c r="F50" s="172">
        <f>SUM($C49:F49)</f>
        <v>29381097.752256945</v>
      </c>
      <c r="G50" s="172">
        <f>SUM($C49:G49)</f>
        <v>50859097.752256945</v>
      </c>
      <c r="H50" s="172">
        <f>SUM($C49:H49)</f>
        <v>77335097.75225694</v>
      </c>
      <c r="I50" s="172">
        <f>SUM($C49:I49)</f>
        <v>88434097.75225694</v>
      </c>
      <c r="J50" s="172">
        <f>SUM($C49:J49)</f>
        <v>88434097.75225694</v>
      </c>
      <c r="K50" s="172">
        <f>SUM($C49:K49)</f>
        <v>88434097.75225694</v>
      </c>
      <c r="L50" s="172">
        <f>SUM($C49:L49)</f>
        <v>88434097.75225694</v>
      </c>
      <c r="M50" s="18"/>
    </row>
    <row r="51" spans="1:12" ht="18.75" customHeight="1">
      <c r="A51" s="3">
        <v>2</v>
      </c>
      <c r="B51" s="5" t="s">
        <v>0</v>
      </c>
      <c r="C51" s="6">
        <f>IF(C47="",0,VLOOKUP($B48,Depreciation!$D$2:$E$31,$A51,FALSE))</f>
        <v>0</v>
      </c>
      <c r="D51" s="6">
        <f>IF(D47="",0,VLOOKUP($B48,Depreciation!$D$2:$E$31,$A51,FALSE))</f>
        <v>0</v>
      </c>
      <c r="E51" s="6">
        <f>IF(E47="",0,VLOOKUP($B48,Depreciation!$D$2:$E$31,$A51,FALSE))</f>
        <v>0</v>
      </c>
      <c r="F51" s="6">
        <f>IF(F47="",0,VLOOKUP($B48,Depreciation!$D$2:$E$31,$A51,FALSE))</f>
        <v>0</v>
      </c>
      <c r="G51" s="6">
        <f>IF(G47="",0,VLOOKUP($B48,Depreciation!$D$2:$E$31,$A51,FALSE))</f>
        <v>0</v>
      </c>
      <c r="H51" s="6">
        <f>IF(H47="",0,VLOOKUP($B48,Depreciation!$D$2:$E$31,$A51,FALSE))</f>
        <v>0</v>
      </c>
      <c r="I51" s="6">
        <f>IF(I47="",0,VLOOKUP($B48,Depreciation!$D$2:$E$31,$A51,FALSE))</f>
        <v>0</v>
      </c>
      <c r="J51" s="6">
        <f>IF(J47="",0,VLOOKUP($B48,Depreciation!$D$2:$E$31,$A51,FALSE))</f>
        <v>0</v>
      </c>
      <c r="K51" s="6">
        <f>IF(K47="",0,VLOOKUP($B48,Depreciation!$D$2:$E$31,$A51,FALSE))</f>
        <v>0</v>
      </c>
      <c r="L51" s="6">
        <f>IF(L47="",0,VLOOKUP($B48,Depreciation!$D$2:$E$31,$A51,FALSE))</f>
        <v>0</v>
      </c>
    </row>
    <row r="52" spans="1:12" ht="18.75" customHeight="1">
      <c r="A52" s="3">
        <v>3</v>
      </c>
      <c r="B52" s="5" t="s">
        <v>1</v>
      </c>
      <c r="C52" s="6">
        <f>IF(C47="",0,VLOOKUP(C47,Depreciation!$A$2:$C$58,$A52,FALSE))</f>
        <v>1</v>
      </c>
      <c r="D52" s="6">
        <f>IF(D47="",0,VLOOKUP(D47,Depreciation!$A$2:$C$58,$A52,FALSE))</f>
        <v>1</v>
      </c>
      <c r="E52" s="6">
        <f>IF(E47="",0,VLOOKUP(E47,Depreciation!$A$2:$C$58,$A52,FALSE))</f>
        <v>1</v>
      </c>
      <c r="F52" s="6">
        <f>IF(F47="",0,VLOOKUP(F47,Depreciation!$A$2:$C$58,$A52,FALSE))</f>
        <v>1</v>
      </c>
      <c r="G52" s="6">
        <f>IF(G47="",0,VLOOKUP(G47,Depreciation!$A$2:$C$58,$A52,FALSE))</f>
        <v>1</v>
      </c>
      <c r="H52" s="6">
        <f>IF(H47="",0,VLOOKUP(H47,Depreciation!$A$2:$C$58,$A52,FALSE))</f>
        <v>1</v>
      </c>
      <c r="I52" s="6">
        <f>IF(I47="",0,VLOOKUP(I47,Depreciation!$A$2:$C$58,$A52,FALSE))</f>
        <v>1</v>
      </c>
      <c r="J52" s="6">
        <f>IF(J47="",0,VLOOKUP(J47,Depreciation!$A$2:$C$58,$A52,FALSE))</f>
        <v>1</v>
      </c>
      <c r="K52" s="6">
        <f>IF(K47="",0,VLOOKUP(K47,Depreciation!$A$2:$C$58,$A52,FALSE))</f>
        <v>1</v>
      </c>
      <c r="L52" s="6">
        <f>IF(L47="",0,VLOOKUP(L47,Depreciation!$A$2:$C$58,$A52,FALSE))</f>
        <v>1</v>
      </c>
    </row>
    <row r="53" spans="1:12" ht="18.75" customHeight="1">
      <c r="A53" s="30"/>
      <c r="B53" s="31" t="s">
        <v>2</v>
      </c>
      <c r="C53" s="7">
        <f>Input!B$3</f>
        <v>0.38665999999999995</v>
      </c>
      <c r="D53" s="7">
        <f>Input!C$3</f>
        <v>0.38665999999999995</v>
      </c>
      <c r="E53" s="7">
        <f>Input!D$3</f>
        <v>0.38665999999999995</v>
      </c>
      <c r="F53" s="7">
        <f>Input!E$3</f>
        <v>0.38665999999999995</v>
      </c>
      <c r="G53" s="7">
        <f>Input!F$3</f>
        <v>0.38665999999999995</v>
      </c>
      <c r="H53" s="7">
        <f>Input!G$3</f>
        <v>0.38665999999999995</v>
      </c>
      <c r="I53" s="7">
        <f>Input!H$3</f>
        <v>0.38665999999999995</v>
      </c>
      <c r="J53" s="7">
        <f>Input!I$3</f>
        <v>0.38665999999999995</v>
      </c>
      <c r="K53" s="7">
        <f>Input!J$3</f>
        <v>0.38665999999999995</v>
      </c>
      <c r="L53" s="7">
        <f>Input!K$3</f>
        <v>0.38665999999999995</v>
      </c>
    </row>
    <row r="54" spans="2:12" ht="18.75" customHeight="1">
      <c r="B54" s="2" t="s">
        <v>3</v>
      </c>
      <c r="C54" s="170">
        <f>SUM($C65:C65)</f>
        <v>847209.85688767</v>
      </c>
      <c r="D54" s="170">
        <f>SUM($C65:D65)</f>
        <v>4840247.67688767</v>
      </c>
      <c r="E54" s="170">
        <f>SUM($C65:E65)</f>
        <v>8646142.05688767</v>
      </c>
      <c r="F54" s="170">
        <f>SUM($C65:F65)</f>
        <v>11360495.256887669</v>
      </c>
      <c r="G54" s="170">
        <f>SUM($C65:G65)</f>
        <v>19665178.736887667</v>
      </c>
      <c r="H54" s="170">
        <f>SUM($C65:H65)</f>
        <v>29902388.896887667</v>
      </c>
      <c r="I54" s="170">
        <f>SUM($C65:I65)</f>
        <v>34193928.23688766</v>
      </c>
      <c r="J54" s="170">
        <f>SUM($C65:J65)</f>
        <v>34193928.23688766</v>
      </c>
      <c r="K54" s="170">
        <f>SUM($C65:K65)</f>
        <v>34193928.23688766</v>
      </c>
      <c r="L54" s="170">
        <f>SUM($C65:L65)</f>
        <v>34193928.23688766</v>
      </c>
    </row>
    <row r="55" spans="2:12" ht="18.75" customHeight="1">
      <c r="B55" s="2" t="s">
        <v>4</v>
      </c>
      <c r="C55" s="170">
        <f>SUM($C57:C57)</f>
        <v>0</v>
      </c>
      <c r="D55" s="170">
        <f>SUM($C57:D57)</f>
        <v>0</v>
      </c>
      <c r="E55" s="170">
        <f>SUM($C57:E57)</f>
        <v>0</v>
      </c>
      <c r="F55" s="170">
        <f>SUM($C57:F57)</f>
        <v>0</v>
      </c>
      <c r="G55" s="170">
        <f>SUM($C57:G57)</f>
        <v>0</v>
      </c>
      <c r="H55" s="170">
        <f>SUM($C57:H57)</f>
        <v>0</v>
      </c>
      <c r="I55" s="170">
        <f>SUM($C57:I57)</f>
        <v>0</v>
      </c>
      <c r="J55" s="170">
        <f>SUM($C57:J57)</f>
        <v>0</v>
      </c>
      <c r="K55" s="170">
        <f>SUM($C57:K57)</f>
        <v>0</v>
      </c>
      <c r="L55" s="170">
        <f>SUM($C57:L57)</f>
        <v>0</v>
      </c>
    </row>
    <row r="56" spans="2:12" ht="18.75" customHeight="1">
      <c r="B56" s="11" t="s">
        <v>5</v>
      </c>
      <c r="C56" s="170">
        <f>C49</f>
        <v>2191097.7522569443</v>
      </c>
      <c r="D56" s="170">
        <f>C56+D49</f>
        <v>12518097.752256945</v>
      </c>
      <c r="E56" s="170">
        <f aca="true" t="shared" si="22" ref="E56:L56">D56+E49</f>
        <v>22361097.752256945</v>
      </c>
      <c r="F56" s="170">
        <f t="shared" si="22"/>
        <v>29381097.752256945</v>
      </c>
      <c r="G56" s="170">
        <f t="shared" si="22"/>
        <v>50859097.752256945</v>
      </c>
      <c r="H56" s="170">
        <f t="shared" si="22"/>
        <v>77335097.75225694</v>
      </c>
      <c r="I56" s="170">
        <f t="shared" si="22"/>
        <v>88434097.75225694</v>
      </c>
      <c r="J56" s="170">
        <f t="shared" si="22"/>
        <v>88434097.75225694</v>
      </c>
      <c r="K56" s="170">
        <f t="shared" si="22"/>
        <v>88434097.75225694</v>
      </c>
      <c r="L56" s="170">
        <f t="shared" si="22"/>
        <v>88434097.75225694</v>
      </c>
    </row>
    <row r="57" spans="1:12" ht="18.75" customHeight="1">
      <c r="A57" s="214" t="s">
        <v>372</v>
      </c>
      <c r="B57" s="11" t="s">
        <v>6</v>
      </c>
      <c r="C57" s="170">
        <f aca="true" t="shared" si="23" ref="C57:L57">IF(C47=1,(12.5-VLOOKUP(C45,$Q$5:$R$16,2,))*C51/12*C56,C56*C51)</f>
        <v>0</v>
      </c>
      <c r="D57" s="170">
        <f t="shared" si="23"/>
        <v>0</v>
      </c>
      <c r="E57" s="170">
        <f t="shared" si="23"/>
        <v>0</v>
      </c>
      <c r="F57" s="170">
        <f t="shared" si="23"/>
        <v>0</v>
      </c>
      <c r="G57" s="170">
        <f t="shared" si="23"/>
        <v>0</v>
      </c>
      <c r="H57" s="170">
        <f t="shared" si="23"/>
        <v>0</v>
      </c>
      <c r="I57" s="170">
        <f t="shared" si="23"/>
        <v>0</v>
      </c>
      <c r="J57" s="170">
        <f t="shared" si="23"/>
        <v>0</v>
      </c>
      <c r="K57" s="170">
        <f t="shared" si="23"/>
        <v>0</v>
      </c>
      <c r="L57" s="170">
        <f t="shared" si="23"/>
        <v>0</v>
      </c>
    </row>
    <row r="58" spans="2:12" ht="18.75" customHeight="1">
      <c r="B58" s="5" t="s">
        <v>7</v>
      </c>
      <c r="C58" s="170">
        <f>C49</f>
        <v>2191097.7522569443</v>
      </c>
      <c r="D58" s="170">
        <f aca="true" t="shared" si="24" ref="D58:L58">C58+D49</f>
        <v>12518097.752256945</v>
      </c>
      <c r="E58" s="170">
        <f t="shared" si="24"/>
        <v>22361097.752256945</v>
      </c>
      <c r="F58" s="170">
        <f t="shared" si="24"/>
        <v>29381097.752256945</v>
      </c>
      <c r="G58" s="170">
        <f t="shared" si="24"/>
        <v>50859097.752256945</v>
      </c>
      <c r="H58" s="170">
        <f t="shared" si="24"/>
        <v>77335097.75225694</v>
      </c>
      <c r="I58" s="170">
        <f t="shared" si="24"/>
        <v>88434097.75225694</v>
      </c>
      <c r="J58" s="170">
        <f t="shared" si="24"/>
        <v>88434097.75225694</v>
      </c>
      <c r="K58" s="170">
        <f t="shared" si="24"/>
        <v>88434097.75225694</v>
      </c>
      <c r="L58" s="170">
        <f t="shared" si="24"/>
        <v>88434097.75225694</v>
      </c>
    </row>
    <row r="59" spans="2:12" ht="18.75" customHeight="1">
      <c r="B59" s="213" t="s">
        <v>361</v>
      </c>
      <c r="C59" s="170">
        <f>IF(C47=1,IF($A57="Bonus",SUM($C49:C49)*VLOOKUP(C46,Depreciation!$D$41:$E$50,2),0),0)</f>
        <v>0</v>
      </c>
      <c r="D59" s="170">
        <f>IF(D47=1,IF($A57="Bonus",SUM($C49:D49)*VLOOKUP(D46,Depreciation!$D$41:$E$50,2),0),0)</f>
        <v>0</v>
      </c>
      <c r="E59" s="170">
        <f>IF(E47=1,IF($A57="Bonus",SUM($C49:E49)*VLOOKUP(E46,Depreciation!$D$41:$E$50,2),0),0)</f>
        <v>0</v>
      </c>
      <c r="F59" s="170">
        <f>IF(F47=1,IF($A57="Bonus",SUM($C49:F49)*VLOOKUP(F46,Depreciation!$D$41:$E$50,2),0),0)</f>
        <v>0</v>
      </c>
      <c r="G59" s="170">
        <f>IF(G47=1,IF($A57="Bonus",SUM($C49:G49)*VLOOKUP(G46,Depreciation!$D$41:$E$50,2),0),0)</f>
        <v>0</v>
      </c>
      <c r="H59" s="170">
        <f>IF(H47=1,IF($A57="Bonus",SUM($C49:H49)*VLOOKUP(H46,Depreciation!$D$41:$E$50,2),0),0)</f>
        <v>0</v>
      </c>
      <c r="I59" s="170">
        <f>IF(I47=1,IF($A57="Bonus",SUM($C49:I49)*VLOOKUP(I46,Depreciation!$D$41:$E$50,2),0),0)</f>
        <v>0</v>
      </c>
      <c r="J59" s="170">
        <f>IF(J47=1,IF($A57="Bonus",SUM($C49:J49)*VLOOKUP(J46,Depreciation!$D$41:$E$50,2),0),0)</f>
        <v>0</v>
      </c>
      <c r="K59" s="170">
        <f>IF(K47=1,IF($A57="Bonus",SUM($C49:K49)*VLOOKUP(K46,Depreciation!$D$41:$E$50,2),0),0)</f>
        <v>0</v>
      </c>
      <c r="L59" s="170">
        <f>IF(L47=1,IF($A57="Bonus",SUM($C49:L49)*VLOOKUP(L46,Depreciation!$D$41:$E$50,2),0),0)</f>
        <v>0</v>
      </c>
    </row>
    <row r="60" spans="2:12" ht="18.75" customHeight="1">
      <c r="B60" s="5" t="s">
        <v>362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2:12" ht="18.75" customHeight="1">
      <c r="B61" s="5" t="s">
        <v>17</v>
      </c>
      <c r="C61" s="7">
        <f>Input!J$31</f>
        <v>0.10152297909805327</v>
      </c>
      <c r="D61" s="7">
        <f>Input!K$31</f>
        <v>0.10152297909805327</v>
      </c>
      <c r="E61" s="7">
        <f>Input!L$31</f>
        <v>0.10152297909805327</v>
      </c>
      <c r="F61" s="7">
        <f>Input!M$31</f>
        <v>0.10152297909805327</v>
      </c>
      <c r="G61" s="7">
        <f>Input!N$31</f>
        <v>0.10152297909805327</v>
      </c>
      <c r="H61" s="7">
        <f>Input!O$31</f>
        <v>0.10152297909805327</v>
      </c>
      <c r="I61" s="7">
        <f>Input!P$31</f>
        <v>0.10152297909805327</v>
      </c>
      <c r="J61" s="7">
        <f>Input!Q$31</f>
        <v>0.10152297909805327</v>
      </c>
      <c r="K61" s="7">
        <f>Input!R$31</f>
        <v>0.10152297909805327</v>
      </c>
      <c r="L61" s="7">
        <f>Input!S$31</f>
        <v>0.10152297909805327</v>
      </c>
    </row>
    <row r="62" spans="2:12" ht="18.75" customHeight="1">
      <c r="B62" s="5" t="s">
        <v>8</v>
      </c>
      <c r="C62" s="181">
        <f aca="true" t="shared" si="25" ref="C62:L62">C57</f>
        <v>0</v>
      </c>
      <c r="D62" s="181">
        <f t="shared" si="25"/>
        <v>0</v>
      </c>
      <c r="E62" s="181">
        <f t="shared" si="25"/>
        <v>0</v>
      </c>
      <c r="F62" s="181">
        <f t="shared" si="25"/>
        <v>0</v>
      </c>
      <c r="G62" s="181">
        <f t="shared" si="25"/>
        <v>0</v>
      </c>
      <c r="H62" s="181">
        <f t="shared" si="25"/>
        <v>0</v>
      </c>
      <c r="I62" s="181">
        <f t="shared" si="25"/>
        <v>0</v>
      </c>
      <c r="J62" s="181">
        <f t="shared" si="25"/>
        <v>0</v>
      </c>
      <c r="K62" s="181">
        <f t="shared" si="25"/>
        <v>0</v>
      </c>
      <c r="L62" s="181">
        <f t="shared" si="25"/>
        <v>0</v>
      </c>
    </row>
    <row r="63" spans="2:12" ht="18.75" customHeight="1">
      <c r="B63" s="11" t="s">
        <v>364</v>
      </c>
      <c r="C63" s="181">
        <f>C49*C52</f>
        <v>2191097.7522569443</v>
      </c>
      <c r="D63" s="181">
        <f aca="true" t="shared" si="26" ref="D63:L63">D49*D52</f>
        <v>10327000</v>
      </c>
      <c r="E63" s="181">
        <f t="shared" si="26"/>
        <v>9843000</v>
      </c>
      <c r="F63" s="181">
        <f t="shared" si="26"/>
        <v>7020000</v>
      </c>
      <c r="G63" s="181">
        <f t="shared" si="26"/>
        <v>21478000</v>
      </c>
      <c r="H63" s="181">
        <f t="shared" si="26"/>
        <v>26476000</v>
      </c>
      <c r="I63" s="181">
        <f t="shared" si="26"/>
        <v>11099000</v>
      </c>
      <c r="J63" s="181">
        <f t="shared" si="26"/>
        <v>0</v>
      </c>
      <c r="K63" s="181">
        <f t="shared" si="26"/>
        <v>0</v>
      </c>
      <c r="L63" s="181">
        <f t="shared" si="26"/>
        <v>0</v>
      </c>
    </row>
    <row r="64" spans="2:12" ht="18.75" customHeight="1">
      <c r="B64" s="3" t="s">
        <v>9</v>
      </c>
      <c r="C64" s="8">
        <f>Input!$B$6</f>
        <v>0.0015</v>
      </c>
      <c r="D64" s="8">
        <f aca="true" t="shared" si="27" ref="D64:I64">C64</f>
        <v>0.0015</v>
      </c>
      <c r="E64" s="8">
        <f t="shared" si="27"/>
        <v>0.0015</v>
      </c>
      <c r="F64" s="8">
        <f t="shared" si="27"/>
        <v>0.0015</v>
      </c>
      <c r="G64" s="8">
        <f t="shared" si="27"/>
        <v>0.0015</v>
      </c>
      <c r="H64" s="8">
        <f t="shared" si="27"/>
        <v>0.0015</v>
      </c>
      <c r="I64" s="8">
        <f t="shared" si="27"/>
        <v>0.0015</v>
      </c>
      <c r="J64" s="8">
        <f>I64</f>
        <v>0.0015</v>
      </c>
      <c r="K64" s="8">
        <f>J64</f>
        <v>0.0015</v>
      </c>
      <c r="L64" s="8">
        <f>K64</f>
        <v>0.0015</v>
      </c>
    </row>
    <row r="65" spans="2:12" ht="18.75" customHeight="1">
      <c r="B65" s="102" t="s">
        <v>363</v>
      </c>
      <c r="C65" s="171">
        <f aca="true" t="shared" si="28" ref="C65:L65">(C63-C62)*C53</f>
        <v>847209.85688767</v>
      </c>
      <c r="D65" s="171">
        <f t="shared" si="28"/>
        <v>3993037.8199999994</v>
      </c>
      <c r="E65" s="171">
        <f t="shared" si="28"/>
        <v>3805894.3799999994</v>
      </c>
      <c r="F65" s="171">
        <f t="shared" si="28"/>
        <v>2714353.1999999997</v>
      </c>
      <c r="G65" s="171">
        <f t="shared" si="28"/>
        <v>8304683.479999999</v>
      </c>
      <c r="H65" s="171">
        <f t="shared" si="28"/>
        <v>10237210.159999998</v>
      </c>
      <c r="I65" s="171">
        <f t="shared" si="28"/>
        <v>4291539.34</v>
      </c>
      <c r="J65" s="171">
        <f t="shared" si="28"/>
        <v>0</v>
      </c>
      <c r="K65" s="171">
        <f t="shared" si="28"/>
        <v>0</v>
      </c>
      <c r="L65" s="171">
        <f t="shared" si="28"/>
        <v>0</v>
      </c>
    </row>
    <row r="66" spans="2:12" ht="18.75" customHeight="1">
      <c r="B66" s="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8.75" customHeight="1">
      <c r="B67" s="10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8.75" customHeight="1">
      <c r="B68" s="5" t="s">
        <v>16</v>
      </c>
      <c r="C68" s="169">
        <f aca="true" t="shared" si="29" ref="C68:L68">C50</f>
        <v>2191097.7522569443</v>
      </c>
      <c r="D68" s="169">
        <f t="shared" si="29"/>
        <v>12518097.752256945</v>
      </c>
      <c r="E68" s="169">
        <f t="shared" si="29"/>
        <v>22361097.752256945</v>
      </c>
      <c r="F68" s="169">
        <f t="shared" si="29"/>
        <v>29381097.752256945</v>
      </c>
      <c r="G68" s="169">
        <f t="shared" si="29"/>
        <v>50859097.752256945</v>
      </c>
      <c r="H68" s="169">
        <f t="shared" si="29"/>
        <v>77335097.75225694</v>
      </c>
      <c r="I68" s="169">
        <f t="shared" si="29"/>
        <v>88434097.75225694</v>
      </c>
      <c r="J68" s="169">
        <f t="shared" si="29"/>
        <v>88434097.75225694</v>
      </c>
      <c r="K68" s="169">
        <f t="shared" si="29"/>
        <v>88434097.75225694</v>
      </c>
      <c r="L68" s="169">
        <f t="shared" si="29"/>
        <v>88434097.75225694</v>
      </c>
    </row>
    <row r="69" spans="1:12" ht="18.75" customHeight="1">
      <c r="A69" s="3"/>
      <c r="B69" s="4" t="s">
        <v>44</v>
      </c>
      <c r="C69" s="170">
        <v>0</v>
      </c>
      <c r="D69" s="170">
        <f aca="true" t="shared" si="30" ref="D69:L69">C69</f>
        <v>0</v>
      </c>
      <c r="E69" s="170">
        <f t="shared" si="30"/>
        <v>0</v>
      </c>
      <c r="F69" s="170">
        <f t="shared" si="30"/>
        <v>0</v>
      </c>
      <c r="G69" s="170">
        <f t="shared" si="30"/>
        <v>0</v>
      </c>
      <c r="H69" s="170">
        <f t="shared" si="30"/>
        <v>0</v>
      </c>
      <c r="I69" s="170">
        <f t="shared" si="30"/>
        <v>0</v>
      </c>
      <c r="J69" s="170">
        <f t="shared" si="30"/>
        <v>0</v>
      </c>
      <c r="K69" s="170">
        <f t="shared" si="30"/>
        <v>0</v>
      </c>
      <c r="L69" s="170">
        <f t="shared" si="30"/>
        <v>0</v>
      </c>
    </row>
    <row r="70" spans="2:12" ht="18.75" customHeight="1">
      <c r="B70" s="2" t="s">
        <v>10</v>
      </c>
      <c r="C70" s="170">
        <f aca="true" t="shared" si="31" ref="C70:L70">-C55</f>
        <v>0</v>
      </c>
      <c r="D70" s="170">
        <f t="shared" si="31"/>
        <v>0</v>
      </c>
      <c r="E70" s="170">
        <f t="shared" si="31"/>
        <v>0</v>
      </c>
      <c r="F70" s="170">
        <f t="shared" si="31"/>
        <v>0</v>
      </c>
      <c r="G70" s="170">
        <f t="shared" si="31"/>
        <v>0</v>
      </c>
      <c r="H70" s="170">
        <f t="shared" si="31"/>
        <v>0</v>
      </c>
      <c r="I70" s="170">
        <f t="shared" si="31"/>
        <v>0</v>
      </c>
      <c r="J70" s="170">
        <f t="shared" si="31"/>
        <v>0</v>
      </c>
      <c r="K70" s="170">
        <f t="shared" si="31"/>
        <v>0</v>
      </c>
      <c r="L70" s="170">
        <f t="shared" si="31"/>
        <v>0</v>
      </c>
    </row>
    <row r="71" spans="2:12" ht="18.75" customHeight="1">
      <c r="B71" s="2" t="s">
        <v>45</v>
      </c>
      <c r="C71" s="170">
        <v>0</v>
      </c>
      <c r="D71" s="170">
        <f aca="true" t="shared" si="32" ref="D71:L71">C71</f>
        <v>0</v>
      </c>
      <c r="E71" s="170">
        <f t="shared" si="32"/>
        <v>0</v>
      </c>
      <c r="F71" s="170">
        <f t="shared" si="32"/>
        <v>0</v>
      </c>
      <c r="G71" s="170">
        <f t="shared" si="32"/>
        <v>0</v>
      </c>
      <c r="H71" s="170">
        <f t="shared" si="32"/>
        <v>0</v>
      </c>
      <c r="I71" s="170">
        <f t="shared" si="32"/>
        <v>0</v>
      </c>
      <c r="J71" s="170">
        <f t="shared" si="32"/>
        <v>0</v>
      </c>
      <c r="K71" s="170">
        <f t="shared" si="32"/>
        <v>0</v>
      </c>
      <c r="L71" s="170">
        <f t="shared" si="32"/>
        <v>0</v>
      </c>
    </row>
    <row r="72" spans="2:12" ht="18.75" customHeight="1">
      <c r="B72" s="2" t="s">
        <v>46</v>
      </c>
      <c r="C72" s="170">
        <f aca="true" t="shared" si="33" ref="C72:L72">-C54</f>
        <v>-847209.85688767</v>
      </c>
      <c r="D72" s="170">
        <f t="shared" si="33"/>
        <v>-4840247.67688767</v>
      </c>
      <c r="E72" s="170">
        <f t="shared" si="33"/>
        <v>-8646142.05688767</v>
      </c>
      <c r="F72" s="170">
        <f t="shared" si="33"/>
        <v>-11360495.256887669</v>
      </c>
      <c r="G72" s="170">
        <f t="shared" si="33"/>
        <v>-19665178.736887667</v>
      </c>
      <c r="H72" s="170">
        <f t="shared" si="33"/>
        <v>-29902388.896887667</v>
      </c>
      <c r="I72" s="170">
        <f t="shared" si="33"/>
        <v>-34193928.23688766</v>
      </c>
      <c r="J72" s="170">
        <f t="shared" si="33"/>
        <v>-34193928.23688766</v>
      </c>
      <c r="K72" s="170">
        <f t="shared" si="33"/>
        <v>-34193928.23688766</v>
      </c>
      <c r="L72" s="170">
        <f t="shared" si="33"/>
        <v>-34193928.23688766</v>
      </c>
    </row>
    <row r="73" spans="2:12" ht="18.75" customHeight="1">
      <c r="B73" s="2" t="s">
        <v>47</v>
      </c>
      <c r="C73" s="170">
        <v>0</v>
      </c>
      <c r="D73" s="170">
        <f aca="true" t="shared" si="34" ref="D73:L73">C73</f>
        <v>0</v>
      </c>
      <c r="E73" s="170">
        <f t="shared" si="34"/>
        <v>0</v>
      </c>
      <c r="F73" s="170">
        <f t="shared" si="34"/>
        <v>0</v>
      </c>
      <c r="G73" s="170">
        <f t="shared" si="34"/>
        <v>0</v>
      </c>
      <c r="H73" s="170">
        <f t="shared" si="34"/>
        <v>0</v>
      </c>
      <c r="I73" s="170">
        <f t="shared" si="34"/>
        <v>0</v>
      </c>
      <c r="J73" s="170">
        <f t="shared" si="34"/>
        <v>0</v>
      </c>
      <c r="K73" s="170">
        <f t="shared" si="34"/>
        <v>0</v>
      </c>
      <c r="L73" s="170">
        <f t="shared" si="34"/>
        <v>0</v>
      </c>
    </row>
    <row r="74" spans="2:12" ht="18.75" customHeight="1">
      <c r="B74" s="2" t="s">
        <v>11</v>
      </c>
      <c r="C74" s="170">
        <f aca="true" t="shared" si="35" ref="C74:L74">SUM(C68:C73)</f>
        <v>1343887.8953692743</v>
      </c>
      <c r="D74" s="170">
        <f t="shared" si="35"/>
        <v>7677850.075369275</v>
      </c>
      <c r="E74" s="170">
        <f t="shared" si="35"/>
        <v>13714955.695369275</v>
      </c>
      <c r="F74" s="170">
        <f t="shared" si="35"/>
        <v>18020602.495369278</v>
      </c>
      <c r="G74" s="170">
        <f t="shared" si="35"/>
        <v>31193919.015369277</v>
      </c>
      <c r="H74" s="170">
        <f t="shared" si="35"/>
        <v>47432708.85536928</v>
      </c>
      <c r="I74" s="170">
        <f t="shared" si="35"/>
        <v>54240169.51536928</v>
      </c>
      <c r="J74" s="170">
        <f t="shared" si="35"/>
        <v>54240169.51536928</v>
      </c>
      <c r="K74" s="170">
        <f t="shared" si="35"/>
        <v>54240169.51536928</v>
      </c>
      <c r="L74" s="170">
        <f t="shared" si="35"/>
        <v>54240169.51536928</v>
      </c>
    </row>
    <row r="75" spans="2:12" ht="18.75" customHeight="1">
      <c r="B75" s="2" t="s">
        <v>12</v>
      </c>
      <c r="C75" s="7">
        <f aca="true" t="shared" si="36" ref="C75:L75">C61</f>
        <v>0.10152297909805327</v>
      </c>
      <c r="D75" s="7">
        <f t="shared" si="36"/>
        <v>0.10152297909805327</v>
      </c>
      <c r="E75" s="7">
        <f t="shared" si="36"/>
        <v>0.10152297909805327</v>
      </c>
      <c r="F75" s="7">
        <f t="shared" si="36"/>
        <v>0.10152297909805327</v>
      </c>
      <c r="G75" s="7">
        <f t="shared" si="36"/>
        <v>0.10152297909805327</v>
      </c>
      <c r="H75" s="7">
        <f t="shared" si="36"/>
        <v>0.10152297909805327</v>
      </c>
      <c r="I75" s="7">
        <f t="shared" si="36"/>
        <v>0.10152297909805327</v>
      </c>
      <c r="J75" s="7">
        <f t="shared" si="36"/>
        <v>0.10152297909805327</v>
      </c>
      <c r="K75" s="7">
        <f t="shared" si="36"/>
        <v>0.10152297909805327</v>
      </c>
      <c r="L75" s="7">
        <f t="shared" si="36"/>
        <v>0.10152297909805327</v>
      </c>
    </row>
    <row r="76" spans="2:12" ht="18.75" customHeight="1">
      <c r="B76" s="34" t="s">
        <v>58</v>
      </c>
      <c r="C76" s="174">
        <f aca="true" t="shared" si="37" ref="C76:L76">C74*C75</f>
        <v>136435.50271170164</v>
      </c>
      <c r="D76" s="174">
        <f t="shared" si="37"/>
        <v>779478.2127197017</v>
      </c>
      <c r="E76" s="174">
        <f t="shared" si="37"/>
        <v>1392383.1603917016</v>
      </c>
      <c r="F76" s="174">
        <f t="shared" si="37"/>
        <v>1829505.2504717018</v>
      </c>
      <c r="G76" s="174">
        <f t="shared" si="37"/>
        <v>3166899.5881837015</v>
      </c>
      <c r="H76" s="174">
        <f t="shared" si="37"/>
        <v>4815509.909687702</v>
      </c>
      <c r="I76" s="174">
        <f t="shared" si="37"/>
        <v>5506623.595983702</v>
      </c>
      <c r="J76" s="174">
        <f t="shared" si="37"/>
        <v>5506623.595983702</v>
      </c>
      <c r="K76" s="174">
        <f t="shared" si="37"/>
        <v>5506623.595983702</v>
      </c>
      <c r="L76" s="174">
        <f t="shared" si="37"/>
        <v>5506623.595983702</v>
      </c>
    </row>
    <row r="77" spans="1:12" ht="18.75" customHeight="1">
      <c r="A77" s="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3" ht="18.75" customHeight="1">
      <c r="B78" s="1" t="s">
        <v>52</v>
      </c>
      <c r="C78" s="170">
        <v>0</v>
      </c>
      <c r="D78" s="170">
        <v>0</v>
      </c>
      <c r="E78" s="170">
        <v>0</v>
      </c>
      <c r="F78" s="170">
        <v>0</v>
      </c>
      <c r="G78" s="170">
        <v>0</v>
      </c>
      <c r="H78" s="170">
        <v>0</v>
      </c>
      <c r="I78" s="170">
        <v>0</v>
      </c>
      <c r="J78" s="170">
        <v>0</v>
      </c>
      <c r="K78" s="170">
        <v>0</v>
      </c>
      <c r="L78" s="170">
        <v>0</v>
      </c>
      <c r="M78" s="170"/>
    </row>
    <row r="79" spans="2:12" ht="18.75" customHeight="1">
      <c r="B79" s="2" t="s">
        <v>48</v>
      </c>
      <c r="C79" s="170">
        <f aca="true" t="shared" si="38" ref="C79:L79">C62</f>
        <v>0</v>
      </c>
      <c r="D79" s="170">
        <f t="shared" si="38"/>
        <v>0</v>
      </c>
      <c r="E79" s="170">
        <f t="shared" si="38"/>
        <v>0</v>
      </c>
      <c r="F79" s="170">
        <f t="shared" si="38"/>
        <v>0</v>
      </c>
      <c r="G79" s="170">
        <f t="shared" si="38"/>
        <v>0</v>
      </c>
      <c r="H79" s="170">
        <f t="shared" si="38"/>
        <v>0</v>
      </c>
      <c r="I79" s="170">
        <f t="shared" si="38"/>
        <v>0</v>
      </c>
      <c r="J79" s="170">
        <f t="shared" si="38"/>
        <v>0</v>
      </c>
      <c r="K79" s="170">
        <f t="shared" si="38"/>
        <v>0</v>
      </c>
      <c r="L79" s="170">
        <f t="shared" si="38"/>
        <v>0</v>
      </c>
    </row>
    <row r="80" spans="2:12" ht="18.75" customHeight="1">
      <c r="B80" s="2" t="s">
        <v>434</v>
      </c>
      <c r="C80" s="170">
        <v>0</v>
      </c>
      <c r="D80" s="170">
        <f aca="true" t="shared" si="39" ref="D80:L80">C80</f>
        <v>0</v>
      </c>
      <c r="E80" s="170">
        <f t="shared" si="39"/>
        <v>0</v>
      </c>
      <c r="F80" s="170">
        <f t="shared" si="39"/>
        <v>0</v>
      </c>
      <c r="G80" s="170">
        <f t="shared" si="39"/>
        <v>0</v>
      </c>
      <c r="H80" s="170">
        <f t="shared" si="39"/>
        <v>0</v>
      </c>
      <c r="I80" s="170">
        <f t="shared" si="39"/>
        <v>0</v>
      </c>
      <c r="J80" s="170">
        <f t="shared" si="39"/>
        <v>0</v>
      </c>
      <c r="K80" s="170">
        <f t="shared" si="39"/>
        <v>0</v>
      </c>
      <c r="L80" s="170">
        <f t="shared" si="39"/>
        <v>0</v>
      </c>
    </row>
    <row r="81" spans="2:12" ht="18.75" customHeight="1">
      <c r="B81" s="2" t="s">
        <v>50</v>
      </c>
      <c r="C81" s="170">
        <v>0</v>
      </c>
      <c r="D81" s="170">
        <f aca="true" t="shared" si="40" ref="D81:L81">D64*(C68+C70)</f>
        <v>3286.6466283854165</v>
      </c>
      <c r="E81" s="170">
        <f t="shared" si="40"/>
        <v>18777.146628385417</v>
      </c>
      <c r="F81" s="170">
        <f t="shared" si="40"/>
        <v>33541.64662838542</v>
      </c>
      <c r="G81" s="170">
        <f t="shared" si="40"/>
        <v>44071.64662838542</v>
      </c>
      <c r="H81" s="170">
        <f t="shared" si="40"/>
        <v>76288.64662838542</v>
      </c>
      <c r="I81" s="170">
        <f t="shared" si="40"/>
        <v>116002.64662838542</v>
      </c>
      <c r="J81" s="170">
        <f t="shared" si="40"/>
        <v>132651.1466283854</v>
      </c>
      <c r="K81" s="170">
        <f t="shared" si="40"/>
        <v>132651.1466283854</v>
      </c>
      <c r="L81" s="170">
        <f t="shared" si="40"/>
        <v>132651.1466283854</v>
      </c>
    </row>
    <row r="82" spans="2:12" ht="18.75" customHeight="1">
      <c r="B82" s="21" t="s">
        <v>51</v>
      </c>
      <c r="C82" s="174">
        <f aca="true" t="shared" si="41" ref="C82:L82">SUM(C78:C81)</f>
        <v>0</v>
      </c>
      <c r="D82" s="174">
        <f t="shared" si="41"/>
        <v>3286.6466283854165</v>
      </c>
      <c r="E82" s="174">
        <f t="shared" si="41"/>
        <v>18777.146628385417</v>
      </c>
      <c r="F82" s="174">
        <f t="shared" si="41"/>
        <v>33541.64662838542</v>
      </c>
      <c r="G82" s="174">
        <f t="shared" si="41"/>
        <v>44071.64662838542</v>
      </c>
      <c r="H82" s="174">
        <f t="shared" si="41"/>
        <v>76288.64662838542</v>
      </c>
      <c r="I82" s="174">
        <f t="shared" si="41"/>
        <v>116002.64662838542</v>
      </c>
      <c r="J82" s="174">
        <f t="shared" si="41"/>
        <v>132651.1466283854</v>
      </c>
      <c r="K82" s="174">
        <f t="shared" si="41"/>
        <v>132651.1466283854</v>
      </c>
      <c r="L82" s="174">
        <f t="shared" si="41"/>
        <v>132651.1466283854</v>
      </c>
    </row>
    <row r="83" spans="3:12" ht="18.75" customHeight="1">
      <c r="C83" s="34"/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t="18.75" customHeight="1">
      <c r="B84" s="1" t="s">
        <v>59</v>
      </c>
      <c r="C84" s="170">
        <f aca="true" t="shared" si="42" ref="C84:L84">C76+C82</f>
        <v>136435.50271170164</v>
      </c>
      <c r="D84" s="170">
        <f t="shared" si="42"/>
        <v>782764.8593480871</v>
      </c>
      <c r="E84" s="170">
        <f t="shared" si="42"/>
        <v>1411160.307020087</v>
      </c>
      <c r="F84" s="170">
        <f t="shared" si="42"/>
        <v>1863046.8971000873</v>
      </c>
      <c r="G84" s="170">
        <f t="shared" si="42"/>
        <v>3210971.234812087</v>
      </c>
      <c r="H84" s="170">
        <f t="shared" si="42"/>
        <v>4891798.556316087</v>
      </c>
      <c r="I84" s="170">
        <f t="shared" si="42"/>
        <v>5622626.242612087</v>
      </c>
      <c r="J84" s="170">
        <f t="shared" si="42"/>
        <v>5639274.742612087</v>
      </c>
      <c r="K84" s="170">
        <f t="shared" si="42"/>
        <v>5639274.742612087</v>
      </c>
      <c r="L84" s="170">
        <f t="shared" si="42"/>
        <v>5639274.742612087</v>
      </c>
    </row>
    <row r="87" spans="2:12" ht="18.75" customHeight="1">
      <c r="B87" s="11"/>
      <c r="C87" s="212" t="s">
        <v>257</v>
      </c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8.75" customHeight="1">
      <c r="A88" s="28"/>
      <c r="B88" s="28"/>
      <c r="C88" s="29">
        <f>C4</f>
        <v>2016</v>
      </c>
      <c r="D88" s="29">
        <f aca="true" t="shared" si="43" ref="D88:L89">C88+1</f>
        <v>2017</v>
      </c>
      <c r="E88" s="29">
        <f t="shared" si="43"/>
        <v>2018</v>
      </c>
      <c r="F88" s="29">
        <f t="shared" si="43"/>
        <v>2019</v>
      </c>
      <c r="G88" s="29">
        <f t="shared" si="43"/>
        <v>2020</v>
      </c>
      <c r="H88" s="29">
        <f t="shared" si="43"/>
        <v>2021</v>
      </c>
      <c r="I88" s="29">
        <f t="shared" si="43"/>
        <v>2022</v>
      </c>
      <c r="J88" s="29">
        <f t="shared" si="43"/>
        <v>2023</v>
      </c>
      <c r="K88" s="29">
        <f t="shared" si="43"/>
        <v>2024</v>
      </c>
      <c r="L88" s="29">
        <f t="shared" si="43"/>
        <v>2025</v>
      </c>
    </row>
    <row r="89" spans="1:12" ht="18.75" customHeight="1">
      <c r="A89" s="258">
        <v>2020</v>
      </c>
      <c r="B89" s="28" t="s">
        <v>43</v>
      </c>
      <c r="C89" s="209">
        <v>1</v>
      </c>
      <c r="D89" s="209">
        <f>C89+1</f>
        <v>2</v>
      </c>
      <c r="E89" s="209">
        <f t="shared" si="43"/>
        <v>3</v>
      </c>
      <c r="F89" s="209">
        <f t="shared" si="43"/>
        <v>4</v>
      </c>
      <c r="G89" s="209">
        <f t="shared" si="43"/>
        <v>5</v>
      </c>
      <c r="H89" s="209">
        <f t="shared" si="43"/>
        <v>6</v>
      </c>
      <c r="I89" s="209">
        <f t="shared" si="43"/>
        <v>7</v>
      </c>
      <c r="J89" s="209">
        <f t="shared" si="43"/>
        <v>8</v>
      </c>
      <c r="K89" s="209">
        <f t="shared" si="43"/>
        <v>9</v>
      </c>
      <c r="L89" s="209">
        <f t="shared" si="43"/>
        <v>10</v>
      </c>
    </row>
    <row r="90" spans="1:12" ht="18.75" customHeight="1">
      <c r="A90" s="3"/>
      <c r="B90" s="211" t="s">
        <v>338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8.75" customHeight="1">
      <c r="A91" s="60" t="s">
        <v>310</v>
      </c>
      <c r="B91" s="10" t="s">
        <v>410</v>
      </c>
      <c r="C91" s="172">
        <f>VLOOKUP(C$4,'Cash Flows-KU'!$B$60:$H$70,$A92)</f>
        <v>2718274.230178241</v>
      </c>
      <c r="D91" s="172">
        <f>VLOOKUP(D$4,'Cash Flows-KU'!$B$60:$H$70,$A92)</f>
        <v>20663000</v>
      </c>
      <c r="E91" s="172">
        <f>VLOOKUP(E$4,'Cash Flows-KU'!$B$60:$H$70,$A92)</f>
        <v>16221000</v>
      </c>
      <c r="F91" s="172">
        <f>VLOOKUP(F$4,'Cash Flows-KU'!$B$60:$H$70,$A92)</f>
        <v>23675000</v>
      </c>
      <c r="G91" s="172">
        <f>VLOOKUP(G$4,'Cash Flows-KU'!$B$60:$H$70,$A92)</f>
        <v>9874000</v>
      </c>
      <c r="H91" s="172">
        <f>VLOOKUP(H$4,'Cash Flows-KU'!$B$60:$H$70,$A92)</f>
        <v>0</v>
      </c>
      <c r="I91" s="172">
        <f>VLOOKUP(I$4,'Cash Flows-KU'!$B$60:$H$70,$A92)</f>
        <v>0</v>
      </c>
      <c r="J91" s="172">
        <f>VLOOKUP(J$4,'Cash Flows-KU'!$B$60:$H$70,$A92)</f>
        <v>0</v>
      </c>
      <c r="K91" s="172">
        <f>VLOOKUP(K$4,'Cash Flows-KU'!$B$60:$H$70,$A92)</f>
        <v>0</v>
      </c>
      <c r="L91" s="172">
        <f>VLOOKUP(L$4,'Cash Flows-KU'!$B$60:$H$70,$A92)</f>
        <v>0</v>
      </c>
    </row>
    <row r="92" spans="1:13" ht="18.75" customHeight="1">
      <c r="A92" s="3">
        <v>4</v>
      </c>
      <c r="B92" s="40" t="s">
        <v>57</v>
      </c>
      <c r="C92" s="172">
        <f>SUM($C91:C91)</f>
        <v>2718274.230178241</v>
      </c>
      <c r="D92" s="172">
        <f>SUM($C91:D91)</f>
        <v>23381274.23017824</v>
      </c>
      <c r="E92" s="172">
        <f>SUM($C91:E91)</f>
        <v>39602274.23017824</v>
      </c>
      <c r="F92" s="172">
        <f>SUM($C91:F91)</f>
        <v>63277274.23017824</v>
      </c>
      <c r="G92" s="172">
        <f>SUM($C91:G91)</f>
        <v>73151274.23017824</v>
      </c>
      <c r="H92" s="172">
        <f>SUM($C91:H91)</f>
        <v>73151274.23017824</v>
      </c>
      <c r="I92" s="172">
        <f>SUM($C91:I91)</f>
        <v>73151274.23017824</v>
      </c>
      <c r="J92" s="172">
        <f>SUM($C91:J91)</f>
        <v>73151274.23017824</v>
      </c>
      <c r="K92" s="172">
        <f>SUM($C91:K91)</f>
        <v>73151274.23017824</v>
      </c>
      <c r="L92" s="172">
        <f>SUM($C91:L91)</f>
        <v>73151274.23017824</v>
      </c>
      <c r="M92" s="18"/>
    </row>
    <row r="93" spans="1:12" ht="18.75" customHeight="1">
      <c r="A93" s="3">
        <v>2</v>
      </c>
      <c r="B93" s="5" t="s">
        <v>0</v>
      </c>
      <c r="C93" s="6">
        <f>IF(C89="",0,VLOOKUP($B90,Depreciation!$D$2:$E$31,$A93,FALSE))</f>
        <v>0</v>
      </c>
      <c r="D93" s="6">
        <f>IF(D89="",0,VLOOKUP($B90,Depreciation!$D$2:$E$31,$A93,FALSE))</f>
        <v>0</v>
      </c>
      <c r="E93" s="6">
        <f>IF(E89="",0,VLOOKUP($B90,Depreciation!$D$2:$E$31,$A93,FALSE))</f>
        <v>0</v>
      </c>
      <c r="F93" s="6">
        <f>IF(F89="",0,VLOOKUP($B90,Depreciation!$D$2:$E$31,$A93,FALSE))</f>
        <v>0</v>
      </c>
      <c r="G93" s="6">
        <f>IF(G89="",0,VLOOKUP($B90,Depreciation!$D$2:$E$31,$A93,FALSE))</f>
        <v>0</v>
      </c>
      <c r="H93" s="6">
        <f>IF(H89="",0,VLOOKUP($B90,Depreciation!$D$2:$E$31,$A93,FALSE))</f>
        <v>0</v>
      </c>
      <c r="I93" s="6">
        <f>IF(I89="",0,VLOOKUP($B90,Depreciation!$D$2:$E$31,$A93,FALSE))</f>
        <v>0</v>
      </c>
      <c r="J93" s="6">
        <f>IF(J89="",0,VLOOKUP($B90,Depreciation!$D$2:$E$31,$A93,FALSE))</f>
        <v>0</v>
      </c>
      <c r="K93" s="6">
        <f>IF(K89="",0,VLOOKUP($B90,Depreciation!$D$2:$E$31,$A93,FALSE))</f>
        <v>0</v>
      </c>
      <c r="L93" s="6">
        <f>IF(L89="",0,VLOOKUP($B90,Depreciation!$D$2:$E$31,$A93,FALSE))</f>
        <v>0</v>
      </c>
    </row>
    <row r="94" spans="1:12" ht="18.75" customHeight="1">
      <c r="A94" s="3">
        <v>3</v>
      </c>
      <c r="B94" s="5" t="s">
        <v>1</v>
      </c>
      <c r="C94" s="6">
        <f>IF(C89="",0,VLOOKUP(C89,Depreciation!$A$2:$C$58,$A94,FALSE))</f>
        <v>1</v>
      </c>
      <c r="D94" s="6">
        <f>IF(D89="",0,VLOOKUP(D89,Depreciation!$A$2:$C$58,$A94,FALSE))</f>
        <v>1</v>
      </c>
      <c r="E94" s="6">
        <f>IF(E89="",0,VLOOKUP(E89,Depreciation!$A$2:$C$58,$A94,FALSE))</f>
        <v>1</v>
      </c>
      <c r="F94" s="6">
        <f>IF(F89="",0,VLOOKUP(F89,Depreciation!$A$2:$C$58,$A94,FALSE))</f>
        <v>1</v>
      </c>
      <c r="G94" s="6">
        <f>IF(G89="",0,VLOOKUP(G89,Depreciation!$A$2:$C$58,$A94,FALSE))</f>
        <v>1</v>
      </c>
      <c r="H94" s="6">
        <f>IF(H89="",0,VLOOKUP(H89,Depreciation!$A$2:$C$58,$A94,FALSE))</f>
        <v>1</v>
      </c>
      <c r="I94" s="6">
        <f>IF(I89="",0,VLOOKUP(I89,Depreciation!$A$2:$C$58,$A94,FALSE))</f>
        <v>1</v>
      </c>
      <c r="J94" s="6">
        <f>IF(J89="",0,VLOOKUP(J89,Depreciation!$A$2:$C$58,$A94,FALSE))</f>
        <v>1</v>
      </c>
      <c r="K94" s="6">
        <f>IF(K89="",0,VLOOKUP(K89,Depreciation!$A$2:$C$58,$A94,FALSE))</f>
        <v>1</v>
      </c>
      <c r="L94" s="6">
        <f>IF(L89="",0,VLOOKUP(L89,Depreciation!$A$2:$C$58,$A94,FALSE))</f>
        <v>1</v>
      </c>
    </row>
    <row r="95" spans="1:12" ht="18.75" customHeight="1">
      <c r="A95" s="30"/>
      <c r="B95" s="31" t="s">
        <v>2</v>
      </c>
      <c r="C95" s="7">
        <f>Input!B$3</f>
        <v>0.38665999999999995</v>
      </c>
      <c r="D95" s="7">
        <f>Input!C$3</f>
        <v>0.38665999999999995</v>
      </c>
      <c r="E95" s="7">
        <f>Input!D$3</f>
        <v>0.38665999999999995</v>
      </c>
      <c r="F95" s="7">
        <f>Input!E$3</f>
        <v>0.38665999999999995</v>
      </c>
      <c r="G95" s="7">
        <f>Input!F$3</f>
        <v>0.38665999999999995</v>
      </c>
      <c r="H95" s="7">
        <f>Input!G$3</f>
        <v>0.38665999999999995</v>
      </c>
      <c r="I95" s="7">
        <f>Input!H$3</f>
        <v>0.38665999999999995</v>
      </c>
      <c r="J95" s="7">
        <f>Input!I$3</f>
        <v>0.38665999999999995</v>
      </c>
      <c r="K95" s="7">
        <f>Input!J$3</f>
        <v>0.38665999999999995</v>
      </c>
      <c r="L95" s="7">
        <f>Input!K$3</f>
        <v>0.38665999999999995</v>
      </c>
    </row>
    <row r="96" spans="2:12" ht="18.75" customHeight="1">
      <c r="B96" s="2" t="s">
        <v>3</v>
      </c>
      <c r="C96" s="170">
        <f>SUM($C107:C107)</f>
        <v>1051047.9138407186</v>
      </c>
      <c r="D96" s="170">
        <f>SUM($C107:D107)</f>
        <v>9040603.493840717</v>
      </c>
      <c r="E96" s="170">
        <f>SUM($C107:E107)</f>
        <v>15312615.353840716</v>
      </c>
      <c r="F96" s="170">
        <f>SUM($C107:F107)</f>
        <v>24466790.853840716</v>
      </c>
      <c r="G96" s="170">
        <f>SUM($C107:G107)</f>
        <v>28284671.693840716</v>
      </c>
      <c r="H96" s="170">
        <f>SUM($C107:H107)</f>
        <v>28284671.693840716</v>
      </c>
      <c r="I96" s="170">
        <f>SUM($C107:I107)</f>
        <v>28284671.693840716</v>
      </c>
      <c r="J96" s="170">
        <f>SUM($C107:J107)</f>
        <v>28284671.693840716</v>
      </c>
      <c r="K96" s="170">
        <f>SUM($C107:K107)</f>
        <v>28284671.693840716</v>
      </c>
      <c r="L96" s="170">
        <f>SUM($C107:L107)</f>
        <v>28284671.693840716</v>
      </c>
    </row>
    <row r="97" spans="2:12" ht="18.75" customHeight="1">
      <c r="B97" s="2" t="s">
        <v>4</v>
      </c>
      <c r="C97" s="170">
        <f>SUM($C99:C99)</f>
        <v>0</v>
      </c>
      <c r="D97" s="170">
        <f>SUM($C99:D99)</f>
        <v>0</v>
      </c>
      <c r="E97" s="170">
        <f>SUM($C99:E99)</f>
        <v>0</v>
      </c>
      <c r="F97" s="170">
        <f>SUM($C99:F99)</f>
        <v>0</v>
      </c>
      <c r="G97" s="170">
        <f>SUM($C99:G99)</f>
        <v>0</v>
      </c>
      <c r="H97" s="170">
        <f>SUM($C99:H99)</f>
        <v>0</v>
      </c>
      <c r="I97" s="170">
        <f>SUM($C99:I99)</f>
        <v>0</v>
      </c>
      <c r="J97" s="170">
        <f>SUM($C99:J99)</f>
        <v>0</v>
      </c>
      <c r="K97" s="170">
        <f>SUM($C99:K99)</f>
        <v>0</v>
      </c>
      <c r="L97" s="170">
        <f>SUM($C99:L99)</f>
        <v>0</v>
      </c>
    </row>
    <row r="98" spans="2:12" ht="18.75" customHeight="1">
      <c r="B98" s="11" t="s">
        <v>5</v>
      </c>
      <c r="C98" s="170">
        <f>C91</f>
        <v>2718274.230178241</v>
      </c>
      <c r="D98" s="170">
        <f>C98+D91</f>
        <v>23381274.23017824</v>
      </c>
      <c r="E98" s="170">
        <f aca="true" t="shared" si="44" ref="E98:L98">D98+E91</f>
        <v>39602274.23017824</v>
      </c>
      <c r="F98" s="170">
        <f t="shared" si="44"/>
        <v>63277274.23017824</v>
      </c>
      <c r="G98" s="170">
        <f t="shared" si="44"/>
        <v>73151274.23017824</v>
      </c>
      <c r="H98" s="170">
        <f t="shared" si="44"/>
        <v>73151274.23017824</v>
      </c>
      <c r="I98" s="170">
        <f t="shared" si="44"/>
        <v>73151274.23017824</v>
      </c>
      <c r="J98" s="170">
        <f t="shared" si="44"/>
        <v>73151274.23017824</v>
      </c>
      <c r="K98" s="170">
        <f t="shared" si="44"/>
        <v>73151274.23017824</v>
      </c>
      <c r="L98" s="170">
        <f t="shared" si="44"/>
        <v>73151274.23017824</v>
      </c>
    </row>
    <row r="99" spans="1:12" ht="18.75" customHeight="1">
      <c r="A99" s="214" t="s">
        <v>372</v>
      </c>
      <c r="B99" s="11" t="s">
        <v>6</v>
      </c>
      <c r="C99" s="170">
        <f aca="true" t="shared" si="45" ref="C99:L99">IF(C89=1,(12.5-VLOOKUP(C87,$Q$5:$R$16,2,))*C93/12*C98,C98*C93)</f>
        <v>0</v>
      </c>
      <c r="D99" s="170">
        <f t="shared" si="45"/>
        <v>0</v>
      </c>
      <c r="E99" s="170">
        <f t="shared" si="45"/>
        <v>0</v>
      </c>
      <c r="F99" s="170">
        <f t="shared" si="45"/>
        <v>0</v>
      </c>
      <c r="G99" s="170">
        <f t="shared" si="45"/>
        <v>0</v>
      </c>
      <c r="H99" s="170">
        <f t="shared" si="45"/>
        <v>0</v>
      </c>
      <c r="I99" s="170">
        <f t="shared" si="45"/>
        <v>0</v>
      </c>
      <c r="J99" s="170">
        <f t="shared" si="45"/>
        <v>0</v>
      </c>
      <c r="K99" s="170">
        <f t="shared" si="45"/>
        <v>0</v>
      </c>
      <c r="L99" s="170">
        <f t="shared" si="45"/>
        <v>0</v>
      </c>
    </row>
    <row r="100" spans="2:12" ht="18.75" customHeight="1">
      <c r="B100" s="5" t="s">
        <v>7</v>
      </c>
      <c r="C100" s="170">
        <f>C91</f>
        <v>2718274.230178241</v>
      </c>
      <c r="D100" s="170">
        <f aca="true" t="shared" si="46" ref="D100:L100">C100+D91</f>
        <v>23381274.23017824</v>
      </c>
      <c r="E100" s="170">
        <f t="shared" si="46"/>
        <v>39602274.23017824</v>
      </c>
      <c r="F100" s="170">
        <f t="shared" si="46"/>
        <v>63277274.23017824</v>
      </c>
      <c r="G100" s="170">
        <f t="shared" si="46"/>
        <v>73151274.23017824</v>
      </c>
      <c r="H100" s="170">
        <f t="shared" si="46"/>
        <v>73151274.23017824</v>
      </c>
      <c r="I100" s="170">
        <f t="shared" si="46"/>
        <v>73151274.23017824</v>
      </c>
      <c r="J100" s="170">
        <f t="shared" si="46"/>
        <v>73151274.23017824</v>
      </c>
      <c r="K100" s="170">
        <f t="shared" si="46"/>
        <v>73151274.23017824</v>
      </c>
      <c r="L100" s="170">
        <f t="shared" si="46"/>
        <v>73151274.23017824</v>
      </c>
    </row>
    <row r="101" spans="2:12" ht="18.75" customHeight="1">
      <c r="B101" s="213" t="s">
        <v>361</v>
      </c>
      <c r="C101" s="170">
        <f>IF(C89=1,IF($A99="Bonus",SUM($C91:C91)*VLOOKUP(C88,Depreciation!$D$41:$E$50,2),0),0)</f>
        <v>0</v>
      </c>
      <c r="D101" s="170">
        <f>IF(D89=1,IF($A99="Bonus",SUM($C91:D91)*VLOOKUP(D88,Depreciation!$D$41:$E$50,2),0),0)</f>
        <v>0</v>
      </c>
      <c r="E101" s="170">
        <f>IF(E89=1,IF($A99="Bonus",SUM($C91:E91)*VLOOKUP(E88,Depreciation!$D$41:$E$50,2),0),0)</f>
        <v>0</v>
      </c>
      <c r="F101" s="170">
        <f>IF(F89=1,IF($A99="Bonus",SUM($C91:F91)*VLOOKUP(F88,Depreciation!$D$41:$E$50,2),0),0)</f>
        <v>0</v>
      </c>
      <c r="G101" s="170">
        <f>IF(G89=1,IF($A99="Bonus",SUM($C91:G91)*VLOOKUP(G88,Depreciation!$D$41:$E$50,2),0),0)</f>
        <v>0</v>
      </c>
      <c r="H101" s="170">
        <f>IF(H89=1,IF($A99="Bonus",SUM($C91:H91)*VLOOKUP(H88,Depreciation!$D$41:$E$50,2),0),0)</f>
        <v>0</v>
      </c>
      <c r="I101" s="170">
        <f>IF(I89=1,IF($A99="Bonus",SUM($C91:I91)*VLOOKUP(I88,Depreciation!$D$41:$E$50,2),0),0)</f>
        <v>0</v>
      </c>
      <c r="J101" s="170">
        <f>IF(J89=1,IF($A99="Bonus",SUM($C91:J91)*VLOOKUP(J88,Depreciation!$D$41:$E$50,2),0),0)</f>
        <v>0</v>
      </c>
      <c r="K101" s="170">
        <f>IF(K89=1,IF($A99="Bonus",SUM($C91:K91)*VLOOKUP(K88,Depreciation!$D$41:$E$50,2),0),0)</f>
        <v>0</v>
      </c>
      <c r="L101" s="170">
        <f>IF(L89=1,IF($A99="Bonus",SUM($C91:L91)*VLOOKUP(L88,Depreciation!$D$41:$E$50,2),0),0)</f>
        <v>0</v>
      </c>
    </row>
    <row r="102" spans="2:12" ht="18.75" customHeight="1">
      <c r="B102" s="5" t="s">
        <v>362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</row>
    <row r="103" spans="2:12" ht="18.75" customHeight="1">
      <c r="B103" s="5" t="s">
        <v>17</v>
      </c>
      <c r="C103" s="7">
        <f>Input!J$31</f>
        <v>0.10152297909805327</v>
      </c>
      <c r="D103" s="7">
        <f>Input!K$31</f>
        <v>0.10152297909805327</v>
      </c>
      <c r="E103" s="7">
        <f>Input!L$31</f>
        <v>0.10152297909805327</v>
      </c>
      <c r="F103" s="7">
        <f>Input!M$31</f>
        <v>0.10152297909805327</v>
      </c>
      <c r="G103" s="7">
        <f>Input!N$31</f>
        <v>0.10152297909805327</v>
      </c>
      <c r="H103" s="7">
        <f>Input!O$31</f>
        <v>0.10152297909805327</v>
      </c>
      <c r="I103" s="7">
        <f>Input!P$31</f>
        <v>0.10152297909805327</v>
      </c>
      <c r="J103" s="7">
        <f>Input!Q$31</f>
        <v>0.10152297909805327</v>
      </c>
      <c r="K103" s="7">
        <f>Input!R$31</f>
        <v>0.10152297909805327</v>
      </c>
      <c r="L103" s="7">
        <f>Input!S$31</f>
        <v>0.10152297909805327</v>
      </c>
    </row>
    <row r="104" spans="2:12" ht="18.75" customHeight="1">
      <c r="B104" s="5" t="s">
        <v>8</v>
      </c>
      <c r="C104" s="181">
        <f aca="true" t="shared" si="47" ref="C104:L104">C99</f>
        <v>0</v>
      </c>
      <c r="D104" s="181">
        <f t="shared" si="47"/>
        <v>0</v>
      </c>
      <c r="E104" s="181">
        <f t="shared" si="47"/>
        <v>0</v>
      </c>
      <c r="F104" s="181">
        <f t="shared" si="47"/>
        <v>0</v>
      </c>
      <c r="G104" s="181">
        <f t="shared" si="47"/>
        <v>0</v>
      </c>
      <c r="H104" s="181">
        <f t="shared" si="47"/>
        <v>0</v>
      </c>
      <c r="I104" s="181">
        <f t="shared" si="47"/>
        <v>0</v>
      </c>
      <c r="J104" s="181">
        <f t="shared" si="47"/>
        <v>0</v>
      </c>
      <c r="K104" s="181">
        <f t="shared" si="47"/>
        <v>0</v>
      </c>
      <c r="L104" s="181">
        <f t="shared" si="47"/>
        <v>0</v>
      </c>
    </row>
    <row r="105" spans="2:12" ht="18.75" customHeight="1">
      <c r="B105" s="11" t="s">
        <v>364</v>
      </c>
      <c r="C105" s="181">
        <f>C91*C94</f>
        <v>2718274.230178241</v>
      </c>
      <c r="D105" s="181">
        <f aca="true" t="shared" si="48" ref="D105:L105">D91*D94</f>
        <v>20663000</v>
      </c>
      <c r="E105" s="181">
        <f t="shared" si="48"/>
        <v>16221000</v>
      </c>
      <c r="F105" s="181">
        <f t="shared" si="48"/>
        <v>23675000</v>
      </c>
      <c r="G105" s="181">
        <f t="shared" si="48"/>
        <v>9874000</v>
      </c>
      <c r="H105" s="181">
        <f t="shared" si="48"/>
        <v>0</v>
      </c>
      <c r="I105" s="181">
        <f t="shared" si="48"/>
        <v>0</v>
      </c>
      <c r="J105" s="181">
        <f t="shared" si="48"/>
        <v>0</v>
      </c>
      <c r="K105" s="181">
        <f t="shared" si="48"/>
        <v>0</v>
      </c>
      <c r="L105" s="181">
        <f t="shared" si="48"/>
        <v>0</v>
      </c>
    </row>
    <row r="106" spans="2:12" ht="18.75" customHeight="1">
      <c r="B106" s="3" t="s">
        <v>9</v>
      </c>
      <c r="C106" s="8">
        <f>Input!$B$6</f>
        <v>0.0015</v>
      </c>
      <c r="D106" s="8">
        <f aca="true" t="shared" si="49" ref="D106:I106">C106</f>
        <v>0.0015</v>
      </c>
      <c r="E106" s="8">
        <f t="shared" si="49"/>
        <v>0.0015</v>
      </c>
      <c r="F106" s="8">
        <f t="shared" si="49"/>
        <v>0.0015</v>
      </c>
      <c r="G106" s="8">
        <f t="shared" si="49"/>
        <v>0.0015</v>
      </c>
      <c r="H106" s="8">
        <f t="shared" si="49"/>
        <v>0.0015</v>
      </c>
      <c r="I106" s="8">
        <f t="shared" si="49"/>
        <v>0.0015</v>
      </c>
      <c r="J106" s="8">
        <f>I106</f>
        <v>0.0015</v>
      </c>
      <c r="K106" s="8">
        <f>J106</f>
        <v>0.0015</v>
      </c>
      <c r="L106" s="8">
        <f>K106</f>
        <v>0.0015</v>
      </c>
    </row>
    <row r="107" spans="2:12" ht="18.75" customHeight="1">
      <c r="B107" s="102" t="s">
        <v>363</v>
      </c>
      <c r="C107" s="171">
        <f aca="true" t="shared" si="50" ref="C107:L107">(C105-C104)*C95</f>
        <v>1051047.9138407186</v>
      </c>
      <c r="D107" s="171">
        <f t="shared" si="50"/>
        <v>7989555.579999999</v>
      </c>
      <c r="E107" s="171">
        <f t="shared" si="50"/>
        <v>6272011.859999999</v>
      </c>
      <c r="F107" s="171">
        <f t="shared" si="50"/>
        <v>9154175.499999998</v>
      </c>
      <c r="G107" s="171">
        <f t="shared" si="50"/>
        <v>3817880.8399999994</v>
      </c>
      <c r="H107" s="171">
        <f t="shared" si="50"/>
        <v>0</v>
      </c>
      <c r="I107" s="171">
        <f t="shared" si="50"/>
        <v>0</v>
      </c>
      <c r="J107" s="171">
        <f t="shared" si="50"/>
        <v>0</v>
      </c>
      <c r="K107" s="171">
        <f t="shared" si="50"/>
        <v>0</v>
      </c>
      <c r="L107" s="171">
        <f t="shared" si="50"/>
        <v>0</v>
      </c>
    </row>
    <row r="108" spans="2:12" ht="18.75" customHeight="1"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8.75" customHeight="1">
      <c r="B109" s="10" t="s">
        <v>15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8.75" customHeight="1">
      <c r="B110" s="5" t="s">
        <v>16</v>
      </c>
      <c r="C110" s="169">
        <f aca="true" t="shared" si="51" ref="C110:L110">C92</f>
        <v>2718274.230178241</v>
      </c>
      <c r="D110" s="169">
        <f t="shared" si="51"/>
        <v>23381274.23017824</v>
      </c>
      <c r="E110" s="169">
        <f t="shared" si="51"/>
        <v>39602274.23017824</v>
      </c>
      <c r="F110" s="169">
        <f t="shared" si="51"/>
        <v>63277274.23017824</v>
      </c>
      <c r="G110" s="169">
        <f t="shared" si="51"/>
        <v>73151274.23017824</v>
      </c>
      <c r="H110" s="169">
        <f t="shared" si="51"/>
        <v>73151274.23017824</v>
      </c>
      <c r="I110" s="169">
        <f t="shared" si="51"/>
        <v>73151274.23017824</v>
      </c>
      <c r="J110" s="169">
        <f t="shared" si="51"/>
        <v>73151274.23017824</v>
      </c>
      <c r="K110" s="169">
        <f t="shared" si="51"/>
        <v>73151274.23017824</v>
      </c>
      <c r="L110" s="169">
        <f t="shared" si="51"/>
        <v>73151274.23017824</v>
      </c>
    </row>
    <row r="111" spans="1:12" ht="18.75" customHeight="1">
      <c r="A111" s="3"/>
      <c r="B111" s="4" t="s">
        <v>44</v>
      </c>
      <c r="C111" s="170">
        <v>0</v>
      </c>
      <c r="D111" s="170">
        <f aca="true" t="shared" si="52" ref="D111:L111">C111</f>
        <v>0</v>
      </c>
      <c r="E111" s="170">
        <f t="shared" si="52"/>
        <v>0</v>
      </c>
      <c r="F111" s="170">
        <f t="shared" si="52"/>
        <v>0</v>
      </c>
      <c r="G111" s="170">
        <f t="shared" si="52"/>
        <v>0</v>
      </c>
      <c r="H111" s="170">
        <f t="shared" si="52"/>
        <v>0</v>
      </c>
      <c r="I111" s="170">
        <f t="shared" si="52"/>
        <v>0</v>
      </c>
      <c r="J111" s="170">
        <f t="shared" si="52"/>
        <v>0</v>
      </c>
      <c r="K111" s="170">
        <f t="shared" si="52"/>
        <v>0</v>
      </c>
      <c r="L111" s="170">
        <f t="shared" si="52"/>
        <v>0</v>
      </c>
    </row>
    <row r="112" spans="2:12" ht="18.75" customHeight="1">
      <c r="B112" s="2" t="s">
        <v>10</v>
      </c>
      <c r="C112" s="170">
        <f aca="true" t="shared" si="53" ref="C112:L112">-C97</f>
        <v>0</v>
      </c>
      <c r="D112" s="170">
        <f t="shared" si="53"/>
        <v>0</v>
      </c>
      <c r="E112" s="170">
        <f t="shared" si="53"/>
        <v>0</v>
      </c>
      <c r="F112" s="170">
        <f t="shared" si="53"/>
        <v>0</v>
      </c>
      <c r="G112" s="170">
        <f t="shared" si="53"/>
        <v>0</v>
      </c>
      <c r="H112" s="170">
        <f t="shared" si="53"/>
        <v>0</v>
      </c>
      <c r="I112" s="170">
        <f t="shared" si="53"/>
        <v>0</v>
      </c>
      <c r="J112" s="170">
        <f t="shared" si="53"/>
        <v>0</v>
      </c>
      <c r="K112" s="170">
        <f t="shared" si="53"/>
        <v>0</v>
      </c>
      <c r="L112" s="170">
        <f t="shared" si="53"/>
        <v>0</v>
      </c>
    </row>
    <row r="113" spans="2:12" ht="18.75" customHeight="1">
      <c r="B113" s="2" t="s">
        <v>45</v>
      </c>
      <c r="C113" s="170">
        <v>0</v>
      </c>
      <c r="D113" s="170">
        <f aca="true" t="shared" si="54" ref="D113:L113">C113</f>
        <v>0</v>
      </c>
      <c r="E113" s="170">
        <f t="shared" si="54"/>
        <v>0</v>
      </c>
      <c r="F113" s="170">
        <f t="shared" si="54"/>
        <v>0</v>
      </c>
      <c r="G113" s="170">
        <f t="shared" si="54"/>
        <v>0</v>
      </c>
      <c r="H113" s="170">
        <f t="shared" si="54"/>
        <v>0</v>
      </c>
      <c r="I113" s="170">
        <f t="shared" si="54"/>
        <v>0</v>
      </c>
      <c r="J113" s="170">
        <f t="shared" si="54"/>
        <v>0</v>
      </c>
      <c r="K113" s="170">
        <f t="shared" si="54"/>
        <v>0</v>
      </c>
      <c r="L113" s="170">
        <f t="shared" si="54"/>
        <v>0</v>
      </c>
    </row>
    <row r="114" spans="2:12" ht="18.75" customHeight="1">
      <c r="B114" s="2" t="s">
        <v>46</v>
      </c>
      <c r="C114" s="170">
        <f aca="true" t="shared" si="55" ref="C114:L114">-C96</f>
        <v>-1051047.9138407186</v>
      </c>
      <c r="D114" s="170">
        <f t="shared" si="55"/>
        <v>-9040603.493840717</v>
      </c>
      <c r="E114" s="170">
        <f t="shared" si="55"/>
        <v>-15312615.353840716</v>
      </c>
      <c r="F114" s="170">
        <f t="shared" si="55"/>
        <v>-24466790.853840716</v>
      </c>
      <c r="G114" s="170">
        <f t="shared" si="55"/>
        <v>-28284671.693840716</v>
      </c>
      <c r="H114" s="170">
        <f t="shared" si="55"/>
        <v>-28284671.693840716</v>
      </c>
      <c r="I114" s="170">
        <f t="shared" si="55"/>
        <v>-28284671.693840716</v>
      </c>
      <c r="J114" s="170">
        <f t="shared" si="55"/>
        <v>-28284671.693840716</v>
      </c>
      <c r="K114" s="170">
        <f t="shared" si="55"/>
        <v>-28284671.693840716</v>
      </c>
      <c r="L114" s="170">
        <f t="shared" si="55"/>
        <v>-28284671.693840716</v>
      </c>
    </row>
    <row r="115" spans="2:12" ht="18.75" customHeight="1">
      <c r="B115" s="2" t="s">
        <v>47</v>
      </c>
      <c r="C115" s="170">
        <v>0</v>
      </c>
      <c r="D115" s="170">
        <f aca="true" t="shared" si="56" ref="D115:L115">C115</f>
        <v>0</v>
      </c>
      <c r="E115" s="170">
        <f t="shared" si="56"/>
        <v>0</v>
      </c>
      <c r="F115" s="170">
        <f t="shared" si="56"/>
        <v>0</v>
      </c>
      <c r="G115" s="170">
        <f t="shared" si="56"/>
        <v>0</v>
      </c>
      <c r="H115" s="170">
        <f t="shared" si="56"/>
        <v>0</v>
      </c>
      <c r="I115" s="170">
        <f t="shared" si="56"/>
        <v>0</v>
      </c>
      <c r="J115" s="170">
        <f t="shared" si="56"/>
        <v>0</v>
      </c>
      <c r="K115" s="170">
        <f t="shared" si="56"/>
        <v>0</v>
      </c>
      <c r="L115" s="170">
        <f t="shared" si="56"/>
        <v>0</v>
      </c>
    </row>
    <row r="116" spans="2:12" ht="18.75" customHeight="1">
      <c r="B116" s="2" t="s">
        <v>11</v>
      </c>
      <c r="C116" s="170">
        <f aca="true" t="shared" si="57" ref="C116:L116">SUM(C110:C115)</f>
        <v>1667226.3163375226</v>
      </c>
      <c r="D116" s="170">
        <f t="shared" si="57"/>
        <v>14340670.736337524</v>
      </c>
      <c r="E116" s="170">
        <f t="shared" si="57"/>
        <v>24289658.87633752</v>
      </c>
      <c r="F116" s="170">
        <f t="shared" si="57"/>
        <v>38810483.37633752</v>
      </c>
      <c r="G116" s="170">
        <f t="shared" si="57"/>
        <v>44866602.536337525</v>
      </c>
      <c r="H116" s="170">
        <f t="shared" si="57"/>
        <v>44866602.536337525</v>
      </c>
      <c r="I116" s="170">
        <f t="shared" si="57"/>
        <v>44866602.536337525</v>
      </c>
      <c r="J116" s="170">
        <f t="shared" si="57"/>
        <v>44866602.536337525</v>
      </c>
      <c r="K116" s="170">
        <f t="shared" si="57"/>
        <v>44866602.536337525</v>
      </c>
      <c r="L116" s="170">
        <f t="shared" si="57"/>
        <v>44866602.536337525</v>
      </c>
    </row>
    <row r="117" spans="2:12" ht="18.75" customHeight="1">
      <c r="B117" s="2" t="s">
        <v>12</v>
      </c>
      <c r="C117" s="7">
        <f aca="true" t="shared" si="58" ref="C117:L117">C103</f>
        <v>0.10152297909805327</v>
      </c>
      <c r="D117" s="7">
        <f t="shared" si="58"/>
        <v>0.10152297909805327</v>
      </c>
      <c r="E117" s="7">
        <f t="shared" si="58"/>
        <v>0.10152297909805327</v>
      </c>
      <c r="F117" s="7">
        <f t="shared" si="58"/>
        <v>0.10152297909805327</v>
      </c>
      <c r="G117" s="7">
        <f t="shared" si="58"/>
        <v>0.10152297909805327</v>
      </c>
      <c r="H117" s="7">
        <f t="shared" si="58"/>
        <v>0.10152297909805327</v>
      </c>
      <c r="I117" s="7">
        <f t="shared" si="58"/>
        <v>0.10152297909805327</v>
      </c>
      <c r="J117" s="7">
        <f t="shared" si="58"/>
        <v>0.10152297909805327</v>
      </c>
      <c r="K117" s="7">
        <f t="shared" si="58"/>
        <v>0.10152297909805327</v>
      </c>
      <c r="L117" s="7">
        <f t="shared" si="58"/>
        <v>0.10152297909805327</v>
      </c>
    </row>
    <row r="118" spans="2:12" ht="18.75" customHeight="1">
      <c r="B118" s="34" t="s">
        <v>58</v>
      </c>
      <c r="C118" s="174">
        <f aca="true" t="shared" si="59" ref="C118:L118">C116*C117</f>
        <v>169261.78246525867</v>
      </c>
      <c r="D118" s="174">
        <f t="shared" si="59"/>
        <v>1455907.6154172586</v>
      </c>
      <c r="E118" s="174">
        <f t="shared" si="59"/>
        <v>2465958.5304012583</v>
      </c>
      <c r="F118" s="174">
        <f t="shared" si="59"/>
        <v>3940155.892601258</v>
      </c>
      <c r="G118" s="174">
        <f t="shared" si="59"/>
        <v>4554991.151497259</v>
      </c>
      <c r="H118" s="174">
        <f t="shared" si="59"/>
        <v>4554991.151497259</v>
      </c>
      <c r="I118" s="174">
        <f t="shared" si="59"/>
        <v>4554991.151497259</v>
      </c>
      <c r="J118" s="174">
        <f t="shared" si="59"/>
        <v>4554991.151497259</v>
      </c>
      <c r="K118" s="174">
        <f t="shared" si="59"/>
        <v>4554991.151497259</v>
      </c>
      <c r="L118" s="174">
        <f t="shared" si="59"/>
        <v>4554991.151497259</v>
      </c>
    </row>
    <row r="119" spans="1:12" ht="18.75" customHeight="1">
      <c r="A119" s="3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ht="18.75" customHeight="1">
      <c r="B120" s="1" t="s">
        <v>52</v>
      </c>
      <c r="C120" s="170">
        <v>0</v>
      </c>
      <c r="D120" s="170">
        <v>0</v>
      </c>
      <c r="E120" s="170">
        <v>0</v>
      </c>
      <c r="F120" s="170">
        <v>0</v>
      </c>
      <c r="G120" s="170">
        <v>0</v>
      </c>
      <c r="H120" s="170">
        <v>0</v>
      </c>
      <c r="I120" s="170">
        <v>0</v>
      </c>
      <c r="J120" s="170">
        <v>0</v>
      </c>
      <c r="K120" s="170">
        <v>0</v>
      </c>
      <c r="L120" s="170">
        <v>0</v>
      </c>
    </row>
    <row r="121" spans="2:12" ht="18.75" customHeight="1">
      <c r="B121" s="2" t="s">
        <v>48</v>
      </c>
      <c r="C121" s="170">
        <f aca="true" t="shared" si="60" ref="C121:L121">C104</f>
        <v>0</v>
      </c>
      <c r="D121" s="170">
        <f t="shared" si="60"/>
        <v>0</v>
      </c>
      <c r="E121" s="170">
        <f t="shared" si="60"/>
        <v>0</v>
      </c>
      <c r="F121" s="170">
        <f t="shared" si="60"/>
        <v>0</v>
      </c>
      <c r="G121" s="170">
        <f t="shared" si="60"/>
        <v>0</v>
      </c>
      <c r="H121" s="170">
        <f t="shared" si="60"/>
        <v>0</v>
      </c>
      <c r="I121" s="170">
        <f t="shared" si="60"/>
        <v>0</v>
      </c>
      <c r="J121" s="170">
        <f t="shared" si="60"/>
        <v>0</v>
      </c>
      <c r="K121" s="170">
        <f t="shared" si="60"/>
        <v>0</v>
      </c>
      <c r="L121" s="170">
        <f t="shared" si="60"/>
        <v>0</v>
      </c>
    </row>
    <row r="122" spans="2:12" ht="18.75" customHeight="1">
      <c r="B122" s="2" t="s">
        <v>434</v>
      </c>
      <c r="C122" s="170">
        <v>0</v>
      </c>
      <c r="D122" s="170">
        <f aca="true" t="shared" si="61" ref="D122:L122">C122</f>
        <v>0</v>
      </c>
      <c r="E122" s="170">
        <f t="shared" si="61"/>
        <v>0</v>
      </c>
      <c r="F122" s="170">
        <f t="shared" si="61"/>
        <v>0</v>
      </c>
      <c r="G122" s="170">
        <f t="shared" si="61"/>
        <v>0</v>
      </c>
      <c r="H122" s="170">
        <f t="shared" si="61"/>
        <v>0</v>
      </c>
      <c r="I122" s="170">
        <f t="shared" si="61"/>
        <v>0</v>
      </c>
      <c r="J122" s="170">
        <f t="shared" si="61"/>
        <v>0</v>
      </c>
      <c r="K122" s="170">
        <f t="shared" si="61"/>
        <v>0</v>
      </c>
      <c r="L122" s="170">
        <f t="shared" si="61"/>
        <v>0</v>
      </c>
    </row>
    <row r="123" spans="2:12" ht="18.75" customHeight="1">
      <c r="B123" s="2" t="s">
        <v>50</v>
      </c>
      <c r="C123" s="170">
        <v>0</v>
      </c>
      <c r="D123" s="170">
        <f aca="true" t="shared" si="62" ref="D123:L123">D106*(C110+C112)</f>
        <v>4077.411345267362</v>
      </c>
      <c r="E123" s="170">
        <f t="shared" si="62"/>
        <v>35071.91134526736</v>
      </c>
      <c r="F123" s="170">
        <f t="shared" si="62"/>
        <v>59403.411345267356</v>
      </c>
      <c r="G123" s="170">
        <f t="shared" si="62"/>
        <v>94915.91134526736</v>
      </c>
      <c r="H123" s="170">
        <f t="shared" si="62"/>
        <v>109726.91134526736</v>
      </c>
      <c r="I123" s="170">
        <f t="shared" si="62"/>
        <v>109726.91134526736</v>
      </c>
      <c r="J123" s="170">
        <f t="shared" si="62"/>
        <v>109726.91134526736</v>
      </c>
      <c r="K123" s="170">
        <f t="shared" si="62"/>
        <v>109726.91134526736</v>
      </c>
      <c r="L123" s="170">
        <f t="shared" si="62"/>
        <v>109726.91134526736</v>
      </c>
    </row>
    <row r="124" spans="2:12" ht="18.75" customHeight="1">
      <c r="B124" s="21" t="s">
        <v>51</v>
      </c>
      <c r="C124" s="174">
        <f aca="true" t="shared" si="63" ref="C124:L124">SUM(C120:C123)</f>
        <v>0</v>
      </c>
      <c r="D124" s="174">
        <f t="shared" si="63"/>
        <v>4077.411345267362</v>
      </c>
      <c r="E124" s="174">
        <f t="shared" si="63"/>
        <v>35071.91134526736</v>
      </c>
      <c r="F124" s="174">
        <f t="shared" si="63"/>
        <v>59403.411345267356</v>
      </c>
      <c r="G124" s="174">
        <f t="shared" si="63"/>
        <v>94915.91134526736</v>
      </c>
      <c r="H124" s="174">
        <f t="shared" si="63"/>
        <v>109726.91134526736</v>
      </c>
      <c r="I124" s="174">
        <f t="shared" si="63"/>
        <v>109726.91134526736</v>
      </c>
      <c r="J124" s="174">
        <f t="shared" si="63"/>
        <v>109726.91134526736</v>
      </c>
      <c r="K124" s="174">
        <f t="shared" si="63"/>
        <v>109726.91134526736</v>
      </c>
      <c r="L124" s="174">
        <f t="shared" si="63"/>
        <v>109726.91134526736</v>
      </c>
    </row>
    <row r="125" spans="3:12" ht="18.75" customHeight="1">
      <c r="C125" s="34"/>
      <c r="D125" s="268"/>
      <c r="E125" s="268"/>
      <c r="F125" s="268"/>
      <c r="G125" s="268"/>
      <c r="H125" s="268"/>
      <c r="I125" s="268"/>
      <c r="J125" s="268"/>
      <c r="K125" s="268"/>
      <c r="L125" s="268"/>
    </row>
    <row r="126" spans="2:12" ht="18.75" customHeight="1">
      <c r="B126" s="1" t="s">
        <v>59</v>
      </c>
      <c r="C126" s="170">
        <f aca="true" t="shared" si="64" ref="C126:L126">C118+C124</f>
        <v>169261.78246525867</v>
      </c>
      <c r="D126" s="170">
        <f t="shared" si="64"/>
        <v>1459985.026762526</v>
      </c>
      <c r="E126" s="170">
        <f t="shared" si="64"/>
        <v>2501030.4417465255</v>
      </c>
      <c r="F126" s="170">
        <f t="shared" si="64"/>
        <v>3999559.3039465253</v>
      </c>
      <c r="G126" s="170">
        <f t="shared" si="64"/>
        <v>4649907.0628425265</v>
      </c>
      <c r="H126" s="170">
        <f t="shared" si="64"/>
        <v>4664718.0628425265</v>
      </c>
      <c r="I126" s="170">
        <f t="shared" si="64"/>
        <v>4664718.0628425265</v>
      </c>
      <c r="J126" s="170">
        <f t="shared" si="64"/>
        <v>4664718.0628425265</v>
      </c>
      <c r="K126" s="170">
        <f t="shared" si="64"/>
        <v>4664718.0628425265</v>
      </c>
      <c r="L126" s="170">
        <f t="shared" si="64"/>
        <v>4664718.0628425265</v>
      </c>
    </row>
    <row r="129" spans="2:12" ht="18.75" customHeight="1">
      <c r="B129" s="11"/>
      <c r="C129" s="212" t="s">
        <v>257</v>
      </c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8.75" customHeight="1">
      <c r="A130" s="28"/>
      <c r="B130" s="28"/>
      <c r="C130" s="29">
        <f>C4</f>
        <v>2016</v>
      </c>
      <c r="D130" s="29">
        <f aca="true" t="shared" si="65" ref="D130:L131">C130+1</f>
        <v>2017</v>
      </c>
      <c r="E130" s="29">
        <f t="shared" si="65"/>
        <v>2018</v>
      </c>
      <c r="F130" s="29">
        <f t="shared" si="65"/>
        <v>2019</v>
      </c>
      <c r="G130" s="29">
        <f t="shared" si="65"/>
        <v>2020</v>
      </c>
      <c r="H130" s="29">
        <f t="shared" si="65"/>
        <v>2021</v>
      </c>
      <c r="I130" s="29">
        <f t="shared" si="65"/>
        <v>2022</v>
      </c>
      <c r="J130" s="29">
        <f t="shared" si="65"/>
        <v>2023</v>
      </c>
      <c r="K130" s="29">
        <f t="shared" si="65"/>
        <v>2024</v>
      </c>
      <c r="L130" s="29">
        <f t="shared" si="65"/>
        <v>2025</v>
      </c>
    </row>
    <row r="131" spans="1:12" ht="18.75" customHeight="1">
      <c r="A131" s="258">
        <v>2019</v>
      </c>
      <c r="B131" s="28" t="s">
        <v>43</v>
      </c>
      <c r="C131" s="209">
        <v>1</v>
      </c>
      <c r="D131" s="209">
        <f>C131+1</f>
        <v>2</v>
      </c>
      <c r="E131" s="209">
        <f t="shared" si="65"/>
        <v>3</v>
      </c>
      <c r="F131" s="209">
        <f t="shared" si="65"/>
        <v>4</v>
      </c>
      <c r="G131" s="209">
        <f t="shared" si="65"/>
        <v>5</v>
      </c>
      <c r="H131" s="209">
        <f t="shared" si="65"/>
        <v>6</v>
      </c>
      <c r="I131" s="209">
        <f t="shared" si="65"/>
        <v>7</v>
      </c>
      <c r="J131" s="209">
        <f t="shared" si="65"/>
        <v>8</v>
      </c>
      <c r="K131" s="209">
        <f t="shared" si="65"/>
        <v>9</v>
      </c>
      <c r="L131" s="209">
        <f t="shared" si="65"/>
        <v>10</v>
      </c>
    </row>
    <row r="132" spans="1:12" ht="18.75" customHeight="1">
      <c r="A132" s="3"/>
      <c r="B132" s="211" t="s">
        <v>338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8.75" customHeight="1">
      <c r="A133" s="60" t="s">
        <v>310</v>
      </c>
      <c r="B133" s="10" t="s">
        <v>411</v>
      </c>
      <c r="C133" s="172">
        <f>VLOOKUP(C$4,'Cash Flows-KU'!$B$60:$H$70,$A134)</f>
        <v>132614.7553425926</v>
      </c>
      <c r="D133" s="172">
        <f>VLOOKUP(D$4,'Cash Flows-KU'!$B$60:$H$70,$A134)</f>
        <v>347000</v>
      </c>
      <c r="E133" s="172">
        <f>VLOOKUP(E$4,'Cash Flows-KU'!$B$60:$H$70,$A134)</f>
        <v>582000</v>
      </c>
      <c r="F133" s="172">
        <f>VLOOKUP(F$4,'Cash Flows-KU'!$B$60:$H$70,$A134)</f>
        <v>2092000</v>
      </c>
      <c r="G133" s="172">
        <f>VLOOKUP(G$4,'Cash Flows-KU'!$B$60:$H$70,$A134)</f>
        <v>0</v>
      </c>
      <c r="H133" s="172">
        <f>VLOOKUP(H$4,'Cash Flows-KU'!$B$60:$H$70,$A134)</f>
        <v>0</v>
      </c>
      <c r="I133" s="172">
        <f>VLOOKUP(I$4,'Cash Flows-KU'!$B$60:$H$70,$A134)</f>
        <v>0</v>
      </c>
      <c r="J133" s="172">
        <f>VLOOKUP(J$4,'Cash Flows-KU'!$B$60:$H$70,$A134)</f>
        <v>0</v>
      </c>
      <c r="K133" s="172">
        <f>VLOOKUP(K$4,'Cash Flows-KU'!$B$60:$H$70,$A134)</f>
        <v>0</v>
      </c>
      <c r="L133" s="172">
        <f>VLOOKUP(L$4,'Cash Flows-KU'!$B$60:$H$70,$A134)</f>
        <v>0</v>
      </c>
    </row>
    <row r="134" spans="1:13" ht="18.75" customHeight="1">
      <c r="A134" s="3">
        <v>5</v>
      </c>
      <c r="B134" s="40" t="s">
        <v>57</v>
      </c>
      <c r="C134" s="172">
        <f>SUM($C133:C133)</f>
        <v>132614.7553425926</v>
      </c>
      <c r="D134" s="172">
        <f>SUM($C133:D133)</f>
        <v>479614.7553425926</v>
      </c>
      <c r="E134" s="172">
        <f>SUM($C133:E133)</f>
        <v>1061614.7553425925</v>
      </c>
      <c r="F134" s="172">
        <f>SUM($C133:F133)</f>
        <v>3153614.7553425925</v>
      </c>
      <c r="G134" s="172">
        <f>SUM($C133:G133)</f>
        <v>3153614.7553425925</v>
      </c>
      <c r="H134" s="172">
        <f>SUM($C133:H133)</f>
        <v>3153614.7553425925</v>
      </c>
      <c r="I134" s="172">
        <f>SUM($C133:I133)</f>
        <v>3153614.7553425925</v>
      </c>
      <c r="J134" s="172">
        <f>SUM($C133:J133)</f>
        <v>3153614.7553425925</v>
      </c>
      <c r="K134" s="172">
        <f>SUM($C133:K133)</f>
        <v>3153614.7553425925</v>
      </c>
      <c r="L134" s="172">
        <f>SUM($C133:L133)</f>
        <v>3153614.7553425925</v>
      </c>
      <c r="M134" s="18"/>
    </row>
    <row r="135" spans="1:12" ht="18.75" customHeight="1">
      <c r="A135" s="3">
        <v>2</v>
      </c>
      <c r="B135" s="5" t="s">
        <v>0</v>
      </c>
      <c r="C135" s="6">
        <f>IF(C131="",0,VLOOKUP($B132,Depreciation!$D$2:$E$31,$A135,FALSE))</f>
        <v>0</v>
      </c>
      <c r="D135" s="6">
        <f>IF(D131="",0,VLOOKUP($B132,Depreciation!$D$2:$E$31,$A135,FALSE))</f>
        <v>0</v>
      </c>
      <c r="E135" s="6">
        <f>IF(E131="",0,VLOOKUP($B132,Depreciation!$D$2:$E$31,$A135,FALSE))</f>
        <v>0</v>
      </c>
      <c r="F135" s="6">
        <f>IF(F131="",0,VLOOKUP($B132,Depreciation!$D$2:$E$31,$A135,FALSE))</f>
        <v>0</v>
      </c>
      <c r="G135" s="6">
        <f>IF(G131="",0,VLOOKUP($B132,Depreciation!$D$2:$E$31,$A135,FALSE))</f>
        <v>0</v>
      </c>
      <c r="H135" s="6">
        <f>IF(H131="",0,VLOOKUP($B132,Depreciation!$D$2:$E$31,$A135,FALSE))</f>
        <v>0</v>
      </c>
      <c r="I135" s="6">
        <f>IF(I131="",0,VLOOKUP($B132,Depreciation!$D$2:$E$31,$A135,FALSE))</f>
        <v>0</v>
      </c>
      <c r="J135" s="6">
        <f>IF(J131="",0,VLOOKUP($B132,Depreciation!$D$2:$E$31,$A135,FALSE))</f>
        <v>0</v>
      </c>
      <c r="K135" s="6">
        <f>IF(K131="",0,VLOOKUP($B132,Depreciation!$D$2:$E$31,$A135,FALSE))</f>
        <v>0</v>
      </c>
      <c r="L135" s="6">
        <f>IF(L131="",0,VLOOKUP($B132,Depreciation!$D$2:$E$31,$A135,FALSE))</f>
        <v>0</v>
      </c>
    </row>
    <row r="136" spans="1:12" ht="18.75" customHeight="1">
      <c r="A136" s="3">
        <v>3</v>
      </c>
      <c r="B136" s="5" t="s">
        <v>1</v>
      </c>
      <c r="C136" s="6">
        <f>IF(C131="",0,VLOOKUP(C131,Depreciation!$A$2:$C$58,$A136,FALSE))</f>
        <v>1</v>
      </c>
      <c r="D136" s="6">
        <f>IF(D131="",0,VLOOKUP(D131,Depreciation!$A$2:$C$58,$A136,FALSE))</f>
        <v>1</v>
      </c>
      <c r="E136" s="6">
        <f>IF(E131="",0,VLOOKUP(E131,Depreciation!$A$2:$C$58,$A136,FALSE))</f>
        <v>1</v>
      </c>
      <c r="F136" s="6">
        <f>IF(F131="",0,VLOOKUP(F131,Depreciation!$A$2:$C$58,$A136,FALSE))</f>
        <v>1</v>
      </c>
      <c r="G136" s="6">
        <f>IF(G131="",0,VLOOKUP(G131,Depreciation!$A$2:$C$58,$A136,FALSE))</f>
        <v>1</v>
      </c>
      <c r="H136" s="6">
        <f>IF(H131="",0,VLOOKUP(H131,Depreciation!$A$2:$C$58,$A136,FALSE))</f>
        <v>1</v>
      </c>
      <c r="I136" s="6">
        <f>IF(I131="",0,VLOOKUP(I131,Depreciation!$A$2:$C$58,$A136,FALSE))</f>
        <v>1</v>
      </c>
      <c r="J136" s="6">
        <f>IF(J131="",0,VLOOKUP(J131,Depreciation!$A$2:$C$58,$A136,FALSE))</f>
        <v>1</v>
      </c>
      <c r="K136" s="6">
        <f>IF(K131="",0,VLOOKUP(K131,Depreciation!$A$2:$C$58,$A136,FALSE))</f>
        <v>1</v>
      </c>
      <c r="L136" s="6">
        <f>IF(L131="",0,VLOOKUP(L131,Depreciation!$A$2:$C$58,$A136,FALSE))</f>
        <v>1</v>
      </c>
    </row>
    <row r="137" spans="1:12" ht="18.75" customHeight="1">
      <c r="A137" s="30"/>
      <c r="B137" s="31" t="s">
        <v>2</v>
      </c>
      <c r="C137" s="7">
        <f>Input!B$3</f>
        <v>0.38665999999999995</v>
      </c>
      <c r="D137" s="7">
        <f>Input!C$3</f>
        <v>0.38665999999999995</v>
      </c>
      <c r="E137" s="7">
        <f>Input!D$3</f>
        <v>0.38665999999999995</v>
      </c>
      <c r="F137" s="7">
        <f>Input!E$3</f>
        <v>0.38665999999999995</v>
      </c>
      <c r="G137" s="7">
        <f>Input!F$3</f>
        <v>0.38665999999999995</v>
      </c>
      <c r="H137" s="7">
        <f>Input!G$3</f>
        <v>0.38665999999999995</v>
      </c>
      <c r="I137" s="7">
        <f>Input!H$3</f>
        <v>0.38665999999999995</v>
      </c>
      <c r="J137" s="7">
        <f>Input!I$3</f>
        <v>0.38665999999999995</v>
      </c>
      <c r="K137" s="7">
        <f>Input!J$3</f>
        <v>0.38665999999999995</v>
      </c>
      <c r="L137" s="7">
        <f>Input!K$3</f>
        <v>0.38665999999999995</v>
      </c>
    </row>
    <row r="138" spans="2:12" ht="18.75" customHeight="1">
      <c r="B138" s="2" t="s">
        <v>3</v>
      </c>
      <c r="C138" s="170">
        <f>SUM($C149:C149)</f>
        <v>51276.821300766846</v>
      </c>
      <c r="D138" s="170">
        <f>SUM($C149:D149)</f>
        <v>185447.84130076683</v>
      </c>
      <c r="E138" s="170">
        <f>SUM($C149:E149)</f>
        <v>410483.9613007668</v>
      </c>
      <c r="F138" s="170">
        <f>SUM($C149:F149)</f>
        <v>1219376.6813007668</v>
      </c>
      <c r="G138" s="170">
        <f>SUM($C149:G149)</f>
        <v>1219376.6813007668</v>
      </c>
      <c r="H138" s="170">
        <f>SUM($C149:H149)</f>
        <v>1219376.6813007668</v>
      </c>
      <c r="I138" s="170">
        <f>SUM($C149:I149)</f>
        <v>1219376.6813007668</v>
      </c>
      <c r="J138" s="170">
        <f>SUM($C149:J149)</f>
        <v>1219376.6813007668</v>
      </c>
      <c r="K138" s="170">
        <f>SUM($C149:K149)</f>
        <v>1219376.6813007668</v>
      </c>
      <c r="L138" s="170">
        <f>SUM($C149:L149)</f>
        <v>1219376.6813007668</v>
      </c>
    </row>
    <row r="139" spans="2:12" ht="18.75" customHeight="1">
      <c r="B139" s="2" t="s">
        <v>4</v>
      </c>
      <c r="C139" s="170">
        <f>SUM($C141:C141)</f>
        <v>0</v>
      </c>
      <c r="D139" s="170">
        <f>SUM($C141:D141)</f>
        <v>0</v>
      </c>
      <c r="E139" s="170">
        <f>SUM($C141:E141)</f>
        <v>0</v>
      </c>
      <c r="F139" s="170">
        <f>SUM($C141:F141)</f>
        <v>0</v>
      </c>
      <c r="G139" s="170">
        <f>SUM($C141:G141)</f>
        <v>0</v>
      </c>
      <c r="H139" s="170">
        <f>SUM($C141:H141)</f>
        <v>0</v>
      </c>
      <c r="I139" s="170">
        <f>SUM($C141:I141)</f>
        <v>0</v>
      </c>
      <c r="J139" s="170">
        <f>SUM($C141:J141)</f>
        <v>0</v>
      </c>
      <c r="K139" s="170">
        <f>SUM($C141:K141)</f>
        <v>0</v>
      </c>
      <c r="L139" s="170">
        <f>SUM($C141:L141)</f>
        <v>0</v>
      </c>
    </row>
    <row r="140" spans="2:12" ht="18.75" customHeight="1">
      <c r="B140" s="11" t="s">
        <v>5</v>
      </c>
      <c r="C140" s="170">
        <f>C133</f>
        <v>132614.7553425926</v>
      </c>
      <c r="D140" s="170">
        <f>C140+D133</f>
        <v>479614.7553425926</v>
      </c>
      <c r="E140" s="170">
        <f aca="true" t="shared" si="66" ref="E140:L140">D140+E133</f>
        <v>1061614.7553425925</v>
      </c>
      <c r="F140" s="170">
        <f t="shared" si="66"/>
        <v>3153614.7553425925</v>
      </c>
      <c r="G140" s="170">
        <f t="shared" si="66"/>
        <v>3153614.7553425925</v>
      </c>
      <c r="H140" s="170">
        <f t="shared" si="66"/>
        <v>3153614.7553425925</v>
      </c>
      <c r="I140" s="170">
        <f t="shared" si="66"/>
        <v>3153614.7553425925</v>
      </c>
      <c r="J140" s="170">
        <f t="shared" si="66"/>
        <v>3153614.7553425925</v>
      </c>
      <c r="K140" s="170">
        <f t="shared" si="66"/>
        <v>3153614.7553425925</v>
      </c>
      <c r="L140" s="170">
        <f t="shared" si="66"/>
        <v>3153614.7553425925</v>
      </c>
    </row>
    <row r="141" spans="1:12" ht="18.75" customHeight="1">
      <c r="A141" s="214" t="s">
        <v>372</v>
      </c>
      <c r="B141" s="11" t="s">
        <v>6</v>
      </c>
      <c r="C141" s="170">
        <f aca="true" t="shared" si="67" ref="C141:L141">IF(C131=1,(12.5-VLOOKUP(C129,$Q$5:$R$16,2,))*C135/12*C140,C140*C135)</f>
        <v>0</v>
      </c>
      <c r="D141" s="170">
        <f t="shared" si="67"/>
        <v>0</v>
      </c>
      <c r="E141" s="170">
        <f t="shared" si="67"/>
        <v>0</v>
      </c>
      <c r="F141" s="170">
        <f t="shared" si="67"/>
        <v>0</v>
      </c>
      <c r="G141" s="170">
        <f t="shared" si="67"/>
        <v>0</v>
      </c>
      <c r="H141" s="170">
        <f t="shared" si="67"/>
        <v>0</v>
      </c>
      <c r="I141" s="170">
        <f t="shared" si="67"/>
        <v>0</v>
      </c>
      <c r="J141" s="170">
        <f t="shared" si="67"/>
        <v>0</v>
      </c>
      <c r="K141" s="170">
        <f t="shared" si="67"/>
        <v>0</v>
      </c>
      <c r="L141" s="170">
        <f t="shared" si="67"/>
        <v>0</v>
      </c>
    </row>
    <row r="142" spans="2:12" ht="18.75" customHeight="1">
      <c r="B142" s="5" t="s">
        <v>7</v>
      </c>
      <c r="C142" s="170">
        <f>C133</f>
        <v>132614.7553425926</v>
      </c>
      <c r="D142" s="170">
        <f aca="true" t="shared" si="68" ref="D142:L142">C142+D133</f>
        <v>479614.7553425926</v>
      </c>
      <c r="E142" s="170">
        <f t="shared" si="68"/>
        <v>1061614.7553425925</v>
      </c>
      <c r="F142" s="170">
        <f t="shared" si="68"/>
        <v>3153614.7553425925</v>
      </c>
      <c r="G142" s="170">
        <f t="shared" si="68"/>
        <v>3153614.7553425925</v>
      </c>
      <c r="H142" s="170">
        <f t="shared" si="68"/>
        <v>3153614.7553425925</v>
      </c>
      <c r="I142" s="170">
        <f t="shared" si="68"/>
        <v>3153614.7553425925</v>
      </c>
      <c r="J142" s="170">
        <f t="shared" si="68"/>
        <v>3153614.7553425925</v>
      </c>
      <c r="K142" s="170">
        <f t="shared" si="68"/>
        <v>3153614.7553425925</v>
      </c>
      <c r="L142" s="170">
        <f t="shared" si="68"/>
        <v>3153614.7553425925</v>
      </c>
    </row>
    <row r="143" spans="2:12" ht="18.75" customHeight="1">
      <c r="B143" s="213" t="s">
        <v>361</v>
      </c>
      <c r="C143" s="170">
        <f>IF(C131=1,IF($A141="Bonus",SUM($C133:C133)*VLOOKUP(C130,Depreciation!$D$41:$E$50,2),0),0)</f>
        <v>0</v>
      </c>
      <c r="D143" s="170">
        <f>IF(D131=1,IF($A141="Bonus",SUM($C133:D133)*VLOOKUP(D130,Depreciation!$D$41:$E$50,2),0),0)</f>
        <v>0</v>
      </c>
      <c r="E143" s="170">
        <f>IF(E131=1,IF($A141="Bonus",SUM($C133:E133)*VLOOKUP(E130,Depreciation!$D$41:$E$50,2),0),0)</f>
        <v>0</v>
      </c>
      <c r="F143" s="170">
        <f>IF(F131=1,IF($A141="Bonus",SUM($C133:F133)*VLOOKUP(F130,Depreciation!$D$41:$E$50,2),0),0)</f>
        <v>0</v>
      </c>
      <c r="G143" s="170">
        <f>IF(G131=1,IF($A141="Bonus",SUM($C133:G133)*VLOOKUP(G130,Depreciation!$D$41:$E$50,2),0),0)</f>
        <v>0</v>
      </c>
      <c r="H143" s="170">
        <f>IF(H131=1,IF($A141="Bonus",SUM($C133:H133)*VLOOKUP(H130,Depreciation!$D$41:$E$50,2),0),0)</f>
        <v>0</v>
      </c>
      <c r="I143" s="170">
        <f>IF(I131=1,IF($A141="Bonus",SUM($C133:I133)*VLOOKUP(I130,Depreciation!$D$41:$E$50,2),0),0)</f>
        <v>0</v>
      </c>
      <c r="J143" s="170">
        <f>IF(J131=1,IF($A141="Bonus",SUM($C133:J133)*VLOOKUP(J130,Depreciation!$D$41:$E$50,2),0),0)</f>
        <v>0</v>
      </c>
      <c r="K143" s="170">
        <f>IF(K131=1,IF($A141="Bonus",SUM($C133:K133)*VLOOKUP(K130,Depreciation!$D$41:$E$50,2),0),0)</f>
        <v>0</v>
      </c>
      <c r="L143" s="170">
        <f>IF(L131=1,IF($A141="Bonus",SUM($C133:L133)*VLOOKUP(L130,Depreciation!$D$41:$E$50,2),0),0)</f>
        <v>0</v>
      </c>
    </row>
    <row r="144" spans="2:12" ht="18.75" customHeight="1">
      <c r="B144" s="5" t="s">
        <v>362</v>
      </c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</row>
    <row r="145" spans="2:12" ht="18.75" customHeight="1">
      <c r="B145" s="5" t="s">
        <v>17</v>
      </c>
      <c r="C145" s="7">
        <f>Input!J$31</f>
        <v>0.10152297909805327</v>
      </c>
      <c r="D145" s="7">
        <f>Input!K$31</f>
        <v>0.10152297909805327</v>
      </c>
      <c r="E145" s="7">
        <f>Input!L$31</f>
        <v>0.10152297909805327</v>
      </c>
      <c r="F145" s="7">
        <f>Input!M$31</f>
        <v>0.10152297909805327</v>
      </c>
      <c r="G145" s="7">
        <f>Input!N$31</f>
        <v>0.10152297909805327</v>
      </c>
      <c r="H145" s="7">
        <f>Input!O$31</f>
        <v>0.10152297909805327</v>
      </c>
      <c r="I145" s="7">
        <f>Input!P$31</f>
        <v>0.10152297909805327</v>
      </c>
      <c r="J145" s="7">
        <f>Input!Q$31</f>
        <v>0.10152297909805327</v>
      </c>
      <c r="K145" s="7">
        <f>Input!R$31</f>
        <v>0.10152297909805327</v>
      </c>
      <c r="L145" s="7">
        <f>Input!S$31</f>
        <v>0.10152297909805327</v>
      </c>
    </row>
    <row r="146" spans="2:12" ht="18.75" customHeight="1">
      <c r="B146" s="5" t="s">
        <v>8</v>
      </c>
      <c r="C146" s="181">
        <f aca="true" t="shared" si="69" ref="C146:L146">C141</f>
        <v>0</v>
      </c>
      <c r="D146" s="181">
        <f t="shared" si="69"/>
        <v>0</v>
      </c>
      <c r="E146" s="181">
        <f t="shared" si="69"/>
        <v>0</v>
      </c>
      <c r="F146" s="181">
        <f t="shared" si="69"/>
        <v>0</v>
      </c>
      <c r="G146" s="181">
        <f t="shared" si="69"/>
        <v>0</v>
      </c>
      <c r="H146" s="181">
        <f t="shared" si="69"/>
        <v>0</v>
      </c>
      <c r="I146" s="181">
        <f t="shared" si="69"/>
        <v>0</v>
      </c>
      <c r="J146" s="181">
        <f t="shared" si="69"/>
        <v>0</v>
      </c>
      <c r="K146" s="181">
        <f t="shared" si="69"/>
        <v>0</v>
      </c>
      <c r="L146" s="181">
        <f t="shared" si="69"/>
        <v>0</v>
      </c>
    </row>
    <row r="147" spans="2:12" ht="18.75" customHeight="1">
      <c r="B147" s="11" t="s">
        <v>364</v>
      </c>
      <c r="C147" s="181">
        <f>C133*C136</f>
        <v>132614.7553425926</v>
      </c>
      <c r="D147" s="181">
        <f aca="true" t="shared" si="70" ref="D147:L147">D133*D136</f>
        <v>347000</v>
      </c>
      <c r="E147" s="181">
        <f t="shared" si="70"/>
        <v>582000</v>
      </c>
      <c r="F147" s="181">
        <f t="shared" si="70"/>
        <v>2092000</v>
      </c>
      <c r="G147" s="181">
        <f t="shared" si="70"/>
        <v>0</v>
      </c>
      <c r="H147" s="181">
        <f t="shared" si="70"/>
        <v>0</v>
      </c>
      <c r="I147" s="181">
        <f t="shared" si="70"/>
        <v>0</v>
      </c>
      <c r="J147" s="181">
        <f t="shared" si="70"/>
        <v>0</v>
      </c>
      <c r="K147" s="181">
        <f t="shared" si="70"/>
        <v>0</v>
      </c>
      <c r="L147" s="181">
        <f t="shared" si="70"/>
        <v>0</v>
      </c>
    </row>
    <row r="148" spans="2:12" ht="18.75" customHeight="1">
      <c r="B148" s="3" t="s">
        <v>9</v>
      </c>
      <c r="C148" s="8">
        <f>Input!$B$6</f>
        <v>0.0015</v>
      </c>
      <c r="D148" s="8">
        <f aca="true" t="shared" si="71" ref="D148:I148">C148</f>
        <v>0.0015</v>
      </c>
      <c r="E148" s="8">
        <f t="shared" si="71"/>
        <v>0.0015</v>
      </c>
      <c r="F148" s="8">
        <f t="shared" si="71"/>
        <v>0.0015</v>
      </c>
      <c r="G148" s="8">
        <f t="shared" si="71"/>
        <v>0.0015</v>
      </c>
      <c r="H148" s="8">
        <f t="shared" si="71"/>
        <v>0.0015</v>
      </c>
      <c r="I148" s="8">
        <f t="shared" si="71"/>
        <v>0.0015</v>
      </c>
      <c r="J148" s="8">
        <f>I148</f>
        <v>0.0015</v>
      </c>
      <c r="K148" s="8">
        <f>J148</f>
        <v>0.0015</v>
      </c>
      <c r="L148" s="8">
        <f>K148</f>
        <v>0.0015</v>
      </c>
    </row>
    <row r="149" spans="2:12" ht="18.75" customHeight="1">
      <c r="B149" s="102" t="s">
        <v>363</v>
      </c>
      <c r="C149" s="171">
        <f aca="true" t="shared" si="72" ref="C149:L149">(C147-C146)*C137</f>
        <v>51276.821300766846</v>
      </c>
      <c r="D149" s="171">
        <f t="shared" si="72"/>
        <v>134171.02</v>
      </c>
      <c r="E149" s="171">
        <f t="shared" si="72"/>
        <v>225036.11999999997</v>
      </c>
      <c r="F149" s="171">
        <f t="shared" si="72"/>
        <v>808892.7199999999</v>
      </c>
      <c r="G149" s="171">
        <f t="shared" si="72"/>
        <v>0</v>
      </c>
      <c r="H149" s="171">
        <f t="shared" si="72"/>
        <v>0</v>
      </c>
      <c r="I149" s="171">
        <f t="shared" si="72"/>
        <v>0</v>
      </c>
      <c r="J149" s="171">
        <f t="shared" si="72"/>
        <v>0</v>
      </c>
      <c r="K149" s="171">
        <f t="shared" si="72"/>
        <v>0</v>
      </c>
      <c r="L149" s="171">
        <f t="shared" si="72"/>
        <v>0</v>
      </c>
    </row>
    <row r="150" spans="2:12" ht="18.75" customHeight="1">
      <c r="B150" s="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8.75" customHeight="1">
      <c r="B151" s="10" t="s">
        <v>15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8.75" customHeight="1">
      <c r="B152" s="5" t="s">
        <v>16</v>
      </c>
      <c r="C152" s="169">
        <f aca="true" t="shared" si="73" ref="C152:L152">C134</f>
        <v>132614.7553425926</v>
      </c>
      <c r="D152" s="169">
        <f t="shared" si="73"/>
        <v>479614.7553425926</v>
      </c>
      <c r="E152" s="169">
        <f t="shared" si="73"/>
        <v>1061614.7553425925</v>
      </c>
      <c r="F152" s="169">
        <f t="shared" si="73"/>
        <v>3153614.7553425925</v>
      </c>
      <c r="G152" s="169">
        <f t="shared" si="73"/>
        <v>3153614.7553425925</v>
      </c>
      <c r="H152" s="169">
        <f t="shared" si="73"/>
        <v>3153614.7553425925</v>
      </c>
      <c r="I152" s="169">
        <f t="shared" si="73"/>
        <v>3153614.7553425925</v>
      </c>
      <c r="J152" s="169">
        <f t="shared" si="73"/>
        <v>3153614.7553425925</v>
      </c>
      <c r="K152" s="169">
        <f t="shared" si="73"/>
        <v>3153614.7553425925</v>
      </c>
      <c r="L152" s="169">
        <f t="shared" si="73"/>
        <v>3153614.7553425925</v>
      </c>
    </row>
    <row r="153" spans="1:12" ht="18.75" customHeight="1">
      <c r="A153" s="3"/>
      <c r="B153" s="4" t="s">
        <v>44</v>
      </c>
      <c r="C153" s="170">
        <v>0</v>
      </c>
      <c r="D153" s="170">
        <f aca="true" t="shared" si="74" ref="D153:L153">C153</f>
        <v>0</v>
      </c>
      <c r="E153" s="170">
        <f t="shared" si="74"/>
        <v>0</v>
      </c>
      <c r="F153" s="170">
        <f t="shared" si="74"/>
        <v>0</v>
      </c>
      <c r="G153" s="170">
        <f t="shared" si="74"/>
        <v>0</v>
      </c>
      <c r="H153" s="170">
        <f t="shared" si="74"/>
        <v>0</v>
      </c>
      <c r="I153" s="170">
        <f t="shared" si="74"/>
        <v>0</v>
      </c>
      <c r="J153" s="170">
        <f t="shared" si="74"/>
        <v>0</v>
      </c>
      <c r="K153" s="170">
        <f t="shared" si="74"/>
        <v>0</v>
      </c>
      <c r="L153" s="170">
        <f t="shared" si="74"/>
        <v>0</v>
      </c>
    </row>
    <row r="154" spans="2:12" ht="18.75" customHeight="1">
      <c r="B154" s="2" t="s">
        <v>10</v>
      </c>
      <c r="C154" s="170">
        <f aca="true" t="shared" si="75" ref="C154:L154">-C139</f>
        <v>0</v>
      </c>
      <c r="D154" s="170">
        <f t="shared" si="75"/>
        <v>0</v>
      </c>
      <c r="E154" s="170">
        <f t="shared" si="75"/>
        <v>0</v>
      </c>
      <c r="F154" s="170">
        <f t="shared" si="75"/>
        <v>0</v>
      </c>
      <c r="G154" s="170">
        <f t="shared" si="75"/>
        <v>0</v>
      </c>
      <c r="H154" s="170">
        <f t="shared" si="75"/>
        <v>0</v>
      </c>
      <c r="I154" s="170">
        <f t="shared" si="75"/>
        <v>0</v>
      </c>
      <c r="J154" s="170">
        <f t="shared" si="75"/>
        <v>0</v>
      </c>
      <c r="K154" s="170">
        <f t="shared" si="75"/>
        <v>0</v>
      </c>
      <c r="L154" s="170">
        <f t="shared" si="75"/>
        <v>0</v>
      </c>
    </row>
    <row r="155" spans="2:12" ht="18.75" customHeight="1">
      <c r="B155" s="2" t="s">
        <v>45</v>
      </c>
      <c r="C155" s="170">
        <v>0</v>
      </c>
      <c r="D155" s="170">
        <f aca="true" t="shared" si="76" ref="D155:L155">C155</f>
        <v>0</v>
      </c>
      <c r="E155" s="170">
        <f t="shared" si="76"/>
        <v>0</v>
      </c>
      <c r="F155" s="170">
        <f t="shared" si="76"/>
        <v>0</v>
      </c>
      <c r="G155" s="170">
        <f t="shared" si="76"/>
        <v>0</v>
      </c>
      <c r="H155" s="170">
        <f t="shared" si="76"/>
        <v>0</v>
      </c>
      <c r="I155" s="170">
        <f t="shared" si="76"/>
        <v>0</v>
      </c>
      <c r="J155" s="170">
        <f t="shared" si="76"/>
        <v>0</v>
      </c>
      <c r="K155" s="170">
        <f t="shared" si="76"/>
        <v>0</v>
      </c>
      <c r="L155" s="170">
        <f t="shared" si="76"/>
        <v>0</v>
      </c>
    </row>
    <row r="156" spans="2:12" ht="18.75" customHeight="1">
      <c r="B156" s="2" t="s">
        <v>46</v>
      </c>
      <c r="C156" s="170">
        <f aca="true" t="shared" si="77" ref="C156:L156">-C138</f>
        <v>-51276.821300766846</v>
      </c>
      <c r="D156" s="170">
        <f t="shared" si="77"/>
        <v>-185447.84130076683</v>
      </c>
      <c r="E156" s="170">
        <f t="shared" si="77"/>
        <v>-410483.9613007668</v>
      </c>
      <c r="F156" s="170">
        <f t="shared" si="77"/>
        <v>-1219376.6813007668</v>
      </c>
      <c r="G156" s="170">
        <f t="shared" si="77"/>
        <v>-1219376.6813007668</v>
      </c>
      <c r="H156" s="170">
        <f t="shared" si="77"/>
        <v>-1219376.6813007668</v>
      </c>
      <c r="I156" s="170">
        <f t="shared" si="77"/>
        <v>-1219376.6813007668</v>
      </c>
      <c r="J156" s="170">
        <f t="shared" si="77"/>
        <v>-1219376.6813007668</v>
      </c>
      <c r="K156" s="170">
        <f t="shared" si="77"/>
        <v>-1219376.6813007668</v>
      </c>
      <c r="L156" s="170">
        <f t="shared" si="77"/>
        <v>-1219376.6813007668</v>
      </c>
    </row>
    <row r="157" spans="2:12" ht="18.75" customHeight="1">
      <c r="B157" s="2" t="s">
        <v>47</v>
      </c>
      <c r="C157" s="170">
        <v>0</v>
      </c>
      <c r="D157" s="170">
        <f aca="true" t="shared" si="78" ref="D157:L157">C157</f>
        <v>0</v>
      </c>
      <c r="E157" s="170">
        <f t="shared" si="78"/>
        <v>0</v>
      </c>
      <c r="F157" s="170">
        <f t="shared" si="78"/>
        <v>0</v>
      </c>
      <c r="G157" s="170">
        <f t="shared" si="78"/>
        <v>0</v>
      </c>
      <c r="H157" s="170">
        <f t="shared" si="78"/>
        <v>0</v>
      </c>
      <c r="I157" s="170">
        <f t="shared" si="78"/>
        <v>0</v>
      </c>
      <c r="J157" s="170">
        <f t="shared" si="78"/>
        <v>0</v>
      </c>
      <c r="K157" s="170">
        <f t="shared" si="78"/>
        <v>0</v>
      </c>
      <c r="L157" s="170">
        <f t="shared" si="78"/>
        <v>0</v>
      </c>
    </row>
    <row r="158" spans="2:12" ht="18.75" customHeight="1">
      <c r="B158" s="2" t="s">
        <v>11</v>
      </c>
      <c r="C158" s="170">
        <f aca="true" t="shared" si="79" ref="C158:L158">SUM(C152:C157)</f>
        <v>81337.93404182576</v>
      </c>
      <c r="D158" s="170">
        <f t="shared" si="79"/>
        <v>294166.9140418258</v>
      </c>
      <c r="E158" s="170">
        <f t="shared" si="79"/>
        <v>651130.7940418257</v>
      </c>
      <c r="F158" s="170">
        <f t="shared" si="79"/>
        <v>1934238.0740418257</v>
      </c>
      <c r="G158" s="170">
        <f t="shared" si="79"/>
        <v>1934238.0740418257</v>
      </c>
      <c r="H158" s="170">
        <f t="shared" si="79"/>
        <v>1934238.0740418257</v>
      </c>
      <c r="I158" s="170">
        <f t="shared" si="79"/>
        <v>1934238.0740418257</v>
      </c>
      <c r="J158" s="170">
        <f t="shared" si="79"/>
        <v>1934238.0740418257</v>
      </c>
      <c r="K158" s="170">
        <f t="shared" si="79"/>
        <v>1934238.0740418257</v>
      </c>
      <c r="L158" s="170">
        <f t="shared" si="79"/>
        <v>1934238.0740418257</v>
      </c>
    </row>
    <row r="159" spans="2:12" ht="18.75" customHeight="1">
      <c r="B159" s="2" t="s">
        <v>12</v>
      </c>
      <c r="C159" s="7">
        <f aca="true" t="shared" si="80" ref="C159:L159">C145</f>
        <v>0.10152297909805327</v>
      </c>
      <c r="D159" s="7">
        <f t="shared" si="80"/>
        <v>0.10152297909805327</v>
      </c>
      <c r="E159" s="7">
        <f t="shared" si="80"/>
        <v>0.10152297909805327</v>
      </c>
      <c r="F159" s="7">
        <f t="shared" si="80"/>
        <v>0.10152297909805327</v>
      </c>
      <c r="G159" s="7">
        <f t="shared" si="80"/>
        <v>0.10152297909805327</v>
      </c>
      <c r="H159" s="7">
        <f t="shared" si="80"/>
        <v>0.10152297909805327</v>
      </c>
      <c r="I159" s="7">
        <f t="shared" si="80"/>
        <v>0.10152297909805327</v>
      </c>
      <c r="J159" s="7">
        <f t="shared" si="80"/>
        <v>0.10152297909805327</v>
      </c>
      <c r="K159" s="7">
        <f t="shared" si="80"/>
        <v>0.10152297909805327</v>
      </c>
      <c r="L159" s="7">
        <f t="shared" si="80"/>
        <v>0.10152297909805327</v>
      </c>
    </row>
    <row r="160" spans="2:12" ht="18.75" customHeight="1">
      <c r="B160" s="34" t="s">
        <v>58</v>
      </c>
      <c r="C160" s="174">
        <f aca="true" t="shared" si="81" ref="C160:L160">C158*C159</f>
        <v>8257.669377607113</v>
      </c>
      <c r="D160" s="174">
        <f t="shared" si="81"/>
        <v>29864.701465607115</v>
      </c>
      <c r="E160" s="174">
        <f t="shared" si="81"/>
        <v>66104.7379936071</v>
      </c>
      <c r="F160" s="174">
        <f t="shared" si="81"/>
        <v>196369.6115616071</v>
      </c>
      <c r="G160" s="174">
        <f t="shared" si="81"/>
        <v>196369.6115616071</v>
      </c>
      <c r="H160" s="174">
        <f t="shared" si="81"/>
        <v>196369.6115616071</v>
      </c>
      <c r="I160" s="174">
        <f t="shared" si="81"/>
        <v>196369.6115616071</v>
      </c>
      <c r="J160" s="174">
        <f t="shared" si="81"/>
        <v>196369.6115616071</v>
      </c>
      <c r="K160" s="174">
        <f t="shared" si="81"/>
        <v>196369.6115616071</v>
      </c>
      <c r="L160" s="174">
        <f t="shared" si="81"/>
        <v>196369.6115616071</v>
      </c>
    </row>
    <row r="161" spans="1:12" ht="18.75" customHeight="1">
      <c r="A161" s="3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2:12" ht="18.75" customHeight="1">
      <c r="B162" s="1" t="s">
        <v>52</v>
      </c>
      <c r="C162" s="170">
        <v>0</v>
      </c>
      <c r="D162" s="170">
        <v>0</v>
      </c>
      <c r="E162" s="170">
        <v>0</v>
      </c>
      <c r="F162" s="170">
        <v>0</v>
      </c>
      <c r="G162" s="170">
        <v>0</v>
      </c>
      <c r="H162" s="170">
        <v>0</v>
      </c>
      <c r="I162" s="170">
        <v>0</v>
      </c>
      <c r="J162" s="170">
        <v>0</v>
      </c>
      <c r="K162" s="170">
        <v>0</v>
      </c>
      <c r="L162" s="170">
        <v>0</v>
      </c>
    </row>
    <row r="163" spans="2:12" ht="18.75" customHeight="1">
      <c r="B163" s="2" t="s">
        <v>48</v>
      </c>
      <c r="C163" s="170">
        <f aca="true" t="shared" si="82" ref="C163:L163">C146</f>
        <v>0</v>
      </c>
      <c r="D163" s="170">
        <f t="shared" si="82"/>
        <v>0</v>
      </c>
      <c r="E163" s="170">
        <f t="shared" si="82"/>
        <v>0</v>
      </c>
      <c r="F163" s="170">
        <f t="shared" si="82"/>
        <v>0</v>
      </c>
      <c r="G163" s="170">
        <f t="shared" si="82"/>
        <v>0</v>
      </c>
      <c r="H163" s="170">
        <f t="shared" si="82"/>
        <v>0</v>
      </c>
      <c r="I163" s="170">
        <f t="shared" si="82"/>
        <v>0</v>
      </c>
      <c r="J163" s="170">
        <f t="shared" si="82"/>
        <v>0</v>
      </c>
      <c r="K163" s="170">
        <f t="shared" si="82"/>
        <v>0</v>
      </c>
      <c r="L163" s="170">
        <f t="shared" si="82"/>
        <v>0</v>
      </c>
    </row>
    <row r="164" spans="2:12" ht="18.75" customHeight="1">
      <c r="B164" s="2" t="s">
        <v>434</v>
      </c>
      <c r="C164" s="170">
        <v>0</v>
      </c>
      <c r="D164" s="170">
        <f aca="true" t="shared" si="83" ref="D164:L164">C164</f>
        <v>0</v>
      </c>
      <c r="E164" s="170">
        <f t="shared" si="83"/>
        <v>0</v>
      </c>
      <c r="F164" s="170">
        <f t="shared" si="83"/>
        <v>0</v>
      </c>
      <c r="G164" s="170">
        <f t="shared" si="83"/>
        <v>0</v>
      </c>
      <c r="H164" s="170">
        <f t="shared" si="83"/>
        <v>0</v>
      </c>
      <c r="I164" s="170">
        <f t="shared" si="83"/>
        <v>0</v>
      </c>
      <c r="J164" s="170">
        <f t="shared" si="83"/>
        <v>0</v>
      </c>
      <c r="K164" s="170">
        <f t="shared" si="83"/>
        <v>0</v>
      </c>
      <c r="L164" s="170">
        <f t="shared" si="83"/>
        <v>0</v>
      </c>
    </row>
    <row r="165" spans="2:12" ht="18.75" customHeight="1">
      <c r="B165" s="2" t="s">
        <v>50</v>
      </c>
      <c r="C165" s="170">
        <v>0</v>
      </c>
      <c r="D165" s="170">
        <f aca="true" t="shared" si="84" ref="D165:L165">D148*(C152+C154)</f>
        <v>198.9221330138889</v>
      </c>
      <c r="E165" s="170">
        <f t="shared" si="84"/>
        <v>719.4221330138889</v>
      </c>
      <c r="F165" s="170">
        <f t="shared" si="84"/>
        <v>1592.4221330138887</v>
      </c>
      <c r="G165" s="170">
        <f t="shared" si="84"/>
        <v>4730.422133013889</v>
      </c>
      <c r="H165" s="170">
        <f t="shared" si="84"/>
        <v>4730.422133013889</v>
      </c>
      <c r="I165" s="170">
        <f t="shared" si="84"/>
        <v>4730.422133013889</v>
      </c>
      <c r="J165" s="170">
        <f t="shared" si="84"/>
        <v>4730.422133013889</v>
      </c>
      <c r="K165" s="170">
        <f t="shared" si="84"/>
        <v>4730.422133013889</v>
      </c>
      <c r="L165" s="170">
        <f t="shared" si="84"/>
        <v>4730.422133013889</v>
      </c>
    </row>
    <row r="166" spans="2:12" ht="18.75" customHeight="1">
      <c r="B166" s="21" t="s">
        <v>51</v>
      </c>
      <c r="C166" s="174">
        <f aca="true" t="shared" si="85" ref="C166:L166">SUM(C162:C165)</f>
        <v>0</v>
      </c>
      <c r="D166" s="174">
        <f t="shared" si="85"/>
        <v>198.9221330138889</v>
      </c>
      <c r="E166" s="174">
        <f t="shared" si="85"/>
        <v>719.4221330138889</v>
      </c>
      <c r="F166" s="174">
        <f t="shared" si="85"/>
        <v>1592.4221330138887</v>
      </c>
      <c r="G166" s="174">
        <f t="shared" si="85"/>
        <v>4730.422133013889</v>
      </c>
      <c r="H166" s="174">
        <f t="shared" si="85"/>
        <v>4730.422133013889</v>
      </c>
      <c r="I166" s="174">
        <f t="shared" si="85"/>
        <v>4730.422133013889</v>
      </c>
      <c r="J166" s="174">
        <f t="shared" si="85"/>
        <v>4730.422133013889</v>
      </c>
      <c r="K166" s="174">
        <f t="shared" si="85"/>
        <v>4730.422133013889</v>
      </c>
      <c r="L166" s="174">
        <f t="shared" si="85"/>
        <v>4730.422133013889</v>
      </c>
    </row>
    <row r="167" spans="3:12" ht="18.75" customHeight="1">
      <c r="C167" s="34"/>
      <c r="D167" s="268"/>
      <c r="E167" s="268"/>
      <c r="F167" s="268"/>
      <c r="G167" s="268"/>
      <c r="H167" s="268"/>
      <c r="I167" s="268"/>
      <c r="J167" s="268"/>
      <c r="K167" s="268"/>
      <c r="L167" s="268"/>
    </row>
    <row r="168" spans="2:12" ht="18.75" customHeight="1">
      <c r="B168" s="1" t="s">
        <v>59</v>
      </c>
      <c r="C168" s="170">
        <f aca="true" t="shared" si="86" ref="C168:L168">C160+C166</f>
        <v>8257.669377607113</v>
      </c>
      <c r="D168" s="170">
        <f t="shared" si="86"/>
        <v>30063.623598621005</v>
      </c>
      <c r="E168" s="170">
        <f t="shared" si="86"/>
        <v>66824.16012662098</v>
      </c>
      <c r="F168" s="170">
        <f t="shared" si="86"/>
        <v>197962.033694621</v>
      </c>
      <c r="G168" s="170">
        <f t="shared" si="86"/>
        <v>201100.033694621</v>
      </c>
      <c r="H168" s="170">
        <f t="shared" si="86"/>
        <v>201100.033694621</v>
      </c>
      <c r="I168" s="170">
        <f t="shared" si="86"/>
        <v>201100.033694621</v>
      </c>
      <c r="J168" s="170">
        <f t="shared" si="86"/>
        <v>201100.033694621</v>
      </c>
      <c r="K168" s="170">
        <f t="shared" si="86"/>
        <v>201100.033694621</v>
      </c>
      <c r="L168" s="170">
        <f t="shared" si="86"/>
        <v>201100.033694621</v>
      </c>
    </row>
    <row r="171" spans="2:12" ht="18.75" customHeight="1">
      <c r="B171" s="11"/>
      <c r="C171" s="212" t="s">
        <v>257</v>
      </c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8.75" customHeight="1">
      <c r="A172" s="28"/>
      <c r="B172" s="28"/>
      <c r="C172" s="29">
        <f>C4</f>
        <v>2016</v>
      </c>
      <c r="D172" s="29">
        <f aca="true" t="shared" si="87" ref="D172:L173">C172+1</f>
        <v>2017</v>
      </c>
      <c r="E172" s="29">
        <f t="shared" si="87"/>
        <v>2018</v>
      </c>
      <c r="F172" s="29">
        <f t="shared" si="87"/>
        <v>2019</v>
      </c>
      <c r="G172" s="29">
        <f t="shared" si="87"/>
        <v>2020</v>
      </c>
      <c r="H172" s="29">
        <f t="shared" si="87"/>
        <v>2021</v>
      </c>
      <c r="I172" s="29">
        <f t="shared" si="87"/>
        <v>2022</v>
      </c>
      <c r="J172" s="29">
        <f t="shared" si="87"/>
        <v>2023</v>
      </c>
      <c r="K172" s="29">
        <f t="shared" si="87"/>
        <v>2024</v>
      </c>
      <c r="L172" s="29">
        <f t="shared" si="87"/>
        <v>2025</v>
      </c>
    </row>
    <row r="173" spans="1:12" ht="18.75" customHeight="1">
      <c r="A173" s="258">
        <v>2021</v>
      </c>
      <c r="B173" s="28" t="s">
        <v>43</v>
      </c>
      <c r="C173" s="209">
        <v>1</v>
      </c>
      <c r="D173" s="209">
        <f>C173+1</f>
        <v>2</v>
      </c>
      <c r="E173" s="209">
        <f t="shared" si="87"/>
        <v>3</v>
      </c>
      <c r="F173" s="209">
        <f t="shared" si="87"/>
        <v>4</v>
      </c>
      <c r="G173" s="209">
        <f t="shared" si="87"/>
        <v>5</v>
      </c>
      <c r="H173" s="209">
        <f t="shared" si="87"/>
        <v>6</v>
      </c>
      <c r="I173" s="209">
        <f t="shared" si="87"/>
        <v>7</v>
      </c>
      <c r="J173" s="209">
        <f t="shared" si="87"/>
        <v>8</v>
      </c>
      <c r="K173" s="209">
        <f t="shared" si="87"/>
        <v>9</v>
      </c>
      <c r="L173" s="209">
        <f t="shared" si="87"/>
        <v>10</v>
      </c>
    </row>
    <row r="174" spans="1:12" ht="18.75" customHeight="1">
      <c r="A174" s="3"/>
      <c r="B174" s="211" t="s">
        <v>338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8.75" customHeight="1">
      <c r="A175" s="60" t="s">
        <v>310</v>
      </c>
      <c r="B175" s="10" t="s">
        <v>412</v>
      </c>
      <c r="C175" s="172">
        <f>VLOOKUP(C$4,'Cash Flows-KU'!$B$60:$H$70,$A176)</f>
        <v>178570.3636296296</v>
      </c>
      <c r="D175" s="172">
        <f>VLOOKUP(D$4,'Cash Flows-KU'!$B$60:$H$70,$A176)</f>
        <v>487000</v>
      </c>
      <c r="E175" s="172">
        <f>VLOOKUP(E$4,'Cash Flows-KU'!$B$60:$H$70,$A176)</f>
        <v>303000</v>
      </c>
      <c r="F175" s="172">
        <f>VLOOKUP(F$4,'Cash Flows-KU'!$B$60:$H$70,$A176)</f>
        <v>2800000</v>
      </c>
      <c r="G175" s="172">
        <f>VLOOKUP(G$4,'Cash Flows-KU'!$B$60:$H$70,$A176)</f>
        <v>620000</v>
      </c>
      <c r="H175" s="172">
        <f>VLOOKUP(H$4,'Cash Flows-KU'!$B$60:$H$70,$A176)</f>
        <v>620000</v>
      </c>
      <c r="I175" s="172">
        <f>VLOOKUP(I$4,'Cash Flows-KU'!$B$60:$H$70,$A176)</f>
        <v>0</v>
      </c>
      <c r="J175" s="172">
        <f>VLOOKUP(J$4,'Cash Flows-KU'!$B$60:$H$70,$A176)</f>
        <v>0</v>
      </c>
      <c r="K175" s="172">
        <f>VLOOKUP(K$4,'Cash Flows-KU'!$B$60:$H$70,$A176)</f>
        <v>0</v>
      </c>
      <c r="L175" s="172">
        <f>VLOOKUP(L$4,'Cash Flows-KU'!$B$60:$H$70,$A176)</f>
        <v>0</v>
      </c>
    </row>
    <row r="176" spans="1:13" ht="18.75" customHeight="1">
      <c r="A176" s="3">
        <v>6</v>
      </c>
      <c r="B176" s="40" t="s">
        <v>57</v>
      </c>
      <c r="C176" s="172">
        <f>SUM($C175:C175)</f>
        <v>178570.3636296296</v>
      </c>
      <c r="D176" s="172">
        <f>SUM($C175:D175)</f>
        <v>665570.3636296296</v>
      </c>
      <c r="E176" s="172">
        <f>SUM($C175:E175)</f>
        <v>968570.3636296296</v>
      </c>
      <c r="F176" s="172">
        <f>SUM($C175:F175)</f>
        <v>3768570.36362963</v>
      </c>
      <c r="G176" s="172">
        <f>SUM($C175:G175)</f>
        <v>4388570.36362963</v>
      </c>
      <c r="H176" s="172">
        <f>SUM($C175:H175)</f>
        <v>5008570.36362963</v>
      </c>
      <c r="I176" s="172">
        <f>SUM($C175:I175)</f>
        <v>5008570.36362963</v>
      </c>
      <c r="J176" s="172">
        <f>SUM($C175:J175)</f>
        <v>5008570.36362963</v>
      </c>
      <c r="K176" s="172">
        <f>SUM($C175:K175)</f>
        <v>5008570.36362963</v>
      </c>
      <c r="L176" s="172">
        <f>SUM($C175:L175)</f>
        <v>5008570.36362963</v>
      </c>
      <c r="M176" s="18"/>
    </row>
    <row r="177" spans="1:12" ht="18.75" customHeight="1">
      <c r="A177" s="3">
        <v>2</v>
      </c>
      <c r="B177" s="5" t="s">
        <v>0</v>
      </c>
      <c r="C177" s="6">
        <f>IF(C173="",0,VLOOKUP($B174,Depreciation!$D$2:$E$31,$A177,FALSE))</f>
        <v>0</v>
      </c>
      <c r="D177" s="6">
        <f>IF(D173="",0,VLOOKUP($B174,Depreciation!$D$2:$E$31,$A177,FALSE))</f>
        <v>0</v>
      </c>
      <c r="E177" s="6">
        <f>IF(E173="",0,VLOOKUP($B174,Depreciation!$D$2:$E$31,$A177,FALSE))</f>
        <v>0</v>
      </c>
      <c r="F177" s="6">
        <f>IF(F173="",0,VLOOKUP($B174,Depreciation!$D$2:$E$31,$A177,FALSE))</f>
        <v>0</v>
      </c>
      <c r="G177" s="6">
        <f>IF(G173="",0,VLOOKUP($B174,Depreciation!$D$2:$E$31,$A177,FALSE))</f>
        <v>0</v>
      </c>
      <c r="H177" s="6">
        <f>IF(H173="",0,VLOOKUP($B174,Depreciation!$D$2:$E$31,$A177,FALSE))</f>
        <v>0</v>
      </c>
      <c r="I177" s="6">
        <f>IF(I173="",0,VLOOKUP($B174,Depreciation!$D$2:$E$31,$A177,FALSE))</f>
        <v>0</v>
      </c>
      <c r="J177" s="6">
        <f>IF(J173="",0,VLOOKUP($B174,Depreciation!$D$2:$E$31,$A177,FALSE))</f>
        <v>0</v>
      </c>
      <c r="K177" s="6">
        <f>IF(K173="",0,VLOOKUP($B174,Depreciation!$D$2:$E$31,$A177,FALSE))</f>
        <v>0</v>
      </c>
      <c r="L177" s="6">
        <f>IF(L173="",0,VLOOKUP($B174,Depreciation!$D$2:$E$31,$A177,FALSE))</f>
        <v>0</v>
      </c>
    </row>
    <row r="178" spans="1:12" ht="18.75" customHeight="1">
      <c r="A178" s="3">
        <v>3</v>
      </c>
      <c r="B178" s="5" t="s">
        <v>1</v>
      </c>
      <c r="C178" s="6">
        <f>IF(C173="",0,VLOOKUP(C173,Depreciation!$A$2:$C$58,$A178,FALSE))</f>
        <v>1</v>
      </c>
      <c r="D178" s="6">
        <f>IF(D173="",0,VLOOKUP(D173,Depreciation!$A$2:$C$58,$A178,FALSE))</f>
        <v>1</v>
      </c>
      <c r="E178" s="6">
        <f>IF(E173="",0,VLOOKUP(E173,Depreciation!$A$2:$C$58,$A178,FALSE))</f>
        <v>1</v>
      </c>
      <c r="F178" s="6">
        <f>IF(F173="",0,VLOOKUP(F173,Depreciation!$A$2:$C$58,$A178,FALSE))</f>
        <v>1</v>
      </c>
      <c r="G178" s="6">
        <f>IF(G173="",0,VLOOKUP(G173,Depreciation!$A$2:$C$58,$A178,FALSE))</f>
        <v>1</v>
      </c>
      <c r="H178" s="6">
        <f>IF(H173="",0,VLOOKUP(H173,Depreciation!$A$2:$C$58,$A178,FALSE))</f>
        <v>1</v>
      </c>
      <c r="I178" s="6">
        <f>IF(I173="",0,VLOOKUP(I173,Depreciation!$A$2:$C$58,$A178,FALSE))</f>
        <v>1</v>
      </c>
      <c r="J178" s="6">
        <f>IF(J173="",0,VLOOKUP(J173,Depreciation!$A$2:$C$58,$A178,FALSE))</f>
        <v>1</v>
      </c>
      <c r="K178" s="6">
        <f>IF(K173="",0,VLOOKUP(K173,Depreciation!$A$2:$C$58,$A178,FALSE))</f>
        <v>1</v>
      </c>
      <c r="L178" s="6">
        <f>IF(L173="",0,VLOOKUP(L173,Depreciation!$A$2:$C$58,$A178,FALSE))</f>
        <v>1</v>
      </c>
    </row>
    <row r="179" spans="1:12" ht="18.75" customHeight="1">
      <c r="A179" s="30"/>
      <c r="B179" s="31" t="s">
        <v>2</v>
      </c>
      <c r="C179" s="7">
        <f>Input!B$3</f>
        <v>0.38665999999999995</v>
      </c>
      <c r="D179" s="7">
        <f>Input!C$3</f>
        <v>0.38665999999999995</v>
      </c>
      <c r="E179" s="7">
        <f>Input!D$3</f>
        <v>0.38665999999999995</v>
      </c>
      <c r="F179" s="7">
        <f>Input!E$3</f>
        <v>0.38665999999999995</v>
      </c>
      <c r="G179" s="7">
        <f>Input!F$3</f>
        <v>0.38665999999999995</v>
      </c>
      <c r="H179" s="7">
        <f>Input!G$3</f>
        <v>0.38665999999999995</v>
      </c>
      <c r="I179" s="7">
        <f>Input!H$3</f>
        <v>0.38665999999999995</v>
      </c>
      <c r="J179" s="7">
        <f>Input!I$3</f>
        <v>0.38665999999999995</v>
      </c>
      <c r="K179" s="7">
        <f>Input!J$3</f>
        <v>0.38665999999999995</v>
      </c>
      <c r="L179" s="7">
        <f>Input!K$3</f>
        <v>0.38665999999999995</v>
      </c>
    </row>
    <row r="180" spans="2:12" ht="18.75" customHeight="1">
      <c r="B180" s="2" t="s">
        <v>3</v>
      </c>
      <c r="C180" s="170">
        <f>SUM($C191:C191)</f>
        <v>69046.01680103257</v>
      </c>
      <c r="D180" s="170">
        <f>SUM($C191:D191)</f>
        <v>257349.43680103257</v>
      </c>
      <c r="E180" s="170">
        <f>SUM($C191:E191)</f>
        <v>374507.41680103255</v>
      </c>
      <c r="F180" s="170">
        <f>SUM($C191:F191)</f>
        <v>1457155.4168010324</v>
      </c>
      <c r="G180" s="170">
        <f>SUM($C191:G191)</f>
        <v>1696884.6168010323</v>
      </c>
      <c r="H180" s="170">
        <f>SUM($C191:H191)</f>
        <v>1936613.8168010323</v>
      </c>
      <c r="I180" s="170">
        <f>SUM($C191:I191)</f>
        <v>1936613.8168010323</v>
      </c>
      <c r="J180" s="170">
        <f>SUM($C191:J191)</f>
        <v>1936613.8168010323</v>
      </c>
      <c r="K180" s="170">
        <f>SUM($C191:K191)</f>
        <v>1936613.8168010323</v>
      </c>
      <c r="L180" s="170">
        <f>SUM($C191:L191)</f>
        <v>1936613.8168010323</v>
      </c>
    </row>
    <row r="181" spans="2:12" ht="18.75" customHeight="1">
      <c r="B181" s="2" t="s">
        <v>4</v>
      </c>
      <c r="C181" s="170">
        <f>SUM($C183:C183)</f>
        <v>0</v>
      </c>
      <c r="D181" s="170">
        <f>SUM($C183:D183)</f>
        <v>0</v>
      </c>
      <c r="E181" s="170">
        <f>SUM($C183:E183)</f>
        <v>0</v>
      </c>
      <c r="F181" s="170">
        <f>SUM($C183:F183)</f>
        <v>0</v>
      </c>
      <c r="G181" s="170">
        <f>SUM($C183:G183)</f>
        <v>0</v>
      </c>
      <c r="H181" s="170">
        <f>SUM($C183:H183)</f>
        <v>0</v>
      </c>
      <c r="I181" s="170">
        <f>SUM($C183:I183)</f>
        <v>0</v>
      </c>
      <c r="J181" s="170">
        <f>SUM($C183:J183)</f>
        <v>0</v>
      </c>
      <c r="K181" s="170">
        <f>SUM($C183:K183)</f>
        <v>0</v>
      </c>
      <c r="L181" s="170">
        <f>SUM($C183:L183)</f>
        <v>0</v>
      </c>
    </row>
    <row r="182" spans="2:12" ht="18.75" customHeight="1">
      <c r="B182" s="11" t="s">
        <v>5</v>
      </c>
      <c r="C182" s="170">
        <f>C175</f>
        <v>178570.3636296296</v>
      </c>
      <c r="D182" s="170">
        <f>C182+D175</f>
        <v>665570.3636296296</v>
      </c>
      <c r="E182" s="170">
        <f aca="true" t="shared" si="88" ref="E182:L182">D182+E175</f>
        <v>968570.3636296296</v>
      </c>
      <c r="F182" s="170">
        <f t="shared" si="88"/>
        <v>3768570.36362963</v>
      </c>
      <c r="G182" s="170">
        <f t="shared" si="88"/>
        <v>4388570.36362963</v>
      </c>
      <c r="H182" s="170">
        <f t="shared" si="88"/>
        <v>5008570.36362963</v>
      </c>
      <c r="I182" s="170">
        <f t="shared" si="88"/>
        <v>5008570.36362963</v>
      </c>
      <c r="J182" s="170">
        <f t="shared" si="88"/>
        <v>5008570.36362963</v>
      </c>
      <c r="K182" s="170">
        <f t="shared" si="88"/>
        <v>5008570.36362963</v>
      </c>
      <c r="L182" s="170">
        <f t="shared" si="88"/>
        <v>5008570.36362963</v>
      </c>
    </row>
    <row r="183" spans="1:12" ht="18.75" customHeight="1">
      <c r="A183" s="214" t="s">
        <v>372</v>
      </c>
      <c r="B183" s="11" t="s">
        <v>6</v>
      </c>
      <c r="C183" s="170">
        <f aca="true" t="shared" si="89" ref="C183:L183">IF(C173=1,(12.5-VLOOKUP(C171,$Q$5:$R$16,2,))*C177/12*C182,C182*C177)</f>
        <v>0</v>
      </c>
      <c r="D183" s="170">
        <f t="shared" si="89"/>
        <v>0</v>
      </c>
      <c r="E183" s="170">
        <f t="shared" si="89"/>
        <v>0</v>
      </c>
      <c r="F183" s="170">
        <f t="shared" si="89"/>
        <v>0</v>
      </c>
      <c r="G183" s="170">
        <f t="shared" si="89"/>
        <v>0</v>
      </c>
      <c r="H183" s="170">
        <f t="shared" si="89"/>
        <v>0</v>
      </c>
      <c r="I183" s="170">
        <f t="shared" si="89"/>
        <v>0</v>
      </c>
      <c r="J183" s="170">
        <f t="shared" si="89"/>
        <v>0</v>
      </c>
      <c r="K183" s="170">
        <f t="shared" si="89"/>
        <v>0</v>
      </c>
      <c r="L183" s="170">
        <f t="shared" si="89"/>
        <v>0</v>
      </c>
    </row>
    <row r="184" spans="2:12" ht="18.75" customHeight="1">
      <c r="B184" s="5" t="s">
        <v>7</v>
      </c>
      <c r="C184" s="170">
        <f>C175</f>
        <v>178570.3636296296</v>
      </c>
      <c r="D184" s="170">
        <f aca="true" t="shared" si="90" ref="D184:L184">C184+D175</f>
        <v>665570.3636296296</v>
      </c>
      <c r="E184" s="170">
        <f t="shared" si="90"/>
        <v>968570.3636296296</v>
      </c>
      <c r="F184" s="170">
        <f t="shared" si="90"/>
        <v>3768570.36362963</v>
      </c>
      <c r="G184" s="170">
        <f t="shared" si="90"/>
        <v>4388570.36362963</v>
      </c>
      <c r="H184" s="170">
        <f t="shared" si="90"/>
        <v>5008570.36362963</v>
      </c>
      <c r="I184" s="170">
        <f t="shared" si="90"/>
        <v>5008570.36362963</v>
      </c>
      <c r="J184" s="170">
        <f t="shared" si="90"/>
        <v>5008570.36362963</v>
      </c>
      <c r="K184" s="170">
        <f t="shared" si="90"/>
        <v>5008570.36362963</v>
      </c>
      <c r="L184" s="170">
        <f t="shared" si="90"/>
        <v>5008570.36362963</v>
      </c>
    </row>
    <row r="185" spans="2:12" ht="18.75" customHeight="1">
      <c r="B185" s="213" t="s">
        <v>361</v>
      </c>
      <c r="C185" s="170">
        <f>IF(C173=1,IF($A183="Bonus",SUM($C175:C175)*VLOOKUP(C172,Depreciation!$D$41:$E$50,2),0),0)</f>
        <v>0</v>
      </c>
      <c r="D185" s="170">
        <f>IF(D173=1,IF($A183="Bonus",SUM($C175:D175)*VLOOKUP(D172,Depreciation!$D$41:$E$50,2),0),0)</f>
        <v>0</v>
      </c>
      <c r="E185" s="170">
        <f>IF(E173=1,IF($A183="Bonus",SUM($C175:E175)*VLOOKUP(E172,Depreciation!$D$41:$E$50,2),0),0)</f>
        <v>0</v>
      </c>
      <c r="F185" s="170">
        <f>IF(F173=1,IF($A183="Bonus",SUM($C175:F175)*VLOOKUP(F172,Depreciation!$D$41:$E$50,2),0),0)</f>
        <v>0</v>
      </c>
      <c r="G185" s="170">
        <f>IF(G173=1,IF($A183="Bonus",SUM($C175:G175)*VLOOKUP(G172,Depreciation!$D$41:$E$50,2),0),0)</f>
        <v>0</v>
      </c>
      <c r="H185" s="170">
        <f>IF(H173=1,IF($A183="Bonus",SUM($C175:H175)*VLOOKUP(H172,Depreciation!$D$41:$E$50,2),0),0)</f>
        <v>0</v>
      </c>
      <c r="I185" s="170">
        <f>IF(I173=1,IF($A183="Bonus",SUM($C175:I175)*VLOOKUP(I172,Depreciation!$D$41:$E$50,2),0),0)</f>
        <v>0</v>
      </c>
      <c r="J185" s="170">
        <f>IF(J173=1,IF($A183="Bonus",SUM($C175:J175)*VLOOKUP(J172,Depreciation!$D$41:$E$50,2),0),0)</f>
        <v>0</v>
      </c>
      <c r="K185" s="170">
        <f>IF(K173=1,IF($A183="Bonus",SUM($C175:K175)*VLOOKUP(K172,Depreciation!$D$41:$E$50,2),0),0)</f>
        <v>0</v>
      </c>
      <c r="L185" s="170">
        <f>IF(L173=1,IF($A183="Bonus",SUM($C175:L175)*VLOOKUP(L172,Depreciation!$D$41:$E$50,2),0),0)</f>
        <v>0</v>
      </c>
    </row>
    <row r="186" spans="2:12" ht="18.75" customHeight="1">
      <c r="B186" s="5" t="s">
        <v>362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</row>
    <row r="187" spans="2:12" ht="18.75" customHeight="1">
      <c r="B187" s="5" t="s">
        <v>17</v>
      </c>
      <c r="C187" s="7">
        <f>Input!J$31</f>
        <v>0.10152297909805327</v>
      </c>
      <c r="D187" s="7">
        <f>Input!K$31</f>
        <v>0.10152297909805327</v>
      </c>
      <c r="E187" s="7">
        <f>Input!L$31</f>
        <v>0.10152297909805327</v>
      </c>
      <c r="F187" s="7">
        <f>Input!M$31</f>
        <v>0.10152297909805327</v>
      </c>
      <c r="G187" s="7">
        <f>Input!N$31</f>
        <v>0.10152297909805327</v>
      </c>
      <c r="H187" s="7">
        <f>Input!O$31</f>
        <v>0.10152297909805327</v>
      </c>
      <c r="I187" s="7">
        <f>Input!P$31</f>
        <v>0.10152297909805327</v>
      </c>
      <c r="J187" s="7">
        <f>Input!Q$31</f>
        <v>0.10152297909805327</v>
      </c>
      <c r="K187" s="7">
        <f>Input!R$31</f>
        <v>0.10152297909805327</v>
      </c>
      <c r="L187" s="7">
        <f>Input!S$31</f>
        <v>0.10152297909805327</v>
      </c>
    </row>
    <row r="188" spans="2:12" ht="18.75" customHeight="1">
      <c r="B188" s="5" t="s">
        <v>8</v>
      </c>
      <c r="C188" s="181">
        <f aca="true" t="shared" si="91" ref="C188:L188">C183</f>
        <v>0</v>
      </c>
      <c r="D188" s="181">
        <f t="shared" si="91"/>
        <v>0</v>
      </c>
      <c r="E188" s="181">
        <f t="shared" si="91"/>
        <v>0</v>
      </c>
      <c r="F188" s="181">
        <f t="shared" si="91"/>
        <v>0</v>
      </c>
      <c r="G188" s="181">
        <f t="shared" si="91"/>
        <v>0</v>
      </c>
      <c r="H188" s="181">
        <f t="shared" si="91"/>
        <v>0</v>
      </c>
      <c r="I188" s="181">
        <f t="shared" si="91"/>
        <v>0</v>
      </c>
      <c r="J188" s="181">
        <f t="shared" si="91"/>
        <v>0</v>
      </c>
      <c r="K188" s="181">
        <f t="shared" si="91"/>
        <v>0</v>
      </c>
      <c r="L188" s="181">
        <f t="shared" si="91"/>
        <v>0</v>
      </c>
    </row>
    <row r="189" spans="2:12" ht="18.75" customHeight="1">
      <c r="B189" s="11" t="s">
        <v>364</v>
      </c>
      <c r="C189" s="181">
        <f>C175*C178</f>
        <v>178570.3636296296</v>
      </c>
      <c r="D189" s="181">
        <f aca="true" t="shared" si="92" ref="D189:L189">D175*D178</f>
        <v>487000</v>
      </c>
      <c r="E189" s="181">
        <f t="shared" si="92"/>
        <v>303000</v>
      </c>
      <c r="F189" s="181">
        <f t="shared" si="92"/>
        <v>2800000</v>
      </c>
      <c r="G189" s="181">
        <f t="shared" si="92"/>
        <v>620000</v>
      </c>
      <c r="H189" s="181">
        <f t="shared" si="92"/>
        <v>620000</v>
      </c>
      <c r="I189" s="181">
        <f t="shared" si="92"/>
        <v>0</v>
      </c>
      <c r="J189" s="181">
        <f t="shared" si="92"/>
        <v>0</v>
      </c>
      <c r="K189" s="181">
        <f t="shared" si="92"/>
        <v>0</v>
      </c>
      <c r="L189" s="181">
        <f t="shared" si="92"/>
        <v>0</v>
      </c>
    </row>
    <row r="190" spans="2:12" ht="18.75" customHeight="1">
      <c r="B190" s="3" t="s">
        <v>9</v>
      </c>
      <c r="C190" s="8">
        <f>Input!$B$6</f>
        <v>0.0015</v>
      </c>
      <c r="D190" s="8">
        <f aca="true" t="shared" si="93" ref="D190:I190">C190</f>
        <v>0.0015</v>
      </c>
      <c r="E190" s="8">
        <f t="shared" si="93"/>
        <v>0.0015</v>
      </c>
      <c r="F190" s="8">
        <f t="shared" si="93"/>
        <v>0.0015</v>
      </c>
      <c r="G190" s="8">
        <f t="shared" si="93"/>
        <v>0.0015</v>
      </c>
      <c r="H190" s="8">
        <f t="shared" si="93"/>
        <v>0.0015</v>
      </c>
      <c r="I190" s="8">
        <f t="shared" si="93"/>
        <v>0.0015</v>
      </c>
      <c r="J190" s="8">
        <f>I190</f>
        <v>0.0015</v>
      </c>
      <c r="K190" s="8">
        <f>J190</f>
        <v>0.0015</v>
      </c>
      <c r="L190" s="8">
        <f>K190</f>
        <v>0.0015</v>
      </c>
    </row>
    <row r="191" spans="2:12" ht="18.75" customHeight="1">
      <c r="B191" s="102" t="s">
        <v>363</v>
      </c>
      <c r="C191" s="171">
        <f aca="true" t="shared" si="94" ref="C191:L191">(C189-C188)*C179</f>
        <v>69046.01680103257</v>
      </c>
      <c r="D191" s="171">
        <f t="shared" si="94"/>
        <v>188303.41999999998</v>
      </c>
      <c r="E191" s="171">
        <f t="shared" si="94"/>
        <v>117157.97999999998</v>
      </c>
      <c r="F191" s="171">
        <f t="shared" si="94"/>
        <v>1082647.9999999998</v>
      </c>
      <c r="G191" s="171">
        <f t="shared" si="94"/>
        <v>239729.19999999995</v>
      </c>
      <c r="H191" s="171">
        <f t="shared" si="94"/>
        <v>239729.19999999995</v>
      </c>
      <c r="I191" s="171">
        <f t="shared" si="94"/>
        <v>0</v>
      </c>
      <c r="J191" s="171">
        <f t="shared" si="94"/>
        <v>0</v>
      </c>
      <c r="K191" s="171">
        <f t="shared" si="94"/>
        <v>0</v>
      </c>
      <c r="L191" s="171">
        <f t="shared" si="94"/>
        <v>0</v>
      </c>
    </row>
    <row r="192" spans="2:12" ht="18.75" customHeight="1">
      <c r="B192" s="4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8.75" customHeight="1">
      <c r="B193" s="10" t="s">
        <v>15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8.75" customHeight="1">
      <c r="B194" s="5" t="s">
        <v>16</v>
      </c>
      <c r="C194" s="169">
        <f aca="true" t="shared" si="95" ref="C194:L194">C176</f>
        <v>178570.3636296296</v>
      </c>
      <c r="D194" s="169">
        <f t="shared" si="95"/>
        <v>665570.3636296296</v>
      </c>
      <c r="E194" s="169">
        <f t="shared" si="95"/>
        <v>968570.3636296296</v>
      </c>
      <c r="F194" s="169">
        <f t="shared" si="95"/>
        <v>3768570.36362963</v>
      </c>
      <c r="G194" s="169">
        <f t="shared" si="95"/>
        <v>4388570.36362963</v>
      </c>
      <c r="H194" s="169">
        <f t="shared" si="95"/>
        <v>5008570.36362963</v>
      </c>
      <c r="I194" s="169">
        <f t="shared" si="95"/>
        <v>5008570.36362963</v>
      </c>
      <c r="J194" s="169">
        <f t="shared" si="95"/>
        <v>5008570.36362963</v>
      </c>
      <c r="K194" s="169">
        <f t="shared" si="95"/>
        <v>5008570.36362963</v>
      </c>
      <c r="L194" s="169">
        <f t="shared" si="95"/>
        <v>5008570.36362963</v>
      </c>
    </row>
    <row r="195" spans="1:12" ht="18.75" customHeight="1">
      <c r="A195" s="3"/>
      <c r="B195" s="4" t="s">
        <v>44</v>
      </c>
      <c r="C195" s="170">
        <v>0</v>
      </c>
      <c r="D195" s="170">
        <f aca="true" t="shared" si="96" ref="D195:L195">C195</f>
        <v>0</v>
      </c>
      <c r="E195" s="170">
        <f t="shared" si="96"/>
        <v>0</v>
      </c>
      <c r="F195" s="170">
        <f t="shared" si="96"/>
        <v>0</v>
      </c>
      <c r="G195" s="170">
        <f t="shared" si="96"/>
        <v>0</v>
      </c>
      <c r="H195" s="170">
        <f t="shared" si="96"/>
        <v>0</v>
      </c>
      <c r="I195" s="170">
        <f t="shared" si="96"/>
        <v>0</v>
      </c>
      <c r="J195" s="170">
        <f t="shared" si="96"/>
        <v>0</v>
      </c>
      <c r="K195" s="170">
        <f t="shared" si="96"/>
        <v>0</v>
      </c>
      <c r="L195" s="170">
        <f t="shared" si="96"/>
        <v>0</v>
      </c>
    </row>
    <row r="196" spans="2:12" ht="18.75" customHeight="1">
      <c r="B196" s="2" t="s">
        <v>10</v>
      </c>
      <c r="C196" s="170">
        <f aca="true" t="shared" si="97" ref="C196:L196">-C181</f>
        <v>0</v>
      </c>
      <c r="D196" s="170">
        <f t="shared" si="97"/>
        <v>0</v>
      </c>
      <c r="E196" s="170">
        <f t="shared" si="97"/>
        <v>0</v>
      </c>
      <c r="F196" s="170">
        <f t="shared" si="97"/>
        <v>0</v>
      </c>
      <c r="G196" s="170">
        <f t="shared" si="97"/>
        <v>0</v>
      </c>
      <c r="H196" s="170">
        <f t="shared" si="97"/>
        <v>0</v>
      </c>
      <c r="I196" s="170">
        <f t="shared" si="97"/>
        <v>0</v>
      </c>
      <c r="J196" s="170">
        <f t="shared" si="97"/>
        <v>0</v>
      </c>
      <c r="K196" s="170">
        <f t="shared" si="97"/>
        <v>0</v>
      </c>
      <c r="L196" s="170">
        <f t="shared" si="97"/>
        <v>0</v>
      </c>
    </row>
    <row r="197" spans="2:12" ht="18.75" customHeight="1">
      <c r="B197" s="2" t="s">
        <v>45</v>
      </c>
      <c r="C197" s="170">
        <v>0</v>
      </c>
      <c r="D197" s="170">
        <f aca="true" t="shared" si="98" ref="D197:L197">C197</f>
        <v>0</v>
      </c>
      <c r="E197" s="170">
        <f t="shared" si="98"/>
        <v>0</v>
      </c>
      <c r="F197" s="170">
        <f t="shared" si="98"/>
        <v>0</v>
      </c>
      <c r="G197" s="170">
        <f t="shared" si="98"/>
        <v>0</v>
      </c>
      <c r="H197" s="170">
        <f t="shared" si="98"/>
        <v>0</v>
      </c>
      <c r="I197" s="170">
        <f t="shared" si="98"/>
        <v>0</v>
      </c>
      <c r="J197" s="170">
        <f t="shared" si="98"/>
        <v>0</v>
      </c>
      <c r="K197" s="170">
        <f t="shared" si="98"/>
        <v>0</v>
      </c>
      <c r="L197" s="170">
        <f t="shared" si="98"/>
        <v>0</v>
      </c>
    </row>
    <row r="198" spans="2:12" ht="18.75" customHeight="1">
      <c r="B198" s="2" t="s">
        <v>46</v>
      </c>
      <c r="C198" s="170">
        <f aca="true" t="shared" si="99" ref="C198:L198">-C180</f>
        <v>-69046.01680103257</v>
      </c>
      <c r="D198" s="170">
        <f t="shared" si="99"/>
        <v>-257349.43680103257</v>
      </c>
      <c r="E198" s="170">
        <f t="shared" si="99"/>
        <v>-374507.41680103255</v>
      </c>
      <c r="F198" s="170">
        <f t="shared" si="99"/>
        <v>-1457155.4168010324</v>
      </c>
      <c r="G198" s="170">
        <f t="shared" si="99"/>
        <v>-1696884.6168010323</v>
      </c>
      <c r="H198" s="170">
        <f t="shared" si="99"/>
        <v>-1936613.8168010323</v>
      </c>
      <c r="I198" s="170">
        <f t="shared" si="99"/>
        <v>-1936613.8168010323</v>
      </c>
      <c r="J198" s="170">
        <f t="shared" si="99"/>
        <v>-1936613.8168010323</v>
      </c>
      <c r="K198" s="170">
        <f t="shared" si="99"/>
        <v>-1936613.8168010323</v>
      </c>
      <c r="L198" s="170">
        <f t="shared" si="99"/>
        <v>-1936613.8168010323</v>
      </c>
    </row>
    <row r="199" spans="2:12" ht="18.75" customHeight="1">
      <c r="B199" s="2" t="s">
        <v>47</v>
      </c>
      <c r="C199" s="170">
        <v>0</v>
      </c>
      <c r="D199" s="170">
        <f aca="true" t="shared" si="100" ref="D199:L199">C199</f>
        <v>0</v>
      </c>
      <c r="E199" s="170">
        <f t="shared" si="100"/>
        <v>0</v>
      </c>
      <c r="F199" s="170">
        <f t="shared" si="100"/>
        <v>0</v>
      </c>
      <c r="G199" s="170">
        <f t="shared" si="100"/>
        <v>0</v>
      </c>
      <c r="H199" s="170">
        <f t="shared" si="100"/>
        <v>0</v>
      </c>
      <c r="I199" s="170">
        <f t="shared" si="100"/>
        <v>0</v>
      </c>
      <c r="J199" s="170">
        <f t="shared" si="100"/>
        <v>0</v>
      </c>
      <c r="K199" s="170">
        <f t="shared" si="100"/>
        <v>0</v>
      </c>
      <c r="L199" s="170">
        <f t="shared" si="100"/>
        <v>0</v>
      </c>
    </row>
    <row r="200" spans="2:12" ht="18.75" customHeight="1">
      <c r="B200" s="2" t="s">
        <v>11</v>
      </c>
      <c r="C200" s="170">
        <f aca="true" t="shared" si="101" ref="C200:L200">SUM(C194:C199)</f>
        <v>109524.34682859703</v>
      </c>
      <c r="D200" s="170">
        <f t="shared" si="101"/>
        <v>408220.92682859703</v>
      </c>
      <c r="E200" s="170">
        <f t="shared" si="101"/>
        <v>594062.946828597</v>
      </c>
      <c r="F200" s="170">
        <f t="shared" si="101"/>
        <v>2311414.946828597</v>
      </c>
      <c r="G200" s="170">
        <f t="shared" si="101"/>
        <v>2691685.7468285975</v>
      </c>
      <c r="H200" s="170">
        <f t="shared" si="101"/>
        <v>3071956.546828598</v>
      </c>
      <c r="I200" s="170">
        <f t="shared" si="101"/>
        <v>3071956.546828598</v>
      </c>
      <c r="J200" s="170">
        <f t="shared" si="101"/>
        <v>3071956.546828598</v>
      </c>
      <c r="K200" s="170">
        <f t="shared" si="101"/>
        <v>3071956.546828598</v>
      </c>
      <c r="L200" s="170">
        <f t="shared" si="101"/>
        <v>3071956.546828598</v>
      </c>
    </row>
    <row r="201" spans="2:12" ht="18.75" customHeight="1">
      <c r="B201" s="2" t="s">
        <v>12</v>
      </c>
      <c r="C201" s="7">
        <f aca="true" t="shared" si="102" ref="C201:L201">C187</f>
        <v>0.10152297909805327</v>
      </c>
      <c r="D201" s="7">
        <f t="shared" si="102"/>
        <v>0.10152297909805327</v>
      </c>
      <c r="E201" s="7">
        <f t="shared" si="102"/>
        <v>0.10152297909805327</v>
      </c>
      <c r="F201" s="7">
        <f t="shared" si="102"/>
        <v>0.10152297909805327</v>
      </c>
      <c r="G201" s="7">
        <f t="shared" si="102"/>
        <v>0.10152297909805327</v>
      </c>
      <c r="H201" s="7">
        <f t="shared" si="102"/>
        <v>0.10152297909805327</v>
      </c>
      <c r="I201" s="7">
        <f t="shared" si="102"/>
        <v>0.10152297909805327</v>
      </c>
      <c r="J201" s="7">
        <f t="shared" si="102"/>
        <v>0.10152297909805327</v>
      </c>
      <c r="K201" s="7">
        <f t="shared" si="102"/>
        <v>0.10152297909805327</v>
      </c>
      <c r="L201" s="7">
        <f t="shared" si="102"/>
        <v>0.10152297909805327</v>
      </c>
    </row>
    <row r="202" spans="2:12" ht="18.75" customHeight="1">
      <c r="B202" s="34" t="s">
        <v>58</v>
      </c>
      <c r="C202" s="174">
        <f aca="true" t="shared" si="103" ref="C202:L202">C200*C201</f>
        <v>11119.237973807594</v>
      </c>
      <c r="D202" s="174">
        <f t="shared" si="103"/>
        <v>41443.80462180759</v>
      </c>
      <c r="E202" s="174">
        <f t="shared" si="103"/>
        <v>60311.04013380758</v>
      </c>
      <c r="F202" s="174">
        <f t="shared" si="103"/>
        <v>234661.7313338076</v>
      </c>
      <c r="G202" s="174">
        <f t="shared" si="103"/>
        <v>273267.9558138076</v>
      </c>
      <c r="H202" s="174">
        <f t="shared" si="103"/>
        <v>311874.18029380764</v>
      </c>
      <c r="I202" s="174">
        <f t="shared" si="103"/>
        <v>311874.18029380764</v>
      </c>
      <c r="J202" s="174">
        <f t="shared" si="103"/>
        <v>311874.18029380764</v>
      </c>
      <c r="K202" s="174">
        <f t="shared" si="103"/>
        <v>311874.18029380764</v>
      </c>
      <c r="L202" s="174">
        <f t="shared" si="103"/>
        <v>311874.18029380764</v>
      </c>
    </row>
    <row r="203" spans="1:12" ht="18.75" customHeight="1">
      <c r="A203" s="3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2:12" ht="18.75" customHeight="1">
      <c r="B204" s="1" t="s">
        <v>52</v>
      </c>
      <c r="C204" s="170">
        <v>0</v>
      </c>
      <c r="D204" s="170">
        <v>0</v>
      </c>
      <c r="E204" s="170">
        <v>0</v>
      </c>
      <c r="F204" s="170">
        <v>0</v>
      </c>
      <c r="G204" s="170">
        <v>0</v>
      </c>
      <c r="H204" s="170">
        <v>0</v>
      </c>
      <c r="I204" s="170">
        <v>0</v>
      </c>
      <c r="J204" s="170">
        <v>0</v>
      </c>
      <c r="K204" s="170">
        <v>0</v>
      </c>
      <c r="L204" s="170">
        <v>0</v>
      </c>
    </row>
    <row r="205" spans="2:12" ht="18.75" customHeight="1">
      <c r="B205" s="2" t="s">
        <v>48</v>
      </c>
      <c r="C205" s="170">
        <f aca="true" t="shared" si="104" ref="C205:L205">C188</f>
        <v>0</v>
      </c>
      <c r="D205" s="170">
        <f t="shared" si="104"/>
        <v>0</v>
      </c>
      <c r="E205" s="170">
        <f t="shared" si="104"/>
        <v>0</v>
      </c>
      <c r="F205" s="170">
        <f t="shared" si="104"/>
        <v>0</v>
      </c>
      <c r="G205" s="170">
        <f t="shared" si="104"/>
        <v>0</v>
      </c>
      <c r="H205" s="170">
        <f t="shared" si="104"/>
        <v>0</v>
      </c>
      <c r="I205" s="170">
        <f t="shared" si="104"/>
        <v>0</v>
      </c>
      <c r="J205" s="170">
        <f t="shared" si="104"/>
        <v>0</v>
      </c>
      <c r="K205" s="170">
        <f t="shared" si="104"/>
        <v>0</v>
      </c>
      <c r="L205" s="170">
        <f t="shared" si="104"/>
        <v>0</v>
      </c>
    </row>
    <row r="206" spans="2:12" ht="18.75" customHeight="1">
      <c r="B206" s="2" t="s">
        <v>434</v>
      </c>
      <c r="C206" s="170">
        <v>0</v>
      </c>
      <c r="D206" s="170">
        <f aca="true" t="shared" si="105" ref="D206:L206">C206</f>
        <v>0</v>
      </c>
      <c r="E206" s="170">
        <f t="shared" si="105"/>
        <v>0</v>
      </c>
      <c r="F206" s="170">
        <f t="shared" si="105"/>
        <v>0</v>
      </c>
      <c r="G206" s="170">
        <f t="shared" si="105"/>
        <v>0</v>
      </c>
      <c r="H206" s="170">
        <f t="shared" si="105"/>
        <v>0</v>
      </c>
      <c r="I206" s="170">
        <f t="shared" si="105"/>
        <v>0</v>
      </c>
      <c r="J206" s="170">
        <f t="shared" si="105"/>
        <v>0</v>
      </c>
      <c r="K206" s="170">
        <f t="shared" si="105"/>
        <v>0</v>
      </c>
      <c r="L206" s="170">
        <f t="shared" si="105"/>
        <v>0</v>
      </c>
    </row>
    <row r="207" spans="2:12" ht="18.75" customHeight="1">
      <c r="B207" s="2" t="s">
        <v>50</v>
      </c>
      <c r="C207" s="170">
        <v>0</v>
      </c>
      <c r="D207" s="170">
        <f aca="true" t="shared" si="106" ref="D207:L207">D190*(C194+C196)</f>
        <v>267.85554544444443</v>
      </c>
      <c r="E207" s="170">
        <f t="shared" si="106"/>
        <v>998.3555454444444</v>
      </c>
      <c r="F207" s="170">
        <f t="shared" si="106"/>
        <v>1452.8555454444445</v>
      </c>
      <c r="G207" s="170">
        <f t="shared" si="106"/>
        <v>5652.855545444445</v>
      </c>
      <c r="H207" s="170">
        <f t="shared" si="106"/>
        <v>6582.855545444445</v>
      </c>
      <c r="I207" s="170">
        <f t="shared" si="106"/>
        <v>7512.855545444445</v>
      </c>
      <c r="J207" s="170">
        <f t="shared" si="106"/>
        <v>7512.855545444445</v>
      </c>
      <c r="K207" s="170">
        <f t="shared" si="106"/>
        <v>7512.855545444445</v>
      </c>
      <c r="L207" s="170">
        <f t="shared" si="106"/>
        <v>7512.855545444445</v>
      </c>
    </row>
    <row r="208" spans="2:12" ht="18.75" customHeight="1">
      <c r="B208" s="21" t="s">
        <v>51</v>
      </c>
      <c r="C208" s="174">
        <f aca="true" t="shared" si="107" ref="C208:L208">SUM(C204:C207)</f>
        <v>0</v>
      </c>
      <c r="D208" s="174">
        <f t="shared" si="107"/>
        <v>267.85554544444443</v>
      </c>
      <c r="E208" s="174">
        <f t="shared" si="107"/>
        <v>998.3555454444444</v>
      </c>
      <c r="F208" s="174">
        <f t="shared" si="107"/>
        <v>1452.8555454444445</v>
      </c>
      <c r="G208" s="174">
        <f t="shared" si="107"/>
        <v>5652.855545444445</v>
      </c>
      <c r="H208" s="174">
        <f t="shared" si="107"/>
        <v>6582.855545444445</v>
      </c>
      <c r="I208" s="174">
        <f t="shared" si="107"/>
        <v>7512.855545444445</v>
      </c>
      <c r="J208" s="174">
        <f t="shared" si="107"/>
        <v>7512.855545444445</v>
      </c>
      <c r="K208" s="174">
        <f t="shared" si="107"/>
        <v>7512.855545444445</v>
      </c>
      <c r="L208" s="174">
        <f t="shared" si="107"/>
        <v>7512.855545444445</v>
      </c>
    </row>
    <row r="209" spans="3:12" ht="18.75" customHeight="1">
      <c r="C209" s="34"/>
      <c r="D209" s="268"/>
      <c r="E209" s="268"/>
      <c r="F209" s="268"/>
      <c r="G209" s="268"/>
      <c r="H209" s="268"/>
      <c r="I209" s="268"/>
      <c r="J209" s="268"/>
      <c r="K209" s="268"/>
      <c r="L209" s="268"/>
    </row>
    <row r="210" spans="2:12" ht="18.75" customHeight="1">
      <c r="B210" s="1" t="s">
        <v>59</v>
      </c>
      <c r="C210" s="170">
        <f aca="true" t="shared" si="108" ref="C210:L210">C202+C208</f>
        <v>11119.237973807594</v>
      </c>
      <c r="D210" s="170">
        <f t="shared" si="108"/>
        <v>41711.660167252034</v>
      </c>
      <c r="E210" s="170">
        <f t="shared" si="108"/>
        <v>61309.395679252026</v>
      </c>
      <c r="F210" s="170">
        <f t="shared" si="108"/>
        <v>236114.58687925205</v>
      </c>
      <c r="G210" s="170">
        <f t="shared" si="108"/>
        <v>278920.8113592521</v>
      </c>
      <c r="H210" s="170">
        <f t="shared" si="108"/>
        <v>318457.0358392521</v>
      </c>
      <c r="I210" s="170">
        <f t="shared" si="108"/>
        <v>319387.0358392521</v>
      </c>
      <c r="J210" s="170">
        <f t="shared" si="108"/>
        <v>319387.0358392521</v>
      </c>
      <c r="K210" s="170">
        <f t="shared" si="108"/>
        <v>319387.0358392521</v>
      </c>
      <c r="L210" s="170">
        <f t="shared" si="108"/>
        <v>319387.0358392521</v>
      </c>
    </row>
    <row r="213" spans="2:12" ht="18.75" customHeight="1">
      <c r="B213" s="11"/>
      <c r="C213" s="13"/>
      <c r="D213" s="13"/>
      <c r="E213" s="212" t="s">
        <v>268</v>
      </c>
      <c r="F213" s="13"/>
      <c r="G213" s="13"/>
      <c r="H213" s="13"/>
      <c r="I213" s="13"/>
      <c r="J213" s="13"/>
      <c r="K213" s="13"/>
      <c r="L213" s="13"/>
    </row>
    <row r="214" spans="1:12" ht="18.75" customHeight="1">
      <c r="A214" s="28"/>
      <c r="B214" s="28"/>
      <c r="C214" s="29">
        <f>C4</f>
        <v>2016</v>
      </c>
      <c r="D214" s="29">
        <f aca="true" t="shared" si="109" ref="D214:L215">C214+1</f>
        <v>2017</v>
      </c>
      <c r="E214" s="29">
        <f t="shared" si="109"/>
        <v>2018</v>
      </c>
      <c r="F214" s="29">
        <f t="shared" si="109"/>
        <v>2019</v>
      </c>
      <c r="G214" s="29">
        <f t="shared" si="109"/>
        <v>2020</v>
      </c>
      <c r="H214" s="29">
        <f t="shared" si="109"/>
        <v>2021</v>
      </c>
      <c r="I214" s="29">
        <f t="shared" si="109"/>
        <v>2022</v>
      </c>
      <c r="J214" s="29">
        <f t="shared" si="109"/>
        <v>2023</v>
      </c>
      <c r="K214" s="29">
        <f t="shared" si="109"/>
        <v>2024</v>
      </c>
      <c r="L214" s="29">
        <f t="shared" si="109"/>
        <v>2025</v>
      </c>
    </row>
    <row r="215" spans="1:12" ht="18.75" customHeight="1">
      <c r="A215" s="258">
        <v>2018</v>
      </c>
      <c r="B215" s="28" t="s">
        <v>43</v>
      </c>
      <c r="C215" s="52"/>
      <c r="D215" s="52"/>
      <c r="E215" s="209">
        <f t="shared" si="109"/>
        <v>1</v>
      </c>
      <c r="F215" s="209">
        <f t="shared" si="109"/>
        <v>2</v>
      </c>
      <c r="G215" s="209">
        <f t="shared" si="109"/>
        <v>3</v>
      </c>
      <c r="H215" s="209">
        <f t="shared" si="109"/>
        <v>4</v>
      </c>
      <c r="I215" s="209">
        <f t="shared" si="109"/>
        <v>5</v>
      </c>
      <c r="J215" s="209">
        <f t="shared" si="109"/>
        <v>6</v>
      </c>
      <c r="K215" s="209">
        <f t="shared" si="109"/>
        <v>7</v>
      </c>
      <c r="L215" s="209">
        <f t="shared" si="109"/>
        <v>8</v>
      </c>
    </row>
    <row r="216" spans="1:12" ht="18.75" customHeight="1">
      <c r="A216" s="3"/>
      <c r="B216" s="211" t="s">
        <v>28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8.75" customHeight="1">
      <c r="A217" s="60" t="s">
        <v>310</v>
      </c>
      <c r="B217" s="10" t="s">
        <v>424</v>
      </c>
      <c r="C217" s="172">
        <f>VLOOKUP(C$4,'Cash Flows-KU'!$B$60:$H$70,$A218)</f>
        <v>5034436.887844907</v>
      </c>
      <c r="D217" s="172">
        <f>VLOOKUP(D$4,'Cash Flows-KU'!$B$60:$H$70,$A218)</f>
        <v>48018000</v>
      </c>
      <c r="E217" s="172">
        <f>VLOOKUP(E$4,'Cash Flows-KU'!$B$60:$H$70,$A218)</f>
        <v>50935000</v>
      </c>
      <c r="F217" s="172">
        <f>VLOOKUP(F$4,'Cash Flows-KU'!$B$60:$H$70,$A218)</f>
        <v>0</v>
      </c>
      <c r="G217" s="172">
        <f>VLOOKUP(G$4,'Cash Flows-KU'!$B$60:$H$70,$A218)</f>
        <v>0</v>
      </c>
      <c r="H217" s="172">
        <f>VLOOKUP(H$4,'Cash Flows-KU'!$B$60:$H$70,$A218)</f>
        <v>0</v>
      </c>
      <c r="I217" s="172">
        <f>VLOOKUP(I$4,'Cash Flows-KU'!$B$60:$H$70,$A218)</f>
        <v>0</v>
      </c>
      <c r="J217" s="172">
        <f>VLOOKUP(J$4,'Cash Flows-KU'!$B$60:$H$70,$A218)</f>
        <v>0</v>
      </c>
      <c r="K217" s="172">
        <f>VLOOKUP(K$4,'Cash Flows-KU'!$B$60:$H$70,$A218)</f>
        <v>0</v>
      </c>
      <c r="L217" s="172">
        <f>VLOOKUP(L$4,'Cash Flows-KU'!$B$60:$H$70,$A218)</f>
        <v>0</v>
      </c>
    </row>
    <row r="218" spans="1:13" ht="18.75" customHeight="1">
      <c r="A218" s="3">
        <v>7</v>
      </c>
      <c r="B218" s="40" t="s">
        <v>57</v>
      </c>
      <c r="C218" s="172">
        <f>SUM($C217:C217)</f>
        <v>5034436.887844907</v>
      </c>
      <c r="D218" s="172">
        <f>SUM($C217:D217)</f>
        <v>53052436.887844905</v>
      </c>
      <c r="E218" s="172">
        <f>SUM($C217:E217)</f>
        <v>103987436.8878449</v>
      </c>
      <c r="F218" s="172">
        <f>SUM($C217:F217)</f>
        <v>103987436.8878449</v>
      </c>
      <c r="G218" s="172">
        <f>SUM($C217:G217)</f>
        <v>103987436.8878449</v>
      </c>
      <c r="H218" s="172">
        <f>SUM($C217:H217)</f>
        <v>103987436.8878449</v>
      </c>
      <c r="I218" s="172">
        <f>SUM($C217:I217)</f>
        <v>103987436.8878449</v>
      </c>
      <c r="J218" s="172">
        <f>SUM($C217:J217)</f>
        <v>103987436.8878449</v>
      </c>
      <c r="K218" s="172">
        <f>SUM($C217:K217)</f>
        <v>103987436.8878449</v>
      </c>
      <c r="L218" s="172">
        <f>SUM($C217:L217)</f>
        <v>103987436.8878449</v>
      </c>
      <c r="M218" s="18"/>
    </row>
    <row r="219" spans="1:12" ht="18.75" customHeight="1">
      <c r="A219" s="3">
        <v>2</v>
      </c>
      <c r="B219" s="5" t="s">
        <v>0</v>
      </c>
      <c r="C219" s="6">
        <f>IF(C215="",0,VLOOKUP($B216,Depreciation!$D$2:$E$31,$A219,FALSE))</f>
        <v>0</v>
      </c>
      <c r="D219" s="6">
        <f>IF(D215="",0,VLOOKUP($B216,Depreciation!$D$2:$E$31,$A219,FALSE))</f>
        <v>0</v>
      </c>
      <c r="E219" s="6">
        <f>IF(E215="",0,VLOOKUP($B216,Depreciation!$D$2:$E$31,$A219,FALSE))</f>
        <v>0.0231</v>
      </c>
      <c r="F219" s="6">
        <f>IF(F215="",0,VLOOKUP($B216,Depreciation!$D$2:$E$31,$A219,FALSE))</f>
        <v>0.0231</v>
      </c>
      <c r="G219" s="6">
        <f>IF(G215="",0,VLOOKUP($B216,Depreciation!$D$2:$E$31,$A219,FALSE))</f>
        <v>0.0231</v>
      </c>
      <c r="H219" s="6">
        <f>IF(H215="",0,VLOOKUP($B216,Depreciation!$D$2:$E$31,$A219,FALSE))</f>
        <v>0.0231</v>
      </c>
      <c r="I219" s="6">
        <f>IF(I215="",0,VLOOKUP($B216,Depreciation!$D$2:$E$31,$A219,FALSE))</f>
        <v>0.0231</v>
      </c>
      <c r="J219" s="6">
        <f>IF(J215="",0,VLOOKUP($B216,Depreciation!$D$2:$E$31,$A219,FALSE))</f>
        <v>0.0231</v>
      </c>
      <c r="K219" s="6">
        <f>IF(K215="",0,VLOOKUP($B216,Depreciation!$D$2:$E$31,$A219,FALSE))</f>
        <v>0.0231</v>
      </c>
      <c r="L219" s="6">
        <f>IF(L215="",0,VLOOKUP($B216,Depreciation!$D$2:$E$31,$A219,FALSE))</f>
        <v>0.0231</v>
      </c>
    </row>
    <row r="220" spans="1:12" ht="18.75" customHeight="1">
      <c r="A220" s="3">
        <v>2</v>
      </c>
      <c r="B220" s="5" t="s">
        <v>1</v>
      </c>
      <c r="C220" s="6">
        <f>IF(C215="",0,VLOOKUP(C215,Depreciation!$A$2:$C$58,$A220,FALSE))</f>
        <v>0</v>
      </c>
      <c r="D220" s="6">
        <f>IF(D215="",0,VLOOKUP(D215,Depreciation!$A$2:$C$58,$A220,FALSE))</f>
        <v>0</v>
      </c>
      <c r="E220" s="6">
        <f>IF(E215="",0,VLOOKUP(E215,Depreciation!$A$2:$C$58,$A220,FALSE))</f>
        <v>0.0375</v>
      </c>
      <c r="F220" s="6">
        <f>IF(F215="",0,VLOOKUP(F215,Depreciation!$A$2:$C$58,$A220,FALSE))</f>
        <v>0.07219</v>
      </c>
      <c r="G220" s="6">
        <f>IF(G215="",0,VLOOKUP(G215,Depreciation!$A$2:$C$58,$A220,FALSE))</f>
        <v>0.06677</v>
      </c>
      <c r="H220" s="6">
        <f>IF(H215="",0,VLOOKUP(H215,Depreciation!$A$2:$C$58,$A220,FALSE))</f>
        <v>0.06177</v>
      </c>
      <c r="I220" s="6">
        <f>IF(I215="",0,VLOOKUP(I215,Depreciation!$A$2:$C$58,$A220,FALSE))</f>
        <v>0.05713</v>
      </c>
      <c r="J220" s="6">
        <f>IF(J215="",0,VLOOKUP(J215,Depreciation!$A$2:$C$58,$A220,FALSE))</f>
        <v>0.05285</v>
      </c>
      <c r="K220" s="6">
        <f>IF(K215="",0,VLOOKUP(K215,Depreciation!$A$2:$C$58,$A220,FALSE))</f>
        <v>0.04888</v>
      </c>
      <c r="L220" s="6">
        <f>IF(L215="",0,VLOOKUP(L215,Depreciation!$A$2:$C$58,$A220,FALSE))</f>
        <v>0.04522</v>
      </c>
    </row>
    <row r="221" spans="1:12" ht="18.75" customHeight="1">
      <c r="A221" s="30"/>
      <c r="B221" s="31" t="s">
        <v>2</v>
      </c>
      <c r="C221" s="7">
        <f>Input!B$3</f>
        <v>0.38665999999999995</v>
      </c>
      <c r="D221" s="7">
        <f>Input!C$3</f>
        <v>0.38665999999999995</v>
      </c>
      <c r="E221" s="7">
        <f>Input!D$3</f>
        <v>0.38665999999999995</v>
      </c>
      <c r="F221" s="7">
        <f>Input!E$3</f>
        <v>0.38665999999999995</v>
      </c>
      <c r="G221" s="7">
        <f>Input!F$3</f>
        <v>0.38665999999999995</v>
      </c>
      <c r="H221" s="7">
        <f>Input!G$3</f>
        <v>0.38665999999999995</v>
      </c>
      <c r="I221" s="7">
        <f>Input!H$3</f>
        <v>0.38665999999999995</v>
      </c>
      <c r="J221" s="7">
        <f>Input!I$3</f>
        <v>0.38665999999999995</v>
      </c>
      <c r="K221" s="7">
        <f>Input!J$3</f>
        <v>0.38665999999999995</v>
      </c>
      <c r="L221" s="7">
        <f>Input!K$3</f>
        <v>0.38665999999999995</v>
      </c>
    </row>
    <row r="222" spans="2:12" ht="18.75" customHeight="1">
      <c r="B222" s="2" t="s">
        <v>3</v>
      </c>
      <c r="C222" s="170">
        <f>SUM($C233:C233)</f>
        <v>0</v>
      </c>
      <c r="D222" s="170">
        <f>SUM($C233:D233)</f>
        <v>0</v>
      </c>
      <c r="E222" s="170">
        <f>SUM($C233:E233)</f>
        <v>16949088.05112132</v>
      </c>
      <c r="F222" s="170">
        <f>SUM($C233:F233)</f>
        <v>17761848.163484674</v>
      </c>
      <c r="G222" s="170">
        <f>SUM($C233:G233)</f>
        <v>18443852.567655407</v>
      </c>
      <c r="H222" s="170">
        <f>SUM($C233:H233)</f>
        <v>19005233.624784976</v>
      </c>
      <c r="I222" s="170">
        <f>SUM($C233:I233)</f>
        <v>19454676.21586035</v>
      </c>
      <c r="J222" s="170">
        <f>SUM($C233:J233)</f>
        <v>19800865.221868485</v>
      </c>
      <c r="K222" s="170">
        <f>SUM($C233:K233)</f>
        <v>20051279.29032594</v>
      </c>
      <c r="L222" s="170">
        <f>SUM($C233:L233)</f>
        <v>20213397.06874926</v>
      </c>
    </row>
    <row r="223" spans="2:12" ht="18.75" customHeight="1">
      <c r="B223" s="2" t="s">
        <v>4</v>
      </c>
      <c r="C223" s="170">
        <f>SUM($C225:C225)</f>
        <v>0</v>
      </c>
      <c r="D223" s="170">
        <f>SUM($C225:D225)</f>
        <v>0</v>
      </c>
      <c r="E223" s="170">
        <f>SUM($C225:E225)</f>
        <v>100087.90800455071</v>
      </c>
      <c r="F223" s="170">
        <f>SUM($C225:F225)</f>
        <v>2502197.7001137678</v>
      </c>
      <c r="G223" s="170">
        <f>SUM($C225:G225)</f>
        <v>4904307.492222985</v>
      </c>
      <c r="H223" s="170">
        <f>SUM($C225:H225)</f>
        <v>7306417.284332203</v>
      </c>
      <c r="I223" s="170">
        <f>SUM($C225:I225)</f>
        <v>9708527.07644142</v>
      </c>
      <c r="J223" s="170">
        <f>SUM($C225:J225)</f>
        <v>12110636.868550638</v>
      </c>
      <c r="K223" s="170">
        <f>SUM($C225:K225)</f>
        <v>14512746.660659855</v>
      </c>
      <c r="L223" s="170">
        <f>SUM($C225:L225)</f>
        <v>16914856.45276907</v>
      </c>
    </row>
    <row r="224" spans="2:12" ht="18.75" customHeight="1">
      <c r="B224" s="11" t="s">
        <v>5</v>
      </c>
      <c r="C224" s="170">
        <f>C217</f>
        <v>5034436.887844907</v>
      </c>
      <c r="D224" s="170">
        <f>C224+D217</f>
        <v>53052436.887844905</v>
      </c>
      <c r="E224" s="170">
        <f aca="true" t="shared" si="110" ref="E224:L224">D224+E217</f>
        <v>103987436.8878449</v>
      </c>
      <c r="F224" s="170">
        <f t="shared" si="110"/>
        <v>103987436.8878449</v>
      </c>
      <c r="G224" s="170">
        <f t="shared" si="110"/>
        <v>103987436.8878449</v>
      </c>
      <c r="H224" s="170">
        <f t="shared" si="110"/>
        <v>103987436.8878449</v>
      </c>
      <c r="I224" s="170">
        <f t="shared" si="110"/>
        <v>103987436.8878449</v>
      </c>
      <c r="J224" s="170">
        <f t="shared" si="110"/>
        <v>103987436.8878449</v>
      </c>
      <c r="K224" s="170">
        <f t="shared" si="110"/>
        <v>103987436.8878449</v>
      </c>
      <c r="L224" s="170">
        <f t="shared" si="110"/>
        <v>103987436.8878449</v>
      </c>
    </row>
    <row r="225" spans="1:12" ht="18.75" customHeight="1">
      <c r="A225" s="214" t="s">
        <v>359</v>
      </c>
      <c r="B225" s="11" t="s">
        <v>6</v>
      </c>
      <c r="C225" s="170">
        <f aca="true" t="shared" si="111" ref="C225:L225">IF(C215=1,(12.5-VLOOKUP(C213,$Q$5:$R$16,2,))*C219/12*C224,C224*C219)</f>
        <v>0</v>
      </c>
      <c r="D225" s="170">
        <f t="shared" si="111"/>
        <v>0</v>
      </c>
      <c r="E225" s="170">
        <f t="shared" si="111"/>
        <v>100087.90800455071</v>
      </c>
      <c r="F225" s="170">
        <f t="shared" si="111"/>
        <v>2402109.792109217</v>
      </c>
      <c r="G225" s="170">
        <f t="shared" si="111"/>
        <v>2402109.792109217</v>
      </c>
      <c r="H225" s="170">
        <f t="shared" si="111"/>
        <v>2402109.792109217</v>
      </c>
      <c r="I225" s="170">
        <f t="shared" si="111"/>
        <v>2402109.792109217</v>
      </c>
      <c r="J225" s="170">
        <f t="shared" si="111"/>
        <v>2402109.792109217</v>
      </c>
      <c r="K225" s="170">
        <f t="shared" si="111"/>
        <v>2402109.792109217</v>
      </c>
      <c r="L225" s="170">
        <f t="shared" si="111"/>
        <v>2402109.792109217</v>
      </c>
    </row>
    <row r="226" spans="2:12" ht="18.75" customHeight="1">
      <c r="B226" s="5" t="s">
        <v>7</v>
      </c>
      <c r="C226" s="170">
        <f>C217</f>
        <v>5034436.887844907</v>
      </c>
      <c r="D226" s="170">
        <f aca="true" t="shared" si="112" ref="D226:L226">C226+D217</f>
        <v>53052436.887844905</v>
      </c>
      <c r="E226" s="170">
        <f t="shared" si="112"/>
        <v>103987436.8878449</v>
      </c>
      <c r="F226" s="170">
        <f t="shared" si="112"/>
        <v>103987436.8878449</v>
      </c>
      <c r="G226" s="170">
        <f t="shared" si="112"/>
        <v>103987436.8878449</v>
      </c>
      <c r="H226" s="170">
        <f t="shared" si="112"/>
        <v>103987436.8878449</v>
      </c>
      <c r="I226" s="170">
        <f t="shared" si="112"/>
        <v>103987436.8878449</v>
      </c>
      <c r="J226" s="170">
        <f t="shared" si="112"/>
        <v>103987436.8878449</v>
      </c>
      <c r="K226" s="170">
        <f t="shared" si="112"/>
        <v>103987436.8878449</v>
      </c>
      <c r="L226" s="170">
        <f t="shared" si="112"/>
        <v>103987436.8878449</v>
      </c>
    </row>
    <row r="227" spans="2:12" ht="18.75" customHeight="1">
      <c r="B227" s="213" t="s">
        <v>361</v>
      </c>
      <c r="C227" s="170">
        <f>IF(C215=1,IF($A225="Bonus",SUM($C217:C217)*VLOOKUP(C214,Depreciation!$D$41:$E$50,2),0),0)</f>
        <v>0</v>
      </c>
      <c r="D227" s="170">
        <f>IF(D215=1,IF($A225="Bonus",SUM($C217:D217)*VLOOKUP(D214,Depreciation!$D$41:$E$50,2),0),0)</f>
        <v>0</v>
      </c>
      <c r="E227" s="170">
        <f>IF(E215=1,IF($A225="Bonus",SUM($C217:E217)*VLOOKUP(E214,Depreciation!$D$41:$E$50,2),0),0)</f>
        <v>41594974.755137965</v>
      </c>
      <c r="F227" s="170">
        <f>IF(F215=1,IF($A225="Bonus",SUM($C217:F217)*VLOOKUP(F214,Depreciation!$D$41:$E$50,2),0),0)</f>
        <v>0</v>
      </c>
      <c r="G227" s="170">
        <f>IF(G215=1,IF($A225="Bonus",SUM($C217:G217)*VLOOKUP(G214,Depreciation!$D$41:$E$50,2),0),0)</f>
        <v>0</v>
      </c>
      <c r="H227" s="170">
        <f>IF(H215=1,IF($A225="Bonus",SUM($C217:H217)*VLOOKUP(H214,Depreciation!$D$41:$E$50,2),0),0)</f>
        <v>0</v>
      </c>
      <c r="I227" s="170">
        <f>IF(I215=1,IF($A225="Bonus",SUM($C217:I217)*VLOOKUP(I214,Depreciation!$D$41:$E$50,2),0),0)</f>
        <v>0</v>
      </c>
      <c r="J227" s="170">
        <f>IF(J215=1,IF($A225="Bonus",SUM($C217:J217)*VLOOKUP(J214,Depreciation!$D$41:$E$50,2),0),0)</f>
        <v>0</v>
      </c>
      <c r="K227" s="170">
        <f>IF(K215=1,IF($A225="Bonus",SUM($C217:K217)*VLOOKUP(K214,Depreciation!$D$41:$E$50,2),0),0)</f>
        <v>0</v>
      </c>
      <c r="L227" s="170">
        <f>IF(L215=1,IF($A225="Bonus",SUM($C217:L217)*VLOOKUP(L214,Depreciation!$D$41:$E$50,2),0),0)</f>
        <v>0</v>
      </c>
    </row>
    <row r="228" spans="2:12" ht="18.75" customHeight="1">
      <c r="B228" s="5" t="s">
        <v>362</v>
      </c>
      <c r="C228" s="170">
        <f>IF(C215&gt;=1,IF($A225="Bonus",C218*(1-VLOOKUP($A215,Depreciation!$D$41:$N$50,C214-2014))*C220,C218*C220),C218*C220)</f>
        <v>0</v>
      </c>
      <c r="D228" s="170">
        <f>IF(D215&gt;=1,IF($A225="Bonus",D218*(1-VLOOKUP($A215,Depreciation!$D$41:$N$50,D214-2014))*D220,D218*D220),D218*D220)</f>
        <v>0</v>
      </c>
      <c r="E228" s="170">
        <f>IF(E215&gt;=1,IF($A225="Bonus",E218*(1-VLOOKUP($A215,Depreciation!$D$41:$N$50,E214-2014))*E220,E218*E220),E218*E220)</f>
        <v>2339717.3299765103</v>
      </c>
      <c r="F228" s="170">
        <f>IF(F215&gt;=1,IF($A225="Bonus",F218*(1-VLOOKUP($A215,Depreciation!$D$41:$N$50,F214-2014))*F220,F218*F220),F218*F220)</f>
        <v>4504111.8413601145</v>
      </c>
      <c r="G228" s="170">
        <f>IF(G215&gt;=1,IF($A225="Bonus",G218*(1-VLOOKUP($A215,Depreciation!$D$41:$N$50,G214-2014))*G220,G218*G220),G218*G220)</f>
        <v>4165944.6966008423</v>
      </c>
      <c r="H228" s="170">
        <f>IF(H215&gt;=1,IF($A225="Bonus",H218*(1-VLOOKUP($A215,Depreciation!$D$41:$N$50,H214-2014))*H220,H218*H220),H218*H220)</f>
        <v>3853982.3859373075</v>
      </c>
      <c r="I228" s="170">
        <f>IF(I215&gt;=1,IF($A225="Bonus",I218*(1-VLOOKUP($A215,Depreciation!$D$41:$N$50,I214-2014))*I220,I218*I220),I218*I220)</f>
        <v>3564481.3616415476</v>
      </c>
      <c r="J228" s="170">
        <f>IF(J215&gt;=1,IF($A225="Bonus",J218*(1-VLOOKUP($A215,Depreciation!$D$41:$N$50,J214-2014))*J220,J218*J220),J218*J220)</f>
        <v>3297441.623713562</v>
      </c>
      <c r="K228" s="170">
        <f>IF(K215&gt;=1,IF($A225="Bonus",K218*(1-VLOOKUP($A215,Depreciation!$D$41:$N$50,K214-2014))*K220,K218*K220),K218*K220)</f>
        <v>3049743.5490467153</v>
      </c>
      <c r="L228" s="170">
        <f>IF(L215&gt;=1,IF($A225="Bonus",L218*(1-VLOOKUP($A215,Depreciation!$D$41:$N$50,L214-2014))*L220,L218*L220),L218*L220)</f>
        <v>2821387.137641008</v>
      </c>
    </row>
    <row r="229" spans="2:12" ht="18.75" customHeight="1">
      <c r="B229" s="5" t="s">
        <v>17</v>
      </c>
      <c r="C229" s="7">
        <f>Input!J$31</f>
        <v>0.10152297909805327</v>
      </c>
      <c r="D229" s="7">
        <f>Input!K$31</f>
        <v>0.10152297909805327</v>
      </c>
      <c r="E229" s="7">
        <f>Input!L$31</f>
        <v>0.10152297909805327</v>
      </c>
      <c r="F229" s="7">
        <f>Input!M$31</f>
        <v>0.10152297909805327</v>
      </c>
      <c r="G229" s="7">
        <f>Input!N$31</f>
        <v>0.10152297909805327</v>
      </c>
      <c r="H229" s="7">
        <f>Input!O$31</f>
        <v>0.10152297909805327</v>
      </c>
      <c r="I229" s="7">
        <f>Input!P$31</f>
        <v>0.10152297909805327</v>
      </c>
      <c r="J229" s="7">
        <f>Input!Q$31</f>
        <v>0.10152297909805327</v>
      </c>
      <c r="K229" s="7">
        <f>Input!R$31</f>
        <v>0.10152297909805327</v>
      </c>
      <c r="L229" s="7">
        <f>Input!S$31</f>
        <v>0.10152297909805327</v>
      </c>
    </row>
    <row r="230" spans="2:12" ht="18.75" customHeight="1">
      <c r="B230" s="5" t="s">
        <v>8</v>
      </c>
      <c r="C230" s="171">
        <f>C225</f>
        <v>0</v>
      </c>
      <c r="D230" s="171">
        <f aca="true" t="shared" si="113" ref="D230:L230">D225</f>
        <v>0</v>
      </c>
      <c r="E230" s="171">
        <f t="shared" si="113"/>
        <v>100087.90800455071</v>
      </c>
      <c r="F230" s="171">
        <f t="shared" si="113"/>
        <v>2402109.792109217</v>
      </c>
      <c r="G230" s="171">
        <f t="shared" si="113"/>
        <v>2402109.792109217</v>
      </c>
      <c r="H230" s="171">
        <f t="shared" si="113"/>
        <v>2402109.792109217</v>
      </c>
      <c r="I230" s="171">
        <f t="shared" si="113"/>
        <v>2402109.792109217</v>
      </c>
      <c r="J230" s="171">
        <f t="shared" si="113"/>
        <v>2402109.792109217</v>
      </c>
      <c r="K230" s="171">
        <f t="shared" si="113"/>
        <v>2402109.792109217</v>
      </c>
      <c r="L230" s="171">
        <f t="shared" si="113"/>
        <v>2402109.792109217</v>
      </c>
    </row>
    <row r="231" spans="2:12" ht="18.75" customHeight="1">
      <c r="B231" s="11" t="s">
        <v>364</v>
      </c>
      <c r="C231" s="171">
        <f aca="true" t="shared" si="114" ref="C231:L231">SUM(C227,C228)</f>
        <v>0</v>
      </c>
      <c r="D231" s="171">
        <f t="shared" si="114"/>
        <v>0</v>
      </c>
      <c r="E231" s="171">
        <f t="shared" si="114"/>
        <v>43934692.08511448</v>
      </c>
      <c r="F231" s="171">
        <f t="shared" si="114"/>
        <v>4504111.8413601145</v>
      </c>
      <c r="G231" s="171">
        <f t="shared" si="114"/>
        <v>4165944.6966008423</v>
      </c>
      <c r="H231" s="171">
        <f t="shared" si="114"/>
        <v>3853982.3859373075</v>
      </c>
      <c r="I231" s="171">
        <f t="shared" si="114"/>
        <v>3564481.3616415476</v>
      </c>
      <c r="J231" s="171">
        <f t="shared" si="114"/>
        <v>3297441.623713562</v>
      </c>
      <c r="K231" s="171">
        <f t="shared" si="114"/>
        <v>3049743.5490467153</v>
      </c>
      <c r="L231" s="171">
        <f t="shared" si="114"/>
        <v>2821387.137641008</v>
      </c>
    </row>
    <row r="232" spans="2:12" ht="18.75" customHeight="1">
      <c r="B232" s="2" t="s">
        <v>9</v>
      </c>
      <c r="C232" s="8">
        <f>Input!$B$6</f>
        <v>0.0015</v>
      </c>
      <c r="D232" s="8">
        <f aca="true" t="shared" si="115" ref="D232:I232">C232</f>
        <v>0.0015</v>
      </c>
      <c r="E232" s="8">
        <f t="shared" si="115"/>
        <v>0.0015</v>
      </c>
      <c r="F232" s="8">
        <f t="shared" si="115"/>
        <v>0.0015</v>
      </c>
      <c r="G232" s="8">
        <f t="shared" si="115"/>
        <v>0.0015</v>
      </c>
      <c r="H232" s="8">
        <f t="shared" si="115"/>
        <v>0.0015</v>
      </c>
      <c r="I232" s="8">
        <f t="shared" si="115"/>
        <v>0.0015</v>
      </c>
      <c r="J232" s="8">
        <f>I232</f>
        <v>0.0015</v>
      </c>
      <c r="K232" s="8">
        <f>J232</f>
        <v>0.0015</v>
      </c>
      <c r="L232" s="8">
        <f>K232</f>
        <v>0.0015</v>
      </c>
    </row>
    <row r="233" spans="2:12" ht="18.75" customHeight="1">
      <c r="B233" s="4" t="s">
        <v>363</v>
      </c>
      <c r="C233" s="171">
        <f aca="true" t="shared" si="116" ref="C233:L233">(C231-C230)*C221</f>
        <v>0</v>
      </c>
      <c r="D233" s="171">
        <f t="shared" si="116"/>
        <v>0</v>
      </c>
      <c r="E233" s="171">
        <f t="shared" si="116"/>
        <v>16949088.05112132</v>
      </c>
      <c r="F233" s="171">
        <f t="shared" si="116"/>
        <v>812760.1123633519</v>
      </c>
      <c r="G233" s="171">
        <f t="shared" si="116"/>
        <v>682004.4041707318</v>
      </c>
      <c r="H233" s="171">
        <f t="shared" si="116"/>
        <v>561381.0571295694</v>
      </c>
      <c r="I233" s="171">
        <f t="shared" si="116"/>
        <v>449442.5910753709</v>
      </c>
      <c r="J233" s="171">
        <f t="shared" si="116"/>
        <v>346189.0060081359</v>
      </c>
      <c r="K233" s="171">
        <f t="shared" si="116"/>
        <v>250414.06845745302</v>
      </c>
      <c r="L233" s="171">
        <f t="shared" si="116"/>
        <v>162117.77842332228</v>
      </c>
    </row>
    <row r="234" spans="2:12" ht="18.75" customHeight="1">
      <c r="B234" s="4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8.75" customHeight="1">
      <c r="B235" s="10" t="s">
        <v>15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8.75" customHeight="1">
      <c r="B236" s="5" t="s">
        <v>16</v>
      </c>
      <c r="C236" s="169">
        <f aca="true" t="shared" si="117" ref="C236:L236">C218</f>
        <v>5034436.887844907</v>
      </c>
      <c r="D236" s="169">
        <f t="shared" si="117"/>
        <v>53052436.887844905</v>
      </c>
      <c r="E236" s="169">
        <f t="shared" si="117"/>
        <v>103987436.8878449</v>
      </c>
      <c r="F236" s="169">
        <f t="shared" si="117"/>
        <v>103987436.8878449</v>
      </c>
      <c r="G236" s="169">
        <f t="shared" si="117"/>
        <v>103987436.8878449</v>
      </c>
      <c r="H236" s="169">
        <f t="shared" si="117"/>
        <v>103987436.8878449</v>
      </c>
      <c r="I236" s="169">
        <f t="shared" si="117"/>
        <v>103987436.8878449</v>
      </c>
      <c r="J236" s="169">
        <f t="shared" si="117"/>
        <v>103987436.8878449</v>
      </c>
      <c r="K236" s="169">
        <f t="shared" si="117"/>
        <v>103987436.8878449</v>
      </c>
      <c r="L236" s="169">
        <f t="shared" si="117"/>
        <v>103987436.8878449</v>
      </c>
    </row>
    <row r="237" spans="1:12" ht="18.75" customHeight="1">
      <c r="A237" s="3"/>
      <c r="B237" s="4" t="s">
        <v>44</v>
      </c>
      <c r="C237" s="170">
        <v>0</v>
      </c>
      <c r="D237" s="170">
        <f aca="true" t="shared" si="118" ref="D237:L237">C237</f>
        <v>0</v>
      </c>
      <c r="E237" s="170">
        <f t="shared" si="118"/>
        <v>0</v>
      </c>
      <c r="F237" s="170">
        <f t="shared" si="118"/>
        <v>0</v>
      </c>
      <c r="G237" s="170">
        <f t="shared" si="118"/>
        <v>0</v>
      </c>
      <c r="H237" s="170">
        <f t="shared" si="118"/>
        <v>0</v>
      </c>
      <c r="I237" s="170">
        <f t="shared" si="118"/>
        <v>0</v>
      </c>
      <c r="J237" s="170">
        <f t="shared" si="118"/>
        <v>0</v>
      </c>
      <c r="K237" s="170">
        <f t="shared" si="118"/>
        <v>0</v>
      </c>
      <c r="L237" s="170">
        <f t="shared" si="118"/>
        <v>0</v>
      </c>
    </row>
    <row r="238" spans="2:12" ht="18.75" customHeight="1">
      <c r="B238" s="2" t="s">
        <v>10</v>
      </c>
      <c r="C238" s="170">
        <f aca="true" t="shared" si="119" ref="C238:L238">-C223</f>
        <v>0</v>
      </c>
      <c r="D238" s="170">
        <f t="shared" si="119"/>
        <v>0</v>
      </c>
      <c r="E238" s="170">
        <f t="shared" si="119"/>
        <v>-100087.90800455071</v>
      </c>
      <c r="F238" s="170">
        <f t="shared" si="119"/>
        <v>-2502197.7001137678</v>
      </c>
      <c r="G238" s="170">
        <f t="shared" si="119"/>
        <v>-4904307.492222985</v>
      </c>
      <c r="H238" s="170">
        <f t="shared" si="119"/>
        <v>-7306417.284332203</v>
      </c>
      <c r="I238" s="170">
        <f t="shared" si="119"/>
        <v>-9708527.07644142</v>
      </c>
      <c r="J238" s="170">
        <f t="shared" si="119"/>
        <v>-12110636.868550638</v>
      </c>
      <c r="K238" s="170">
        <f t="shared" si="119"/>
        <v>-14512746.660659855</v>
      </c>
      <c r="L238" s="170">
        <f t="shared" si="119"/>
        <v>-16914856.45276907</v>
      </c>
    </row>
    <row r="239" spans="2:12" ht="18.75" customHeight="1">
      <c r="B239" s="2" t="s">
        <v>45</v>
      </c>
      <c r="C239" s="170">
        <v>0</v>
      </c>
      <c r="D239" s="170">
        <f aca="true" t="shared" si="120" ref="D239:L239">C239</f>
        <v>0</v>
      </c>
      <c r="E239" s="170">
        <f t="shared" si="120"/>
        <v>0</v>
      </c>
      <c r="F239" s="170">
        <f t="shared" si="120"/>
        <v>0</v>
      </c>
      <c r="G239" s="170">
        <f t="shared" si="120"/>
        <v>0</v>
      </c>
      <c r="H239" s="170">
        <f t="shared" si="120"/>
        <v>0</v>
      </c>
      <c r="I239" s="170">
        <f t="shared" si="120"/>
        <v>0</v>
      </c>
      <c r="J239" s="170">
        <f t="shared" si="120"/>
        <v>0</v>
      </c>
      <c r="K239" s="170">
        <f t="shared" si="120"/>
        <v>0</v>
      </c>
      <c r="L239" s="170">
        <f t="shared" si="120"/>
        <v>0</v>
      </c>
    </row>
    <row r="240" spans="2:12" ht="18.75" customHeight="1">
      <c r="B240" s="2" t="s">
        <v>46</v>
      </c>
      <c r="C240" s="170">
        <f aca="true" t="shared" si="121" ref="C240:L240">-C222</f>
        <v>0</v>
      </c>
      <c r="D240" s="170">
        <f t="shared" si="121"/>
        <v>0</v>
      </c>
      <c r="E240" s="170">
        <f t="shared" si="121"/>
        <v>-16949088.05112132</v>
      </c>
      <c r="F240" s="170">
        <f t="shared" si="121"/>
        <v>-17761848.163484674</v>
      </c>
      <c r="G240" s="170">
        <f t="shared" si="121"/>
        <v>-18443852.567655407</v>
      </c>
      <c r="H240" s="170">
        <f t="shared" si="121"/>
        <v>-19005233.624784976</v>
      </c>
      <c r="I240" s="170">
        <f t="shared" si="121"/>
        <v>-19454676.21586035</v>
      </c>
      <c r="J240" s="170">
        <f t="shared" si="121"/>
        <v>-19800865.221868485</v>
      </c>
      <c r="K240" s="170">
        <f t="shared" si="121"/>
        <v>-20051279.29032594</v>
      </c>
      <c r="L240" s="170">
        <f t="shared" si="121"/>
        <v>-20213397.06874926</v>
      </c>
    </row>
    <row r="241" spans="2:12" ht="18.75" customHeight="1">
      <c r="B241" s="2" t="s">
        <v>47</v>
      </c>
      <c r="C241" s="170">
        <v>0</v>
      </c>
      <c r="D241" s="170">
        <f aca="true" t="shared" si="122" ref="D241:L241">C241</f>
        <v>0</v>
      </c>
      <c r="E241" s="170">
        <f t="shared" si="122"/>
        <v>0</v>
      </c>
      <c r="F241" s="170">
        <f t="shared" si="122"/>
        <v>0</v>
      </c>
      <c r="G241" s="170">
        <f t="shared" si="122"/>
        <v>0</v>
      </c>
      <c r="H241" s="170">
        <f t="shared" si="122"/>
        <v>0</v>
      </c>
      <c r="I241" s="170">
        <f t="shared" si="122"/>
        <v>0</v>
      </c>
      <c r="J241" s="170">
        <f t="shared" si="122"/>
        <v>0</v>
      </c>
      <c r="K241" s="170">
        <f t="shared" si="122"/>
        <v>0</v>
      </c>
      <c r="L241" s="170">
        <f t="shared" si="122"/>
        <v>0</v>
      </c>
    </row>
    <row r="242" spans="2:12" ht="18.75" customHeight="1">
      <c r="B242" s="2" t="s">
        <v>11</v>
      </c>
      <c r="C242" s="170">
        <f aca="true" t="shared" si="123" ref="C242:L242">SUM(C236:C241)</f>
        <v>5034436.887844907</v>
      </c>
      <c r="D242" s="170">
        <f t="shared" si="123"/>
        <v>53052436.887844905</v>
      </c>
      <c r="E242" s="170">
        <f t="shared" si="123"/>
        <v>86938260.92871903</v>
      </c>
      <c r="F242" s="170">
        <f t="shared" si="123"/>
        <v>83723391.02424645</v>
      </c>
      <c r="G242" s="170">
        <f t="shared" si="123"/>
        <v>80639276.82796651</v>
      </c>
      <c r="H242" s="170">
        <f t="shared" si="123"/>
        <v>77675785.97872773</v>
      </c>
      <c r="I242" s="170">
        <f t="shared" si="123"/>
        <v>74824233.59554313</v>
      </c>
      <c r="J242" s="170">
        <f t="shared" si="123"/>
        <v>72075934.79742578</v>
      </c>
      <c r="K242" s="170">
        <f t="shared" si="123"/>
        <v>69423410.93685912</v>
      </c>
      <c r="L242" s="170">
        <f t="shared" si="123"/>
        <v>66859183.36632657</v>
      </c>
    </row>
    <row r="243" spans="2:12" ht="18.75" customHeight="1">
      <c r="B243" s="2" t="s">
        <v>12</v>
      </c>
      <c r="C243" s="7">
        <f aca="true" t="shared" si="124" ref="C243:L243">C229</f>
        <v>0.10152297909805327</v>
      </c>
      <c r="D243" s="7">
        <f t="shared" si="124"/>
        <v>0.10152297909805327</v>
      </c>
      <c r="E243" s="7">
        <f t="shared" si="124"/>
        <v>0.10152297909805327</v>
      </c>
      <c r="F243" s="7">
        <f t="shared" si="124"/>
        <v>0.10152297909805327</v>
      </c>
      <c r="G243" s="7">
        <f t="shared" si="124"/>
        <v>0.10152297909805327</v>
      </c>
      <c r="H243" s="7">
        <f t="shared" si="124"/>
        <v>0.10152297909805327</v>
      </c>
      <c r="I243" s="7">
        <f t="shared" si="124"/>
        <v>0.10152297909805327</v>
      </c>
      <c r="J243" s="7">
        <f t="shared" si="124"/>
        <v>0.10152297909805327</v>
      </c>
      <c r="K243" s="7">
        <f t="shared" si="124"/>
        <v>0.10152297909805327</v>
      </c>
      <c r="L243" s="7">
        <f t="shared" si="124"/>
        <v>0.10152297909805327</v>
      </c>
    </row>
    <row r="244" spans="2:12" ht="18.75" customHeight="1">
      <c r="B244" s="34" t="s">
        <v>58</v>
      </c>
      <c r="C244" s="174">
        <f aca="true" t="shared" si="125" ref="C244:L244">C242*C243</f>
        <v>511111.0309351469</v>
      </c>
      <c r="D244" s="174">
        <f t="shared" si="125"/>
        <v>5386041.4412654685</v>
      </c>
      <c r="E244" s="174">
        <f t="shared" si="125"/>
        <v>8826231.247087443</v>
      </c>
      <c r="F244" s="174">
        <f t="shared" si="125"/>
        <v>8499848.076972714</v>
      </c>
      <c r="G244" s="174">
        <f t="shared" si="125"/>
        <v>8186739.615887776</v>
      </c>
      <c r="H244" s="174">
        <f t="shared" si="125"/>
        <v>7885877.196343235</v>
      </c>
      <c r="I244" s="174">
        <f t="shared" si="125"/>
        <v>7596379.103348181</v>
      </c>
      <c r="J244" s="174">
        <f t="shared" si="125"/>
        <v>7317363.621911707</v>
      </c>
      <c r="K244" s="174">
        <f t="shared" si="125"/>
        <v>7048071.497458311</v>
      </c>
      <c r="L244" s="174">
        <f t="shared" si="125"/>
        <v>6787743.475412483</v>
      </c>
    </row>
    <row r="245" spans="1:12" ht="18.75" customHeight="1">
      <c r="A245" s="3"/>
      <c r="B245" s="32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2:12" ht="18.75" customHeight="1">
      <c r="B246" s="1" t="s">
        <v>52</v>
      </c>
      <c r="C246" s="170">
        <v>0</v>
      </c>
      <c r="D246" s="170">
        <v>0</v>
      </c>
      <c r="E246" s="170">
        <v>0</v>
      </c>
      <c r="F246" s="170">
        <v>0</v>
      </c>
      <c r="G246" s="170">
        <v>0</v>
      </c>
      <c r="H246" s="170">
        <v>0</v>
      </c>
      <c r="I246" s="170">
        <v>0</v>
      </c>
      <c r="J246" s="170">
        <v>0</v>
      </c>
      <c r="K246" s="170">
        <v>0</v>
      </c>
      <c r="L246" s="170">
        <v>0</v>
      </c>
    </row>
    <row r="247" spans="2:12" ht="18.75" customHeight="1">
      <c r="B247" s="2" t="s">
        <v>48</v>
      </c>
      <c r="C247" s="170">
        <f aca="true" t="shared" si="126" ref="C247:L247">C230</f>
        <v>0</v>
      </c>
      <c r="D247" s="170">
        <f t="shared" si="126"/>
        <v>0</v>
      </c>
      <c r="E247" s="170">
        <f t="shared" si="126"/>
        <v>100087.90800455071</v>
      </c>
      <c r="F247" s="170">
        <f t="shared" si="126"/>
        <v>2402109.792109217</v>
      </c>
      <c r="G247" s="170">
        <f t="shared" si="126"/>
        <v>2402109.792109217</v>
      </c>
      <c r="H247" s="170">
        <f t="shared" si="126"/>
        <v>2402109.792109217</v>
      </c>
      <c r="I247" s="170">
        <f t="shared" si="126"/>
        <v>2402109.792109217</v>
      </c>
      <c r="J247" s="170">
        <f t="shared" si="126"/>
        <v>2402109.792109217</v>
      </c>
      <c r="K247" s="170">
        <f t="shared" si="126"/>
        <v>2402109.792109217</v>
      </c>
      <c r="L247" s="170">
        <f t="shared" si="126"/>
        <v>2402109.792109217</v>
      </c>
    </row>
    <row r="248" spans="2:12" ht="18.75" customHeight="1">
      <c r="B248" s="2" t="s">
        <v>49</v>
      </c>
      <c r="C248" s="170">
        <v>0</v>
      </c>
      <c r="D248" s="170">
        <f aca="true" t="shared" si="127" ref="D248:L248">C248</f>
        <v>0</v>
      </c>
      <c r="E248" s="170">
        <f t="shared" si="127"/>
        <v>0</v>
      </c>
      <c r="F248" s="170">
        <f t="shared" si="127"/>
        <v>0</v>
      </c>
      <c r="G248" s="170">
        <f t="shared" si="127"/>
        <v>0</v>
      </c>
      <c r="H248" s="170">
        <f t="shared" si="127"/>
        <v>0</v>
      </c>
      <c r="I248" s="170">
        <f t="shared" si="127"/>
        <v>0</v>
      </c>
      <c r="J248" s="170">
        <f t="shared" si="127"/>
        <v>0</v>
      </c>
      <c r="K248" s="170">
        <f t="shared" si="127"/>
        <v>0</v>
      </c>
      <c r="L248" s="170">
        <f t="shared" si="127"/>
        <v>0</v>
      </c>
    </row>
    <row r="249" spans="2:12" ht="18.75" customHeight="1">
      <c r="B249" s="2" t="s">
        <v>50</v>
      </c>
      <c r="C249" s="170">
        <v>0</v>
      </c>
      <c r="D249" s="170">
        <f aca="true" t="shared" si="128" ref="D249:L249">D232*(C236+C238)</f>
        <v>7551.655331767361</v>
      </c>
      <c r="E249" s="170">
        <f t="shared" si="128"/>
        <v>79578.65533176735</v>
      </c>
      <c r="F249" s="170">
        <f t="shared" si="128"/>
        <v>155831.02346976052</v>
      </c>
      <c r="G249" s="170">
        <f t="shared" si="128"/>
        <v>152227.8587815967</v>
      </c>
      <c r="H249" s="170">
        <f t="shared" si="128"/>
        <v>148624.6940934329</v>
      </c>
      <c r="I249" s="170">
        <f t="shared" si="128"/>
        <v>145021.52940526907</v>
      </c>
      <c r="J249" s="170">
        <f t="shared" si="128"/>
        <v>141418.36471710523</v>
      </c>
      <c r="K249" s="170">
        <f t="shared" si="128"/>
        <v>137815.20002894138</v>
      </c>
      <c r="L249" s="170">
        <f t="shared" si="128"/>
        <v>134212.0353407776</v>
      </c>
    </row>
    <row r="250" spans="2:12" ht="18.75" customHeight="1">
      <c r="B250" s="21" t="s">
        <v>51</v>
      </c>
      <c r="C250" s="174">
        <f aca="true" t="shared" si="129" ref="C250:L250">SUM(C246:C249)</f>
        <v>0</v>
      </c>
      <c r="D250" s="174">
        <f t="shared" si="129"/>
        <v>7551.655331767361</v>
      </c>
      <c r="E250" s="174">
        <f t="shared" si="129"/>
        <v>179666.56333631807</v>
      </c>
      <c r="F250" s="174">
        <f t="shared" si="129"/>
        <v>2557940.8155789776</v>
      </c>
      <c r="G250" s="174">
        <f t="shared" si="129"/>
        <v>2554337.6508908137</v>
      </c>
      <c r="H250" s="174">
        <f t="shared" si="129"/>
        <v>2550734.48620265</v>
      </c>
      <c r="I250" s="174">
        <f t="shared" si="129"/>
        <v>2547131.3215144863</v>
      </c>
      <c r="J250" s="174">
        <f t="shared" si="129"/>
        <v>2543528.1568263224</v>
      </c>
      <c r="K250" s="174">
        <f t="shared" si="129"/>
        <v>2539924.9921381585</v>
      </c>
      <c r="L250" s="174">
        <f t="shared" si="129"/>
        <v>2536321.8274499946</v>
      </c>
    </row>
    <row r="251" spans="3:12" ht="18.75" customHeight="1">
      <c r="C251" s="34"/>
      <c r="D251" s="268"/>
      <c r="E251" s="268"/>
      <c r="F251" s="268"/>
      <c r="G251" s="268"/>
      <c r="H251" s="268"/>
      <c r="I251" s="268"/>
      <c r="J251" s="268"/>
      <c r="K251" s="268"/>
      <c r="L251" s="268"/>
    </row>
    <row r="252" spans="2:12" ht="18.75" customHeight="1">
      <c r="B252" s="1" t="s">
        <v>59</v>
      </c>
      <c r="C252" s="170">
        <f aca="true" t="shared" si="130" ref="C252:L252">C244+C250</f>
        <v>511111.0309351469</v>
      </c>
      <c r="D252" s="170">
        <f t="shared" si="130"/>
        <v>5393593.096597236</v>
      </c>
      <c r="E252" s="170">
        <f t="shared" si="130"/>
        <v>9005897.810423762</v>
      </c>
      <c r="F252" s="170">
        <f t="shared" si="130"/>
        <v>11057788.89255169</v>
      </c>
      <c r="G252" s="170">
        <f t="shared" si="130"/>
        <v>10741077.26677859</v>
      </c>
      <c r="H252" s="170">
        <f t="shared" si="130"/>
        <v>10436611.682545885</v>
      </c>
      <c r="I252" s="170">
        <f t="shared" si="130"/>
        <v>10143510.424862668</v>
      </c>
      <c r="J252" s="170">
        <f t="shared" si="130"/>
        <v>9860891.77873803</v>
      </c>
      <c r="K252" s="170">
        <f t="shared" si="130"/>
        <v>9587996.48959647</v>
      </c>
      <c r="L252" s="170">
        <f t="shared" si="130"/>
        <v>9324065.302862478</v>
      </c>
    </row>
  </sheetData>
  <sheetProtection/>
  <dataValidations count="1">
    <dataValidation type="list" allowBlank="1" showInputMessage="1" showErrorMessage="1" sqref="A183 A15 A57 A99 A141 A225">
      <formula1>"Bonus, No Bonus"</formula1>
    </dataValidation>
  </dataValidations>
  <printOptions horizontalCentered="1"/>
  <pageMargins left="0.75" right="0.75" top="1" bottom="0.5" header="0.5" footer="0.5"/>
  <pageSetup horizontalDpi="600" verticalDpi="600" orientation="landscape" scale="67" r:id="rId1"/>
  <rowBreaks count="5" manualBreakCount="5">
    <brk id="44" min="2" max="11" man="1"/>
    <brk id="86" min="2" max="11" man="1"/>
    <brk id="128" min="2" max="11" man="1"/>
    <brk id="170" min="2" max="11" man="1"/>
    <brk id="212" min="2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6"/>
  <sheetViews>
    <sheetView zoomScale="75" zoomScaleNormal="75" zoomScalePageLayoutView="0" workbookViewId="0" topLeftCell="A1">
      <selection activeCell="A1" sqref="A1"/>
    </sheetView>
  </sheetViews>
  <sheetFormatPr defaultColWidth="9.33203125" defaultRowHeight="18.75" customHeight="1"/>
  <cols>
    <col min="1" max="1" width="12.66015625" style="2" bestFit="1" customWidth="1"/>
    <col min="2" max="2" width="66" style="2" customWidth="1"/>
    <col min="3" max="12" width="14.83203125" style="2" customWidth="1"/>
    <col min="13" max="17" width="9.33203125" style="2" customWidth="1"/>
    <col min="18" max="18" width="9.5" style="2" bestFit="1" customWidth="1"/>
    <col min="19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8.75" customHeight="1">
      <c r="B2" s="110" t="s">
        <v>321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8.75" customHeight="1">
      <c r="B3" s="11"/>
      <c r="C3" s="212" t="s">
        <v>257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29">
        <f>Input!B2</f>
        <v>2016</v>
      </c>
      <c r="D4" s="29">
        <f aca="true" t="shared" si="0" ref="D4:L5">C4+1</f>
        <v>2017</v>
      </c>
      <c r="E4" s="29">
        <f t="shared" si="0"/>
        <v>2018</v>
      </c>
      <c r="F4" s="29">
        <f t="shared" si="0"/>
        <v>2019</v>
      </c>
      <c r="G4" s="29">
        <f t="shared" si="0"/>
        <v>2020</v>
      </c>
      <c r="H4" s="29">
        <f t="shared" si="0"/>
        <v>2021</v>
      </c>
      <c r="I4" s="29">
        <f t="shared" si="0"/>
        <v>2022</v>
      </c>
      <c r="J4" s="52">
        <f t="shared" si="0"/>
        <v>2023</v>
      </c>
      <c r="K4" s="29">
        <f t="shared" si="0"/>
        <v>2024</v>
      </c>
      <c r="L4" s="29">
        <f t="shared" si="0"/>
        <v>2025</v>
      </c>
    </row>
    <row r="5" spans="1:18" s="28" customFormat="1" ht="18.75" customHeight="1">
      <c r="A5" s="258">
        <v>2018</v>
      </c>
      <c r="B5" s="28" t="s">
        <v>43</v>
      </c>
      <c r="C5" s="209">
        <v>1</v>
      </c>
      <c r="D5" s="209">
        <f>C5+1</f>
        <v>2</v>
      </c>
      <c r="E5" s="209">
        <f t="shared" si="0"/>
        <v>3</v>
      </c>
      <c r="F5" s="209">
        <f t="shared" si="0"/>
        <v>4</v>
      </c>
      <c r="G5" s="209">
        <f t="shared" si="0"/>
        <v>5</v>
      </c>
      <c r="H5" s="209">
        <f t="shared" si="0"/>
        <v>6</v>
      </c>
      <c r="I5" s="209">
        <f t="shared" si="0"/>
        <v>7</v>
      </c>
      <c r="J5" s="209">
        <f t="shared" si="0"/>
        <v>8</v>
      </c>
      <c r="K5" s="209">
        <f t="shared" si="0"/>
        <v>9</v>
      </c>
      <c r="L5" s="209">
        <f t="shared" si="0"/>
        <v>10</v>
      </c>
      <c r="M5" s="28" t="s">
        <v>21</v>
      </c>
      <c r="Q5" s="28" t="s">
        <v>257</v>
      </c>
      <c r="R5" s="28">
        <v>1</v>
      </c>
    </row>
    <row r="6" spans="1:18" ht="18.75" customHeight="1">
      <c r="A6" s="3"/>
      <c r="B6" s="211" t="s">
        <v>371</v>
      </c>
      <c r="C6" s="12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60" t="s">
        <v>319</v>
      </c>
      <c r="B7" s="10" t="s">
        <v>426</v>
      </c>
      <c r="C7" s="172">
        <f>VLOOKUP(C$4,'Cash Flows-KU'!$B$76:$H$86,$A8)</f>
        <v>0</v>
      </c>
      <c r="D7" s="172">
        <f>VLOOKUP(D$4,'Cash Flows-KU'!$B$76:$H$86,$A8)</f>
        <v>979148.6554288705</v>
      </c>
      <c r="E7" s="172">
        <f>VLOOKUP(E$4,'Cash Flows-KU'!$B$76:$H$86,$A8)</f>
        <v>3278520</v>
      </c>
      <c r="F7" s="172">
        <f>VLOOKUP(F$4,'Cash Flows-KU'!$B$76:$H$86,$A8)</f>
        <v>3709440</v>
      </c>
      <c r="G7" s="172">
        <f>VLOOKUP(G$4,'Cash Flows-KU'!$B$76:$H$86,$A8)</f>
        <v>9631079.999999998</v>
      </c>
      <c r="H7" s="172">
        <f>VLOOKUP(H$4,'Cash Flows-KU'!$B$76:$H$86,$A8)</f>
        <v>7365600</v>
      </c>
      <c r="I7" s="172">
        <f>VLOOKUP(I$4,'Cash Flows-KU'!$B$76:$H$86,$A8)</f>
        <v>11906999.999999998</v>
      </c>
      <c r="J7" s="172">
        <f>VLOOKUP(J$4,'Cash Flows-KU'!$B$76:$H$86,$A8)</f>
        <v>10611720</v>
      </c>
      <c r="K7" s="172">
        <f>VLOOKUP(K$4,'Cash Flows-KU'!$B$76:$H$86,$A8)</f>
        <v>0</v>
      </c>
      <c r="L7" s="172">
        <f>VLOOKUP(L$4,'Cash Flows-KU'!$B$76:$H$86,$A8)</f>
        <v>0</v>
      </c>
      <c r="M7" s="173"/>
      <c r="Q7" s="28" t="s">
        <v>259</v>
      </c>
      <c r="R7" s="2">
        <v>3</v>
      </c>
    </row>
    <row r="8" spans="1:18" ht="18.75" customHeight="1">
      <c r="A8" s="3">
        <v>2</v>
      </c>
      <c r="B8" s="40" t="s">
        <v>57</v>
      </c>
      <c r="C8" s="172">
        <f>SUM($C7:C7)</f>
        <v>0</v>
      </c>
      <c r="D8" s="172">
        <f>SUM($C7:D7)</f>
        <v>979148.6554288705</v>
      </c>
      <c r="E8" s="172">
        <f>SUM($C7:E7)</f>
        <v>4257668.655428871</v>
      </c>
      <c r="F8" s="172">
        <f>SUM($C7:F7)</f>
        <v>7967108.655428871</v>
      </c>
      <c r="G8" s="172">
        <f>SUM($C7:G7)</f>
        <v>17598188.655428868</v>
      </c>
      <c r="H8" s="172">
        <f>SUM($C7:H7)</f>
        <v>24963788.655428868</v>
      </c>
      <c r="I8" s="172">
        <f>SUM($C7:I7)</f>
        <v>36870788.655428864</v>
      </c>
      <c r="J8" s="172">
        <f>SUM($C7:J7)</f>
        <v>47482508.655428864</v>
      </c>
      <c r="K8" s="172">
        <f>SUM($C7:K7)</f>
        <v>47482508.655428864</v>
      </c>
      <c r="L8" s="172">
        <f>SUM($C7:L7)</f>
        <v>47482508.655428864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</v>
      </c>
      <c r="D9" s="6">
        <f>IF(D5="",0,VLOOKUP($B6,Depreciation!$D$2:$E$31,$A9,FALSE))</f>
        <v>0</v>
      </c>
      <c r="E9" s="6">
        <f>IF(E5="",0,VLOOKUP($B6,Depreciation!$D$2:$E$31,$A9,FALSE))</f>
        <v>0</v>
      </c>
      <c r="F9" s="6">
        <f>IF(F5="",0,VLOOKUP($B6,Depreciation!$D$2:$E$31,$A9,FALSE))</f>
        <v>0</v>
      </c>
      <c r="G9" s="6">
        <f>IF(G5="",0,VLOOKUP($B6,Depreciation!$D$2:$E$31,$A9,FALSE))</f>
        <v>0</v>
      </c>
      <c r="H9" s="6">
        <f>IF(H5="",0,VLOOKUP($B6,Depreciation!$D$2:$E$31,$A9,FALSE))</f>
        <v>0</v>
      </c>
      <c r="I9" s="6">
        <f>IF(I5="",0,VLOOKUP($B6,Depreciation!$D$2:$E$31,$A9,FALSE))</f>
        <v>0</v>
      </c>
      <c r="J9" s="6">
        <f>IF(J5="",0,VLOOKUP($B6,Depreciation!$D$2:$E$31,$A9,FALSE))</f>
        <v>0</v>
      </c>
      <c r="K9" s="6">
        <f>IF(K5="",0,VLOOKUP($B6,Depreciation!$D$2:$E$31,$A9,FALSE))</f>
        <v>0</v>
      </c>
      <c r="L9" s="6">
        <f>IF(L5="",0,VLOOKUP($B6,Depreciation!$D$2:$E$31,$A9,FALSE))</f>
        <v>0</v>
      </c>
      <c r="Q9" s="28" t="s">
        <v>261</v>
      </c>
      <c r="R9" s="2">
        <v>5</v>
      </c>
    </row>
    <row r="10" spans="1:18" ht="18.75" customHeight="1">
      <c r="A10" s="3">
        <v>3</v>
      </c>
      <c r="B10" s="5" t="s">
        <v>1</v>
      </c>
      <c r="C10" s="6">
        <f>IF(C5="",0,VLOOKUP(C5,Depreciation!$A$2:$C$58,$A10,FALSE))</f>
        <v>1</v>
      </c>
      <c r="D10" s="6">
        <f>IF(D5="",0,VLOOKUP(D5,Depreciation!$A$2:$C$58,$A10,FALSE))</f>
        <v>1</v>
      </c>
      <c r="E10" s="6">
        <f>IF(E5="",0,VLOOKUP(E5,Depreciation!$A$2:$C$58,$A10,FALSE))</f>
        <v>1</v>
      </c>
      <c r="F10" s="6">
        <f>IF(F5="",0,VLOOKUP(F5,Depreciation!$A$2:$C$58,$A10,FALSE))</f>
        <v>1</v>
      </c>
      <c r="G10" s="6">
        <f>IF(G5="",0,VLOOKUP(G5,Depreciation!$A$2:$C$58,$A10,FALSE))</f>
        <v>1</v>
      </c>
      <c r="H10" s="6">
        <f>IF(H5="",0,VLOOKUP(H5,Depreciation!$A$2:$C$58,$A10,FALSE))</f>
        <v>1</v>
      </c>
      <c r="I10" s="6">
        <f>IF(I5="",0,VLOOKUP(I5,Depreciation!$A$2:$C$58,$A10,FALSE))</f>
        <v>1</v>
      </c>
      <c r="J10" s="6">
        <f>IF(J5="",0,VLOOKUP(J5,Depreciation!$A$2:$C$58,$A10,FALSE))</f>
        <v>1</v>
      </c>
      <c r="K10" s="6">
        <f>IF(K5="",0,VLOOKUP(K5,Depreciation!$A$2:$C$58,$A10,FALSE))</f>
        <v>1</v>
      </c>
      <c r="L10" s="6">
        <f>IF(L5="",0,VLOOKUP(L5,Depreciation!$A$2:$C$58,$A10,FALSE))</f>
        <v>1</v>
      </c>
      <c r="Q10" s="28" t="s">
        <v>262</v>
      </c>
      <c r="R10" s="2">
        <v>6</v>
      </c>
    </row>
    <row r="11" spans="2:18" s="30" customFormat="1" ht="18.75" customHeight="1"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2:18" ht="18.75" customHeight="1">
      <c r="B12" s="2" t="s">
        <v>3</v>
      </c>
      <c r="C12" s="170">
        <f>SUM($C23:C23)</f>
        <v>-459862.89099830866</v>
      </c>
      <c r="D12" s="170">
        <f>SUM($C23:D23)</f>
        <v>-541128.1628884904</v>
      </c>
      <c r="E12" s="170">
        <f>SUM($C23:E23)</f>
        <v>266681.4893132008</v>
      </c>
      <c r="F12" s="170">
        <f>SUM($C23:F23)</f>
        <v>1241110.6687148921</v>
      </c>
      <c r="G12" s="170">
        <f>SUM($C23:G23)</f>
        <v>4505201.170516582</v>
      </c>
      <c r="H12" s="170">
        <f>SUM($C23:H23)</f>
        <v>6893321.175518272</v>
      </c>
      <c r="I12" s="170">
        <f>SUM($C23:I23)</f>
        <v>11037418.904519962</v>
      </c>
      <c r="J12" s="170">
        <f>SUM($C23:J23)</f>
        <v>14680683.668721654</v>
      </c>
      <c r="K12" s="170">
        <f>SUM($C23:K23)</f>
        <v>14220820.777723344</v>
      </c>
      <c r="L12" s="170">
        <f>SUM($C23:L23)</f>
        <v>13760957.886725035</v>
      </c>
      <c r="Q12" s="28" t="s">
        <v>264</v>
      </c>
      <c r="R12" s="2">
        <v>8</v>
      </c>
    </row>
    <row r="13" spans="2:18" ht="18.75" customHeight="1">
      <c r="B13" s="2" t="s">
        <v>4</v>
      </c>
      <c r="C13" s="169">
        <f>SUM($C15:C15)</f>
        <v>1189321.0857040002</v>
      </c>
      <c r="D13" s="169">
        <f>SUM($C15:D15)</f>
        <v>2378642.1714080004</v>
      </c>
      <c r="E13" s="169">
        <f>SUM($C15:E15)</f>
        <v>3567963.2571120006</v>
      </c>
      <c r="F13" s="169">
        <f>SUM($C15:F15)</f>
        <v>4757284.342816001</v>
      </c>
      <c r="G13" s="169">
        <f>SUM($C15:G15)</f>
        <v>5946605.4285200015</v>
      </c>
      <c r="H13" s="169">
        <f>SUM($C15:H15)</f>
        <v>7135926.514224002</v>
      </c>
      <c r="I13" s="169">
        <f>SUM($C15:I15)</f>
        <v>8325247.599928003</v>
      </c>
      <c r="J13" s="169">
        <f>SUM($C15:J15)</f>
        <v>9514568.685632003</v>
      </c>
      <c r="K13" s="169">
        <f>SUM($C15:K15)</f>
        <v>10703889.771336004</v>
      </c>
      <c r="L13" s="169">
        <f>SUM($C15:L15)</f>
        <v>11893210.857040005</v>
      </c>
      <c r="Q13" s="28" t="s">
        <v>265</v>
      </c>
      <c r="R13" s="2">
        <v>9</v>
      </c>
    </row>
    <row r="14" spans="2:18" ht="18.75" customHeight="1">
      <c r="B14" s="11" t="s">
        <v>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Q14" s="28" t="s">
        <v>266</v>
      </c>
      <c r="R14" s="2">
        <v>10</v>
      </c>
    </row>
    <row r="15" spans="1:18" ht="18.75" customHeight="1">
      <c r="A15" s="214" t="s">
        <v>372</v>
      </c>
      <c r="B15" s="11" t="s">
        <v>6</v>
      </c>
      <c r="C15" s="169">
        <v>1189321.0857040002</v>
      </c>
      <c r="D15" s="169">
        <f>C15</f>
        <v>1189321.0857040002</v>
      </c>
      <c r="E15" s="169">
        <f aca="true" t="shared" si="1" ref="E15:L15">D15</f>
        <v>1189321.0857040002</v>
      </c>
      <c r="F15" s="169">
        <f t="shared" si="1"/>
        <v>1189321.0857040002</v>
      </c>
      <c r="G15" s="169">
        <f t="shared" si="1"/>
        <v>1189321.0857040002</v>
      </c>
      <c r="H15" s="169">
        <f t="shared" si="1"/>
        <v>1189321.0857040002</v>
      </c>
      <c r="I15" s="169">
        <f t="shared" si="1"/>
        <v>1189321.0857040002</v>
      </c>
      <c r="J15" s="169">
        <f t="shared" si="1"/>
        <v>1189321.0857040002</v>
      </c>
      <c r="K15" s="169">
        <f t="shared" si="1"/>
        <v>1189321.0857040002</v>
      </c>
      <c r="L15" s="169">
        <f t="shared" si="1"/>
        <v>1189321.0857040002</v>
      </c>
      <c r="Q15" s="28" t="s">
        <v>267</v>
      </c>
      <c r="R15" s="2">
        <v>11</v>
      </c>
    </row>
    <row r="16" spans="2:18" ht="18.75" customHeight="1">
      <c r="B16" s="5" t="s">
        <v>7</v>
      </c>
      <c r="C16" s="169">
        <f>C7</f>
        <v>0</v>
      </c>
      <c r="D16" s="169">
        <f aca="true" t="shared" si="2" ref="D16:L16">C16+D7</f>
        <v>979148.6554288705</v>
      </c>
      <c r="E16" s="169">
        <f t="shared" si="2"/>
        <v>4257668.655428871</v>
      </c>
      <c r="F16" s="169">
        <f t="shared" si="2"/>
        <v>7967108.655428871</v>
      </c>
      <c r="G16" s="169">
        <f t="shared" si="2"/>
        <v>17598188.655428868</v>
      </c>
      <c r="H16" s="169">
        <f t="shared" si="2"/>
        <v>24963788.655428868</v>
      </c>
      <c r="I16" s="169">
        <f t="shared" si="2"/>
        <v>36870788.655428864</v>
      </c>
      <c r="J16" s="169">
        <f t="shared" si="2"/>
        <v>47482508.655428864</v>
      </c>
      <c r="K16" s="169">
        <f t="shared" si="2"/>
        <v>47482508.655428864</v>
      </c>
      <c r="L16" s="169">
        <f t="shared" si="2"/>
        <v>47482508.655428864</v>
      </c>
      <c r="Q16" s="28" t="s">
        <v>268</v>
      </c>
      <c r="R16" s="2">
        <v>12</v>
      </c>
    </row>
    <row r="17" spans="2:12" ht="18.75" customHeight="1">
      <c r="B17" s="213" t="s">
        <v>361</v>
      </c>
      <c r="C17" s="169">
        <f>IF(C5=1,IF($A15="Bonus",SUM($C7:C7)*VLOOKUP(C4,Depreciation!$D$41:$E$50,2),0),0)</f>
        <v>0</v>
      </c>
      <c r="D17" s="169">
        <f>IF(D5=1,IF($A15="Bonus",SUM($C7:D7)*VLOOKUP(D4,Depreciation!$D$41:$E$50,2),0),0)</f>
        <v>0</v>
      </c>
      <c r="E17" s="169">
        <f>IF(E5=1,IF($A15="Bonus",SUM($C7:E7)*VLOOKUP(E4,Depreciation!$D$41:$E$50,2),0),0)</f>
        <v>0</v>
      </c>
      <c r="F17" s="169">
        <f>IF(F5=1,IF($A15="Bonus",SUM($C7:F7)*VLOOKUP(F4,Depreciation!$D$41:$E$50,2),0),0)</f>
        <v>0</v>
      </c>
      <c r="G17" s="169">
        <f>IF(G5=1,IF($A15="Bonus",SUM($C7:G7)*VLOOKUP(G4,Depreciation!$D$41:$E$50,2),0),0)</f>
        <v>0</v>
      </c>
      <c r="H17" s="169">
        <f>IF(H5=1,IF($A15="Bonus",SUM($C7:H7)*VLOOKUP(H4,Depreciation!$D$41:$E$50,2),0),0)</f>
        <v>0</v>
      </c>
      <c r="I17" s="169">
        <f>IF(I5=1,IF($A15="Bonus",SUM($C7:I7)*VLOOKUP(I4,Depreciation!$D$41:$E$50,2),0),0)</f>
        <v>0</v>
      </c>
      <c r="J17" s="169">
        <f>IF(J5=1,IF($A15="Bonus",SUM($C7:J7)*VLOOKUP(J4,Depreciation!$D$41:$E$50,2),0),0)</f>
        <v>0</v>
      </c>
      <c r="K17" s="169">
        <f>IF(K5=1,IF($A15="Bonus",SUM($C7:K7)*VLOOKUP(K4,Depreciation!$D$41:$E$50,2),0),0)</f>
        <v>0</v>
      </c>
      <c r="L17" s="169">
        <f>IF(L5=1,IF($A15="Bonus",SUM($C7:L7)*VLOOKUP(L4,Depreciation!$D$41:$E$50,2),0),0)</f>
        <v>0</v>
      </c>
    </row>
    <row r="18" spans="2:12" ht="18.75" customHeight="1">
      <c r="B18" s="5" t="s">
        <v>362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 ht="18.75" customHeight="1">
      <c r="B19" s="5" t="s">
        <v>17</v>
      </c>
      <c r="C19" s="7">
        <f>Input!J$31</f>
        <v>0.10152297909805327</v>
      </c>
      <c r="D19" s="7">
        <f>Input!K$31</f>
        <v>0.10152297909805327</v>
      </c>
      <c r="E19" s="7">
        <f>Input!L$31</f>
        <v>0.10152297909805327</v>
      </c>
      <c r="F19" s="7">
        <f>Input!M$31</f>
        <v>0.10152297909805327</v>
      </c>
      <c r="G19" s="7">
        <f>Input!N$31</f>
        <v>0.10152297909805327</v>
      </c>
      <c r="H19" s="7">
        <f>Input!O$31</f>
        <v>0.10152297909805327</v>
      </c>
      <c r="I19" s="7">
        <f>Input!P$31</f>
        <v>0.10152297909805327</v>
      </c>
      <c r="J19" s="7">
        <f>Input!Q$31</f>
        <v>0.10152297909805327</v>
      </c>
      <c r="K19" s="7">
        <f>Input!R$31</f>
        <v>0.10152297909805327</v>
      </c>
      <c r="L19" s="7">
        <f>Input!S$31</f>
        <v>0.10152297909805327</v>
      </c>
    </row>
    <row r="20" spans="2:12" ht="18.75" customHeight="1">
      <c r="B20" s="5" t="s">
        <v>8</v>
      </c>
      <c r="C20" s="181">
        <f>C15</f>
        <v>1189321.0857040002</v>
      </c>
      <c r="D20" s="181">
        <f>D15</f>
        <v>1189321.0857040002</v>
      </c>
      <c r="E20" s="181">
        <f aca="true" t="shared" si="3" ref="E20:L20">E15</f>
        <v>1189321.0857040002</v>
      </c>
      <c r="F20" s="181">
        <f t="shared" si="3"/>
        <v>1189321.0857040002</v>
      </c>
      <c r="G20" s="181">
        <f t="shared" si="3"/>
        <v>1189321.0857040002</v>
      </c>
      <c r="H20" s="181">
        <f t="shared" si="3"/>
        <v>1189321.0857040002</v>
      </c>
      <c r="I20" s="181">
        <f t="shared" si="3"/>
        <v>1189321.0857040002</v>
      </c>
      <c r="J20" s="181">
        <f t="shared" si="3"/>
        <v>1189321.0857040002</v>
      </c>
      <c r="K20" s="181">
        <f t="shared" si="3"/>
        <v>1189321.0857040002</v>
      </c>
      <c r="L20" s="181">
        <f t="shared" si="3"/>
        <v>1189321.0857040002</v>
      </c>
    </row>
    <row r="21" spans="2:12" ht="18.75" customHeight="1">
      <c r="B21" s="11" t="s">
        <v>364</v>
      </c>
      <c r="C21" s="181">
        <f>C7*C10</f>
        <v>0</v>
      </c>
      <c r="D21" s="181">
        <f aca="true" t="shared" si="4" ref="D21:L21">D7*D10</f>
        <v>979148.6554288705</v>
      </c>
      <c r="E21" s="181">
        <f t="shared" si="4"/>
        <v>3278520</v>
      </c>
      <c r="F21" s="181">
        <f t="shared" si="4"/>
        <v>3709440</v>
      </c>
      <c r="G21" s="181">
        <f t="shared" si="4"/>
        <v>9631079.999999998</v>
      </c>
      <c r="H21" s="181">
        <f t="shared" si="4"/>
        <v>7365600</v>
      </c>
      <c r="I21" s="181">
        <f t="shared" si="4"/>
        <v>11906999.999999998</v>
      </c>
      <c r="J21" s="181">
        <f t="shared" si="4"/>
        <v>10611720</v>
      </c>
      <c r="K21" s="181">
        <f t="shared" si="4"/>
        <v>0</v>
      </c>
      <c r="L21" s="181">
        <f t="shared" si="4"/>
        <v>0</v>
      </c>
    </row>
    <row r="22" spans="2:12" ht="18.75" customHeight="1">
      <c r="B22" s="3" t="s">
        <v>9</v>
      </c>
      <c r="C22" s="8">
        <f>Input!$B$6</f>
        <v>0.0015</v>
      </c>
      <c r="D22" s="8">
        <f aca="true" t="shared" si="5" ref="D22:I22">C22</f>
        <v>0.0015</v>
      </c>
      <c r="E22" s="8">
        <f t="shared" si="5"/>
        <v>0.0015</v>
      </c>
      <c r="F22" s="8">
        <f t="shared" si="5"/>
        <v>0.0015</v>
      </c>
      <c r="G22" s="8">
        <f t="shared" si="5"/>
        <v>0.0015</v>
      </c>
      <c r="H22" s="8">
        <f t="shared" si="5"/>
        <v>0.0015</v>
      </c>
      <c r="I22" s="8">
        <f t="shared" si="5"/>
        <v>0.0015</v>
      </c>
      <c r="J22" s="8">
        <f>I22</f>
        <v>0.0015</v>
      </c>
      <c r="K22" s="8">
        <f>J22</f>
        <v>0.0015</v>
      </c>
      <c r="L22" s="8">
        <f>K22</f>
        <v>0.0015</v>
      </c>
    </row>
    <row r="23" spans="2:12" ht="18.75" customHeight="1">
      <c r="B23" s="102" t="s">
        <v>363</v>
      </c>
      <c r="C23" s="171">
        <f aca="true" t="shared" si="6" ref="C23:L23">(C21-C20)*C11</f>
        <v>-459862.89099830866</v>
      </c>
      <c r="D23" s="171">
        <f t="shared" si="6"/>
        <v>-81265.27189018166</v>
      </c>
      <c r="E23" s="171">
        <f t="shared" si="6"/>
        <v>807809.6522016912</v>
      </c>
      <c r="F23" s="171">
        <f t="shared" si="6"/>
        <v>974429.1794016912</v>
      </c>
      <c r="G23" s="171">
        <f t="shared" si="6"/>
        <v>3264090.50180169</v>
      </c>
      <c r="H23" s="171">
        <f t="shared" si="6"/>
        <v>2388120.0050016907</v>
      </c>
      <c r="I23" s="171">
        <f t="shared" si="6"/>
        <v>4144097.7290016897</v>
      </c>
      <c r="J23" s="171">
        <f t="shared" si="6"/>
        <v>3643264.7642016904</v>
      </c>
      <c r="K23" s="171">
        <f t="shared" si="6"/>
        <v>-459862.89099830866</v>
      </c>
      <c r="L23" s="171">
        <f t="shared" si="6"/>
        <v>-459862.89099830866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7" ref="C26:L26">C8</f>
        <v>0</v>
      </c>
      <c r="D26" s="169">
        <f t="shared" si="7"/>
        <v>979148.6554288705</v>
      </c>
      <c r="E26" s="169">
        <f t="shared" si="7"/>
        <v>4257668.655428871</v>
      </c>
      <c r="F26" s="169">
        <f t="shared" si="7"/>
        <v>7967108.655428871</v>
      </c>
      <c r="G26" s="169">
        <f t="shared" si="7"/>
        <v>17598188.655428868</v>
      </c>
      <c r="H26" s="169">
        <f t="shared" si="7"/>
        <v>24963788.655428868</v>
      </c>
      <c r="I26" s="169">
        <f t="shared" si="7"/>
        <v>36870788.655428864</v>
      </c>
      <c r="J26" s="169">
        <f t="shared" si="7"/>
        <v>47482508.655428864</v>
      </c>
      <c r="K26" s="169">
        <f t="shared" si="7"/>
        <v>47482508.655428864</v>
      </c>
      <c r="L26" s="169">
        <f t="shared" si="7"/>
        <v>47482508.655428864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8" ref="D27:I27">C27</f>
        <v>0</v>
      </c>
      <c r="E27" s="170">
        <f t="shared" si="8"/>
        <v>0</v>
      </c>
      <c r="F27" s="170">
        <f t="shared" si="8"/>
        <v>0</v>
      </c>
      <c r="G27" s="170">
        <f t="shared" si="8"/>
        <v>0</v>
      </c>
      <c r="H27" s="170">
        <f t="shared" si="8"/>
        <v>0</v>
      </c>
      <c r="I27" s="170">
        <f t="shared" si="8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2" ht="18.75" customHeight="1">
      <c r="B28" s="2" t="s">
        <v>10</v>
      </c>
      <c r="C28" s="170">
        <f aca="true" t="shared" si="9" ref="C28:L28">-C13</f>
        <v>-1189321.0857040002</v>
      </c>
      <c r="D28" s="170">
        <f t="shared" si="9"/>
        <v>-2378642.1714080004</v>
      </c>
      <c r="E28" s="170">
        <f t="shared" si="9"/>
        <v>-3567963.2571120006</v>
      </c>
      <c r="F28" s="170">
        <f t="shared" si="9"/>
        <v>-4757284.342816001</v>
      </c>
      <c r="G28" s="170">
        <f t="shared" si="9"/>
        <v>-5946605.4285200015</v>
      </c>
      <c r="H28" s="170">
        <f t="shared" si="9"/>
        <v>-7135926.514224002</v>
      </c>
      <c r="I28" s="170">
        <f t="shared" si="9"/>
        <v>-8325247.599928003</v>
      </c>
      <c r="J28" s="170">
        <f t="shared" si="9"/>
        <v>-9514568.685632003</v>
      </c>
      <c r="K28" s="170">
        <f t="shared" si="9"/>
        <v>-10703889.771336004</v>
      </c>
      <c r="L28" s="170">
        <f t="shared" si="9"/>
        <v>-11893210.857040005</v>
      </c>
    </row>
    <row r="29" spans="2:12" ht="18.75" customHeight="1">
      <c r="B29" s="2" t="s">
        <v>45</v>
      </c>
      <c r="C29" s="170">
        <v>0</v>
      </c>
      <c r="D29" s="170">
        <f>C29</f>
        <v>0</v>
      </c>
      <c r="E29" s="170">
        <f>D29</f>
        <v>0</v>
      </c>
      <c r="F29" s="170">
        <f>E29</f>
        <v>0</v>
      </c>
      <c r="G29" s="170">
        <f aca="true" t="shared" si="10" ref="G29:L29">F29</f>
        <v>0</v>
      </c>
      <c r="H29" s="170">
        <f t="shared" si="10"/>
        <v>0</v>
      </c>
      <c r="I29" s="170">
        <f t="shared" si="10"/>
        <v>0</v>
      </c>
      <c r="J29" s="170">
        <f t="shared" si="10"/>
        <v>0</v>
      </c>
      <c r="K29" s="170">
        <f t="shared" si="10"/>
        <v>0</v>
      </c>
      <c r="L29" s="170">
        <f t="shared" si="10"/>
        <v>0</v>
      </c>
    </row>
    <row r="30" spans="2:12" ht="18.75" customHeight="1">
      <c r="B30" s="2" t="s">
        <v>46</v>
      </c>
      <c r="C30" s="170">
        <f aca="true" t="shared" si="11" ref="C30:L30">-C12</f>
        <v>459862.89099830866</v>
      </c>
      <c r="D30" s="170">
        <f t="shared" si="11"/>
        <v>541128.1628884904</v>
      </c>
      <c r="E30" s="170">
        <f t="shared" si="11"/>
        <v>-266681.4893132008</v>
      </c>
      <c r="F30" s="170">
        <f t="shared" si="11"/>
        <v>-1241110.6687148921</v>
      </c>
      <c r="G30" s="170">
        <f t="shared" si="11"/>
        <v>-4505201.170516582</v>
      </c>
      <c r="H30" s="170">
        <f t="shared" si="11"/>
        <v>-6893321.175518272</v>
      </c>
      <c r="I30" s="170">
        <f t="shared" si="11"/>
        <v>-11037418.904519962</v>
      </c>
      <c r="J30" s="170">
        <f t="shared" si="11"/>
        <v>-14680683.668721654</v>
      </c>
      <c r="K30" s="170">
        <f t="shared" si="11"/>
        <v>-14220820.777723344</v>
      </c>
      <c r="L30" s="170">
        <f t="shared" si="11"/>
        <v>-13760957.886725035</v>
      </c>
    </row>
    <row r="31" spans="2:12" ht="18.75" customHeight="1">
      <c r="B31" s="2" t="s">
        <v>47</v>
      </c>
      <c r="C31" s="170">
        <v>0</v>
      </c>
      <c r="D31" s="170">
        <f aca="true" t="shared" si="12" ref="D31:I31">C31</f>
        <v>0</v>
      </c>
      <c r="E31" s="170">
        <f t="shared" si="12"/>
        <v>0</v>
      </c>
      <c r="F31" s="170">
        <f t="shared" si="12"/>
        <v>0</v>
      </c>
      <c r="G31" s="170">
        <f t="shared" si="12"/>
        <v>0</v>
      </c>
      <c r="H31" s="170">
        <f t="shared" si="12"/>
        <v>0</v>
      </c>
      <c r="I31" s="170">
        <f t="shared" si="12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 aca="true" t="shared" si="13" ref="C32:I32">SUM(C26:C31)</f>
        <v>-729458.1947056915</v>
      </c>
      <c r="D32" s="170">
        <f t="shared" si="13"/>
        <v>-858365.3530906395</v>
      </c>
      <c r="E32" s="170">
        <f t="shared" si="13"/>
        <v>423023.90900366916</v>
      </c>
      <c r="F32" s="170">
        <f t="shared" si="13"/>
        <v>1968713.6438979777</v>
      </c>
      <c r="G32" s="170">
        <f t="shared" si="13"/>
        <v>7146382.056392284</v>
      </c>
      <c r="H32" s="170">
        <f t="shared" si="13"/>
        <v>10934540.965686591</v>
      </c>
      <c r="I32" s="170">
        <f t="shared" si="13"/>
        <v>17508122.150980897</v>
      </c>
      <c r="J32" s="170">
        <f>SUM(J26:J31)</f>
        <v>23287256.301075205</v>
      </c>
      <c r="K32" s="170">
        <f>SUM(K26:K31)</f>
        <v>22557798.106369518</v>
      </c>
      <c r="L32" s="170">
        <f>SUM(L26:L31)</f>
        <v>21828339.911663827</v>
      </c>
    </row>
    <row r="33" spans="2:12" ht="18.75" customHeight="1">
      <c r="B33" s="2" t="s">
        <v>12</v>
      </c>
      <c r="C33" s="7">
        <f aca="true" t="shared" si="14" ref="C33:I33">C19</f>
        <v>0.10152297909805327</v>
      </c>
      <c r="D33" s="7">
        <f t="shared" si="14"/>
        <v>0.10152297909805327</v>
      </c>
      <c r="E33" s="7">
        <f t="shared" si="14"/>
        <v>0.10152297909805327</v>
      </c>
      <c r="F33" s="7">
        <f t="shared" si="14"/>
        <v>0.10152297909805327</v>
      </c>
      <c r="G33" s="7">
        <f t="shared" si="14"/>
        <v>0.10152297909805327</v>
      </c>
      <c r="H33" s="7">
        <f t="shared" si="14"/>
        <v>0.10152297909805327</v>
      </c>
      <c r="I33" s="7">
        <f t="shared" si="14"/>
        <v>0.10152297909805327</v>
      </c>
      <c r="J33" s="7">
        <f>J19</f>
        <v>0.10152297909805327</v>
      </c>
      <c r="K33" s="7">
        <f>K19</f>
        <v>0.10152297909805327</v>
      </c>
      <c r="L33" s="7">
        <f>L19</f>
        <v>0.10152297909805327</v>
      </c>
    </row>
    <row r="34" spans="2:12" ht="18.75" customHeight="1">
      <c r="B34" s="34" t="s">
        <v>58</v>
      </c>
      <c r="C34" s="174">
        <f aca="true" t="shared" si="15" ref="C34:I34">C32*C33</f>
        <v>-74056.7690540096</v>
      </c>
      <c r="D34" s="174">
        <f t="shared" si="15"/>
        <v>-87143.80780031411</v>
      </c>
      <c r="E34" s="174">
        <f t="shared" si="15"/>
        <v>42946.647471756296</v>
      </c>
      <c r="F34" s="174">
        <f t="shared" si="15"/>
        <v>199869.67411950667</v>
      </c>
      <c r="G34" s="174">
        <f t="shared" si="15"/>
        <v>725521.9961378168</v>
      </c>
      <c r="H34" s="174">
        <f t="shared" si="15"/>
        <v>1110107.173906207</v>
      </c>
      <c r="I34" s="174">
        <f t="shared" si="15"/>
        <v>1777476.7191801972</v>
      </c>
      <c r="J34" s="174">
        <f>J32*J33</f>
        <v>2364191.6347050676</v>
      </c>
      <c r="K34" s="174">
        <f>K32*K33</f>
        <v>2290134.865651058</v>
      </c>
      <c r="L34" s="174">
        <f>L32*L33</f>
        <v>2216078.096597049</v>
      </c>
    </row>
    <row r="35" spans="2:12" s="3" customFormat="1" ht="18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8.75" customHeight="1">
      <c r="B36" s="1" t="s">
        <v>52</v>
      </c>
      <c r="C36" s="170">
        <v>0</v>
      </c>
      <c r="D36" s="170">
        <f>C36</f>
        <v>0</v>
      </c>
      <c r="E36" s="170">
        <f aca="true" t="shared" si="16" ref="E36:L36">D36</f>
        <v>0</v>
      </c>
      <c r="F36" s="170">
        <f t="shared" si="16"/>
        <v>0</v>
      </c>
      <c r="G36" s="170">
        <f t="shared" si="16"/>
        <v>0</v>
      </c>
      <c r="H36" s="170">
        <f t="shared" si="16"/>
        <v>0</v>
      </c>
      <c r="I36" s="170">
        <f t="shared" si="16"/>
        <v>0</v>
      </c>
      <c r="J36" s="170">
        <f t="shared" si="16"/>
        <v>0</v>
      </c>
      <c r="K36" s="170">
        <f t="shared" si="16"/>
        <v>0</v>
      </c>
      <c r="L36" s="170">
        <f t="shared" si="16"/>
        <v>0</v>
      </c>
    </row>
    <row r="37" spans="2:12" ht="18.75" customHeight="1">
      <c r="B37" s="2" t="s">
        <v>48</v>
      </c>
      <c r="C37" s="170">
        <v>0</v>
      </c>
      <c r="D37" s="170">
        <f>C37</f>
        <v>0</v>
      </c>
      <c r="E37" s="170">
        <f aca="true" t="shared" si="17" ref="E37:L37">D37</f>
        <v>0</v>
      </c>
      <c r="F37" s="170">
        <f t="shared" si="17"/>
        <v>0</v>
      </c>
      <c r="G37" s="170">
        <f t="shared" si="17"/>
        <v>0</v>
      </c>
      <c r="H37" s="170">
        <f t="shared" si="17"/>
        <v>0</v>
      </c>
      <c r="I37" s="170">
        <f t="shared" si="17"/>
        <v>0</v>
      </c>
      <c r="J37" s="170">
        <f t="shared" si="17"/>
        <v>0</v>
      </c>
      <c r="K37" s="170">
        <f t="shared" si="17"/>
        <v>0</v>
      </c>
      <c r="L37" s="170">
        <f t="shared" si="17"/>
        <v>0</v>
      </c>
    </row>
    <row r="38" spans="2:12" ht="18.75" customHeight="1">
      <c r="B38" s="2" t="s">
        <v>434</v>
      </c>
      <c r="C38" s="170">
        <f>C13</f>
        <v>1189321.0857040002</v>
      </c>
      <c r="D38" s="170">
        <f>C38</f>
        <v>1189321.0857040002</v>
      </c>
      <c r="E38" s="170">
        <f>D38</f>
        <v>1189321.0857040002</v>
      </c>
      <c r="F38" s="170">
        <f>E38</f>
        <v>1189321.0857040002</v>
      </c>
      <c r="G38" s="170">
        <f aca="true" t="shared" si="18" ref="G38:L38">F38</f>
        <v>1189321.0857040002</v>
      </c>
      <c r="H38" s="170">
        <f t="shared" si="18"/>
        <v>1189321.0857040002</v>
      </c>
      <c r="I38" s="170">
        <f t="shared" si="18"/>
        <v>1189321.0857040002</v>
      </c>
      <c r="J38" s="170">
        <f t="shared" si="18"/>
        <v>1189321.0857040002</v>
      </c>
      <c r="K38" s="170">
        <f t="shared" si="18"/>
        <v>1189321.0857040002</v>
      </c>
      <c r="L38" s="170">
        <f t="shared" si="18"/>
        <v>1189321.0857040002</v>
      </c>
    </row>
    <row r="39" spans="2:12" ht="18.75" customHeight="1">
      <c r="B39" s="2" t="s">
        <v>50</v>
      </c>
      <c r="C39" s="170">
        <v>0</v>
      </c>
      <c r="D39" s="170">
        <f aca="true" t="shared" si="19" ref="D39:I39">D22*(C26+C28)</f>
        <v>-1783.9816285560003</v>
      </c>
      <c r="E39" s="170">
        <f t="shared" si="19"/>
        <v>-2099.240273968695</v>
      </c>
      <c r="F39" s="170">
        <f t="shared" si="19"/>
        <v>1034.558097475305</v>
      </c>
      <c r="G39" s="170">
        <f t="shared" si="19"/>
        <v>4814.736468919305</v>
      </c>
      <c r="H39" s="170">
        <f t="shared" si="19"/>
        <v>17477.3748403633</v>
      </c>
      <c r="I39" s="170">
        <f t="shared" si="19"/>
        <v>26741.793211807297</v>
      </c>
      <c r="J39" s="170">
        <f>J22*(I26+I28)</f>
        <v>42818.31158325129</v>
      </c>
      <c r="K39" s="170">
        <f>K22*(J26+J28)</f>
        <v>56951.909954695286</v>
      </c>
      <c r="L39" s="170">
        <f>L22*(K26+K28)</f>
        <v>55167.92832613929</v>
      </c>
    </row>
    <row r="40" spans="2:12" ht="18.75" customHeight="1">
      <c r="B40" s="21" t="s">
        <v>51</v>
      </c>
      <c r="C40" s="174">
        <f aca="true" t="shared" si="20" ref="C40:I40">SUM(C36:C39)</f>
        <v>1189321.0857040002</v>
      </c>
      <c r="D40" s="174">
        <f t="shared" si="20"/>
        <v>1187537.1040754442</v>
      </c>
      <c r="E40" s="174">
        <f t="shared" si="20"/>
        <v>1187221.8454300314</v>
      </c>
      <c r="F40" s="174">
        <f t="shared" si="20"/>
        <v>1190355.6438014754</v>
      </c>
      <c r="G40" s="174">
        <f t="shared" si="20"/>
        <v>1194135.8221729195</v>
      </c>
      <c r="H40" s="174">
        <f t="shared" si="20"/>
        <v>1206798.4605443636</v>
      </c>
      <c r="I40" s="174">
        <f t="shared" si="20"/>
        <v>1216062.8789158075</v>
      </c>
      <c r="J40" s="174">
        <f>SUM(J36:J39)</f>
        <v>1232139.3972872514</v>
      </c>
      <c r="K40" s="174">
        <f>SUM(K36:K39)</f>
        <v>1246272.9956586955</v>
      </c>
      <c r="L40" s="174">
        <f>SUM(L36:L39)</f>
        <v>1244489.0140301394</v>
      </c>
    </row>
    <row r="41" spans="3:12" ht="18.75" customHeight="1">
      <c r="C41" s="34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2:12" ht="18.75" customHeight="1">
      <c r="B42" s="1" t="s">
        <v>59</v>
      </c>
      <c r="C42" s="170">
        <f aca="true" t="shared" si="21" ref="C42:I42">C34+C40</f>
        <v>1115264.3166499906</v>
      </c>
      <c r="D42" s="170">
        <f t="shared" si="21"/>
        <v>1100393.29627513</v>
      </c>
      <c r="E42" s="170">
        <f t="shared" si="21"/>
        <v>1230168.4929017876</v>
      </c>
      <c r="F42" s="170">
        <f t="shared" si="21"/>
        <v>1390225.3179209821</v>
      </c>
      <c r="G42" s="170">
        <f t="shared" si="21"/>
        <v>1919657.8183107362</v>
      </c>
      <c r="H42" s="170">
        <f t="shared" si="21"/>
        <v>2316905.6344505707</v>
      </c>
      <c r="I42" s="170">
        <f t="shared" si="21"/>
        <v>2993539.5980960047</v>
      </c>
      <c r="J42" s="170">
        <f>J34+J40</f>
        <v>3596331.031992319</v>
      </c>
      <c r="K42" s="170">
        <f>K34+K40</f>
        <v>3536407.8613097537</v>
      </c>
      <c r="L42" s="170">
        <f>L34+L40</f>
        <v>3460567.1106271883</v>
      </c>
    </row>
    <row r="43" spans="2:12" s="3" customFormat="1" ht="18.7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2" ht="18.75" customHeight="1"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8.75" customHeight="1">
      <c r="B45" s="11"/>
      <c r="C45" s="212" t="s">
        <v>257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8.75" customHeight="1">
      <c r="A46" s="28"/>
      <c r="B46" s="28"/>
      <c r="C46" s="29">
        <f>C4</f>
        <v>2016</v>
      </c>
      <c r="D46" s="29">
        <f aca="true" t="shared" si="22" ref="D46:L47">C46+1</f>
        <v>2017</v>
      </c>
      <c r="E46" s="29">
        <f t="shared" si="22"/>
        <v>2018</v>
      </c>
      <c r="F46" s="29">
        <f t="shared" si="22"/>
        <v>2019</v>
      </c>
      <c r="G46" s="29">
        <f t="shared" si="22"/>
        <v>2020</v>
      </c>
      <c r="H46" s="29">
        <f t="shared" si="22"/>
        <v>2021</v>
      </c>
      <c r="I46" s="29">
        <f t="shared" si="22"/>
        <v>2022</v>
      </c>
      <c r="J46" s="29">
        <f t="shared" si="22"/>
        <v>2023</v>
      </c>
      <c r="K46" s="29">
        <f t="shared" si="22"/>
        <v>2024</v>
      </c>
      <c r="L46" s="29">
        <f t="shared" si="22"/>
        <v>2025</v>
      </c>
    </row>
    <row r="47" spans="1:12" ht="18.75" customHeight="1">
      <c r="A47" s="258">
        <v>2020</v>
      </c>
      <c r="B47" s="28" t="s">
        <v>43</v>
      </c>
      <c r="C47" s="209">
        <v>1</v>
      </c>
      <c r="D47" s="209">
        <f>C47+1</f>
        <v>2</v>
      </c>
      <c r="E47" s="209">
        <f t="shared" si="22"/>
        <v>3</v>
      </c>
      <c r="F47" s="209">
        <f t="shared" si="22"/>
        <v>4</v>
      </c>
      <c r="G47" s="209">
        <f t="shared" si="22"/>
        <v>5</v>
      </c>
      <c r="H47" s="209">
        <f t="shared" si="22"/>
        <v>6</v>
      </c>
      <c r="I47" s="209">
        <f t="shared" si="22"/>
        <v>7</v>
      </c>
      <c r="J47" s="209">
        <f t="shared" si="22"/>
        <v>8</v>
      </c>
      <c r="K47" s="209">
        <f t="shared" si="22"/>
        <v>9</v>
      </c>
      <c r="L47" s="209">
        <f t="shared" si="22"/>
        <v>10</v>
      </c>
    </row>
    <row r="48" spans="1:12" ht="18.75" customHeight="1">
      <c r="A48" s="3"/>
      <c r="B48" s="211" t="s">
        <v>371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75" customHeight="1">
      <c r="A49" s="60" t="s">
        <v>319</v>
      </c>
      <c r="B49" s="10" t="s">
        <v>427</v>
      </c>
      <c r="C49" s="172">
        <f>VLOOKUP(C$4,'Cash Flows-KU'!$B$76:$H$86,$A50)</f>
        <v>0</v>
      </c>
      <c r="D49" s="172">
        <f>VLOOKUP(D$4,'Cash Flows-KU'!$B$76:$H$86,$A50)</f>
        <v>622912.3186755681</v>
      </c>
      <c r="E49" s="172">
        <f>VLOOKUP(E$4,'Cash Flows-KU'!$B$76:$H$86,$A50)</f>
        <v>1384920</v>
      </c>
      <c r="F49" s="172">
        <f>VLOOKUP(F$4,'Cash Flows-KU'!$B$76:$H$86,$A50)</f>
        <v>7854119.999999999</v>
      </c>
      <c r="G49" s="172">
        <f>VLOOKUP(G$4,'Cash Flows-KU'!$B$76:$H$86,$A50)</f>
        <v>3505320</v>
      </c>
      <c r="H49" s="172">
        <f>VLOOKUP(H$4,'Cash Flows-KU'!$B$76:$H$86,$A50)</f>
        <v>0</v>
      </c>
      <c r="I49" s="172">
        <f>VLOOKUP(I$4,'Cash Flows-KU'!$B$76:$H$86,$A50)</f>
        <v>0</v>
      </c>
      <c r="J49" s="172">
        <f>VLOOKUP(J$4,'Cash Flows-KU'!$B$76:$H$86,$A50)</f>
        <v>0</v>
      </c>
      <c r="K49" s="172">
        <f>VLOOKUP(K$4,'Cash Flows-KU'!$B$76:$H$86,$A50)</f>
        <v>0</v>
      </c>
      <c r="L49" s="172">
        <f>VLOOKUP(L$4,'Cash Flows-KU'!$B$76:$H$86,$A50)</f>
        <v>0</v>
      </c>
    </row>
    <row r="50" spans="1:13" ht="18.75" customHeight="1">
      <c r="A50" s="3">
        <v>3</v>
      </c>
      <c r="B50" s="40" t="s">
        <v>57</v>
      </c>
      <c r="C50" s="172">
        <f>SUM($C49:C49)</f>
        <v>0</v>
      </c>
      <c r="D50" s="172">
        <f>SUM($C49:D49)</f>
        <v>622912.3186755681</v>
      </c>
      <c r="E50" s="172">
        <f>SUM($C49:E49)</f>
        <v>2007832.318675568</v>
      </c>
      <c r="F50" s="172">
        <f>SUM($C49:F49)</f>
        <v>9861952.318675566</v>
      </c>
      <c r="G50" s="172">
        <f>SUM($C49:G49)</f>
        <v>13367272.318675566</v>
      </c>
      <c r="H50" s="172">
        <f>SUM($C49:H49)</f>
        <v>13367272.318675566</v>
      </c>
      <c r="I50" s="172">
        <f>SUM($C49:I49)</f>
        <v>13367272.318675566</v>
      </c>
      <c r="J50" s="172">
        <f>SUM($C49:J49)</f>
        <v>13367272.318675566</v>
      </c>
      <c r="K50" s="172">
        <f>SUM($C49:K49)</f>
        <v>13367272.318675566</v>
      </c>
      <c r="L50" s="172">
        <f>SUM($C49:L49)</f>
        <v>13367272.318675566</v>
      </c>
      <c r="M50" s="18"/>
    </row>
    <row r="51" spans="1:12" ht="18.75" customHeight="1">
      <c r="A51" s="3">
        <v>2</v>
      </c>
      <c r="B51" s="5" t="s">
        <v>0</v>
      </c>
      <c r="C51" s="6">
        <f>IF(C47="",0,VLOOKUP($B48,Depreciation!$D$2:$E$31,$A51,FALSE))</f>
        <v>0</v>
      </c>
      <c r="D51" s="6">
        <f>IF(D47="",0,VLOOKUP($B48,Depreciation!$D$2:$E$31,$A51,FALSE))</f>
        <v>0</v>
      </c>
      <c r="E51" s="6">
        <f>IF(E47="",0,VLOOKUP($B48,Depreciation!$D$2:$E$31,$A51,FALSE))</f>
        <v>0</v>
      </c>
      <c r="F51" s="6">
        <f>IF(F47="",0,VLOOKUP($B48,Depreciation!$D$2:$E$31,$A51,FALSE))</f>
        <v>0</v>
      </c>
      <c r="G51" s="6">
        <f>IF(G47="",0,VLOOKUP($B48,Depreciation!$D$2:$E$31,$A51,FALSE))</f>
        <v>0</v>
      </c>
      <c r="H51" s="6">
        <f>IF(H47="",0,VLOOKUP($B48,Depreciation!$D$2:$E$31,$A51,FALSE))</f>
        <v>0</v>
      </c>
      <c r="I51" s="6">
        <f>IF(I47="",0,VLOOKUP($B48,Depreciation!$D$2:$E$31,$A51,FALSE))</f>
        <v>0</v>
      </c>
      <c r="J51" s="6">
        <f>IF(J47="",0,VLOOKUP($B48,Depreciation!$D$2:$E$31,$A51,FALSE))</f>
        <v>0</v>
      </c>
      <c r="K51" s="6">
        <f>IF(K47="",0,VLOOKUP($B48,Depreciation!$D$2:$E$31,$A51,FALSE))</f>
        <v>0</v>
      </c>
      <c r="L51" s="6">
        <f>IF(L47="",0,VLOOKUP($B48,Depreciation!$D$2:$E$31,$A51,FALSE))</f>
        <v>0</v>
      </c>
    </row>
    <row r="52" spans="1:12" ht="18.75" customHeight="1">
      <c r="A52" s="3">
        <v>3</v>
      </c>
      <c r="B52" s="5" t="s">
        <v>1</v>
      </c>
      <c r="C52" s="6">
        <f>IF(C47="",0,VLOOKUP(C47,Depreciation!$A$2:$C$58,$A52,FALSE))</f>
        <v>1</v>
      </c>
      <c r="D52" s="6">
        <f>IF(D47="",0,VLOOKUP(D47,Depreciation!$A$2:$C$58,$A52,FALSE))</f>
        <v>1</v>
      </c>
      <c r="E52" s="6">
        <f>IF(E47="",0,VLOOKUP(E47,Depreciation!$A$2:$C$58,$A52,FALSE))</f>
        <v>1</v>
      </c>
      <c r="F52" s="6">
        <f>IF(F47="",0,VLOOKUP(F47,Depreciation!$A$2:$C$58,$A52,FALSE))</f>
        <v>1</v>
      </c>
      <c r="G52" s="6">
        <f>IF(G47="",0,VLOOKUP(G47,Depreciation!$A$2:$C$58,$A52,FALSE))</f>
        <v>1</v>
      </c>
      <c r="H52" s="6">
        <f>IF(H47="",0,VLOOKUP(H47,Depreciation!$A$2:$C$58,$A52,FALSE))</f>
        <v>1</v>
      </c>
      <c r="I52" s="6">
        <f>IF(I47="",0,VLOOKUP(I47,Depreciation!$A$2:$C$58,$A52,FALSE))</f>
        <v>1</v>
      </c>
      <c r="J52" s="6">
        <f>IF(J47="",0,VLOOKUP(J47,Depreciation!$A$2:$C$58,$A52,FALSE))</f>
        <v>1</v>
      </c>
      <c r="K52" s="6">
        <f>IF(K47="",0,VLOOKUP(K47,Depreciation!$A$2:$C$58,$A52,FALSE))</f>
        <v>1</v>
      </c>
      <c r="L52" s="6">
        <f>IF(L47="",0,VLOOKUP(L47,Depreciation!$A$2:$C$58,$A52,FALSE))</f>
        <v>1</v>
      </c>
    </row>
    <row r="53" spans="1:12" ht="18.75" customHeight="1">
      <c r="A53" s="30"/>
      <c r="B53" s="31" t="s">
        <v>2</v>
      </c>
      <c r="C53" s="7">
        <f>Input!B$3</f>
        <v>0.38665999999999995</v>
      </c>
      <c r="D53" s="7">
        <f>Input!C$3</f>
        <v>0.38665999999999995</v>
      </c>
      <c r="E53" s="7">
        <f>Input!D$3</f>
        <v>0.38665999999999995</v>
      </c>
      <c r="F53" s="7">
        <f>Input!E$3</f>
        <v>0.38665999999999995</v>
      </c>
      <c r="G53" s="7">
        <f>Input!F$3</f>
        <v>0.38665999999999995</v>
      </c>
      <c r="H53" s="7">
        <f>Input!G$3</f>
        <v>0.38665999999999995</v>
      </c>
      <c r="I53" s="7">
        <f>Input!H$3</f>
        <v>0.38665999999999995</v>
      </c>
      <c r="J53" s="7">
        <f>Input!I$3</f>
        <v>0.38665999999999995</v>
      </c>
      <c r="K53" s="7">
        <f>Input!J$3</f>
        <v>0.38665999999999995</v>
      </c>
      <c r="L53" s="7">
        <f>Input!K$3</f>
        <v>0.38665999999999995</v>
      </c>
    </row>
    <row r="54" spans="2:12" ht="18.75" customHeight="1">
      <c r="B54" s="2" t="s">
        <v>3</v>
      </c>
      <c r="C54" s="170">
        <f>SUM($C65:C65)</f>
        <v>0</v>
      </c>
      <c r="D54" s="170">
        <f>SUM($C65:D65)</f>
        <v>240855.27713909512</v>
      </c>
      <c r="E54" s="170">
        <f>SUM($C65:E65)</f>
        <v>776348.444339095</v>
      </c>
      <c r="F54" s="170">
        <f>SUM($C65:F65)</f>
        <v>3813222.483539094</v>
      </c>
      <c r="G54" s="170">
        <f>SUM($C65:G65)</f>
        <v>5168589.514739094</v>
      </c>
      <c r="H54" s="170">
        <f>SUM($C65:H65)</f>
        <v>5168589.514739094</v>
      </c>
      <c r="I54" s="170">
        <f>SUM($C65:I65)</f>
        <v>5168589.514739094</v>
      </c>
      <c r="J54" s="170">
        <f>SUM($C65:J65)</f>
        <v>5168589.514739094</v>
      </c>
      <c r="K54" s="170">
        <f>SUM($C65:K65)</f>
        <v>5168589.514739094</v>
      </c>
      <c r="L54" s="170">
        <f>SUM($C65:L65)</f>
        <v>5168589.514739094</v>
      </c>
    </row>
    <row r="55" spans="2:12" ht="18.75" customHeight="1">
      <c r="B55" s="2" t="s">
        <v>4</v>
      </c>
      <c r="C55" s="170">
        <f>SUM($C57:C57)</f>
        <v>0</v>
      </c>
      <c r="D55" s="170">
        <f>SUM($C57:D57)</f>
        <v>0</v>
      </c>
      <c r="E55" s="170">
        <f>SUM($C57:E57)</f>
        <v>0</v>
      </c>
      <c r="F55" s="170">
        <f>SUM($C57:F57)</f>
        <v>0</v>
      </c>
      <c r="G55" s="170">
        <f>SUM($C57:G57)</f>
        <v>0</v>
      </c>
      <c r="H55" s="170">
        <f>SUM($C57:H57)</f>
        <v>0</v>
      </c>
      <c r="I55" s="170">
        <f>SUM($C57:I57)</f>
        <v>0</v>
      </c>
      <c r="J55" s="170">
        <f>SUM($C57:J57)</f>
        <v>0</v>
      </c>
      <c r="K55" s="170">
        <f>SUM($C57:K57)</f>
        <v>0</v>
      </c>
      <c r="L55" s="170">
        <f>SUM($C57:L57)</f>
        <v>0</v>
      </c>
    </row>
    <row r="56" spans="2:12" ht="18.75" customHeight="1">
      <c r="B56" s="11" t="s">
        <v>5</v>
      </c>
      <c r="C56" s="170">
        <f>C49</f>
        <v>0</v>
      </c>
      <c r="D56" s="170">
        <f>C56+D49</f>
        <v>622912.3186755681</v>
      </c>
      <c r="E56" s="170">
        <f aca="true" t="shared" si="23" ref="E56:L56">D56+E49</f>
        <v>2007832.318675568</v>
      </c>
      <c r="F56" s="170">
        <f t="shared" si="23"/>
        <v>9861952.318675566</v>
      </c>
      <c r="G56" s="170">
        <f t="shared" si="23"/>
        <v>13367272.318675566</v>
      </c>
      <c r="H56" s="170">
        <f t="shared" si="23"/>
        <v>13367272.318675566</v>
      </c>
      <c r="I56" s="170">
        <f t="shared" si="23"/>
        <v>13367272.318675566</v>
      </c>
      <c r="J56" s="170">
        <f t="shared" si="23"/>
        <v>13367272.318675566</v>
      </c>
      <c r="K56" s="170">
        <f t="shared" si="23"/>
        <v>13367272.318675566</v>
      </c>
      <c r="L56" s="170">
        <f t="shared" si="23"/>
        <v>13367272.318675566</v>
      </c>
    </row>
    <row r="57" spans="1:12" ht="18.75" customHeight="1">
      <c r="A57" s="214" t="s">
        <v>372</v>
      </c>
      <c r="B57" s="11" t="s">
        <v>6</v>
      </c>
      <c r="C57" s="170">
        <f aca="true" t="shared" si="24" ref="C57:L57">IF(C47=1,(12.5-VLOOKUP(C45,$Q$5:$R$16,2,))*C51/12*C56,C56*C51)</f>
        <v>0</v>
      </c>
      <c r="D57" s="170">
        <f t="shared" si="24"/>
        <v>0</v>
      </c>
      <c r="E57" s="170">
        <f t="shared" si="24"/>
        <v>0</v>
      </c>
      <c r="F57" s="170">
        <f t="shared" si="24"/>
        <v>0</v>
      </c>
      <c r="G57" s="170">
        <f t="shared" si="24"/>
        <v>0</v>
      </c>
      <c r="H57" s="170">
        <f t="shared" si="24"/>
        <v>0</v>
      </c>
      <c r="I57" s="170">
        <f t="shared" si="24"/>
        <v>0</v>
      </c>
      <c r="J57" s="170">
        <f t="shared" si="24"/>
        <v>0</v>
      </c>
      <c r="K57" s="170">
        <f t="shared" si="24"/>
        <v>0</v>
      </c>
      <c r="L57" s="170">
        <f t="shared" si="24"/>
        <v>0</v>
      </c>
    </row>
    <row r="58" spans="2:12" ht="18.75" customHeight="1">
      <c r="B58" s="5" t="s">
        <v>7</v>
      </c>
      <c r="C58" s="170">
        <f>C49</f>
        <v>0</v>
      </c>
      <c r="D58" s="170">
        <f aca="true" t="shared" si="25" ref="D58:L58">C58+D49</f>
        <v>622912.3186755681</v>
      </c>
      <c r="E58" s="170">
        <f t="shared" si="25"/>
        <v>2007832.318675568</v>
      </c>
      <c r="F58" s="170">
        <f t="shared" si="25"/>
        <v>9861952.318675566</v>
      </c>
      <c r="G58" s="170">
        <f t="shared" si="25"/>
        <v>13367272.318675566</v>
      </c>
      <c r="H58" s="170">
        <f t="shared" si="25"/>
        <v>13367272.318675566</v>
      </c>
      <c r="I58" s="170">
        <f t="shared" si="25"/>
        <v>13367272.318675566</v>
      </c>
      <c r="J58" s="170">
        <f t="shared" si="25"/>
        <v>13367272.318675566</v>
      </c>
      <c r="K58" s="170">
        <f t="shared" si="25"/>
        <v>13367272.318675566</v>
      </c>
      <c r="L58" s="170">
        <f t="shared" si="25"/>
        <v>13367272.318675566</v>
      </c>
    </row>
    <row r="59" spans="2:13" ht="18.75" customHeight="1">
      <c r="B59" s="213" t="s">
        <v>361</v>
      </c>
      <c r="C59" s="169">
        <f>IF(C47=1,IF($A57="Bonus",SUM($C49:C49)*VLOOKUP(C46,Depreciation!$D$41:$E$50,2),0),0)</f>
        <v>0</v>
      </c>
      <c r="D59" s="169">
        <f>IF(D47=1,IF($A57="Bonus",SUM($C49:D49)*VLOOKUP(D46,Depreciation!$D$41:$E$50,2),0),0)</f>
        <v>0</v>
      </c>
      <c r="E59" s="169">
        <f>IF(E47=1,IF($A57="Bonus",SUM($C49:E49)*VLOOKUP(E46,Depreciation!$D$41:$E$50,2),0),0)</f>
        <v>0</v>
      </c>
      <c r="F59" s="169">
        <f>IF(F47=1,IF($A57="Bonus",SUM($C49:F49)*VLOOKUP(F46,Depreciation!$D$41:$E$50,2),0),0)</f>
        <v>0</v>
      </c>
      <c r="G59" s="169">
        <f>IF(G47=1,IF($A57="Bonus",SUM($C49:G49)*VLOOKUP(G46,Depreciation!$D$41:$E$50,2),0),0)</f>
        <v>0</v>
      </c>
      <c r="H59" s="169">
        <f>IF(H47=1,IF($A57="Bonus",SUM($C49:H49)*VLOOKUP(H46,Depreciation!$D$41:$E$50,2),0),0)</f>
        <v>0</v>
      </c>
      <c r="I59" s="169">
        <f>IF(I47=1,IF($A57="Bonus",SUM($C49:I49)*VLOOKUP(I46,Depreciation!$D$41:$E$50,2),0),0)</f>
        <v>0</v>
      </c>
      <c r="J59" s="169">
        <f>IF(J47=1,IF($A57="Bonus",SUM($C49:J49)*VLOOKUP(J46,Depreciation!$D$41:$E$50,2),0),0)</f>
        <v>0</v>
      </c>
      <c r="K59" s="169">
        <f>IF(K47=1,IF($A57="Bonus",SUM($C49:K49)*VLOOKUP(K46,Depreciation!$D$41:$E$50,2),0),0)</f>
        <v>0</v>
      </c>
      <c r="L59" s="169">
        <f>IF(L47=1,IF($A57="Bonus",SUM($C49:L49)*VLOOKUP(L46,Depreciation!$D$41:$E$50,2),0),0)</f>
        <v>0</v>
      </c>
      <c r="M59" s="3"/>
    </row>
    <row r="60" spans="2:13" ht="18.75" customHeight="1">
      <c r="B60" s="5" t="s">
        <v>362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3"/>
    </row>
    <row r="61" spans="2:13" ht="18.75" customHeight="1">
      <c r="B61" s="5" t="s">
        <v>17</v>
      </c>
      <c r="C61" s="7">
        <f>Input!J$31</f>
        <v>0.10152297909805327</v>
      </c>
      <c r="D61" s="7">
        <f>Input!K$31</f>
        <v>0.10152297909805327</v>
      </c>
      <c r="E61" s="7">
        <f>Input!L$31</f>
        <v>0.10152297909805327</v>
      </c>
      <c r="F61" s="7">
        <f>Input!M$31</f>
        <v>0.10152297909805327</v>
      </c>
      <c r="G61" s="7">
        <f>Input!N$31</f>
        <v>0.10152297909805327</v>
      </c>
      <c r="H61" s="7">
        <f>Input!O$31</f>
        <v>0.10152297909805327</v>
      </c>
      <c r="I61" s="7">
        <f>Input!P$31</f>
        <v>0.10152297909805327</v>
      </c>
      <c r="J61" s="7">
        <f>Input!Q$31</f>
        <v>0.10152297909805327</v>
      </c>
      <c r="K61" s="7">
        <f>Input!R$31</f>
        <v>0.10152297909805327</v>
      </c>
      <c r="L61" s="7">
        <f>Input!S$31</f>
        <v>0.10152297909805327</v>
      </c>
      <c r="M61" s="3"/>
    </row>
    <row r="62" spans="2:13" ht="18.75" customHeight="1">
      <c r="B62" s="5" t="s">
        <v>8</v>
      </c>
      <c r="C62" s="181">
        <f aca="true" t="shared" si="26" ref="C62:L62">C57</f>
        <v>0</v>
      </c>
      <c r="D62" s="181">
        <f t="shared" si="26"/>
        <v>0</v>
      </c>
      <c r="E62" s="181">
        <f t="shared" si="26"/>
        <v>0</v>
      </c>
      <c r="F62" s="181">
        <f t="shared" si="26"/>
        <v>0</v>
      </c>
      <c r="G62" s="181">
        <f t="shared" si="26"/>
        <v>0</v>
      </c>
      <c r="H62" s="181">
        <f t="shared" si="26"/>
        <v>0</v>
      </c>
      <c r="I62" s="181">
        <f t="shared" si="26"/>
        <v>0</v>
      </c>
      <c r="J62" s="181">
        <f t="shared" si="26"/>
        <v>0</v>
      </c>
      <c r="K62" s="181">
        <f t="shared" si="26"/>
        <v>0</v>
      </c>
      <c r="L62" s="181">
        <f t="shared" si="26"/>
        <v>0</v>
      </c>
      <c r="M62" s="3"/>
    </row>
    <row r="63" spans="2:13" ht="18.75" customHeight="1">
      <c r="B63" s="11" t="s">
        <v>364</v>
      </c>
      <c r="C63" s="181">
        <f>C49*C52</f>
        <v>0</v>
      </c>
      <c r="D63" s="181">
        <f aca="true" t="shared" si="27" ref="D63:L63">D49*D52</f>
        <v>622912.3186755681</v>
      </c>
      <c r="E63" s="181">
        <f t="shared" si="27"/>
        <v>1384920</v>
      </c>
      <c r="F63" s="181">
        <f t="shared" si="27"/>
        <v>7854119.999999999</v>
      </c>
      <c r="G63" s="181">
        <f t="shared" si="27"/>
        <v>3505320</v>
      </c>
      <c r="H63" s="181">
        <f t="shared" si="27"/>
        <v>0</v>
      </c>
      <c r="I63" s="181">
        <f t="shared" si="27"/>
        <v>0</v>
      </c>
      <c r="J63" s="181">
        <f t="shared" si="27"/>
        <v>0</v>
      </c>
      <c r="K63" s="181">
        <f t="shared" si="27"/>
        <v>0</v>
      </c>
      <c r="L63" s="181">
        <f t="shared" si="27"/>
        <v>0</v>
      </c>
      <c r="M63" s="3"/>
    </row>
    <row r="64" spans="2:12" ht="18.75" customHeight="1">
      <c r="B64" s="3" t="s">
        <v>9</v>
      </c>
      <c r="C64" s="8">
        <f>Input!$B$6</f>
        <v>0.0015</v>
      </c>
      <c r="D64" s="8">
        <f aca="true" t="shared" si="28" ref="D64:I64">C64</f>
        <v>0.0015</v>
      </c>
      <c r="E64" s="8">
        <f t="shared" si="28"/>
        <v>0.0015</v>
      </c>
      <c r="F64" s="8">
        <f t="shared" si="28"/>
        <v>0.0015</v>
      </c>
      <c r="G64" s="8">
        <f t="shared" si="28"/>
        <v>0.0015</v>
      </c>
      <c r="H64" s="8">
        <f t="shared" si="28"/>
        <v>0.0015</v>
      </c>
      <c r="I64" s="8">
        <f t="shared" si="28"/>
        <v>0.0015</v>
      </c>
      <c r="J64" s="8">
        <f>I64</f>
        <v>0.0015</v>
      </c>
      <c r="K64" s="8">
        <f>J64</f>
        <v>0.0015</v>
      </c>
      <c r="L64" s="8">
        <f>K64</f>
        <v>0.0015</v>
      </c>
    </row>
    <row r="65" spans="2:12" ht="18.75" customHeight="1">
      <c r="B65" s="102" t="s">
        <v>363</v>
      </c>
      <c r="C65" s="171">
        <f aca="true" t="shared" si="29" ref="C65:L65">(C63-C62)*C53</f>
        <v>0</v>
      </c>
      <c r="D65" s="171">
        <f t="shared" si="29"/>
        <v>240855.27713909512</v>
      </c>
      <c r="E65" s="171">
        <f t="shared" si="29"/>
        <v>535493.1671999999</v>
      </c>
      <c r="F65" s="171">
        <f t="shared" si="29"/>
        <v>3036874.039199999</v>
      </c>
      <c r="G65" s="171">
        <f t="shared" si="29"/>
        <v>1355367.0311999999</v>
      </c>
      <c r="H65" s="171">
        <f t="shared" si="29"/>
        <v>0</v>
      </c>
      <c r="I65" s="171">
        <f t="shared" si="29"/>
        <v>0</v>
      </c>
      <c r="J65" s="171">
        <f t="shared" si="29"/>
        <v>0</v>
      </c>
      <c r="K65" s="171">
        <f t="shared" si="29"/>
        <v>0</v>
      </c>
      <c r="L65" s="171">
        <f t="shared" si="29"/>
        <v>0</v>
      </c>
    </row>
    <row r="66" spans="2:12" ht="18.75" customHeight="1">
      <c r="B66" s="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8.75" customHeight="1">
      <c r="B67" s="10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8.75" customHeight="1">
      <c r="B68" s="5" t="s">
        <v>16</v>
      </c>
      <c r="C68" s="169">
        <f aca="true" t="shared" si="30" ref="C68:L68">C50</f>
        <v>0</v>
      </c>
      <c r="D68" s="169">
        <f t="shared" si="30"/>
        <v>622912.3186755681</v>
      </c>
      <c r="E68" s="169">
        <f t="shared" si="30"/>
        <v>2007832.318675568</v>
      </c>
      <c r="F68" s="169">
        <f t="shared" si="30"/>
        <v>9861952.318675566</v>
      </c>
      <c r="G68" s="169">
        <f t="shared" si="30"/>
        <v>13367272.318675566</v>
      </c>
      <c r="H68" s="169">
        <f t="shared" si="30"/>
        <v>13367272.318675566</v>
      </c>
      <c r="I68" s="169">
        <f t="shared" si="30"/>
        <v>13367272.318675566</v>
      </c>
      <c r="J68" s="169">
        <f t="shared" si="30"/>
        <v>13367272.318675566</v>
      </c>
      <c r="K68" s="169">
        <f t="shared" si="30"/>
        <v>13367272.318675566</v>
      </c>
      <c r="L68" s="169">
        <f t="shared" si="30"/>
        <v>13367272.318675566</v>
      </c>
    </row>
    <row r="69" spans="1:12" ht="18.75" customHeight="1">
      <c r="A69" s="3"/>
      <c r="B69" s="4" t="s">
        <v>44</v>
      </c>
      <c r="C69" s="170">
        <v>0</v>
      </c>
      <c r="D69" s="170">
        <f aca="true" t="shared" si="31" ref="D69:L69">C69</f>
        <v>0</v>
      </c>
      <c r="E69" s="170">
        <f t="shared" si="31"/>
        <v>0</v>
      </c>
      <c r="F69" s="170">
        <f t="shared" si="31"/>
        <v>0</v>
      </c>
      <c r="G69" s="170">
        <f t="shared" si="31"/>
        <v>0</v>
      </c>
      <c r="H69" s="170">
        <f t="shared" si="31"/>
        <v>0</v>
      </c>
      <c r="I69" s="170">
        <f t="shared" si="31"/>
        <v>0</v>
      </c>
      <c r="J69" s="170">
        <f t="shared" si="31"/>
        <v>0</v>
      </c>
      <c r="K69" s="170">
        <f t="shared" si="31"/>
        <v>0</v>
      </c>
      <c r="L69" s="170">
        <f t="shared" si="31"/>
        <v>0</v>
      </c>
    </row>
    <row r="70" spans="2:12" ht="18.75" customHeight="1">
      <c r="B70" s="2" t="s">
        <v>10</v>
      </c>
      <c r="C70" s="170">
        <f aca="true" t="shared" si="32" ref="C70:L70">-C55</f>
        <v>0</v>
      </c>
      <c r="D70" s="170">
        <f t="shared" si="32"/>
        <v>0</v>
      </c>
      <c r="E70" s="170">
        <f t="shared" si="32"/>
        <v>0</v>
      </c>
      <c r="F70" s="170">
        <f t="shared" si="32"/>
        <v>0</v>
      </c>
      <c r="G70" s="170">
        <f t="shared" si="32"/>
        <v>0</v>
      </c>
      <c r="H70" s="170">
        <f t="shared" si="32"/>
        <v>0</v>
      </c>
      <c r="I70" s="170">
        <f t="shared" si="32"/>
        <v>0</v>
      </c>
      <c r="J70" s="170">
        <f t="shared" si="32"/>
        <v>0</v>
      </c>
      <c r="K70" s="170">
        <f t="shared" si="32"/>
        <v>0</v>
      </c>
      <c r="L70" s="170">
        <f t="shared" si="32"/>
        <v>0</v>
      </c>
    </row>
    <row r="71" spans="2:12" ht="18.75" customHeight="1">
      <c r="B71" s="2" t="s">
        <v>45</v>
      </c>
      <c r="C71" s="170">
        <v>0</v>
      </c>
      <c r="D71" s="170">
        <f aca="true" t="shared" si="33" ref="D71:L71">C71</f>
        <v>0</v>
      </c>
      <c r="E71" s="170">
        <f t="shared" si="33"/>
        <v>0</v>
      </c>
      <c r="F71" s="170">
        <f t="shared" si="33"/>
        <v>0</v>
      </c>
      <c r="G71" s="170">
        <f t="shared" si="33"/>
        <v>0</v>
      </c>
      <c r="H71" s="170">
        <f t="shared" si="33"/>
        <v>0</v>
      </c>
      <c r="I71" s="170">
        <f t="shared" si="33"/>
        <v>0</v>
      </c>
      <c r="J71" s="170">
        <f t="shared" si="33"/>
        <v>0</v>
      </c>
      <c r="K71" s="170">
        <f t="shared" si="33"/>
        <v>0</v>
      </c>
      <c r="L71" s="170">
        <f t="shared" si="33"/>
        <v>0</v>
      </c>
    </row>
    <row r="72" spans="2:12" ht="18.75" customHeight="1">
      <c r="B72" s="2" t="s">
        <v>46</v>
      </c>
      <c r="C72" s="170">
        <f aca="true" t="shared" si="34" ref="C72:L72">-C54</f>
        <v>0</v>
      </c>
      <c r="D72" s="170">
        <f t="shared" si="34"/>
        <v>-240855.27713909512</v>
      </c>
      <c r="E72" s="170">
        <f t="shared" si="34"/>
        <v>-776348.444339095</v>
      </c>
      <c r="F72" s="170">
        <f t="shared" si="34"/>
        <v>-3813222.483539094</v>
      </c>
      <c r="G72" s="170">
        <f t="shared" si="34"/>
        <v>-5168589.514739094</v>
      </c>
      <c r="H72" s="170">
        <f t="shared" si="34"/>
        <v>-5168589.514739094</v>
      </c>
      <c r="I72" s="170">
        <f t="shared" si="34"/>
        <v>-5168589.514739094</v>
      </c>
      <c r="J72" s="170">
        <f t="shared" si="34"/>
        <v>-5168589.514739094</v>
      </c>
      <c r="K72" s="170">
        <f t="shared" si="34"/>
        <v>-5168589.514739094</v>
      </c>
      <c r="L72" s="170">
        <f t="shared" si="34"/>
        <v>-5168589.514739094</v>
      </c>
    </row>
    <row r="73" spans="2:12" ht="18.75" customHeight="1">
      <c r="B73" s="2" t="s">
        <v>47</v>
      </c>
      <c r="C73" s="170">
        <v>0</v>
      </c>
      <c r="D73" s="170">
        <f aca="true" t="shared" si="35" ref="D73:L73">C73</f>
        <v>0</v>
      </c>
      <c r="E73" s="170">
        <f t="shared" si="35"/>
        <v>0</v>
      </c>
      <c r="F73" s="170">
        <f t="shared" si="35"/>
        <v>0</v>
      </c>
      <c r="G73" s="170">
        <f t="shared" si="35"/>
        <v>0</v>
      </c>
      <c r="H73" s="170">
        <f t="shared" si="35"/>
        <v>0</v>
      </c>
      <c r="I73" s="170">
        <f t="shared" si="35"/>
        <v>0</v>
      </c>
      <c r="J73" s="170">
        <f t="shared" si="35"/>
        <v>0</v>
      </c>
      <c r="K73" s="170">
        <f t="shared" si="35"/>
        <v>0</v>
      </c>
      <c r="L73" s="170">
        <f t="shared" si="35"/>
        <v>0</v>
      </c>
    </row>
    <row r="74" spans="2:12" ht="18.75" customHeight="1">
      <c r="B74" s="2" t="s">
        <v>11</v>
      </c>
      <c r="C74" s="170">
        <f aca="true" t="shared" si="36" ref="C74:L74">SUM(C68:C73)</f>
        <v>0</v>
      </c>
      <c r="D74" s="170">
        <f t="shared" si="36"/>
        <v>382057.04153647297</v>
      </c>
      <c r="E74" s="170">
        <f t="shared" si="36"/>
        <v>1231483.8743364732</v>
      </c>
      <c r="F74" s="170">
        <f t="shared" si="36"/>
        <v>6048729.835136472</v>
      </c>
      <c r="G74" s="170">
        <f t="shared" si="36"/>
        <v>8198682.803936472</v>
      </c>
      <c r="H74" s="170">
        <f t="shared" si="36"/>
        <v>8198682.803936472</v>
      </c>
      <c r="I74" s="170">
        <f t="shared" si="36"/>
        <v>8198682.803936472</v>
      </c>
      <c r="J74" s="170">
        <f t="shared" si="36"/>
        <v>8198682.803936472</v>
      </c>
      <c r="K74" s="170">
        <f t="shared" si="36"/>
        <v>8198682.803936472</v>
      </c>
      <c r="L74" s="170">
        <f t="shared" si="36"/>
        <v>8198682.803936472</v>
      </c>
    </row>
    <row r="75" spans="2:12" ht="18.75" customHeight="1">
      <c r="B75" s="2" t="s">
        <v>12</v>
      </c>
      <c r="C75" s="7">
        <f aca="true" t="shared" si="37" ref="C75:L75">C61</f>
        <v>0.10152297909805327</v>
      </c>
      <c r="D75" s="7">
        <f t="shared" si="37"/>
        <v>0.10152297909805327</v>
      </c>
      <c r="E75" s="7">
        <f t="shared" si="37"/>
        <v>0.10152297909805327</v>
      </c>
      <c r="F75" s="7">
        <f t="shared" si="37"/>
        <v>0.10152297909805327</v>
      </c>
      <c r="G75" s="7">
        <f t="shared" si="37"/>
        <v>0.10152297909805327</v>
      </c>
      <c r="H75" s="7">
        <f t="shared" si="37"/>
        <v>0.10152297909805327</v>
      </c>
      <c r="I75" s="7">
        <f t="shared" si="37"/>
        <v>0.10152297909805327</v>
      </c>
      <c r="J75" s="7">
        <f t="shared" si="37"/>
        <v>0.10152297909805327</v>
      </c>
      <c r="K75" s="7">
        <f t="shared" si="37"/>
        <v>0.10152297909805327</v>
      </c>
      <c r="L75" s="7">
        <f t="shared" si="37"/>
        <v>0.10152297909805327</v>
      </c>
    </row>
    <row r="76" spans="2:12" ht="18.75" customHeight="1">
      <c r="B76" s="34" t="s">
        <v>58</v>
      </c>
      <c r="C76" s="174">
        <f aca="true" t="shared" si="38" ref="C76:L76">C74*C75</f>
        <v>0</v>
      </c>
      <c r="D76" s="174">
        <f t="shared" si="38"/>
        <v>38787.56904217142</v>
      </c>
      <c r="E76" s="174">
        <f t="shared" si="38"/>
        <v>125023.91163385143</v>
      </c>
      <c r="F76" s="174">
        <f t="shared" si="38"/>
        <v>614085.0726223313</v>
      </c>
      <c r="G76" s="174">
        <f t="shared" si="38"/>
        <v>832354.7029356112</v>
      </c>
      <c r="H76" s="174">
        <f t="shared" si="38"/>
        <v>832354.7029356112</v>
      </c>
      <c r="I76" s="174">
        <f t="shared" si="38"/>
        <v>832354.7029356112</v>
      </c>
      <c r="J76" s="174">
        <f t="shared" si="38"/>
        <v>832354.7029356112</v>
      </c>
      <c r="K76" s="174">
        <f t="shared" si="38"/>
        <v>832354.7029356112</v>
      </c>
      <c r="L76" s="174">
        <f t="shared" si="38"/>
        <v>832354.7029356112</v>
      </c>
    </row>
    <row r="77" spans="1:12" ht="18.75" customHeight="1">
      <c r="A77" s="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8.75" customHeight="1">
      <c r="B78" s="1" t="s">
        <v>52</v>
      </c>
      <c r="C78" s="170">
        <v>0</v>
      </c>
      <c r="D78" s="170">
        <f aca="true" t="shared" si="39" ref="C78:L79">D61</f>
        <v>0.10152297909805327</v>
      </c>
      <c r="E78" s="170">
        <f t="shared" si="39"/>
        <v>0.10152297909805327</v>
      </c>
      <c r="F78" s="170">
        <f t="shared" si="39"/>
        <v>0.10152297909805327</v>
      </c>
      <c r="G78" s="170">
        <f t="shared" si="39"/>
        <v>0.10152297909805327</v>
      </c>
      <c r="H78" s="170">
        <f t="shared" si="39"/>
        <v>0.10152297909805327</v>
      </c>
      <c r="I78" s="170">
        <f t="shared" si="39"/>
        <v>0.10152297909805327</v>
      </c>
      <c r="J78" s="170">
        <f t="shared" si="39"/>
        <v>0.10152297909805327</v>
      </c>
      <c r="K78" s="170">
        <f t="shared" si="39"/>
        <v>0.10152297909805327</v>
      </c>
      <c r="L78" s="170">
        <f t="shared" si="39"/>
        <v>0.10152297909805327</v>
      </c>
    </row>
    <row r="79" spans="2:12" ht="18.75" customHeight="1">
      <c r="B79" s="2" t="s">
        <v>48</v>
      </c>
      <c r="C79" s="170">
        <f t="shared" si="39"/>
        <v>0</v>
      </c>
      <c r="D79" s="170">
        <f t="shared" si="39"/>
        <v>0</v>
      </c>
      <c r="E79" s="170">
        <f t="shared" si="39"/>
        <v>0</v>
      </c>
      <c r="F79" s="170">
        <f t="shared" si="39"/>
        <v>0</v>
      </c>
      <c r="G79" s="170">
        <f t="shared" si="39"/>
        <v>0</v>
      </c>
      <c r="H79" s="170">
        <f t="shared" si="39"/>
        <v>0</v>
      </c>
      <c r="I79" s="170">
        <f t="shared" si="39"/>
        <v>0</v>
      </c>
      <c r="J79" s="170">
        <f t="shared" si="39"/>
        <v>0</v>
      </c>
      <c r="K79" s="170">
        <f t="shared" si="39"/>
        <v>0</v>
      </c>
      <c r="L79" s="170">
        <f t="shared" si="39"/>
        <v>0</v>
      </c>
    </row>
    <row r="80" spans="2:12" ht="18.75" customHeight="1">
      <c r="B80" s="2" t="s">
        <v>434</v>
      </c>
      <c r="C80" s="170">
        <v>0</v>
      </c>
      <c r="D80" s="170">
        <f aca="true" t="shared" si="40" ref="D80:L80">C80</f>
        <v>0</v>
      </c>
      <c r="E80" s="170">
        <f t="shared" si="40"/>
        <v>0</v>
      </c>
      <c r="F80" s="170">
        <f t="shared" si="40"/>
        <v>0</v>
      </c>
      <c r="G80" s="170">
        <f t="shared" si="40"/>
        <v>0</v>
      </c>
      <c r="H80" s="170">
        <f t="shared" si="40"/>
        <v>0</v>
      </c>
      <c r="I80" s="170">
        <f t="shared" si="40"/>
        <v>0</v>
      </c>
      <c r="J80" s="170">
        <f t="shared" si="40"/>
        <v>0</v>
      </c>
      <c r="K80" s="170">
        <f t="shared" si="40"/>
        <v>0</v>
      </c>
      <c r="L80" s="170">
        <f t="shared" si="40"/>
        <v>0</v>
      </c>
    </row>
    <row r="81" spans="2:12" ht="18.75" customHeight="1">
      <c r="B81" s="2" t="s">
        <v>50</v>
      </c>
      <c r="C81" s="170">
        <v>0</v>
      </c>
      <c r="D81" s="170">
        <f aca="true" t="shared" si="41" ref="D81:L81">D64*(C68+C70)</f>
        <v>0</v>
      </c>
      <c r="E81" s="170">
        <f t="shared" si="41"/>
        <v>934.3684780133522</v>
      </c>
      <c r="F81" s="170">
        <f t="shared" si="41"/>
        <v>3011.7484780133523</v>
      </c>
      <c r="G81" s="170">
        <f t="shared" si="41"/>
        <v>14792.92847801335</v>
      </c>
      <c r="H81" s="170">
        <f t="shared" si="41"/>
        <v>20050.90847801335</v>
      </c>
      <c r="I81" s="170">
        <f t="shared" si="41"/>
        <v>20050.90847801335</v>
      </c>
      <c r="J81" s="170">
        <f t="shared" si="41"/>
        <v>20050.90847801335</v>
      </c>
      <c r="K81" s="170">
        <f t="shared" si="41"/>
        <v>20050.90847801335</v>
      </c>
      <c r="L81" s="170">
        <f t="shared" si="41"/>
        <v>20050.90847801335</v>
      </c>
    </row>
    <row r="82" spans="2:12" ht="18.75" customHeight="1">
      <c r="B82" s="21" t="s">
        <v>51</v>
      </c>
      <c r="C82" s="174">
        <f aca="true" t="shared" si="42" ref="C82:L82">SUM(C78:C81)</f>
        <v>0</v>
      </c>
      <c r="D82" s="174">
        <f t="shared" si="42"/>
        <v>0.10152297909805327</v>
      </c>
      <c r="E82" s="174">
        <f t="shared" si="42"/>
        <v>934.4700009924502</v>
      </c>
      <c r="F82" s="174">
        <f t="shared" si="42"/>
        <v>3011.8500009924505</v>
      </c>
      <c r="G82" s="174">
        <f t="shared" si="42"/>
        <v>14793.030000992447</v>
      </c>
      <c r="H82" s="174">
        <f t="shared" si="42"/>
        <v>20051.010000992446</v>
      </c>
      <c r="I82" s="174">
        <f t="shared" si="42"/>
        <v>20051.010000992446</v>
      </c>
      <c r="J82" s="174">
        <f t="shared" si="42"/>
        <v>20051.010000992446</v>
      </c>
      <c r="K82" s="174">
        <f t="shared" si="42"/>
        <v>20051.010000992446</v>
      </c>
      <c r="L82" s="174">
        <f t="shared" si="42"/>
        <v>20051.010000992446</v>
      </c>
    </row>
    <row r="83" spans="3:12" ht="18.75" customHeight="1">
      <c r="C83" s="34"/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t="18.75" customHeight="1">
      <c r="B84" s="1" t="s">
        <v>59</v>
      </c>
      <c r="C84" s="170">
        <f aca="true" t="shared" si="43" ref="C84:L84">C76+C82</f>
        <v>0</v>
      </c>
      <c r="D84" s="170">
        <f t="shared" si="43"/>
        <v>38787.67056515052</v>
      </c>
      <c r="E84" s="170">
        <f t="shared" si="43"/>
        <v>125958.38163484388</v>
      </c>
      <c r="F84" s="170">
        <f t="shared" si="43"/>
        <v>617096.9226233237</v>
      </c>
      <c r="G84" s="170">
        <f t="shared" si="43"/>
        <v>847147.7329366037</v>
      </c>
      <c r="H84" s="170">
        <f t="shared" si="43"/>
        <v>852405.7129366037</v>
      </c>
      <c r="I84" s="170">
        <f t="shared" si="43"/>
        <v>852405.7129366037</v>
      </c>
      <c r="J84" s="170">
        <f t="shared" si="43"/>
        <v>852405.7129366037</v>
      </c>
      <c r="K84" s="170">
        <f t="shared" si="43"/>
        <v>852405.7129366037</v>
      </c>
      <c r="L84" s="170">
        <f t="shared" si="43"/>
        <v>852405.7129366037</v>
      </c>
    </row>
    <row r="87" spans="2:12" ht="18.75" customHeight="1">
      <c r="B87" s="11"/>
      <c r="C87" s="13"/>
      <c r="D87" s="13"/>
      <c r="E87" s="212" t="s">
        <v>268</v>
      </c>
      <c r="F87" s="13"/>
      <c r="G87" s="13"/>
      <c r="H87" s="13"/>
      <c r="I87" s="13"/>
      <c r="J87" s="13"/>
      <c r="K87" s="13"/>
      <c r="L87" s="13"/>
    </row>
    <row r="88" spans="1:12" ht="18.75" customHeight="1">
      <c r="A88" s="28"/>
      <c r="B88" s="28"/>
      <c r="C88" s="29">
        <f>C4</f>
        <v>2016</v>
      </c>
      <c r="D88" s="29">
        <f aca="true" t="shared" si="44" ref="D88:L89">C88+1</f>
        <v>2017</v>
      </c>
      <c r="E88" s="29">
        <f t="shared" si="44"/>
        <v>2018</v>
      </c>
      <c r="F88" s="29">
        <f t="shared" si="44"/>
        <v>2019</v>
      </c>
      <c r="G88" s="29">
        <f t="shared" si="44"/>
        <v>2020</v>
      </c>
      <c r="H88" s="29">
        <f t="shared" si="44"/>
        <v>2021</v>
      </c>
      <c r="I88" s="29">
        <f t="shared" si="44"/>
        <v>2022</v>
      </c>
      <c r="J88" s="29">
        <f t="shared" si="44"/>
        <v>2023</v>
      </c>
      <c r="K88" s="29">
        <f t="shared" si="44"/>
        <v>2024</v>
      </c>
      <c r="L88" s="29">
        <f t="shared" si="44"/>
        <v>2025</v>
      </c>
    </row>
    <row r="89" spans="1:12" ht="18.75" customHeight="1">
      <c r="A89" s="258">
        <v>2018</v>
      </c>
      <c r="B89" s="28" t="s">
        <v>43</v>
      </c>
      <c r="C89" s="29"/>
      <c r="D89" s="29"/>
      <c r="E89" s="209">
        <v>1</v>
      </c>
      <c r="F89" s="209">
        <f>E89+1</f>
        <v>2</v>
      </c>
      <c r="G89" s="209">
        <f t="shared" si="44"/>
        <v>3</v>
      </c>
      <c r="H89" s="209">
        <f t="shared" si="44"/>
        <v>4</v>
      </c>
      <c r="I89" s="209">
        <f t="shared" si="44"/>
        <v>5</v>
      </c>
      <c r="J89" s="209">
        <f t="shared" si="44"/>
        <v>6</v>
      </c>
      <c r="K89" s="209">
        <f t="shared" si="44"/>
        <v>7</v>
      </c>
      <c r="L89" s="209">
        <f t="shared" si="44"/>
        <v>8</v>
      </c>
    </row>
    <row r="90" spans="1:12" ht="18.75" customHeight="1">
      <c r="A90" s="3"/>
      <c r="B90" s="211" t="s">
        <v>366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8.75" customHeight="1">
      <c r="A91" s="60" t="s">
        <v>319</v>
      </c>
      <c r="B91" s="10" t="s">
        <v>425</v>
      </c>
      <c r="C91" s="172">
        <f>VLOOKUP(C$4,'Cash Flows-KU'!$B$76:$H$86,$A92)</f>
        <v>0</v>
      </c>
      <c r="D91" s="172">
        <f>VLOOKUP(D$4,'Cash Flows-KU'!$B$76:$H$86,$A92)</f>
        <v>19471691.02589556</v>
      </c>
      <c r="E91" s="172">
        <f>VLOOKUP(E$4,'Cash Flows-KU'!$B$76:$H$86,$A92)</f>
        <v>21618720</v>
      </c>
      <c r="F91" s="172">
        <f>VLOOKUP(F$4,'Cash Flows-KU'!$B$76:$H$86,$A92)</f>
        <v>0</v>
      </c>
      <c r="G91" s="172">
        <f>VLOOKUP(G$4,'Cash Flows-KU'!$B$76:$H$86,$A92)</f>
        <v>0</v>
      </c>
      <c r="H91" s="172">
        <f>VLOOKUP(H$4,'Cash Flows-KU'!$B$76:$H$86,$A92)</f>
        <v>0</v>
      </c>
      <c r="I91" s="172">
        <f>VLOOKUP(I$4,'Cash Flows-KU'!$B$76:$H$86,$A92)</f>
        <v>0</v>
      </c>
      <c r="J91" s="172">
        <f>VLOOKUP(J$4,'Cash Flows-KU'!$B$76:$H$86,$A92)</f>
        <v>0</v>
      </c>
      <c r="K91" s="172">
        <f>VLOOKUP(K$4,'Cash Flows-KU'!$B$76:$H$86,$A92)</f>
        <v>0</v>
      </c>
      <c r="L91" s="172">
        <f>VLOOKUP(L$4,'Cash Flows-KU'!$B$76:$H$86,$A92)</f>
        <v>0</v>
      </c>
    </row>
    <row r="92" spans="1:13" ht="18.75" customHeight="1">
      <c r="A92" s="3">
        <v>4</v>
      </c>
      <c r="B92" s="40" t="s">
        <v>57</v>
      </c>
      <c r="C92" s="172">
        <f>SUM($C91:C91)</f>
        <v>0</v>
      </c>
      <c r="D92" s="172">
        <f>SUM($C91:D91)</f>
        <v>19471691.02589556</v>
      </c>
      <c r="E92" s="172">
        <f>SUM($C91:E91)</f>
        <v>41090411.02589556</v>
      </c>
      <c r="F92" s="172">
        <f>SUM($C91:F91)</f>
        <v>41090411.02589556</v>
      </c>
      <c r="G92" s="172">
        <f>SUM($C91:G91)</f>
        <v>41090411.02589556</v>
      </c>
      <c r="H92" s="172">
        <f>SUM($C91:H91)</f>
        <v>41090411.02589556</v>
      </c>
      <c r="I92" s="172">
        <f>SUM($C91:I91)</f>
        <v>41090411.02589556</v>
      </c>
      <c r="J92" s="172">
        <f>SUM($C91:J91)</f>
        <v>41090411.02589556</v>
      </c>
      <c r="K92" s="172">
        <f>SUM($C91:K91)</f>
        <v>41090411.02589556</v>
      </c>
      <c r="L92" s="172">
        <f>SUM($C91:L91)</f>
        <v>41090411.02589556</v>
      </c>
      <c r="M92" s="18"/>
    </row>
    <row r="93" spans="1:12" ht="18.75" customHeight="1">
      <c r="A93" s="3">
        <v>2</v>
      </c>
      <c r="B93" s="5" t="s">
        <v>0</v>
      </c>
      <c r="C93" s="6">
        <f>IF(C89="",0,VLOOKUP($B90,Depreciation!$D$2:$E$31,$A93,FALSE))</f>
        <v>0</v>
      </c>
      <c r="D93" s="6">
        <f>IF(D89="",0,VLOOKUP($B90,Depreciation!$D$2:$E$31,$A93,FALSE))</f>
        <v>0</v>
      </c>
      <c r="E93" s="6">
        <f>IF(E89="",0,VLOOKUP($B90,Depreciation!$D$2:$E$31,$A93,FALSE))</f>
        <v>0.021</v>
      </c>
      <c r="F93" s="6">
        <f>IF(F89="",0,VLOOKUP($B90,Depreciation!$D$2:$E$31,$A93,FALSE))</f>
        <v>0.021</v>
      </c>
      <c r="G93" s="6">
        <f>IF(G89="",0,VLOOKUP($B90,Depreciation!$D$2:$E$31,$A93,FALSE))</f>
        <v>0.021</v>
      </c>
      <c r="H93" s="6">
        <f>IF(H89="",0,VLOOKUP($B90,Depreciation!$D$2:$E$31,$A93,FALSE))</f>
        <v>0.021</v>
      </c>
      <c r="I93" s="6">
        <f>IF(I89="",0,VLOOKUP($B90,Depreciation!$D$2:$E$31,$A93,FALSE))</f>
        <v>0.021</v>
      </c>
      <c r="J93" s="6">
        <f>IF(J89="",0,VLOOKUP($B90,Depreciation!$D$2:$E$31,$A93,FALSE))</f>
        <v>0.021</v>
      </c>
      <c r="K93" s="6">
        <f>IF(K89="",0,VLOOKUP($B90,Depreciation!$D$2:$E$31,$A93,FALSE))</f>
        <v>0.021</v>
      </c>
      <c r="L93" s="6">
        <f>IF(L89="",0,VLOOKUP($B90,Depreciation!$D$2:$E$31,$A93,FALSE))</f>
        <v>0.021</v>
      </c>
    </row>
    <row r="94" spans="1:12" ht="18.75" customHeight="1">
      <c r="A94" s="3">
        <v>2</v>
      </c>
      <c r="B94" s="5" t="s">
        <v>1</v>
      </c>
      <c r="C94" s="6">
        <f>IF(C89="",0,VLOOKUP(C89,Depreciation!$A$2:$C$58,$A94,FALSE))</f>
        <v>0</v>
      </c>
      <c r="D94" s="6">
        <f>IF(D89="",0,VLOOKUP(D89,Depreciation!$A$2:$C$58,$A94,FALSE))</f>
        <v>0</v>
      </c>
      <c r="E94" s="6">
        <f>IF(E89="",0,VLOOKUP(E89,Depreciation!$A$2:$C$58,$A94,FALSE))</f>
        <v>0.0375</v>
      </c>
      <c r="F94" s="6">
        <f>IF(F89="",0,VLOOKUP(F89,Depreciation!$A$2:$C$58,$A94,FALSE))</f>
        <v>0.07219</v>
      </c>
      <c r="G94" s="6">
        <f>IF(G89="",0,VLOOKUP(G89,Depreciation!$A$2:$C$58,$A94,FALSE))</f>
        <v>0.06677</v>
      </c>
      <c r="H94" s="6">
        <f>IF(H89="",0,VLOOKUP(H89,Depreciation!$A$2:$C$58,$A94,FALSE))</f>
        <v>0.06177</v>
      </c>
      <c r="I94" s="6">
        <f>IF(I89="",0,VLOOKUP(I89,Depreciation!$A$2:$C$58,$A94,FALSE))</f>
        <v>0.05713</v>
      </c>
      <c r="J94" s="6">
        <f>IF(J89="",0,VLOOKUP(J89,Depreciation!$A$2:$C$58,$A94,FALSE))</f>
        <v>0.05285</v>
      </c>
      <c r="K94" s="6">
        <f>IF(K89="",0,VLOOKUP(K89,Depreciation!$A$2:$C$58,$A94,FALSE))</f>
        <v>0.04888</v>
      </c>
      <c r="L94" s="6">
        <f>IF(L89="",0,VLOOKUP(L89,Depreciation!$A$2:$C$58,$A94,FALSE))</f>
        <v>0.04522</v>
      </c>
    </row>
    <row r="95" spans="1:12" ht="18.75" customHeight="1">
      <c r="A95" s="30"/>
      <c r="B95" s="31" t="s">
        <v>2</v>
      </c>
      <c r="C95" s="7">
        <f>Input!B$3</f>
        <v>0.38665999999999995</v>
      </c>
      <c r="D95" s="7">
        <f>Input!C$3</f>
        <v>0.38665999999999995</v>
      </c>
      <c r="E95" s="7">
        <f>Input!D$3</f>
        <v>0.38665999999999995</v>
      </c>
      <c r="F95" s="7">
        <f>Input!E$3</f>
        <v>0.38665999999999995</v>
      </c>
      <c r="G95" s="7">
        <f>Input!F$3</f>
        <v>0.38665999999999995</v>
      </c>
      <c r="H95" s="7">
        <f>Input!G$3</f>
        <v>0.38665999999999995</v>
      </c>
      <c r="I95" s="7">
        <f>Input!H$3</f>
        <v>0.38665999999999995</v>
      </c>
      <c r="J95" s="7">
        <f>Input!I$3</f>
        <v>0.38665999999999995</v>
      </c>
      <c r="K95" s="7">
        <f>Input!J$3</f>
        <v>0.38665999999999995</v>
      </c>
      <c r="L95" s="7">
        <f>Input!K$3</f>
        <v>0.38665999999999995</v>
      </c>
    </row>
    <row r="96" spans="2:12" ht="18.75" customHeight="1">
      <c r="B96" s="2" t="s">
        <v>3</v>
      </c>
      <c r="C96" s="170">
        <f>SUM($C107:C107)</f>
        <v>0</v>
      </c>
      <c r="D96" s="170">
        <f>SUM($C107:D107)</f>
        <v>0</v>
      </c>
      <c r="E96" s="170">
        <f>SUM($C107:E107)</f>
        <v>6698785.727236384</v>
      </c>
      <c r="F96" s="170">
        <f>SUM($C107:F107)</f>
        <v>7053310.968191149</v>
      </c>
      <c r="G96" s="170">
        <f>SUM($C107:G107)</f>
        <v>7356168.373545622</v>
      </c>
      <c r="H96" s="170">
        <f>SUM($C107:H107)</f>
        <v>7611361.723918278</v>
      </c>
      <c r="I96" s="170">
        <f>SUM($C107:I107)</f>
        <v>7822322.831267806</v>
      </c>
      <c r="J96" s="170">
        <f>SUM($C107:J107)</f>
        <v>7992483.507552898</v>
      </c>
      <c r="K96" s="170">
        <f>SUM($C107:K107)</f>
        <v>8124798.924182425</v>
      </c>
      <c r="L96" s="170">
        <f>SUM($C107:L107)</f>
        <v>8222224.252565262</v>
      </c>
    </row>
    <row r="97" spans="2:12" ht="18.75" customHeight="1">
      <c r="B97" s="2" t="s">
        <v>4</v>
      </c>
      <c r="C97" s="170">
        <f>SUM($C99:C99)</f>
        <v>0</v>
      </c>
      <c r="D97" s="170">
        <f>SUM($C99:D99)</f>
        <v>0</v>
      </c>
      <c r="E97" s="170">
        <f>SUM($C99:E99)</f>
        <v>35954.10964765862</v>
      </c>
      <c r="F97" s="170">
        <f>SUM($C99:F99)</f>
        <v>898852.7411914654</v>
      </c>
      <c r="G97" s="170">
        <f>SUM($C99:G99)</f>
        <v>1761751.3727352722</v>
      </c>
      <c r="H97" s="170">
        <f>SUM($C99:H99)</f>
        <v>2624650.004279079</v>
      </c>
      <c r="I97" s="170">
        <f>SUM($C99:I99)</f>
        <v>3487548.6358228857</v>
      </c>
      <c r="J97" s="170">
        <f>SUM($C99:J99)</f>
        <v>4350447.267366692</v>
      </c>
      <c r="K97" s="170">
        <f>SUM($C99:K99)</f>
        <v>5213345.898910499</v>
      </c>
      <c r="L97" s="170">
        <f>SUM($C99:L99)</f>
        <v>6076244.530454306</v>
      </c>
    </row>
    <row r="98" spans="2:12" ht="18.75" customHeight="1">
      <c r="B98" s="11" t="s">
        <v>5</v>
      </c>
      <c r="C98" s="170">
        <f>C91</f>
        <v>0</v>
      </c>
      <c r="D98" s="170">
        <f>C98+D91</f>
        <v>19471691.02589556</v>
      </c>
      <c r="E98" s="170">
        <f aca="true" t="shared" si="45" ref="E98:L98">D98+E91</f>
        <v>41090411.02589556</v>
      </c>
      <c r="F98" s="170">
        <f t="shared" si="45"/>
        <v>41090411.02589556</v>
      </c>
      <c r="G98" s="170">
        <f t="shared" si="45"/>
        <v>41090411.02589556</v>
      </c>
      <c r="H98" s="170">
        <f t="shared" si="45"/>
        <v>41090411.02589556</v>
      </c>
      <c r="I98" s="170">
        <f t="shared" si="45"/>
        <v>41090411.02589556</v>
      </c>
      <c r="J98" s="170">
        <f t="shared" si="45"/>
        <v>41090411.02589556</v>
      </c>
      <c r="K98" s="170">
        <f t="shared" si="45"/>
        <v>41090411.02589556</v>
      </c>
      <c r="L98" s="170">
        <f t="shared" si="45"/>
        <v>41090411.02589556</v>
      </c>
    </row>
    <row r="99" spans="1:12" ht="18.75" customHeight="1">
      <c r="A99" s="214" t="s">
        <v>359</v>
      </c>
      <c r="B99" s="11" t="s">
        <v>6</v>
      </c>
      <c r="C99" s="170">
        <f aca="true" t="shared" si="46" ref="C99:L99">IF(C89=1,(12.5-VLOOKUP(C87,$Q$5:$R$16,2,))*C93/12*C98,C98*C93)</f>
        <v>0</v>
      </c>
      <c r="D99" s="170">
        <f t="shared" si="46"/>
        <v>0</v>
      </c>
      <c r="E99" s="170">
        <f t="shared" si="46"/>
        <v>35954.10964765862</v>
      </c>
      <c r="F99" s="170">
        <f t="shared" si="46"/>
        <v>862898.6315438068</v>
      </c>
      <c r="G99" s="170">
        <f t="shared" si="46"/>
        <v>862898.6315438068</v>
      </c>
      <c r="H99" s="170">
        <f t="shared" si="46"/>
        <v>862898.6315438068</v>
      </c>
      <c r="I99" s="170">
        <f t="shared" si="46"/>
        <v>862898.6315438068</v>
      </c>
      <c r="J99" s="170">
        <f t="shared" si="46"/>
        <v>862898.6315438068</v>
      </c>
      <c r="K99" s="170">
        <f t="shared" si="46"/>
        <v>862898.6315438068</v>
      </c>
      <c r="L99" s="170">
        <f t="shared" si="46"/>
        <v>862898.6315438068</v>
      </c>
    </row>
    <row r="100" spans="2:12" ht="18.75" customHeight="1">
      <c r="B100" s="5" t="s">
        <v>7</v>
      </c>
      <c r="C100" s="170">
        <f>C91</f>
        <v>0</v>
      </c>
      <c r="D100" s="170">
        <f aca="true" t="shared" si="47" ref="D100:L100">C100+D91</f>
        <v>19471691.02589556</v>
      </c>
      <c r="E100" s="170">
        <f t="shared" si="47"/>
        <v>41090411.02589556</v>
      </c>
      <c r="F100" s="170">
        <f t="shared" si="47"/>
        <v>41090411.02589556</v>
      </c>
      <c r="G100" s="170">
        <f t="shared" si="47"/>
        <v>41090411.02589556</v>
      </c>
      <c r="H100" s="170">
        <f t="shared" si="47"/>
        <v>41090411.02589556</v>
      </c>
      <c r="I100" s="170">
        <f t="shared" si="47"/>
        <v>41090411.02589556</v>
      </c>
      <c r="J100" s="170">
        <f t="shared" si="47"/>
        <v>41090411.02589556</v>
      </c>
      <c r="K100" s="170">
        <f t="shared" si="47"/>
        <v>41090411.02589556</v>
      </c>
      <c r="L100" s="170">
        <f t="shared" si="47"/>
        <v>41090411.02589556</v>
      </c>
    </row>
    <row r="101" spans="2:12" ht="18.75" customHeight="1">
      <c r="B101" s="213" t="s">
        <v>361</v>
      </c>
      <c r="C101" s="170">
        <f>IF(C89=1,IF($A99="Bonus",SUM($C91:C91)*VLOOKUP(C88,Depreciation!$D$41:$E$50,2),0),0)</f>
        <v>0</v>
      </c>
      <c r="D101" s="170">
        <f>IF(D89=1,IF($A99="Bonus",SUM($C91:D91)*VLOOKUP(D88,Depreciation!$D$41:$E$50,2),0),0)</f>
        <v>0</v>
      </c>
      <c r="E101" s="170">
        <f>IF(E89=1,IF($A99="Bonus",SUM($C91:E91)*VLOOKUP(E88,Depreciation!$D$41:$E$50,2),0),0)</f>
        <v>16436164.410358224</v>
      </c>
      <c r="F101" s="170">
        <f>IF(F89=1,IF($A99="Bonus",SUM($C91:F91)*VLOOKUP(F88,Depreciation!$D$41:$E$50,2),0),0)</f>
        <v>0</v>
      </c>
      <c r="G101" s="170">
        <f>IF(G89=1,IF($A99="Bonus",SUM($C91:G91)*VLOOKUP(G88,Depreciation!$D$41:$E$50,2),0),0)</f>
        <v>0</v>
      </c>
      <c r="H101" s="170">
        <f>IF(H89=1,IF($A99="Bonus",SUM($C91:H91)*VLOOKUP(H88,Depreciation!$D$41:$E$50,2),0),0)</f>
        <v>0</v>
      </c>
      <c r="I101" s="170">
        <f>IF(I89=1,IF($A99="Bonus",SUM($C91:I91)*VLOOKUP(I88,Depreciation!$D$41:$E$50,2),0),0)</f>
        <v>0</v>
      </c>
      <c r="J101" s="170">
        <f>IF(J89=1,IF($A99="Bonus",SUM($C91:J91)*VLOOKUP(J88,Depreciation!$D$41:$E$50,2),0),0)</f>
        <v>0</v>
      </c>
      <c r="K101" s="170">
        <f>IF(K89=1,IF($A99="Bonus",SUM($C91:K91)*VLOOKUP(K88,Depreciation!$D$41:$E$50,2),0),0)</f>
        <v>0</v>
      </c>
      <c r="L101" s="170">
        <f>IF(L89=1,IF($A99="Bonus",SUM($C91:L91)*VLOOKUP(L88,Depreciation!$D$41:$E$50,2),0),0)</f>
        <v>0</v>
      </c>
    </row>
    <row r="102" spans="2:12" ht="18.75" customHeight="1">
      <c r="B102" s="5" t="s">
        <v>362</v>
      </c>
      <c r="C102" s="170">
        <f>IF(C89&gt;=1,IF($A99="Bonus",C92*(1-VLOOKUP($A89,Depreciation!$D$41:$N$50,C88-2014))*C94,C92*C94),C92*C94)</f>
        <v>0</v>
      </c>
      <c r="D102" s="170">
        <f>IF(D89&gt;=1,IF($A99="Bonus",D92*(1-VLOOKUP($A89,Depreciation!$D$41:$N$50,D88-2014))*D94,D92*D94),D92*D94)</f>
        <v>0</v>
      </c>
      <c r="E102" s="170">
        <f>IF(E89&gt;=1,IF($A99="Bonus",E92*(1-VLOOKUP($A89,Depreciation!$D$41:$N$50,E88-2014))*E94,E92*E94),E92*E94)</f>
        <v>924534.24808265</v>
      </c>
      <c r="F102" s="170">
        <f>IF(F89&gt;=1,IF($A99="Bonus",F92*(1-VLOOKUP($A89,Depreciation!$D$41:$N$50,F88-2014))*F94,F92*F94),F92*F94)</f>
        <v>1779790.0631756403</v>
      </c>
      <c r="G102" s="170">
        <f>IF(G89&gt;=1,IF($A99="Bonus",G92*(1-VLOOKUP($A89,Depreciation!$D$41:$N$50,G88-2014))*G94,G92*G94),G92*G94)</f>
        <v>1646164.0465194278</v>
      </c>
      <c r="H102" s="170">
        <f>IF(H89&gt;=1,IF($A99="Bonus",H92*(1-VLOOKUP($A89,Depreciation!$D$41:$N$50,H88-2014))*H94,H92*H94),H92*H94)</f>
        <v>1522892.813441741</v>
      </c>
      <c r="I102" s="170">
        <f>IF(I89&gt;=1,IF($A99="Bonus",I92*(1-VLOOKUP($A89,Depreciation!$D$41:$N$50,I88-2014))*I94,I92*I94),I92*I94)</f>
        <v>1408497.1091456478</v>
      </c>
      <c r="J102" s="170">
        <f>IF(J89&gt;=1,IF($A99="Bonus",J92*(1-VLOOKUP($A89,Depreciation!$D$41:$N$50,J88-2014))*J94,J92*J94),J92*J94)</f>
        <v>1302976.9336311482</v>
      </c>
      <c r="K102" s="170">
        <f>IF(K89&gt;=1,IF($A99="Bonus",K92*(1-VLOOKUP($A89,Depreciation!$D$41:$N$50,K88-2014))*K94,K92*K94),K92*K94)</f>
        <v>1205099.5745674649</v>
      </c>
      <c r="L102" s="170">
        <f>IF(L89&gt;=1,IF($A99="Bonus",L92*(1-VLOOKUP($A89,Depreciation!$D$41:$N$50,L88-2014))*L94,L92*L94),L92*L94)</f>
        <v>1114865.0319545984</v>
      </c>
    </row>
    <row r="103" spans="2:12" ht="18.75" customHeight="1">
      <c r="B103" s="5" t="s">
        <v>17</v>
      </c>
      <c r="C103" s="7">
        <f>Input!J$31</f>
        <v>0.10152297909805327</v>
      </c>
      <c r="D103" s="7">
        <f>Input!K$31</f>
        <v>0.10152297909805327</v>
      </c>
      <c r="E103" s="7">
        <f>Input!L$31</f>
        <v>0.10152297909805327</v>
      </c>
      <c r="F103" s="7">
        <f>Input!M$31</f>
        <v>0.10152297909805327</v>
      </c>
      <c r="G103" s="7">
        <f>Input!N$31</f>
        <v>0.10152297909805327</v>
      </c>
      <c r="H103" s="7">
        <f>Input!O$31</f>
        <v>0.10152297909805327</v>
      </c>
      <c r="I103" s="7">
        <f>Input!P$31</f>
        <v>0.10152297909805327</v>
      </c>
      <c r="J103" s="7">
        <f>Input!Q$31</f>
        <v>0.10152297909805327</v>
      </c>
      <c r="K103" s="7">
        <f>Input!R$31</f>
        <v>0.10152297909805327</v>
      </c>
      <c r="L103" s="7">
        <f>Input!S$31</f>
        <v>0.10152297909805327</v>
      </c>
    </row>
    <row r="104" spans="2:12" ht="18.75" customHeight="1">
      <c r="B104" s="5" t="s">
        <v>8</v>
      </c>
      <c r="C104" s="171">
        <f>C99</f>
        <v>0</v>
      </c>
      <c r="D104" s="171">
        <f aca="true" t="shared" si="48" ref="D104:L104">D99</f>
        <v>0</v>
      </c>
      <c r="E104" s="171">
        <f t="shared" si="48"/>
        <v>35954.10964765862</v>
      </c>
      <c r="F104" s="171">
        <f t="shared" si="48"/>
        <v>862898.6315438068</v>
      </c>
      <c r="G104" s="171">
        <f t="shared" si="48"/>
        <v>862898.6315438068</v>
      </c>
      <c r="H104" s="171">
        <f t="shared" si="48"/>
        <v>862898.6315438068</v>
      </c>
      <c r="I104" s="171">
        <f t="shared" si="48"/>
        <v>862898.6315438068</v>
      </c>
      <c r="J104" s="171">
        <f t="shared" si="48"/>
        <v>862898.6315438068</v>
      </c>
      <c r="K104" s="171">
        <f t="shared" si="48"/>
        <v>862898.6315438068</v>
      </c>
      <c r="L104" s="171">
        <f t="shared" si="48"/>
        <v>862898.6315438068</v>
      </c>
    </row>
    <row r="105" spans="2:12" ht="18.75" customHeight="1">
      <c r="B105" s="11" t="s">
        <v>364</v>
      </c>
      <c r="C105" s="171">
        <f aca="true" t="shared" si="49" ref="C105:L105">SUM(C101,C102)</f>
        <v>0</v>
      </c>
      <c r="D105" s="171">
        <f t="shared" si="49"/>
        <v>0</v>
      </c>
      <c r="E105" s="171">
        <f t="shared" si="49"/>
        <v>17360698.658440873</v>
      </c>
      <c r="F105" s="171">
        <f t="shared" si="49"/>
        <v>1779790.0631756403</v>
      </c>
      <c r="G105" s="171">
        <f t="shared" si="49"/>
        <v>1646164.0465194278</v>
      </c>
      <c r="H105" s="171">
        <f t="shared" si="49"/>
        <v>1522892.813441741</v>
      </c>
      <c r="I105" s="171">
        <f t="shared" si="49"/>
        <v>1408497.1091456478</v>
      </c>
      <c r="J105" s="171">
        <f t="shared" si="49"/>
        <v>1302976.9336311482</v>
      </c>
      <c r="K105" s="171">
        <f t="shared" si="49"/>
        <v>1205099.5745674649</v>
      </c>
      <c r="L105" s="171">
        <f t="shared" si="49"/>
        <v>1114865.0319545984</v>
      </c>
    </row>
    <row r="106" spans="2:12" ht="18.75" customHeight="1">
      <c r="B106" s="2" t="s">
        <v>9</v>
      </c>
      <c r="C106" s="8">
        <f>Input!$B$6</f>
        <v>0.0015</v>
      </c>
      <c r="D106" s="8">
        <f aca="true" t="shared" si="50" ref="D106:I106">C106</f>
        <v>0.0015</v>
      </c>
      <c r="E106" s="8">
        <f t="shared" si="50"/>
        <v>0.0015</v>
      </c>
      <c r="F106" s="8">
        <f t="shared" si="50"/>
        <v>0.0015</v>
      </c>
      <c r="G106" s="8">
        <f t="shared" si="50"/>
        <v>0.0015</v>
      </c>
      <c r="H106" s="8">
        <f t="shared" si="50"/>
        <v>0.0015</v>
      </c>
      <c r="I106" s="8">
        <f t="shared" si="50"/>
        <v>0.0015</v>
      </c>
      <c r="J106" s="8">
        <f>I106</f>
        <v>0.0015</v>
      </c>
      <c r="K106" s="8">
        <f>J106</f>
        <v>0.0015</v>
      </c>
      <c r="L106" s="8">
        <f>K106</f>
        <v>0.0015</v>
      </c>
    </row>
    <row r="107" spans="2:12" ht="18.75" customHeight="1">
      <c r="B107" s="4" t="s">
        <v>363</v>
      </c>
      <c r="C107" s="171">
        <f aca="true" t="shared" si="51" ref="C107:L107">(C105-C104)*C95</f>
        <v>0</v>
      </c>
      <c r="D107" s="171">
        <f t="shared" si="51"/>
        <v>0</v>
      </c>
      <c r="E107" s="171">
        <f t="shared" si="51"/>
        <v>6698785.727236384</v>
      </c>
      <c r="F107" s="171">
        <f t="shared" si="51"/>
        <v>354525.2409547647</v>
      </c>
      <c r="G107" s="171">
        <f t="shared" si="51"/>
        <v>302857.40535447357</v>
      </c>
      <c r="H107" s="171">
        <f t="shared" si="51"/>
        <v>255193.35037265523</v>
      </c>
      <c r="I107" s="171">
        <f t="shared" si="51"/>
        <v>210961.10734952785</v>
      </c>
      <c r="J107" s="171">
        <f t="shared" si="51"/>
        <v>170160.6762850914</v>
      </c>
      <c r="K107" s="171">
        <f t="shared" si="51"/>
        <v>132315.41662952764</v>
      </c>
      <c r="L107" s="171">
        <f t="shared" si="51"/>
        <v>97425.32838283668</v>
      </c>
    </row>
    <row r="108" spans="2:12" ht="18.75" customHeight="1"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8.75" customHeight="1">
      <c r="B109" s="10" t="s">
        <v>15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8.75" customHeight="1">
      <c r="B110" s="5" t="s">
        <v>16</v>
      </c>
      <c r="C110" s="169">
        <f aca="true" t="shared" si="52" ref="C110:L110">C92</f>
        <v>0</v>
      </c>
      <c r="D110" s="169">
        <f t="shared" si="52"/>
        <v>19471691.02589556</v>
      </c>
      <c r="E110" s="169">
        <f t="shared" si="52"/>
        <v>41090411.02589556</v>
      </c>
      <c r="F110" s="169">
        <f t="shared" si="52"/>
        <v>41090411.02589556</v>
      </c>
      <c r="G110" s="169">
        <f t="shared" si="52"/>
        <v>41090411.02589556</v>
      </c>
      <c r="H110" s="169">
        <f t="shared" si="52"/>
        <v>41090411.02589556</v>
      </c>
      <c r="I110" s="169">
        <f t="shared" si="52"/>
        <v>41090411.02589556</v>
      </c>
      <c r="J110" s="169">
        <f t="shared" si="52"/>
        <v>41090411.02589556</v>
      </c>
      <c r="K110" s="169">
        <f t="shared" si="52"/>
        <v>41090411.02589556</v>
      </c>
      <c r="L110" s="169">
        <f t="shared" si="52"/>
        <v>41090411.02589556</v>
      </c>
    </row>
    <row r="111" spans="1:12" ht="18.75" customHeight="1">
      <c r="A111" s="3"/>
      <c r="B111" s="4" t="s">
        <v>44</v>
      </c>
      <c r="C111" s="170">
        <v>0</v>
      </c>
      <c r="D111" s="170">
        <f aca="true" t="shared" si="53" ref="D111:L111">C111</f>
        <v>0</v>
      </c>
      <c r="E111" s="170">
        <f t="shared" si="53"/>
        <v>0</v>
      </c>
      <c r="F111" s="170">
        <f t="shared" si="53"/>
        <v>0</v>
      </c>
      <c r="G111" s="170">
        <f t="shared" si="53"/>
        <v>0</v>
      </c>
      <c r="H111" s="170">
        <f t="shared" si="53"/>
        <v>0</v>
      </c>
      <c r="I111" s="170">
        <f t="shared" si="53"/>
        <v>0</v>
      </c>
      <c r="J111" s="170">
        <f t="shared" si="53"/>
        <v>0</v>
      </c>
      <c r="K111" s="170">
        <f t="shared" si="53"/>
        <v>0</v>
      </c>
      <c r="L111" s="170">
        <f t="shared" si="53"/>
        <v>0</v>
      </c>
    </row>
    <row r="112" spans="2:12" ht="18.75" customHeight="1">
      <c r="B112" s="2" t="s">
        <v>10</v>
      </c>
      <c r="C112" s="170">
        <f aca="true" t="shared" si="54" ref="C112:L112">-C97</f>
        <v>0</v>
      </c>
      <c r="D112" s="170">
        <f t="shared" si="54"/>
        <v>0</v>
      </c>
      <c r="E112" s="170">
        <f t="shared" si="54"/>
        <v>-35954.10964765862</v>
      </c>
      <c r="F112" s="170">
        <f t="shared" si="54"/>
        <v>-898852.7411914654</v>
      </c>
      <c r="G112" s="170">
        <f t="shared" si="54"/>
        <v>-1761751.3727352722</v>
      </c>
      <c r="H112" s="170">
        <f t="shared" si="54"/>
        <v>-2624650.004279079</v>
      </c>
      <c r="I112" s="170">
        <f t="shared" si="54"/>
        <v>-3487548.6358228857</v>
      </c>
      <c r="J112" s="170">
        <f t="shared" si="54"/>
        <v>-4350447.267366692</v>
      </c>
      <c r="K112" s="170">
        <f t="shared" si="54"/>
        <v>-5213345.898910499</v>
      </c>
      <c r="L112" s="170">
        <f t="shared" si="54"/>
        <v>-6076244.530454306</v>
      </c>
    </row>
    <row r="113" spans="2:12" ht="18.75" customHeight="1">
      <c r="B113" s="2" t="s">
        <v>45</v>
      </c>
      <c r="C113" s="170">
        <v>0</v>
      </c>
      <c r="D113" s="170">
        <f aca="true" t="shared" si="55" ref="D113:L113">C113</f>
        <v>0</v>
      </c>
      <c r="E113" s="170">
        <f t="shared" si="55"/>
        <v>0</v>
      </c>
      <c r="F113" s="170">
        <f t="shared" si="55"/>
        <v>0</v>
      </c>
      <c r="G113" s="170">
        <f t="shared" si="55"/>
        <v>0</v>
      </c>
      <c r="H113" s="170">
        <f t="shared" si="55"/>
        <v>0</v>
      </c>
      <c r="I113" s="170">
        <f t="shared" si="55"/>
        <v>0</v>
      </c>
      <c r="J113" s="170">
        <f t="shared" si="55"/>
        <v>0</v>
      </c>
      <c r="K113" s="170">
        <f t="shared" si="55"/>
        <v>0</v>
      </c>
      <c r="L113" s="170">
        <f t="shared" si="55"/>
        <v>0</v>
      </c>
    </row>
    <row r="114" spans="2:12" ht="18.75" customHeight="1">
      <c r="B114" s="2" t="s">
        <v>46</v>
      </c>
      <c r="C114" s="170">
        <f aca="true" t="shared" si="56" ref="C114:L114">-C96</f>
        <v>0</v>
      </c>
      <c r="D114" s="170">
        <f t="shared" si="56"/>
        <v>0</v>
      </c>
      <c r="E114" s="170">
        <f t="shared" si="56"/>
        <v>-6698785.727236384</v>
      </c>
      <c r="F114" s="170">
        <f t="shared" si="56"/>
        <v>-7053310.968191149</v>
      </c>
      <c r="G114" s="170">
        <f t="shared" si="56"/>
        <v>-7356168.373545622</v>
      </c>
      <c r="H114" s="170">
        <f t="shared" si="56"/>
        <v>-7611361.723918278</v>
      </c>
      <c r="I114" s="170">
        <f t="shared" si="56"/>
        <v>-7822322.831267806</v>
      </c>
      <c r="J114" s="170">
        <f t="shared" si="56"/>
        <v>-7992483.507552898</v>
      </c>
      <c r="K114" s="170">
        <f t="shared" si="56"/>
        <v>-8124798.924182425</v>
      </c>
      <c r="L114" s="170">
        <f t="shared" si="56"/>
        <v>-8222224.252565262</v>
      </c>
    </row>
    <row r="115" spans="2:12" ht="18.75" customHeight="1">
      <c r="B115" s="2" t="s">
        <v>47</v>
      </c>
      <c r="C115" s="170">
        <v>0</v>
      </c>
      <c r="D115" s="170">
        <f aca="true" t="shared" si="57" ref="D115:L115">C115</f>
        <v>0</v>
      </c>
      <c r="E115" s="170">
        <f t="shared" si="57"/>
        <v>0</v>
      </c>
      <c r="F115" s="170">
        <f t="shared" si="57"/>
        <v>0</v>
      </c>
      <c r="G115" s="170">
        <f t="shared" si="57"/>
        <v>0</v>
      </c>
      <c r="H115" s="170">
        <f t="shared" si="57"/>
        <v>0</v>
      </c>
      <c r="I115" s="170">
        <f t="shared" si="57"/>
        <v>0</v>
      </c>
      <c r="J115" s="170">
        <f t="shared" si="57"/>
        <v>0</v>
      </c>
      <c r="K115" s="170">
        <f t="shared" si="57"/>
        <v>0</v>
      </c>
      <c r="L115" s="170">
        <f t="shared" si="57"/>
        <v>0</v>
      </c>
    </row>
    <row r="116" spans="2:12" ht="18.75" customHeight="1">
      <c r="B116" s="2" t="s">
        <v>11</v>
      </c>
      <c r="C116" s="170">
        <f aca="true" t="shared" si="58" ref="C116:L116">SUM(C110:C115)</f>
        <v>0</v>
      </c>
      <c r="D116" s="170">
        <f t="shared" si="58"/>
        <v>19471691.02589556</v>
      </c>
      <c r="E116" s="170">
        <f t="shared" si="58"/>
        <v>34355671.189011514</v>
      </c>
      <c r="F116" s="170">
        <f t="shared" si="58"/>
        <v>33138247.316512942</v>
      </c>
      <c r="G116" s="170">
        <f t="shared" si="58"/>
        <v>31972491.279614665</v>
      </c>
      <c r="H116" s="170">
        <f t="shared" si="58"/>
        <v>30854399.297698203</v>
      </c>
      <c r="I116" s="170">
        <f t="shared" si="58"/>
        <v>29780539.55880487</v>
      </c>
      <c r="J116" s="170">
        <f t="shared" si="58"/>
        <v>28747480.250975966</v>
      </c>
      <c r="K116" s="170">
        <f t="shared" si="58"/>
        <v>27752266.202802632</v>
      </c>
      <c r="L116" s="170">
        <f t="shared" si="58"/>
        <v>26791942.24287599</v>
      </c>
    </row>
    <row r="117" spans="2:12" ht="18.75" customHeight="1">
      <c r="B117" s="2" t="s">
        <v>12</v>
      </c>
      <c r="C117" s="7">
        <f aca="true" t="shared" si="59" ref="C117:L117">C103</f>
        <v>0.10152297909805327</v>
      </c>
      <c r="D117" s="7">
        <f t="shared" si="59"/>
        <v>0.10152297909805327</v>
      </c>
      <c r="E117" s="7">
        <f t="shared" si="59"/>
        <v>0.10152297909805327</v>
      </c>
      <c r="F117" s="7">
        <f t="shared" si="59"/>
        <v>0.10152297909805327</v>
      </c>
      <c r="G117" s="7">
        <f t="shared" si="59"/>
        <v>0.10152297909805327</v>
      </c>
      <c r="H117" s="7">
        <f t="shared" si="59"/>
        <v>0.10152297909805327</v>
      </c>
      <c r="I117" s="7">
        <f t="shared" si="59"/>
        <v>0.10152297909805327</v>
      </c>
      <c r="J117" s="7">
        <f t="shared" si="59"/>
        <v>0.10152297909805327</v>
      </c>
      <c r="K117" s="7">
        <f t="shared" si="59"/>
        <v>0.10152297909805327</v>
      </c>
      <c r="L117" s="7">
        <f t="shared" si="59"/>
        <v>0.10152297909805327</v>
      </c>
    </row>
    <row r="118" spans="2:12" ht="18.75" customHeight="1">
      <c r="B118" s="34" t="s">
        <v>58</v>
      </c>
      <c r="C118" s="174">
        <f aca="true" t="shared" si="60" ref="C118:L118">C116*C117</f>
        <v>0</v>
      </c>
      <c r="D118" s="174">
        <f t="shared" si="60"/>
        <v>1976824.0810257462</v>
      </c>
      <c r="E118" s="174">
        <f t="shared" si="60"/>
        <v>3487890.088021607</v>
      </c>
      <c r="F118" s="174">
        <f t="shared" si="60"/>
        <v>3364293.5896604634</v>
      </c>
      <c r="G118" s="174">
        <f t="shared" si="60"/>
        <v>3245942.5638930104</v>
      </c>
      <c r="H118" s="174">
        <f t="shared" si="60"/>
        <v>3132430.534983204</v>
      </c>
      <c r="I118" s="174">
        <f t="shared" si="60"/>
        <v>3023409.0951572955</v>
      </c>
      <c r="J118" s="174">
        <f t="shared" si="60"/>
        <v>2918529.8366415324</v>
      </c>
      <c r="K118" s="174">
        <f t="shared" si="60"/>
        <v>2817492.741630742</v>
      </c>
      <c r="L118" s="174">
        <f t="shared" si="60"/>
        <v>2719997.7923197495</v>
      </c>
    </row>
    <row r="119" spans="1:12" ht="18.75" customHeight="1">
      <c r="A119" s="3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ht="18.75" customHeight="1">
      <c r="B120" s="1" t="s">
        <v>52</v>
      </c>
      <c r="C120" s="170">
        <v>0</v>
      </c>
      <c r="D120" s="170">
        <f>C120</f>
        <v>0</v>
      </c>
      <c r="E120" s="170">
        <f aca="true" t="shared" si="61" ref="E120:L120">D120</f>
        <v>0</v>
      </c>
      <c r="F120" s="170">
        <f t="shared" si="61"/>
        <v>0</v>
      </c>
      <c r="G120" s="170">
        <f t="shared" si="61"/>
        <v>0</v>
      </c>
      <c r="H120" s="170">
        <f t="shared" si="61"/>
        <v>0</v>
      </c>
      <c r="I120" s="170">
        <f t="shared" si="61"/>
        <v>0</v>
      </c>
      <c r="J120" s="170">
        <f t="shared" si="61"/>
        <v>0</v>
      </c>
      <c r="K120" s="170">
        <f t="shared" si="61"/>
        <v>0</v>
      </c>
      <c r="L120" s="170">
        <f t="shared" si="61"/>
        <v>0</v>
      </c>
    </row>
    <row r="121" spans="2:12" ht="18.75" customHeight="1">
      <c r="B121" s="2" t="s">
        <v>48</v>
      </c>
      <c r="C121" s="170">
        <f aca="true" t="shared" si="62" ref="C121:L121">C104</f>
        <v>0</v>
      </c>
      <c r="D121" s="170">
        <f t="shared" si="62"/>
        <v>0</v>
      </c>
      <c r="E121" s="170">
        <f t="shared" si="62"/>
        <v>35954.10964765862</v>
      </c>
      <c r="F121" s="170">
        <f t="shared" si="62"/>
        <v>862898.6315438068</v>
      </c>
      <c r="G121" s="170">
        <f t="shared" si="62"/>
        <v>862898.6315438068</v>
      </c>
      <c r="H121" s="170">
        <f t="shared" si="62"/>
        <v>862898.6315438068</v>
      </c>
      <c r="I121" s="170">
        <f t="shared" si="62"/>
        <v>862898.6315438068</v>
      </c>
      <c r="J121" s="170">
        <f t="shared" si="62"/>
        <v>862898.6315438068</v>
      </c>
      <c r="K121" s="170">
        <f t="shared" si="62"/>
        <v>862898.6315438068</v>
      </c>
      <c r="L121" s="170">
        <f t="shared" si="62"/>
        <v>862898.6315438068</v>
      </c>
    </row>
    <row r="122" spans="2:12" ht="18.75" customHeight="1">
      <c r="B122" s="2" t="s">
        <v>49</v>
      </c>
      <c r="C122" s="170">
        <v>0</v>
      </c>
      <c r="D122" s="170">
        <f aca="true" t="shared" si="63" ref="D122:L122">C122</f>
        <v>0</v>
      </c>
      <c r="E122" s="170">
        <f t="shared" si="63"/>
        <v>0</v>
      </c>
      <c r="F122" s="170">
        <f t="shared" si="63"/>
        <v>0</v>
      </c>
      <c r="G122" s="170">
        <f t="shared" si="63"/>
        <v>0</v>
      </c>
      <c r="H122" s="170">
        <f t="shared" si="63"/>
        <v>0</v>
      </c>
      <c r="I122" s="170">
        <f t="shared" si="63"/>
        <v>0</v>
      </c>
      <c r="J122" s="170">
        <f t="shared" si="63"/>
        <v>0</v>
      </c>
      <c r="K122" s="170">
        <f t="shared" si="63"/>
        <v>0</v>
      </c>
      <c r="L122" s="170">
        <f t="shared" si="63"/>
        <v>0</v>
      </c>
    </row>
    <row r="123" spans="2:12" ht="18.75" customHeight="1">
      <c r="B123" s="2" t="s">
        <v>50</v>
      </c>
      <c r="C123" s="170">
        <v>0</v>
      </c>
      <c r="D123" s="170">
        <f aca="true" t="shared" si="64" ref="D123:L123">D106*(C110+C112)</f>
        <v>0</v>
      </c>
      <c r="E123" s="170">
        <f t="shared" si="64"/>
        <v>29207.53653884334</v>
      </c>
      <c r="F123" s="170">
        <f t="shared" si="64"/>
        <v>61581.685374371846</v>
      </c>
      <c r="G123" s="170">
        <f t="shared" si="64"/>
        <v>60287.33742705613</v>
      </c>
      <c r="H123" s="170">
        <f t="shared" si="64"/>
        <v>58992.989479740434</v>
      </c>
      <c r="I123" s="170">
        <f t="shared" si="64"/>
        <v>57698.64153242472</v>
      </c>
      <c r="J123" s="170">
        <f t="shared" si="64"/>
        <v>56404.293585109015</v>
      </c>
      <c r="K123" s="170">
        <f t="shared" si="64"/>
        <v>55109.9456377933</v>
      </c>
      <c r="L123" s="170">
        <f t="shared" si="64"/>
        <v>53815.59769047759</v>
      </c>
    </row>
    <row r="124" spans="2:12" ht="18.75" customHeight="1">
      <c r="B124" s="21" t="s">
        <v>51</v>
      </c>
      <c r="C124" s="174">
        <f aca="true" t="shared" si="65" ref="C124:L124">SUM(C120:C123)</f>
        <v>0</v>
      </c>
      <c r="D124" s="174">
        <f t="shared" si="65"/>
        <v>0</v>
      </c>
      <c r="E124" s="174">
        <f t="shared" si="65"/>
        <v>65161.64618650195</v>
      </c>
      <c r="F124" s="174">
        <f t="shared" si="65"/>
        <v>924480.3169181786</v>
      </c>
      <c r="G124" s="174">
        <f t="shared" si="65"/>
        <v>923185.9689708629</v>
      </c>
      <c r="H124" s="174">
        <f t="shared" si="65"/>
        <v>921891.6210235471</v>
      </c>
      <c r="I124" s="174">
        <f t="shared" si="65"/>
        <v>920597.2730762315</v>
      </c>
      <c r="J124" s="174">
        <f t="shared" si="65"/>
        <v>919302.9251289158</v>
      </c>
      <c r="K124" s="174">
        <f t="shared" si="65"/>
        <v>918008.5771816</v>
      </c>
      <c r="L124" s="174">
        <f t="shared" si="65"/>
        <v>916714.2292342844</v>
      </c>
    </row>
    <row r="125" spans="3:12" ht="18.75" customHeight="1">
      <c r="C125" s="34"/>
      <c r="D125" s="268"/>
      <c r="E125" s="268"/>
      <c r="F125" s="268"/>
      <c r="G125" s="268"/>
      <c r="H125" s="268"/>
      <c r="I125" s="268"/>
      <c r="J125" s="268"/>
      <c r="K125" s="268"/>
      <c r="L125" s="268"/>
    </row>
    <row r="126" spans="2:12" ht="18.75" customHeight="1">
      <c r="B126" s="1" t="s">
        <v>59</v>
      </c>
      <c r="C126" s="170">
        <f aca="true" t="shared" si="66" ref="C126:L126">C118+C124</f>
        <v>0</v>
      </c>
      <c r="D126" s="170">
        <f t="shared" si="66"/>
        <v>1976824.0810257462</v>
      </c>
      <c r="E126" s="170">
        <f t="shared" si="66"/>
        <v>3553051.734208109</v>
      </c>
      <c r="F126" s="170">
        <f t="shared" si="66"/>
        <v>4288773.906578642</v>
      </c>
      <c r="G126" s="170">
        <f t="shared" si="66"/>
        <v>4169128.532863873</v>
      </c>
      <c r="H126" s="170">
        <f t="shared" si="66"/>
        <v>4054322.1560067516</v>
      </c>
      <c r="I126" s="170">
        <f t="shared" si="66"/>
        <v>3944006.368233527</v>
      </c>
      <c r="J126" s="170">
        <f t="shared" si="66"/>
        <v>3837832.761770448</v>
      </c>
      <c r="K126" s="170">
        <f t="shared" si="66"/>
        <v>3735501.318812342</v>
      </c>
      <c r="L126" s="170">
        <f t="shared" si="66"/>
        <v>3636712.0215540337</v>
      </c>
    </row>
  </sheetData>
  <sheetProtection/>
  <dataValidations count="1">
    <dataValidation type="list" allowBlank="1" showInputMessage="1" showErrorMessage="1" sqref="A57 A15 A99">
      <formula1>"Bonus, No Bonus"</formula1>
    </dataValidation>
  </dataValidations>
  <printOptions horizontalCentered="1"/>
  <pageMargins left="0.75" right="0.75" top="1" bottom="0.5" header="0.5" footer="0.5"/>
  <pageSetup horizontalDpi="600" verticalDpi="600" orientation="landscape" scale="67" r:id="rId1"/>
  <rowBreaks count="2" manualBreakCount="2">
    <brk id="44" min="2" max="11" man="1"/>
    <brk id="86" min="2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84"/>
  <sheetViews>
    <sheetView zoomScale="75" zoomScaleNormal="75" zoomScalePageLayoutView="0" workbookViewId="0" topLeftCell="A1">
      <selection activeCell="A1" sqref="A1"/>
    </sheetView>
  </sheetViews>
  <sheetFormatPr defaultColWidth="9.33203125" defaultRowHeight="18.75" customHeight="1"/>
  <cols>
    <col min="1" max="1" width="12.66015625" style="2" bestFit="1" customWidth="1"/>
    <col min="2" max="2" width="66" style="2" customWidth="1"/>
    <col min="3" max="12" width="14.83203125" style="2" customWidth="1"/>
    <col min="13" max="13" width="9.33203125" style="2" customWidth="1"/>
    <col min="14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8.75" customHeight="1">
      <c r="B2" s="110" t="s">
        <v>322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8.75" customHeight="1">
      <c r="B3" s="11"/>
      <c r="C3" s="212" t="s">
        <v>257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29">
        <f>Input!B2</f>
        <v>2016</v>
      </c>
      <c r="D4" s="29">
        <f aca="true" t="shared" si="0" ref="D4:L5">C4+1</f>
        <v>2017</v>
      </c>
      <c r="E4" s="29">
        <f t="shared" si="0"/>
        <v>2018</v>
      </c>
      <c r="F4" s="29">
        <f t="shared" si="0"/>
        <v>2019</v>
      </c>
      <c r="G4" s="29">
        <f t="shared" si="0"/>
        <v>2020</v>
      </c>
      <c r="H4" s="29">
        <f t="shared" si="0"/>
        <v>2021</v>
      </c>
      <c r="I4" s="29">
        <f t="shared" si="0"/>
        <v>2022</v>
      </c>
      <c r="J4" s="29">
        <f t="shared" si="0"/>
        <v>2023</v>
      </c>
      <c r="K4" s="29">
        <f t="shared" si="0"/>
        <v>2024</v>
      </c>
      <c r="L4" s="29">
        <f t="shared" si="0"/>
        <v>2025</v>
      </c>
    </row>
    <row r="5" spans="1:18" s="28" customFormat="1" ht="18.75" customHeight="1">
      <c r="A5" s="258">
        <v>2018</v>
      </c>
      <c r="B5" s="28" t="s">
        <v>43</v>
      </c>
      <c r="C5" s="209">
        <v>1</v>
      </c>
      <c r="D5" s="209">
        <f>C5+1</f>
        <v>2</v>
      </c>
      <c r="E5" s="209">
        <f t="shared" si="0"/>
        <v>3</v>
      </c>
      <c r="F5" s="209">
        <f t="shared" si="0"/>
        <v>4</v>
      </c>
      <c r="G5" s="209">
        <f t="shared" si="0"/>
        <v>5</v>
      </c>
      <c r="H5" s="209">
        <f t="shared" si="0"/>
        <v>6</v>
      </c>
      <c r="I5" s="209">
        <f t="shared" si="0"/>
        <v>7</v>
      </c>
      <c r="J5" s="209">
        <f t="shared" si="0"/>
        <v>8</v>
      </c>
      <c r="K5" s="209">
        <f t="shared" si="0"/>
        <v>9</v>
      </c>
      <c r="L5" s="209">
        <f t="shared" si="0"/>
        <v>10</v>
      </c>
      <c r="M5" s="28" t="s">
        <v>21</v>
      </c>
      <c r="Q5" s="28" t="s">
        <v>257</v>
      </c>
      <c r="R5" s="28">
        <v>1</v>
      </c>
    </row>
    <row r="6" spans="1:18" ht="18.75" customHeight="1">
      <c r="A6" s="3"/>
      <c r="B6" s="211" t="s">
        <v>343</v>
      </c>
      <c r="C6" s="12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60" t="s">
        <v>320</v>
      </c>
      <c r="B7" s="10" t="s">
        <v>413</v>
      </c>
      <c r="C7" s="172">
        <f>VLOOKUP(C$4,'Cash Flows-KU'!$B$92:$I$102,$A8)</f>
        <v>0</v>
      </c>
      <c r="D7" s="172">
        <f>VLOOKUP(D$4,'Cash Flows-KU'!$B$92:$I$102,$A8)</f>
        <v>694771.3561403613</v>
      </c>
      <c r="E7" s="172">
        <f>VLOOKUP(E$4,'Cash Flows-KU'!$B$92:$I$102,$A8)</f>
        <v>466000</v>
      </c>
      <c r="F7" s="172">
        <f>VLOOKUP(F$4,'Cash Flows-KU'!$B$92:$I$102,$A8)</f>
        <v>3797000</v>
      </c>
      <c r="G7" s="172">
        <f>VLOOKUP(G$4,'Cash Flows-KU'!$B$92:$I$102,$A8)</f>
        <v>3439000</v>
      </c>
      <c r="H7" s="172">
        <f>VLOOKUP(H$4,'Cash Flows-KU'!$B$92:$I$102,$A8)</f>
        <v>3626000</v>
      </c>
      <c r="I7" s="172">
        <f>VLOOKUP(I$4,'Cash Flows-KU'!$B$92:$I$102,$A8)</f>
        <v>9926000</v>
      </c>
      <c r="J7" s="172">
        <f>VLOOKUP(J$4,'Cash Flows-KU'!$B$92:$I$102,$A8)</f>
        <v>10179000</v>
      </c>
      <c r="K7" s="172">
        <f>VLOOKUP(K$4,'Cash Flows-KU'!$B$92:$I$102,$A8)</f>
        <v>0</v>
      </c>
      <c r="L7" s="172">
        <f>VLOOKUP(L$4,'Cash Flows-KU'!$B$92:$I$102,$A8)</f>
        <v>0</v>
      </c>
      <c r="M7" s="173"/>
      <c r="Q7" s="28" t="s">
        <v>259</v>
      </c>
      <c r="R7" s="2">
        <v>3</v>
      </c>
    </row>
    <row r="8" spans="1:18" ht="18.75" customHeight="1">
      <c r="A8" s="3">
        <v>2</v>
      </c>
      <c r="B8" s="40" t="s">
        <v>57</v>
      </c>
      <c r="C8" s="172">
        <f>SUM($C7:C7)</f>
        <v>0</v>
      </c>
      <c r="D8" s="172">
        <f>SUM($C7:D7)</f>
        <v>694771.3561403613</v>
      </c>
      <c r="E8" s="172">
        <f>SUM($C7:E7)</f>
        <v>1160771.3561403612</v>
      </c>
      <c r="F8" s="172">
        <f>SUM($C7:F7)</f>
        <v>4957771.356140361</v>
      </c>
      <c r="G8" s="172">
        <f>SUM($C7:G7)</f>
        <v>8396771.35614036</v>
      </c>
      <c r="H8" s="172">
        <f>SUM($C7:H7)</f>
        <v>12022771.35614036</v>
      </c>
      <c r="I8" s="172">
        <f>SUM($C7:I7)</f>
        <v>21948771.35614036</v>
      </c>
      <c r="J8" s="172">
        <f>SUM($C7:J7)</f>
        <v>32127771.35614036</v>
      </c>
      <c r="K8" s="172">
        <f>SUM($C7:K7)</f>
        <v>32127771.35614036</v>
      </c>
      <c r="L8" s="172">
        <f>SUM($C7:L7)</f>
        <v>32127771.35614036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</v>
      </c>
      <c r="D9" s="6">
        <f>IF(D5="",0,VLOOKUP($B6,Depreciation!$D$2:$E$31,$A9,FALSE))</f>
        <v>0</v>
      </c>
      <c r="E9" s="6">
        <f>IF(E5="",0,VLOOKUP($B6,Depreciation!$D$2:$E$31,$A9,FALSE))</f>
        <v>0</v>
      </c>
      <c r="F9" s="6">
        <f>IF(F5="",0,VLOOKUP($B6,Depreciation!$D$2:$E$31,$A9,FALSE))</f>
        <v>0</v>
      </c>
      <c r="G9" s="6">
        <f>IF(G5="",0,VLOOKUP($B6,Depreciation!$D$2:$E$31,$A9,FALSE))</f>
        <v>0</v>
      </c>
      <c r="H9" s="6">
        <f>IF(H5="",0,VLOOKUP($B6,Depreciation!$D$2:$E$31,$A9,FALSE))</f>
        <v>0</v>
      </c>
      <c r="I9" s="6">
        <f>IF(I5="",0,VLOOKUP($B6,Depreciation!$D$2:$E$31,$A9,FALSE))</f>
        <v>0</v>
      </c>
      <c r="J9" s="6">
        <f>IF(J5="",0,VLOOKUP($B6,Depreciation!$D$2:$E$31,$A9,FALSE))</f>
        <v>0</v>
      </c>
      <c r="K9" s="6">
        <f>IF(K5="",0,VLOOKUP($B6,Depreciation!$D$2:$E$31,$A9,FALSE))</f>
        <v>0</v>
      </c>
      <c r="L9" s="6">
        <f>IF(L5="",0,VLOOKUP($B6,Depreciation!$D$2:$E$31,$A9,FALSE))</f>
        <v>0</v>
      </c>
      <c r="Q9" s="28" t="s">
        <v>261</v>
      </c>
      <c r="R9" s="2">
        <v>5</v>
      </c>
    </row>
    <row r="10" spans="1:18" ht="18.75" customHeight="1">
      <c r="A10" s="3">
        <v>3</v>
      </c>
      <c r="B10" s="5" t="s">
        <v>1</v>
      </c>
      <c r="C10" s="6">
        <f>IF(C5="",0,VLOOKUP(C5,Depreciation!$A$2:$C$58,$A10,FALSE))</f>
        <v>1</v>
      </c>
      <c r="D10" s="6">
        <f>IF(D5="",0,VLOOKUP(D5,Depreciation!$A$2:$C$58,$A10,FALSE))</f>
        <v>1</v>
      </c>
      <c r="E10" s="6">
        <f>IF(E5="",0,VLOOKUP(E5,Depreciation!$A$2:$C$58,$A10,FALSE))</f>
        <v>1</v>
      </c>
      <c r="F10" s="6">
        <f>IF(F5="",0,VLOOKUP(F5,Depreciation!$A$2:$C$58,$A10,FALSE))</f>
        <v>1</v>
      </c>
      <c r="G10" s="6">
        <f>IF(G5="",0,VLOOKUP(G5,Depreciation!$A$2:$C$58,$A10,FALSE))</f>
        <v>1</v>
      </c>
      <c r="H10" s="6">
        <f>IF(H5="",0,VLOOKUP(H5,Depreciation!$A$2:$C$58,$A10,FALSE))</f>
        <v>1</v>
      </c>
      <c r="I10" s="6">
        <f>IF(I5="",0,VLOOKUP(I5,Depreciation!$A$2:$C$58,$A10,FALSE))</f>
        <v>1</v>
      </c>
      <c r="J10" s="6">
        <f>IF(J5="",0,VLOOKUP(J5,Depreciation!$A$2:$C$58,$A10,FALSE))</f>
        <v>1</v>
      </c>
      <c r="K10" s="6">
        <f>IF(K5="",0,VLOOKUP(K5,Depreciation!$A$2:$C$58,$A10,FALSE))</f>
        <v>1</v>
      </c>
      <c r="L10" s="6">
        <f>IF(L5="",0,VLOOKUP(L5,Depreciation!$A$2:$C$58,$A10,FALSE))</f>
        <v>1</v>
      </c>
      <c r="Q10" s="28" t="s">
        <v>262</v>
      </c>
      <c r="R10" s="2">
        <v>6</v>
      </c>
    </row>
    <row r="11" spans="2:18" s="30" customFormat="1" ht="18.75" customHeight="1"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2:18" ht="18.75" customHeight="1">
      <c r="B12" s="2" t="s">
        <v>3</v>
      </c>
      <c r="C12" s="170">
        <f>SUM($C23:C23)</f>
        <v>-1100585.9483141897</v>
      </c>
      <c r="D12" s="170">
        <f>SUM($C23:D23)</f>
        <v>-1932531.6040631474</v>
      </c>
      <c r="E12" s="170">
        <f>SUM($C23:E23)</f>
        <v>-2852933.992377337</v>
      </c>
      <c r="F12" s="170">
        <f>SUM($C23:F23)</f>
        <v>-2485371.920691527</v>
      </c>
      <c r="G12" s="170">
        <f>SUM($C23:G23)</f>
        <v>-2256234.129005717</v>
      </c>
      <c r="H12" s="170">
        <f>SUM($C23:H23)</f>
        <v>-1954790.917319907</v>
      </c>
      <c r="I12" s="170">
        <f>SUM($C23:I23)</f>
        <v>782610.2943659027</v>
      </c>
      <c r="J12" s="170">
        <f>SUM($C23:J23)</f>
        <v>3617836.486051712</v>
      </c>
      <c r="K12" s="170">
        <f>SUM($C23:K23)</f>
        <v>3143888.4673804864</v>
      </c>
      <c r="L12" s="170">
        <f>SUM($C23:L23)</f>
        <v>2669940.4487092607</v>
      </c>
      <c r="Q12" s="28" t="s">
        <v>264</v>
      </c>
      <c r="R12" s="2">
        <v>8</v>
      </c>
    </row>
    <row r="13" spans="2:18" ht="18.75" customHeight="1">
      <c r="B13" s="2" t="s">
        <v>4</v>
      </c>
      <c r="C13" s="169">
        <f>SUM($C15:C15)</f>
        <v>2846392.045503</v>
      </c>
      <c r="D13" s="169">
        <f>SUM($C15:D15)</f>
        <v>5692784.091006</v>
      </c>
      <c r="E13" s="169">
        <f>SUM($C15:E15)</f>
        <v>8539176.136509</v>
      </c>
      <c r="F13" s="169">
        <f>SUM($C15:F15)</f>
        <v>11385568.182012</v>
      </c>
      <c r="G13" s="169">
        <f>SUM($C15:G15)</f>
        <v>14231960.227514999</v>
      </c>
      <c r="H13" s="169">
        <f>SUM($C15:H15)</f>
        <v>17078352.273018</v>
      </c>
      <c r="I13" s="169">
        <f>SUM($C15:I15)</f>
        <v>19924744.318521</v>
      </c>
      <c r="J13" s="169">
        <f>SUM($C15:J15)</f>
        <v>22771136.364024</v>
      </c>
      <c r="K13" s="169">
        <f>SUM($C15:K15)</f>
        <v>23996885.132117998</v>
      </c>
      <c r="L13" s="169">
        <f>SUM($C15:L15)</f>
        <v>25222633.900211997</v>
      </c>
      <c r="Q13" s="28" t="s">
        <v>265</v>
      </c>
      <c r="R13" s="2">
        <v>9</v>
      </c>
    </row>
    <row r="14" spans="2:18" ht="18.75" customHeight="1">
      <c r="B14" s="11" t="s">
        <v>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Q14" s="28" t="s">
        <v>266</v>
      </c>
      <c r="R14" s="2">
        <v>10</v>
      </c>
    </row>
    <row r="15" spans="1:18" ht="18.75" customHeight="1">
      <c r="A15" s="214" t="s">
        <v>372</v>
      </c>
      <c r="B15" s="11" t="s">
        <v>6</v>
      </c>
      <c r="C15" s="169">
        <v>2846392.045503</v>
      </c>
      <c r="D15" s="169">
        <f>C15</f>
        <v>2846392.045503</v>
      </c>
      <c r="E15" s="169">
        <f aca="true" t="shared" si="1" ref="E15:L15">D15</f>
        <v>2846392.045503</v>
      </c>
      <c r="F15" s="169">
        <f t="shared" si="1"/>
        <v>2846392.045503</v>
      </c>
      <c r="G15" s="169">
        <f t="shared" si="1"/>
        <v>2846392.045503</v>
      </c>
      <c r="H15" s="169">
        <f t="shared" si="1"/>
        <v>2846392.045503</v>
      </c>
      <c r="I15" s="169">
        <f t="shared" si="1"/>
        <v>2846392.045503</v>
      </c>
      <c r="J15" s="169">
        <f t="shared" si="1"/>
        <v>2846392.045503</v>
      </c>
      <c r="K15" s="169">
        <f>J15-1620643.277409</f>
        <v>1225748.7680939997</v>
      </c>
      <c r="L15" s="169">
        <f t="shared" si="1"/>
        <v>1225748.7680939997</v>
      </c>
      <c r="Q15" s="28" t="s">
        <v>267</v>
      </c>
      <c r="R15" s="2">
        <v>11</v>
      </c>
    </row>
    <row r="16" spans="2:18" ht="18.75" customHeight="1">
      <c r="B16" s="5" t="s">
        <v>7</v>
      </c>
      <c r="C16" s="169">
        <f>C7</f>
        <v>0</v>
      </c>
      <c r="D16" s="169">
        <f aca="true" t="shared" si="2" ref="D16:L16">C16+D7</f>
        <v>694771.3561403613</v>
      </c>
      <c r="E16" s="169">
        <f t="shared" si="2"/>
        <v>1160771.3561403612</v>
      </c>
      <c r="F16" s="169">
        <f t="shared" si="2"/>
        <v>4957771.356140361</v>
      </c>
      <c r="G16" s="169">
        <f t="shared" si="2"/>
        <v>8396771.35614036</v>
      </c>
      <c r="H16" s="169">
        <f t="shared" si="2"/>
        <v>12022771.35614036</v>
      </c>
      <c r="I16" s="169">
        <f t="shared" si="2"/>
        <v>21948771.35614036</v>
      </c>
      <c r="J16" s="169">
        <f t="shared" si="2"/>
        <v>32127771.35614036</v>
      </c>
      <c r="K16" s="169">
        <f t="shared" si="2"/>
        <v>32127771.35614036</v>
      </c>
      <c r="L16" s="169">
        <f t="shared" si="2"/>
        <v>32127771.35614036</v>
      </c>
      <c r="Q16" s="28" t="s">
        <v>268</v>
      </c>
      <c r="R16" s="2">
        <v>12</v>
      </c>
    </row>
    <row r="17" spans="2:17" ht="18.75" customHeight="1">
      <c r="B17" s="213" t="s">
        <v>361</v>
      </c>
      <c r="C17" s="169">
        <f>IF(C5=1,IF($A15="Bonus",SUM($C7:C7)*VLOOKUP(C4,Depreciation!$D$41:$E$50,2),0),0)</f>
        <v>0</v>
      </c>
      <c r="D17" s="169">
        <f>IF(D5=1,IF($A15="Bonus",SUM($C7:D7)*VLOOKUP(D4,Depreciation!$D$41:$E$50,2),0),0)</f>
        <v>0</v>
      </c>
      <c r="E17" s="169">
        <f>IF(E5=1,IF($A15="Bonus",SUM($C7:E7)*VLOOKUP(E4,Depreciation!$D$41:$E$50,2),0),0)</f>
        <v>0</v>
      </c>
      <c r="F17" s="169">
        <f>IF(F5=1,IF($A15="Bonus",SUM($C7:F7)*VLOOKUP(F4,Depreciation!$D$41:$E$50,2),0),0)</f>
        <v>0</v>
      </c>
      <c r="G17" s="169">
        <f>IF(G5=1,IF($A15="Bonus",SUM($C7:G7)*VLOOKUP(G4,Depreciation!$D$41:$E$50,2),0),0)</f>
        <v>0</v>
      </c>
      <c r="H17" s="169">
        <f>IF(H5=1,IF($A15="Bonus",SUM($C7:H7)*VLOOKUP(H4,Depreciation!$D$41:$E$50,2),0),0)</f>
        <v>0</v>
      </c>
      <c r="I17" s="169">
        <f>IF(I5=1,IF($A15="Bonus",SUM($C7:I7)*VLOOKUP(I4,Depreciation!$D$41:$E$50,2),0),0)</f>
        <v>0</v>
      </c>
      <c r="J17" s="169">
        <f>IF(J5=1,IF($A15="Bonus",SUM($C7:J7)*VLOOKUP(J4,Depreciation!$D$41:$E$50,2),0),0)</f>
        <v>0</v>
      </c>
      <c r="K17" s="169">
        <f>IF(K5=1,IF($A15="Bonus",SUM($C7:K7)*VLOOKUP(K4,Depreciation!$D$41:$E$50,2),0),0)</f>
        <v>0</v>
      </c>
      <c r="L17" s="169">
        <f>IF(L5=1,IF($A15="Bonus",SUM($C7:L7)*VLOOKUP(L4,Depreciation!$D$41:$E$50,2),0),0)</f>
        <v>0</v>
      </c>
      <c r="Q17" s="28"/>
    </row>
    <row r="18" spans="2:12" ht="18.75" customHeight="1">
      <c r="B18" s="5" t="s">
        <v>362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 ht="18.75" customHeight="1">
      <c r="B19" s="5" t="s">
        <v>17</v>
      </c>
      <c r="C19" s="7">
        <f>Input!J$31</f>
        <v>0.10152297909805327</v>
      </c>
      <c r="D19" s="7">
        <f>Input!K$31</f>
        <v>0.10152297909805327</v>
      </c>
      <c r="E19" s="7">
        <f>Input!L$31</f>
        <v>0.10152297909805327</v>
      </c>
      <c r="F19" s="7">
        <f>Input!M$31</f>
        <v>0.10152297909805327</v>
      </c>
      <c r="G19" s="7">
        <f>Input!N$31</f>
        <v>0.10152297909805327</v>
      </c>
      <c r="H19" s="7">
        <f>Input!O$31</f>
        <v>0.10152297909805327</v>
      </c>
      <c r="I19" s="7">
        <f>Input!P$31</f>
        <v>0.10152297909805327</v>
      </c>
      <c r="J19" s="7">
        <f>Input!Q$31</f>
        <v>0.10152297909805327</v>
      </c>
      <c r="K19" s="7">
        <f>Input!R$31</f>
        <v>0.10152297909805327</v>
      </c>
      <c r="L19" s="7">
        <f>Input!S$31</f>
        <v>0.10152297909805327</v>
      </c>
    </row>
    <row r="20" spans="2:12" ht="18.75" customHeight="1">
      <c r="B20" s="5" t="s">
        <v>8</v>
      </c>
      <c r="C20" s="181">
        <f>C15</f>
        <v>2846392.045503</v>
      </c>
      <c r="D20" s="181">
        <f>D15</f>
        <v>2846392.045503</v>
      </c>
      <c r="E20" s="181">
        <f aca="true" t="shared" si="3" ref="E20:L20">E15</f>
        <v>2846392.045503</v>
      </c>
      <c r="F20" s="181">
        <f t="shared" si="3"/>
        <v>2846392.045503</v>
      </c>
      <c r="G20" s="181">
        <f t="shared" si="3"/>
        <v>2846392.045503</v>
      </c>
      <c r="H20" s="181">
        <f t="shared" si="3"/>
        <v>2846392.045503</v>
      </c>
      <c r="I20" s="181">
        <f t="shared" si="3"/>
        <v>2846392.045503</v>
      </c>
      <c r="J20" s="181">
        <f t="shared" si="3"/>
        <v>2846392.045503</v>
      </c>
      <c r="K20" s="181">
        <f t="shared" si="3"/>
        <v>1225748.7680939997</v>
      </c>
      <c r="L20" s="181">
        <f t="shared" si="3"/>
        <v>1225748.7680939997</v>
      </c>
    </row>
    <row r="21" spans="2:12" ht="18.75" customHeight="1">
      <c r="B21" s="11" t="s">
        <v>364</v>
      </c>
      <c r="C21" s="181">
        <f>C7*C10</f>
        <v>0</v>
      </c>
      <c r="D21" s="181">
        <f aca="true" t="shared" si="4" ref="D21:L21">D7*D10</f>
        <v>694771.3561403613</v>
      </c>
      <c r="E21" s="181">
        <f t="shared" si="4"/>
        <v>466000</v>
      </c>
      <c r="F21" s="181">
        <f t="shared" si="4"/>
        <v>3797000</v>
      </c>
      <c r="G21" s="181">
        <f t="shared" si="4"/>
        <v>3439000</v>
      </c>
      <c r="H21" s="181">
        <f t="shared" si="4"/>
        <v>3626000</v>
      </c>
      <c r="I21" s="181">
        <f t="shared" si="4"/>
        <v>9926000</v>
      </c>
      <c r="J21" s="181">
        <f t="shared" si="4"/>
        <v>10179000</v>
      </c>
      <c r="K21" s="181">
        <f t="shared" si="4"/>
        <v>0</v>
      </c>
      <c r="L21" s="181">
        <f t="shared" si="4"/>
        <v>0</v>
      </c>
    </row>
    <row r="22" spans="2:12" ht="18.75" customHeight="1">
      <c r="B22" s="3" t="s">
        <v>9</v>
      </c>
      <c r="C22" s="8">
        <f>Input!$B$6</f>
        <v>0.0015</v>
      </c>
      <c r="D22" s="8">
        <f aca="true" t="shared" si="5" ref="D22:I22">C22</f>
        <v>0.0015</v>
      </c>
      <c r="E22" s="8">
        <f t="shared" si="5"/>
        <v>0.0015</v>
      </c>
      <c r="F22" s="8">
        <f t="shared" si="5"/>
        <v>0.0015</v>
      </c>
      <c r="G22" s="8">
        <f t="shared" si="5"/>
        <v>0.0015</v>
      </c>
      <c r="H22" s="8">
        <f t="shared" si="5"/>
        <v>0.0015</v>
      </c>
      <c r="I22" s="8">
        <f t="shared" si="5"/>
        <v>0.0015</v>
      </c>
      <c r="J22" s="8">
        <f>I22</f>
        <v>0.0015</v>
      </c>
      <c r="K22" s="8">
        <f>J22</f>
        <v>0.0015</v>
      </c>
      <c r="L22" s="8">
        <f>K22</f>
        <v>0.0015</v>
      </c>
    </row>
    <row r="23" spans="2:12" ht="18.75" customHeight="1">
      <c r="B23" s="102" t="s">
        <v>363</v>
      </c>
      <c r="C23" s="171">
        <f aca="true" t="shared" si="6" ref="C23:L23">(C21-C20)*C11</f>
        <v>-1100585.9483141897</v>
      </c>
      <c r="D23" s="171">
        <f t="shared" si="6"/>
        <v>-831945.6557489578</v>
      </c>
      <c r="E23" s="171">
        <f t="shared" si="6"/>
        <v>-920402.3883141897</v>
      </c>
      <c r="F23" s="171">
        <f t="shared" si="6"/>
        <v>367562.07168581005</v>
      </c>
      <c r="G23" s="171">
        <f t="shared" si="6"/>
        <v>229137.79168581008</v>
      </c>
      <c r="H23" s="171">
        <f t="shared" si="6"/>
        <v>301443.21168581006</v>
      </c>
      <c r="I23" s="171">
        <f t="shared" si="6"/>
        <v>2737401.21168581</v>
      </c>
      <c r="J23" s="171">
        <f t="shared" si="6"/>
        <v>2835226.1916858098</v>
      </c>
      <c r="K23" s="171">
        <f t="shared" si="6"/>
        <v>-473948.0186712259</v>
      </c>
      <c r="L23" s="171">
        <f t="shared" si="6"/>
        <v>-473948.0186712259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7" ref="C26:L26">C8</f>
        <v>0</v>
      </c>
      <c r="D26" s="169">
        <f t="shared" si="7"/>
        <v>694771.3561403613</v>
      </c>
      <c r="E26" s="169">
        <f t="shared" si="7"/>
        <v>1160771.3561403612</v>
      </c>
      <c r="F26" s="169">
        <f t="shared" si="7"/>
        <v>4957771.356140361</v>
      </c>
      <c r="G26" s="169">
        <f t="shared" si="7"/>
        <v>8396771.35614036</v>
      </c>
      <c r="H26" s="169">
        <f t="shared" si="7"/>
        <v>12022771.35614036</v>
      </c>
      <c r="I26" s="169">
        <f t="shared" si="7"/>
        <v>21948771.35614036</v>
      </c>
      <c r="J26" s="169">
        <f t="shared" si="7"/>
        <v>32127771.35614036</v>
      </c>
      <c r="K26" s="169">
        <f t="shared" si="7"/>
        <v>32127771.35614036</v>
      </c>
      <c r="L26" s="169">
        <f t="shared" si="7"/>
        <v>32127771.35614036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8" ref="D27:I27">C27</f>
        <v>0</v>
      </c>
      <c r="E27" s="170">
        <f t="shared" si="8"/>
        <v>0</v>
      </c>
      <c r="F27" s="170">
        <f t="shared" si="8"/>
        <v>0</v>
      </c>
      <c r="G27" s="170">
        <f t="shared" si="8"/>
        <v>0</v>
      </c>
      <c r="H27" s="170">
        <f t="shared" si="8"/>
        <v>0</v>
      </c>
      <c r="I27" s="170">
        <f t="shared" si="8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3" ht="18.75" customHeight="1">
      <c r="B28" s="2" t="s">
        <v>10</v>
      </c>
      <c r="C28" s="170">
        <f aca="true" t="shared" si="9" ref="C28:L28">-C13</f>
        <v>-2846392.045503</v>
      </c>
      <c r="D28" s="170">
        <f t="shared" si="9"/>
        <v>-5692784.091006</v>
      </c>
      <c r="E28" s="170">
        <f t="shared" si="9"/>
        <v>-8539176.136509</v>
      </c>
      <c r="F28" s="170">
        <f t="shared" si="9"/>
        <v>-11385568.182012</v>
      </c>
      <c r="G28" s="170">
        <f t="shared" si="9"/>
        <v>-14231960.227514999</v>
      </c>
      <c r="H28" s="170">
        <f t="shared" si="9"/>
        <v>-17078352.273018</v>
      </c>
      <c r="I28" s="170">
        <f t="shared" si="9"/>
        <v>-19924744.318521</v>
      </c>
      <c r="J28" s="170">
        <f t="shared" si="9"/>
        <v>-22771136.364024</v>
      </c>
      <c r="K28" s="170">
        <f t="shared" si="9"/>
        <v>-23996885.132117998</v>
      </c>
      <c r="L28" s="170">
        <f t="shared" si="9"/>
        <v>-25222633.900211997</v>
      </c>
      <c r="M28" s="171"/>
    </row>
    <row r="29" spans="2:12" ht="18.75" customHeight="1">
      <c r="B29" s="2" t="s">
        <v>45</v>
      </c>
      <c r="C29" s="170">
        <v>0</v>
      </c>
      <c r="D29" s="170">
        <f>C29</f>
        <v>0</v>
      </c>
      <c r="E29" s="170">
        <f>D29</f>
        <v>0</v>
      </c>
      <c r="F29" s="170">
        <f>E29</f>
        <v>0</v>
      </c>
      <c r="G29" s="170">
        <f aca="true" t="shared" si="10" ref="G29:L29">F29</f>
        <v>0</v>
      </c>
      <c r="H29" s="170">
        <f t="shared" si="10"/>
        <v>0</v>
      </c>
      <c r="I29" s="170">
        <f t="shared" si="10"/>
        <v>0</v>
      </c>
      <c r="J29" s="170">
        <f t="shared" si="10"/>
        <v>0</v>
      </c>
      <c r="K29" s="170">
        <f t="shared" si="10"/>
        <v>0</v>
      </c>
      <c r="L29" s="170">
        <f t="shared" si="10"/>
        <v>0</v>
      </c>
    </row>
    <row r="30" spans="2:12" ht="18.75" customHeight="1">
      <c r="B30" s="2" t="s">
        <v>46</v>
      </c>
      <c r="C30" s="170">
        <f aca="true" t="shared" si="11" ref="C30:L30">-C12</f>
        <v>1100585.9483141897</v>
      </c>
      <c r="D30" s="170">
        <f t="shared" si="11"/>
        <v>1932531.6040631474</v>
      </c>
      <c r="E30" s="170">
        <f t="shared" si="11"/>
        <v>2852933.992377337</v>
      </c>
      <c r="F30" s="170">
        <f t="shared" si="11"/>
        <v>2485371.920691527</v>
      </c>
      <c r="G30" s="170">
        <f t="shared" si="11"/>
        <v>2256234.129005717</v>
      </c>
      <c r="H30" s="170">
        <f t="shared" si="11"/>
        <v>1954790.917319907</v>
      </c>
      <c r="I30" s="170">
        <f t="shared" si="11"/>
        <v>-782610.2943659027</v>
      </c>
      <c r="J30" s="170">
        <f t="shared" si="11"/>
        <v>-3617836.486051712</v>
      </c>
      <c r="K30" s="170">
        <f t="shared" si="11"/>
        <v>-3143888.4673804864</v>
      </c>
      <c r="L30" s="170">
        <f t="shared" si="11"/>
        <v>-2669940.4487092607</v>
      </c>
    </row>
    <row r="31" spans="2:12" ht="18.75" customHeight="1">
      <c r="B31" s="2" t="s">
        <v>47</v>
      </c>
      <c r="C31" s="170">
        <v>0</v>
      </c>
      <c r="D31" s="170">
        <f aca="true" t="shared" si="12" ref="D31:I31">C31</f>
        <v>0</v>
      </c>
      <c r="E31" s="170">
        <f t="shared" si="12"/>
        <v>0</v>
      </c>
      <c r="F31" s="170">
        <f t="shared" si="12"/>
        <v>0</v>
      </c>
      <c r="G31" s="170">
        <f t="shared" si="12"/>
        <v>0</v>
      </c>
      <c r="H31" s="170">
        <f t="shared" si="12"/>
        <v>0</v>
      </c>
      <c r="I31" s="170">
        <f t="shared" si="12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 aca="true" t="shared" si="13" ref="C32:I32">SUM(C26:C31)</f>
        <v>-1745806.0971888101</v>
      </c>
      <c r="D32" s="170">
        <f t="shared" si="13"/>
        <v>-3065481.1308024907</v>
      </c>
      <c r="E32" s="170">
        <f t="shared" si="13"/>
        <v>-4525470.787991301</v>
      </c>
      <c r="F32" s="170">
        <f t="shared" si="13"/>
        <v>-3942424.905180111</v>
      </c>
      <c r="G32" s="170">
        <f t="shared" si="13"/>
        <v>-3578954.7423689216</v>
      </c>
      <c r="H32" s="170">
        <f t="shared" si="13"/>
        <v>-3100789.9995577317</v>
      </c>
      <c r="I32" s="170">
        <f t="shared" si="13"/>
        <v>1241416.7432534571</v>
      </c>
      <c r="J32" s="170">
        <f>SUM(J26:J31)</f>
        <v>5738798.50606465</v>
      </c>
      <c r="K32" s="170">
        <f>SUM(K26:K31)</f>
        <v>4986997.756641876</v>
      </c>
      <c r="L32" s="170">
        <f>SUM(L26:L31)</f>
        <v>4235197.007219102</v>
      </c>
    </row>
    <row r="33" spans="2:12" ht="18.75" customHeight="1">
      <c r="B33" s="2" t="s">
        <v>12</v>
      </c>
      <c r="C33" s="7">
        <f aca="true" t="shared" si="14" ref="C33:I33">C19</f>
        <v>0.10152297909805327</v>
      </c>
      <c r="D33" s="7">
        <f t="shared" si="14"/>
        <v>0.10152297909805327</v>
      </c>
      <c r="E33" s="7">
        <f t="shared" si="14"/>
        <v>0.10152297909805327</v>
      </c>
      <c r="F33" s="7">
        <f t="shared" si="14"/>
        <v>0.10152297909805327</v>
      </c>
      <c r="G33" s="7">
        <f t="shared" si="14"/>
        <v>0.10152297909805327</v>
      </c>
      <c r="H33" s="7">
        <f t="shared" si="14"/>
        <v>0.10152297909805327</v>
      </c>
      <c r="I33" s="7">
        <f t="shared" si="14"/>
        <v>0.10152297909805327</v>
      </c>
      <c r="J33" s="7">
        <f>J19</f>
        <v>0.10152297909805327</v>
      </c>
      <c r="K33" s="7">
        <f>K19</f>
        <v>0.10152297909805327</v>
      </c>
      <c r="L33" s="7">
        <f>L19</f>
        <v>0.10152297909805327</v>
      </c>
    </row>
    <row r="34" spans="2:12" ht="18.75" customHeight="1">
      <c r="B34" s="34" t="s">
        <v>58</v>
      </c>
      <c r="C34" s="174">
        <f aca="true" t="shared" si="15" ref="C34:I34">C32*C33</f>
        <v>-177239.43591415352</v>
      </c>
      <c r="D34" s="174">
        <f t="shared" si="15"/>
        <v>-311216.776767938</v>
      </c>
      <c r="E34" s="174">
        <f t="shared" si="15"/>
        <v>-459439.27621809155</v>
      </c>
      <c r="F34" s="174">
        <f t="shared" si="15"/>
        <v>-400246.72124424507</v>
      </c>
      <c r="G34" s="174">
        <f t="shared" si="15"/>
        <v>-363346.14750239864</v>
      </c>
      <c r="H34" s="174">
        <f t="shared" si="15"/>
        <v>-314801.4383125522</v>
      </c>
      <c r="I34" s="174">
        <f t="shared" si="15"/>
        <v>126032.3260772941</v>
      </c>
      <c r="J34" s="174">
        <f>J32*J33</f>
        <v>582619.9207791408</v>
      </c>
      <c r="K34" s="174">
        <f>K32*K33</f>
        <v>506294.86900959176</v>
      </c>
      <c r="L34" s="174">
        <f>L32*L33</f>
        <v>429969.81724004267</v>
      </c>
    </row>
    <row r="35" spans="2:12" s="3" customFormat="1" ht="18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8.75" customHeight="1">
      <c r="B36" s="1" t="s">
        <v>52</v>
      </c>
      <c r="C36" s="170">
        <v>0</v>
      </c>
      <c r="D36" s="170">
        <f>C36</f>
        <v>0</v>
      </c>
      <c r="E36" s="170">
        <f aca="true" t="shared" si="16" ref="E36:L36">D36</f>
        <v>0</v>
      </c>
      <c r="F36" s="170">
        <f t="shared" si="16"/>
        <v>0</v>
      </c>
      <c r="G36" s="170">
        <f t="shared" si="16"/>
        <v>0</v>
      </c>
      <c r="H36" s="170">
        <f t="shared" si="16"/>
        <v>0</v>
      </c>
      <c r="I36" s="170">
        <f t="shared" si="16"/>
        <v>0</v>
      </c>
      <c r="J36" s="170">
        <f t="shared" si="16"/>
        <v>0</v>
      </c>
      <c r="K36" s="170">
        <f t="shared" si="16"/>
        <v>0</v>
      </c>
      <c r="L36" s="170">
        <f t="shared" si="16"/>
        <v>0</v>
      </c>
    </row>
    <row r="37" spans="2:12" ht="18.75" customHeight="1">
      <c r="B37" s="2" t="s">
        <v>48</v>
      </c>
      <c r="C37" s="170">
        <v>0</v>
      </c>
      <c r="D37" s="170">
        <f>C37</f>
        <v>0</v>
      </c>
      <c r="E37" s="170">
        <f aca="true" t="shared" si="17" ref="E37:L37">D37</f>
        <v>0</v>
      </c>
      <c r="F37" s="170">
        <f t="shared" si="17"/>
        <v>0</v>
      </c>
      <c r="G37" s="170">
        <f t="shared" si="17"/>
        <v>0</v>
      </c>
      <c r="H37" s="170">
        <f t="shared" si="17"/>
        <v>0</v>
      </c>
      <c r="I37" s="170">
        <f t="shared" si="17"/>
        <v>0</v>
      </c>
      <c r="J37" s="170">
        <f t="shared" si="17"/>
        <v>0</v>
      </c>
      <c r="K37" s="170">
        <f t="shared" si="17"/>
        <v>0</v>
      </c>
      <c r="L37" s="170">
        <f t="shared" si="17"/>
        <v>0</v>
      </c>
    </row>
    <row r="38" spans="2:12" ht="18.75" customHeight="1">
      <c r="B38" s="2" t="s">
        <v>434</v>
      </c>
      <c r="C38" s="170">
        <f>C13</f>
        <v>2846392.045503</v>
      </c>
      <c r="D38" s="170">
        <f>C38</f>
        <v>2846392.045503</v>
      </c>
      <c r="E38" s="170">
        <f>D38</f>
        <v>2846392.045503</v>
      </c>
      <c r="F38" s="170">
        <f>E38</f>
        <v>2846392.045503</v>
      </c>
      <c r="G38" s="170">
        <f aca="true" t="shared" si="18" ref="G38:L38">F38</f>
        <v>2846392.045503</v>
      </c>
      <c r="H38" s="170">
        <f t="shared" si="18"/>
        <v>2846392.045503</v>
      </c>
      <c r="I38" s="170">
        <f t="shared" si="18"/>
        <v>2846392.045503</v>
      </c>
      <c r="J38" s="170">
        <f t="shared" si="18"/>
        <v>2846392.045503</v>
      </c>
      <c r="K38" s="170">
        <f t="shared" si="18"/>
        <v>2846392.045503</v>
      </c>
      <c r="L38" s="170">
        <f t="shared" si="18"/>
        <v>2846392.045503</v>
      </c>
    </row>
    <row r="39" spans="2:12" ht="18.75" customHeight="1">
      <c r="B39" s="2" t="s">
        <v>50</v>
      </c>
      <c r="C39" s="170">
        <v>0</v>
      </c>
      <c r="D39" s="170">
        <f aca="true" t="shared" si="19" ref="D39:I39">D22*(C26+C28)</f>
        <v>-4269.588068254499</v>
      </c>
      <c r="E39" s="170">
        <f t="shared" si="19"/>
        <v>-7497.019102298458</v>
      </c>
      <c r="F39" s="170">
        <f t="shared" si="19"/>
        <v>-11067.607170552958</v>
      </c>
      <c r="G39" s="170">
        <f t="shared" si="19"/>
        <v>-9641.695238807457</v>
      </c>
      <c r="H39" s="170">
        <f t="shared" si="19"/>
        <v>-8752.783307061958</v>
      </c>
      <c r="I39" s="170">
        <f t="shared" si="19"/>
        <v>-7583.371375316458</v>
      </c>
      <c r="J39" s="170">
        <f>J22*(I26+I28)</f>
        <v>3036.04055642904</v>
      </c>
      <c r="K39" s="170">
        <f>K22*(J26+J28)</f>
        <v>14034.952488174544</v>
      </c>
      <c r="L39" s="170">
        <f>L22*(K26+K28)</f>
        <v>12196.329336033545</v>
      </c>
    </row>
    <row r="40" spans="2:12" ht="18.75" customHeight="1">
      <c r="B40" s="21" t="s">
        <v>51</v>
      </c>
      <c r="C40" s="174">
        <f aca="true" t="shared" si="20" ref="C40:I40">SUM(C36:C39)</f>
        <v>2846392.045503</v>
      </c>
      <c r="D40" s="174">
        <f t="shared" si="20"/>
        <v>2842122.4574347455</v>
      </c>
      <c r="E40" s="174">
        <f t="shared" si="20"/>
        <v>2838895.026400701</v>
      </c>
      <c r="F40" s="174">
        <f t="shared" si="20"/>
        <v>2835324.438332447</v>
      </c>
      <c r="G40" s="174">
        <f t="shared" si="20"/>
        <v>2836750.3502641926</v>
      </c>
      <c r="H40" s="174">
        <f t="shared" si="20"/>
        <v>2837639.262195938</v>
      </c>
      <c r="I40" s="174">
        <f t="shared" si="20"/>
        <v>2838808.6741276835</v>
      </c>
      <c r="J40" s="174">
        <f>SUM(J36:J39)</f>
        <v>2849428.0860594288</v>
      </c>
      <c r="K40" s="174">
        <f>SUM(K36:K39)</f>
        <v>2860426.9979911745</v>
      </c>
      <c r="L40" s="174">
        <f>SUM(L36:L39)</f>
        <v>2858588.3748390335</v>
      </c>
    </row>
    <row r="41" spans="3:12" ht="18.75" customHeight="1">
      <c r="C41" s="34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2:12" ht="18.75" customHeight="1">
      <c r="B42" s="1" t="s">
        <v>59</v>
      </c>
      <c r="C42" s="170">
        <f aca="true" t="shared" si="21" ref="C42:I42">C34+C40</f>
        <v>2669152.609588846</v>
      </c>
      <c r="D42" s="170">
        <f t="shared" si="21"/>
        <v>2530905.6806668076</v>
      </c>
      <c r="E42" s="170">
        <f t="shared" si="21"/>
        <v>2379455.7501826095</v>
      </c>
      <c r="F42" s="170">
        <f t="shared" si="21"/>
        <v>2435077.717088202</v>
      </c>
      <c r="G42" s="170">
        <f t="shared" si="21"/>
        <v>2473404.202761794</v>
      </c>
      <c r="H42" s="170">
        <f t="shared" si="21"/>
        <v>2522837.8238833854</v>
      </c>
      <c r="I42" s="170">
        <f t="shared" si="21"/>
        <v>2964841.0002049776</v>
      </c>
      <c r="J42" s="170">
        <f>J34+J40</f>
        <v>3432048.0068385694</v>
      </c>
      <c r="K42" s="170">
        <f>K34+K40</f>
        <v>3366721.867000766</v>
      </c>
      <c r="L42" s="170">
        <f>L34+L40</f>
        <v>3288558.192079076</v>
      </c>
    </row>
    <row r="43" spans="2:12" s="3" customFormat="1" ht="18.7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2" ht="18.75" customHeight="1"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8.75" customHeight="1">
      <c r="B45" s="11"/>
      <c r="C45" s="13"/>
      <c r="D45" s="13"/>
      <c r="E45" s="212" t="s">
        <v>268</v>
      </c>
      <c r="F45" s="13"/>
      <c r="G45" s="13"/>
      <c r="H45" s="13"/>
      <c r="I45" s="13"/>
      <c r="J45" s="13"/>
      <c r="K45" s="13"/>
      <c r="L45" s="13"/>
    </row>
    <row r="46" spans="1:12" ht="18.75" customHeight="1">
      <c r="A46" s="28"/>
      <c r="B46" s="28"/>
      <c r="C46" s="29">
        <f>C4</f>
        <v>2016</v>
      </c>
      <c r="D46" s="29">
        <f aca="true" t="shared" si="22" ref="D46:L47">C46+1</f>
        <v>2017</v>
      </c>
      <c r="E46" s="29">
        <f t="shared" si="22"/>
        <v>2018</v>
      </c>
      <c r="F46" s="29">
        <f t="shared" si="22"/>
        <v>2019</v>
      </c>
      <c r="G46" s="29">
        <f t="shared" si="22"/>
        <v>2020</v>
      </c>
      <c r="H46" s="29">
        <f t="shared" si="22"/>
        <v>2021</v>
      </c>
      <c r="I46" s="29">
        <f t="shared" si="22"/>
        <v>2022</v>
      </c>
      <c r="J46" s="29">
        <f t="shared" si="22"/>
        <v>2023</v>
      </c>
      <c r="K46" s="29">
        <f t="shared" si="22"/>
        <v>2024</v>
      </c>
      <c r="L46" s="29">
        <f t="shared" si="22"/>
        <v>2025</v>
      </c>
    </row>
    <row r="47" spans="1:12" ht="18.75" customHeight="1">
      <c r="A47" s="258">
        <v>2018</v>
      </c>
      <c r="B47" s="28" t="s">
        <v>43</v>
      </c>
      <c r="C47" s="29"/>
      <c r="D47" s="29"/>
      <c r="E47" s="209">
        <v>1</v>
      </c>
      <c r="F47" s="209">
        <f>E47+1</f>
        <v>2</v>
      </c>
      <c r="G47" s="209">
        <f t="shared" si="22"/>
        <v>3</v>
      </c>
      <c r="H47" s="209">
        <f t="shared" si="22"/>
        <v>4</v>
      </c>
      <c r="I47" s="209">
        <f t="shared" si="22"/>
        <v>5</v>
      </c>
      <c r="J47" s="209">
        <f t="shared" si="22"/>
        <v>6</v>
      </c>
      <c r="K47" s="209">
        <f t="shared" si="22"/>
        <v>7</v>
      </c>
      <c r="L47" s="209">
        <f t="shared" si="22"/>
        <v>8</v>
      </c>
    </row>
    <row r="48" spans="1:12" ht="18.75" customHeight="1">
      <c r="A48" s="3"/>
      <c r="B48" s="211" t="s">
        <v>31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75" customHeight="1">
      <c r="A49" s="60" t="s">
        <v>320</v>
      </c>
      <c r="B49" s="10" t="s">
        <v>430</v>
      </c>
      <c r="C49" s="172">
        <f>VLOOKUP(C$4,'Cash Flows-KU'!$B$92:$H$102,$A50)</f>
        <v>0</v>
      </c>
      <c r="D49" s="172">
        <f>VLOOKUP(D$4,'Cash Flows-KU'!$B$92:$H$102,$A50)</f>
        <v>31000528.683859635</v>
      </c>
      <c r="E49" s="172">
        <f>VLOOKUP(E$4,'Cash Flows-KU'!$B$92:$H$102,$A50)</f>
        <v>35136000</v>
      </c>
      <c r="F49" s="172">
        <f>VLOOKUP(F$4,'Cash Flows-KU'!$B$92:$H$102,$A50)</f>
        <v>0</v>
      </c>
      <c r="G49" s="172">
        <f>VLOOKUP(G$4,'Cash Flows-KU'!$B$92:$H$102,$A50)</f>
        <v>0</v>
      </c>
      <c r="H49" s="172">
        <f>VLOOKUP(H$4,'Cash Flows-KU'!$B$92:$H$102,$A50)</f>
        <v>0</v>
      </c>
      <c r="I49" s="172">
        <f>VLOOKUP(I$4,'Cash Flows-KU'!$B$92:$H$102,$A50)</f>
        <v>0</v>
      </c>
      <c r="J49" s="172">
        <f>VLOOKUP(J$4,'Cash Flows-KU'!$B$92:$H$102,$A50)</f>
        <v>0</v>
      </c>
      <c r="K49" s="172">
        <f>VLOOKUP(K$4,'Cash Flows-KU'!$B$92:$H$102,$A50)</f>
        <v>0</v>
      </c>
      <c r="L49" s="172">
        <f>VLOOKUP(L$4,'Cash Flows-KU'!$B$92:$H$102,$A50)</f>
        <v>0</v>
      </c>
    </row>
    <row r="50" spans="1:13" ht="18.75" customHeight="1">
      <c r="A50" s="3">
        <v>3</v>
      </c>
      <c r="B50" s="40" t="s">
        <v>57</v>
      </c>
      <c r="C50" s="172">
        <f>SUM($C49:C49)</f>
        <v>0</v>
      </c>
      <c r="D50" s="172">
        <f>SUM($C49:D49)</f>
        <v>31000528.683859635</v>
      </c>
      <c r="E50" s="172">
        <f>SUM($C49:E49)</f>
        <v>66136528.68385963</v>
      </c>
      <c r="F50" s="172">
        <f>SUM($C49:F49)</f>
        <v>66136528.68385963</v>
      </c>
      <c r="G50" s="172">
        <f>SUM($C49:G49)</f>
        <v>66136528.68385963</v>
      </c>
      <c r="H50" s="172">
        <f>SUM($C49:H49)</f>
        <v>66136528.68385963</v>
      </c>
      <c r="I50" s="172">
        <f>SUM($C49:I49)</f>
        <v>66136528.68385963</v>
      </c>
      <c r="J50" s="172">
        <f>SUM($C49:J49)</f>
        <v>66136528.68385963</v>
      </c>
      <c r="K50" s="172">
        <f>SUM($C49:K49)</f>
        <v>66136528.68385963</v>
      </c>
      <c r="L50" s="172">
        <f>SUM($C49:L49)</f>
        <v>66136528.68385963</v>
      </c>
      <c r="M50" s="18"/>
    </row>
    <row r="51" spans="1:12" ht="18.75" customHeight="1">
      <c r="A51" s="3">
        <v>2</v>
      </c>
      <c r="B51" s="5" t="s">
        <v>0</v>
      </c>
      <c r="C51" s="6">
        <f>IF(C47="",0,VLOOKUP($B48,Depreciation!$D$2:$E$31,$A51,FALSE))</f>
        <v>0</v>
      </c>
      <c r="D51" s="6">
        <f>IF(D47="",0,VLOOKUP($B48,Depreciation!$D$2:$E$31,$A51,FALSE))</f>
        <v>0</v>
      </c>
      <c r="E51" s="6">
        <f>IF(E47="",0,VLOOKUP($B48,Depreciation!$D$2:$E$31,$A51,FALSE))</f>
        <v>0.0235</v>
      </c>
      <c r="F51" s="6">
        <f>IF(F47="",0,VLOOKUP($B48,Depreciation!$D$2:$E$31,$A51,FALSE))</f>
        <v>0.0235</v>
      </c>
      <c r="G51" s="6">
        <f>IF(G47="",0,VLOOKUP($B48,Depreciation!$D$2:$E$31,$A51,FALSE))</f>
        <v>0.0235</v>
      </c>
      <c r="H51" s="6">
        <f>IF(H47="",0,VLOOKUP($B48,Depreciation!$D$2:$E$31,$A51,FALSE))</f>
        <v>0.0235</v>
      </c>
      <c r="I51" s="6">
        <f>IF(I47="",0,VLOOKUP($B48,Depreciation!$D$2:$E$31,$A51,FALSE))</f>
        <v>0.0235</v>
      </c>
      <c r="J51" s="6">
        <f>IF(J47="",0,VLOOKUP($B48,Depreciation!$D$2:$E$31,$A51,FALSE))</f>
        <v>0.0235</v>
      </c>
      <c r="K51" s="6">
        <f>IF(K47="",0,VLOOKUP($B48,Depreciation!$D$2:$E$31,$A51,FALSE))</f>
        <v>0.0235</v>
      </c>
      <c r="L51" s="6">
        <f>IF(L47="",0,VLOOKUP($B48,Depreciation!$D$2:$E$31,$A51,FALSE))</f>
        <v>0.0235</v>
      </c>
    </row>
    <row r="52" spans="1:12" ht="18.75" customHeight="1">
      <c r="A52" s="3">
        <v>2</v>
      </c>
      <c r="B52" s="5" t="s">
        <v>1</v>
      </c>
      <c r="C52" s="6">
        <f>IF(C47="",0,VLOOKUP(C47,Depreciation!$A$2:$C$58,$A52,FALSE))</f>
        <v>0</v>
      </c>
      <c r="D52" s="6">
        <f>IF(D47="",0,VLOOKUP(D47,Depreciation!$A$2:$C$58,$A52,FALSE))</f>
        <v>0</v>
      </c>
      <c r="E52" s="6">
        <f>IF(E47="",0,VLOOKUP(E47,Depreciation!$A$2:$C$58,$A52,FALSE))</f>
        <v>0.0375</v>
      </c>
      <c r="F52" s="6">
        <f>IF(F47="",0,VLOOKUP(F47,Depreciation!$A$2:$C$58,$A52,FALSE))</f>
        <v>0.07219</v>
      </c>
      <c r="G52" s="6">
        <f>IF(G47="",0,VLOOKUP(G47,Depreciation!$A$2:$C$58,$A52,FALSE))</f>
        <v>0.06677</v>
      </c>
      <c r="H52" s="6">
        <f>IF(H47="",0,VLOOKUP(H47,Depreciation!$A$2:$C$58,$A52,FALSE))</f>
        <v>0.06177</v>
      </c>
      <c r="I52" s="6">
        <f>IF(I47="",0,VLOOKUP(I47,Depreciation!$A$2:$C$58,$A52,FALSE))</f>
        <v>0.05713</v>
      </c>
      <c r="J52" s="6">
        <f>IF(J47="",0,VLOOKUP(J47,Depreciation!$A$2:$C$58,$A52,FALSE))</f>
        <v>0.05285</v>
      </c>
      <c r="K52" s="6">
        <f>IF(K47="",0,VLOOKUP(K47,Depreciation!$A$2:$C$58,$A52,FALSE))</f>
        <v>0.04888</v>
      </c>
      <c r="L52" s="6">
        <f>IF(L47="",0,VLOOKUP(L47,Depreciation!$A$2:$C$58,$A52,FALSE))</f>
        <v>0.04522</v>
      </c>
    </row>
    <row r="53" spans="1:12" ht="18.75" customHeight="1">
      <c r="A53" s="30"/>
      <c r="B53" s="31" t="s">
        <v>2</v>
      </c>
      <c r="C53" s="7">
        <f>Input!B$3</f>
        <v>0.38665999999999995</v>
      </c>
      <c r="D53" s="7">
        <f>Input!C$3</f>
        <v>0.38665999999999995</v>
      </c>
      <c r="E53" s="7">
        <f>Input!D$3</f>
        <v>0.38665999999999995</v>
      </c>
      <c r="F53" s="7">
        <f>Input!E$3</f>
        <v>0.38665999999999995</v>
      </c>
      <c r="G53" s="7">
        <f>Input!F$3</f>
        <v>0.38665999999999995</v>
      </c>
      <c r="H53" s="7">
        <f>Input!G$3</f>
        <v>0.38665999999999995</v>
      </c>
      <c r="I53" s="7">
        <f>Input!H$3</f>
        <v>0.38665999999999995</v>
      </c>
      <c r="J53" s="7">
        <f>Input!I$3</f>
        <v>0.38665999999999995</v>
      </c>
      <c r="K53" s="7">
        <f>Input!J$3</f>
        <v>0.38665999999999995</v>
      </c>
      <c r="L53" s="7">
        <f>Input!K$3</f>
        <v>0.38665999999999995</v>
      </c>
    </row>
    <row r="54" spans="2:12" ht="18.75" customHeight="1">
      <c r="B54" s="2" t="s">
        <v>3</v>
      </c>
      <c r="C54" s="170">
        <f>SUM($C65:C65)</f>
        <v>0</v>
      </c>
      <c r="D54" s="170">
        <f>SUM($C65:D65)</f>
        <v>0</v>
      </c>
      <c r="E54" s="170">
        <f>SUM($C65:E65)</f>
        <v>10779278.358545275</v>
      </c>
      <c r="F54" s="170">
        <f>SUM($C65:F65)</f>
        <v>11285968.90502965</v>
      </c>
      <c r="G54" s="170">
        <f>SUM($C65:G65)</f>
        <v>11709498.168725736</v>
      </c>
      <c r="H54" s="170">
        <f>SUM($C65:H65)</f>
        <v>12056310.381879117</v>
      </c>
      <c r="I54" s="170">
        <f>SUM($C65:I65)</f>
        <v>12331929.172128871</v>
      </c>
      <c r="J54" s="170">
        <f>SUM($C65:J65)</f>
        <v>12541878.16711407</v>
      </c>
      <c r="K54" s="170">
        <f>SUM($C65:K65)</f>
        <v>12690913.823968362</v>
      </c>
      <c r="L54" s="170">
        <f>SUM($C65:L65)</f>
        <v>12783792.599825395</v>
      </c>
    </row>
    <row r="55" spans="2:12" ht="18.75" customHeight="1">
      <c r="B55" s="2" t="s">
        <v>4</v>
      </c>
      <c r="C55" s="170">
        <f>SUM($C57:C57)</f>
        <v>0</v>
      </c>
      <c r="D55" s="170">
        <f>SUM($C57:D57)</f>
        <v>0</v>
      </c>
      <c r="E55" s="170">
        <f>SUM($C57:E57)</f>
        <v>64758.68433627922</v>
      </c>
      <c r="F55" s="170">
        <f>SUM($C57:F57)</f>
        <v>1618967.1084069805</v>
      </c>
      <c r="G55" s="170">
        <f>SUM($C57:G57)</f>
        <v>3173175.5324776815</v>
      </c>
      <c r="H55" s="170">
        <f>SUM($C57:H57)</f>
        <v>4727383.9565483825</v>
      </c>
      <c r="I55" s="170">
        <f>SUM($C57:I57)</f>
        <v>6281592.3806190835</v>
      </c>
      <c r="J55" s="170">
        <f>SUM($C57:J57)</f>
        <v>7835800.8046897845</v>
      </c>
      <c r="K55" s="170">
        <f>SUM($C57:K57)</f>
        <v>9390009.228760486</v>
      </c>
      <c r="L55" s="170">
        <f>SUM($C57:L57)</f>
        <v>10944217.652831187</v>
      </c>
    </row>
    <row r="56" spans="2:12" ht="18.75" customHeight="1">
      <c r="B56" s="11" t="s">
        <v>5</v>
      </c>
      <c r="C56" s="170">
        <f>C49</f>
        <v>0</v>
      </c>
      <c r="D56" s="170">
        <f>C56+D49</f>
        <v>31000528.683859635</v>
      </c>
      <c r="E56" s="170">
        <f aca="true" t="shared" si="23" ref="E56:L56">D56+E49</f>
        <v>66136528.68385963</v>
      </c>
      <c r="F56" s="170">
        <f t="shared" si="23"/>
        <v>66136528.68385963</v>
      </c>
      <c r="G56" s="170">
        <f t="shared" si="23"/>
        <v>66136528.68385963</v>
      </c>
      <c r="H56" s="170">
        <f t="shared" si="23"/>
        <v>66136528.68385963</v>
      </c>
      <c r="I56" s="170">
        <f t="shared" si="23"/>
        <v>66136528.68385963</v>
      </c>
      <c r="J56" s="170">
        <f t="shared" si="23"/>
        <v>66136528.68385963</v>
      </c>
      <c r="K56" s="170">
        <f t="shared" si="23"/>
        <v>66136528.68385963</v>
      </c>
      <c r="L56" s="170">
        <f t="shared" si="23"/>
        <v>66136528.68385963</v>
      </c>
    </row>
    <row r="57" spans="1:12" ht="18.75" customHeight="1">
      <c r="A57" s="214" t="s">
        <v>359</v>
      </c>
      <c r="B57" s="11" t="s">
        <v>6</v>
      </c>
      <c r="C57" s="170">
        <f aca="true" t="shared" si="24" ref="C57:L57">IF(C47=1,(12.5-VLOOKUP(C45,$Q$5:$R$16,2,))*C51/12*C56,C56*C51)</f>
        <v>0</v>
      </c>
      <c r="D57" s="170">
        <f t="shared" si="24"/>
        <v>0</v>
      </c>
      <c r="E57" s="170">
        <f t="shared" si="24"/>
        <v>64758.68433627922</v>
      </c>
      <c r="F57" s="170">
        <f t="shared" si="24"/>
        <v>1554208.4240707012</v>
      </c>
      <c r="G57" s="170">
        <f t="shared" si="24"/>
        <v>1554208.4240707012</v>
      </c>
      <c r="H57" s="170">
        <f t="shared" si="24"/>
        <v>1554208.4240707012</v>
      </c>
      <c r="I57" s="170">
        <f t="shared" si="24"/>
        <v>1554208.4240707012</v>
      </c>
      <c r="J57" s="170">
        <f t="shared" si="24"/>
        <v>1554208.4240707012</v>
      </c>
      <c r="K57" s="170">
        <f t="shared" si="24"/>
        <v>1554208.4240707012</v>
      </c>
      <c r="L57" s="170">
        <f t="shared" si="24"/>
        <v>1554208.4240707012</v>
      </c>
    </row>
    <row r="58" spans="2:12" ht="18.75" customHeight="1">
      <c r="B58" s="5" t="s">
        <v>7</v>
      </c>
      <c r="C58" s="170">
        <f>C49</f>
        <v>0</v>
      </c>
      <c r="D58" s="170">
        <f aca="true" t="shared" si="25" ref="D58:L58">C58+D49</f>
        <v>31000528.683859635</v>
      </c>
      <c r="E58" s="170">
        <f t="shared" si="25"/>
        <v>66136528.68385963</v>
      </c>
      <c r="F58" s="170">
        <f t="shared" si="25"/>
        <v>66136528.68385963</v>
      </c>
      <c r="G58" s="170">
        <f t="shared" si="25"/>
        <v>66136528.68385963</v>
      </c>
      <c r="H58" s="170">
        <f t="shared" si="25"/>
        <v>66136528.68385963</v>
      </c>
      <c r="I58" s="170">
        <f t="shared" si="25"/>
        <v>66136528.68385963</v>
      </c>
      <c r="J58" s="170">
        <f t="shared" si="25"/>
        <v>66136528.68385963</v>
      </c>
      <c r="K58" s="170">
        <f t="shared" si="25"/>
        <v>66136528.68385963</v>
      </c>
      <c r="L58" s="170">
        <f t="shared" si="25"/>
        <v>66136528.68385963</v>
      </c>
    </row>
    <row r="59" spans="2:12" ht="18.75" customHeight="1">
      <c r="B59" s="213" t="s">
        <v>361</v>
      </c>
      <c r="C59" s="170">
        <f>IF(C47=1,IF($A57="Bonus",SUM($C49:C49)*VLOOKUP(C46,Depreciation!$D$41:$E$50,2),0),0)</f>
        <v>0</v>
      </c>
      <c r="D59" s="170">
        <f>IF(D47=1,IF($A57="Bonus",SUM($C49:D49)*VLOOKUP(D46,Depreciation!$D$41:$E$50,2),0),0)</f>
        <v>0</v>
      </c>
      <c r="E59" s="170">
        <f>IF(E47=1,IF($A57="Bonus",SUM($C49:E49)*VLOOKUP(E46,Depreciation!$D$41:$E$50,2),0),0)</f>
        <v>26454611.473543853</v>
      </c>
      <c r="F59" s="170">
        <f>IF(F47=1,IF($A57="Bonus",SUM($C49:F49)*VLOOKUP(F46,Depreciation!$D$41:$E$50,2),0),0)</f>
        <v>0</v>
      </c>
      <c r="G59" s="170">
        <f>IF(G47=1,IF($A57="Bonus",SUM($C49:G49)*VLOOKUP(G46,Depreciation!$D$41:$E$50,2),0),0)</f>
        <v>0</v>
      </c>
      <c r="H59" s="170">
        <f>IF(H47=1,IF($A57="Bonus",SUM($C49:H49)*VLOOKUP(H46,Depreciation!$D$41:$E$50,2),0),0)</f>
        <v>0</v>
      </c>
      <c r="I59" s="170">
        <f>IF(I47=1,IF($A57="Bonus",SUM($C49:I49)*VLOOKUP(I46,Depreciation!$D$41:$E$50,2),0),0)</f>
        <v>0</v>
      </c>
      <c r="J59" s="170">
        <f>IF(J47=1,IF($A57="Bonus",SUM($C49:J49)*VLOOKUP(J46,Depreciation!$D$41:$E$50,2),0),0)</f>
        <v>0</v>
      </c>
      <c r="K59" s="170">
        <f>IF(K47=1,IF($A57="Bonus",SUM($C49:K49)*VLOOKUP(K46,Depreciation!$D$41:$E$50,2),0),0)</f>
        <v>0</v>
      </c>
      <c r="L59" s="170">
        <f>IF(L47=1,IF($A57="Bonus",SUM($C49:L49)*VLOOKUP(L46,Depreciation!$D$41:$E$50,2),0),0)</f>
        <v>0</v>
      </c>
    </row>
    <row r="60" spans="2:12" ht="18.75" customHeight="1">
      <c r="B60" s="5" t="s">
        <v>362</v>
      </c>
      <c r="C60" s="170">
        <f>IF(C47&gt;=1,IF($A57="Bonus",C50*(1-VLOOKUP($A47,Depreciation!$D$41:$N$50,C46-2014))*C52,C50*C52),C50*C52)</f>
        <v>0</v>
      </c>
      <c r="D60" s="170">
        <f>IF(D47&gt;=1,IF($A57="Bonus",D50*(1-VLOOKUP($A47,Depreciation!$D$41:$N$50,D46-2014))*D52,D50*D52),D50*D52)</f>
        <v>0</v>
      </c>
      <c r="E60" s="170">
        <f>IF(E47&gt;=1,IF($A57="Bonus",E50*(1-VLOOKUP($A47,Depreciation!$D$41:$N$50,E46-2014))*E52,E50*E52),E50*E52)</f>
        <v>1488071.8953868416</v>
      </c>
      <c r="F60" s="170">
        <f>IF(F47&gt;=1,IF($A57="Bonus",F50*(1-VLOOKUP($A47,Depreciation!$D$41:$N$50,F46-2014))*F52,F50*F52),F50*F52)</f>
        <v>2864637.603412696</v>
      </c>
      <c r="G60" s="170">
        <f>IF(G47&gt;=1,IF($A57="Bonus",G50*(1-VLOOKUP($A47,Depreciation!$D$41:$N$50,G46-2014))*G52,G50*G52),G50*G52)</f>
        <v>2649561.6121327844</v>
      </c>
      <c r="H60" s="170">
        <f>IF(H47&gt;=1,IF($A57="Bonus",H50*(1-VLOOKUP($A47,Depreciation!$D$41:$N$50,H46-2014))*H52,H50*H52),H50*H52)</f>
        <v>2451152.026081206</v>
      </c>
      <c r="I60" s="170">
        <f>IF(I47&gt;=1,IF($A57="Bonus",I50*(1-VLOOKUP($A47,Depreciation!$D$41:$N$50,I46-2014))*I52,I50*I52),I50*I52)</f>
        <v>2267027.9302253406</v>
      </c>
      <c r="J60" s="170">
        <f>IF(J47&gt;=1,IF($A57="Bonus",J50*(1-VLOOKUP($A47,Depreciation!$D$41:$N$50,J46-2014))*J52,J50*J52),J50*J52)</f>
        <v>2097189.324565189</v>
      </c>
      <c r="K60" s="170">
        <f>IF(K47&gt;=1,IF($A57="Bonus",K50*(1-VLOOKUP($A47,Depreciation!$D$41:$N$50,K46-2014))*K52,K50*K52),K50*K52)</f>
        <v>1939652.1132402353</v>
      </c>
      <c r="L60" s="170">
        <f>IF(L47&gt;=1,IF($A57="Bonus",L50*(1-VLOOKUP($A47,Depreciation!$D$41:$N$50,L46-2014))*L52,L50*L52),L50*L52)</f>
        <v>1794416.2962504798</v>
      </c>
    </row>
    <row r="61" spans="2:12" ht="18.75" customHeight="1">
      <c r="B61" s="5" t="s">
        <v>17</v>
      </c>
      <c r="C61" s="7">
        <f>Input!J$31</f>
        <v>0.10152297909805327</v>
      </c>
      <c r="D61" s="7">
        <f>Input!K$31</f>
        <v>0.10152297909805327</v>
      </c>
      <c r="E61" s="7">
        <f>Input!L$31</f>
        <v>0.10152297909805327</v>
      </c>
      <c r="F61" s="7">
        <f>Input!M$31</f>
        <v>0.10152297909805327</v>
      </c>
      <c r="G61" s="7">
        <f>Input!N$31</f>
        <v>0.10152297909805327</v>
      </c>
      <c r="H61" s="7">
        <f>Input!O$31</f>
        <v>0.10152297909805327</v>
      </c>
      <c r="I61" s="7">
        <f>Input!P$31</f>
        <v>0.10152297909805327</v>
      </c>
      <c r="J61" s="7">
        <f>Input!Q$31</f>
        <v>0.10152297909805327</v>
      </c>
      <c r="K61" s="7">
        <f>Input!R$31</f>
        <v>0.10152297909805327</v>
      </c>
      <c r="L61" s="7">
        <f>Input!S$31</f>
        <v>0.10152297909805327</v>
      </c>
    </row>
    <row r="62" spans="2:12" ht="18.75" customHeight="1">
      <c r="B62" s="5" t="s">
        <v>8</v>
      </c>
      <c r="C62" s="171">
        <f>C57</f>
        <v>0</v>
      </c>
      <c r="D62" s="171">
        <f aca="true" t="shared" si="26" ref="D62:L62">D57</f>
        <v>0</v>
      </c>
      <c r="E62" s="171">
        <f t="shared" si="26"/>
        <v>64758.68433627922</v>
      </c>
      <c r="F62" s="171">
        <f t="shared" si="26"/>
        <v>1554208.4240707012</v>
      </c>
      <c r="G62" s="171">
        <f t="shared" si="26"/>
        <v>1554208.4240707012</v>
      </c>
      <c r="H62" s="171">
        <f t="shared" si="26"/>
        <v>1554208.4240707012</v>
      </c>
      <c r="I62" s="171">
        <f t="shared" si="26"/>
        <v>1554208.4240707012</v>
      </c>
      <c r="J62" s="171">
        <f t="shared" si="26"/>
        <v>1554208.4240707012</v>
      </c>
      <c r="K62" s="171">
        <f t="shared" si="26"/>
        <v>1554208.4240707012</v>
      </c>
      <c r="L62" s="171">
        <f t="shared" si="26"/>
        <v>1554208.4240707012</v>
      </c>
    </row>
    <row r="63" spans="2:12" ht="18.75" customHeight="1">
      <c r="B63" s="11" t="s">
        <v>364</v>
      </c>
      <c r="C63" s="171">
        <f aca="true" t="shared" si="27" ref="C63:L63">SUM(C59,C60)</f>
        <v>0</v>
      </c>
      <c r="D63" s="171">
        <f t="shared" si="27"/>
        <v>0</v>
      </c>
      <c r="E63" s="171">
        <f t="shared" si="27"/>
        <v>27942683.368930694</v>
      </c>
      <c r="F63" s="171">
        <f t="shared" si="27"/>
        <v>2864637.603412696</v>
      </c>
      <c r="G63" s="171">
        <f t="shared" si="27"/>
        <v>2649561.6121327844</v>
      </c>
      <c r="H63" s="171">
        <f t="shared" si="27"/>
        <v>2451152.026081206</v>
      </c>
      <c r="I63" s="171">
        <f t="shared" si="27"/>
        <v>2267027.9302253406</v>
      </c>
      <c r="J63" s="171">
        <f t="shared" si="27"/>
        <v>2097189.324565189</v>
      </c>
      <c r="K63" s="171">
        <f t="shared" si="27"/>
        <v>1939652.1132402353</v>
      </c>
      <c r="L63" s="171">
        <f t="shared" si="27"/>
        <v>1794416.2962504798</v>
      </c>
    </row>
    <row r="64" spans="2:12" ht="18.75" customHeight="1">
      <c r="B64" s="2" t="s">
        <v>9</v>
      </c>
      <c r="C64" s="8">
        <f>Input!$B$6</f>
        <v>0.0015</v>
      </c>
      <c r="D64" s="8">
        <f aca="true" t="shared" si="28" ref="D64:I64">C64</f>
        <v>0.0015</v>
      </c>
      <c r="E64" s="8">
        <f t="shared" si="28"/>
        <v>0.0015</v>
      </c>
      <c r="F64" s="8">
        <f t="shared" si="28"/>
        <v>0.0015</v>
      </c>
      <c r="G64" s="8">
        <f t="shared" si="28"/>
        <v>0.0015</v>
      </c>
      <c r="H64" s="8">
        <f t="shared" si="28"/>
        <v>0.0015</v>
      </c>
      <c r="I64" s="8">
        <f t="shared" si="28"/>
        <v>0.0015</v>
      </c>
      <c r="J64" s="8">
        <f>I64</f>
        <v>0.0015</v>
      </c>
      <c r="K64" s="8">
        <f>J64</f>
        <v>0.0015</v>
      </c>
      <c r="L64" s="8">
        <f>K64</f>
        <v>0.0015</v>
      </c>
    </row>
    <row r="65" spans="2:12" ht="18.75" customHeight="1">
      <c r="B65" s="4" t="s">
        <v>363</v>
      </c>
      <c r="C65" s="171">
        <f aca="true" t="shared" si="29" ref="C65:L65">(C63-C62)*C53</f>
        <v>0</v>
      </c>
      <c r="D65" s="171">
        <f t="shared" si="29"/>
        <v>0</v>
      </c>
      <c r="E65" s="171">
        <f t="shared" si="29"/>
        <v>10779278.358545275</v>
      </c>
      <c r="F65" s="171">
        <f t="shared" si="29"/>
        <v>506690.54648437566</v>
      </c>
      <c r="G65" s="171">
        <f t="shared" si="29"/>
        <v>423529.263696085</v>
      </c>
      <c r="H65" s="171">
        <f t="shared" si="29"/>
        <v>346812.21315338166</v>
      </c>
      <c r="I65" s="171">
        <f t="shared" si="29"/>
        <v>275618.7902497528</v>
      </c>
      <c r="J65" s="171">
        <f t="shared" si="29"/>
        <v>209948.9949851986</v>
      </c>
      <c r="K65" s="171">
        <f t="shared" si="29"/>
        <v>149035.656854292</v>
      </c>
      <c r="L65" s="171">
        <f t="shared" si="29"/>
        <v>92878.77585703315</v>
      </c>
    </row>
    <row r="66" spans="2:12" ht="18.75" customHeight="1">
      <c r="B66" s="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8.75" customHeight="1">
      <c r="B67" s="10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8.75" customHeight="1">
      <c r="B68" s="5" t="s">
        <v>16</v>
      </c>
      <c r="C68" s="169">
        <f aca="true" t="shared" si="30" ref="C68:L68">C50</f>
        <v>0</v>
      </c>
      <c r="D68" s="169">
        <f t="shared" si="30"/>
        <v>31000528.683859635</v>
      </c>
      <c r="E68" s="169">
        <f t="shared" si="30"/>
        <v>66136528.68385963</v>
      </c>
      <c r="F68" s="169">
        <f t="shared" si="30"/>
        <v>66136528.68385963</v>
      </c>
      <c r="G68" s="169">
        <f t="shared" si="30"/>
        <v>66136528.68385963</v>
      </c>
      <c r="H68" s="169">
        <f t="shared" si="30"/>
        <v>66136528.68385963</v>
      </c>
      <c r="I68" s="169">
        <f t="shared" si="30"/>
        <v>66136528.68385963</v>
      </c>
      <c r="J68" s="169">
        <f t="shared" si="30"/>
        <v>66136528.68385963</v>
      </c>
      <c r="K68" s="169">
        <f t="shared" si="30"/>
        <v>66136528.68385963</v>
      </c>
      <c r="L68" s="169">
        <f t="shared" si="30"/>
        <v>66136528.68385963</v>
      </c>
    </row>
    <row r="69" spans="1:12" ht="18.75" customHeight="1">
      <c r="A69" s="3"/>
      <c r="B69" s="4" t="s">
        <v>44</v>
      </c>
      <c r="C69" s="170">
        <v>0</v>
      </c>
      <c r="D69" s="170">
        <f aca="true" t="shared" si="31" ref="D69:L69">C69</f>
        <v>0</v>
      </c>
      <c r="E69" s="170">
        <f t="shared" si="31"/>
        <v>0</v>
      </c>
      <c r="F69" s="170">
        <f t="shared" si="31"/>
        <v>0</v>
      </c>
      <c r="G69" s="170">
        <f t="shared" si="31"/>
        <v>0</v>
      </c>
      <c r="H69" s="170">
        <f t="shared" si="31"/>
        <v>0</v>
      </c>
      <c r="I69" s="170">
        <f t="shared" si="31"/>
        <v>0</v>
      </c>
      <c r="J69" s="170">
        <f t="shared" si="31"/>
        <v>0</v>
      </c>
      <c r="K69" s="170">
        <f t="shared" si="31"/>
        <v>0</v>
      </c>
      <c r="L69" s="170">
        <f t="shared" si="31"/>
        <v>0</v>
      </c>
    </row>
    <row r="70" spans="2:12" ht="18.75" customHeight="1">
      <c r="B70" s="2" t="s">
        <v>10</v>
      </c>
      <c r="C70" s="170">
        <f aca="true" t="shared" si="32" ref="C70:L70">-C55</f>
        <v>0</v>
      </c>
      <c r="D70" s="170">
        <f t="shared" si="32"/>
        <v>0</v>
      </c>
      <c r="E70" s="170">
        <f t="shared" si="32"/>
        <v>-64758.68433627922</v>
      </c>
      <c r="F70" s="170">
        <f t="shared" si="32"/>
        <v>-1618967.1084069805</v>
      </c>
      <c r="G70" s="170">
        <f t="shared" si="32"/>
        <v>-3173175.5324776815</v>
      </c>
      <c r="H70" s="170">
        <f t="shared" si="32"/>
        <v>-4727383.9565483825</v>
      </c>
      <c r="I70" s="170">
        <f t="shared" si="32"/>
        <v>-6281592.3806190835</v>
      </c>
      <c r="J70" s="170">
        <f t="shared" si="32"/>
        <v>-7835800.8046897845</v>
      </c>
      <c r="K70" s="170">
        <f t="shared" si="32"/>
        <v>-9390009.228760486</v>
      </c>
      <c r="L70" s="170">
        <f t="shared" si="32"/>
        <v>-10944217.652831187</v>
      </c>
    </row>
    <row r="71" spans="2:12" ht="18.75" customHeight="1">
      <c r="B71" s="2" t="s">
        <v>45</v>
      </c>
      <c r="C71" s="170">
        <v>0</v>
      </c>
      <c r="D71" s="170">
        <f aca="true" t="shared" si="33" ref="D71:L71">C71</f>
        <v>0</v>
      </c>
      <c r="E71" s="170">
        <f t="shared" si="33"/>
        <v>0</v>
      </c>
      <c r="F71" s="170">
        <f t="shared" si="33"/>
        <v>0</v>
      </c>
      <c r="G71" s="170">
        <f t="shared" si="33"/>
        <v>0</v>
      </c>
      <c r="H71" s="170">
        <f t="shared" si="33"/>
        <v>0</v>
      </c>
      <c r="I71" s="170">
        <f t="shared" si="33"/>
        <v>0</v>
      </c>
      <c r="J71" s="170">
        <f t="shared" si="33"/>
        <v>0</v>
      </c>
      <c r="K71" s="170">
        <f t="shared" si="33"/>
        <v>0</v>
      </c>
      <c r="L71" s="170">
        <f t="shared" si="33"/>
        <v>0</v>
      </c>
    </row>
    <row r="72" spans="2:12" ht="18.75" customHeight="1">
      <c r="B72" s="2" t="s">
        <v>46</v>
      </c>
      <c r="C72" s="170">
        <f aca="true" t="shared" si="34" ref="C72:L72">-C54</f>
        <v>0</v>
      </c>
      <c r="D72" s="170">
        <f t="shared" si="34"/>
        <v>0</v>
      </c>
      <c r="E72" s="170">
        <f t="shared" si="34"/>
        <v>-10779278.358545275</v>
      </c>
      <c r="F72" s="170">
        <f t="shared" si="34"/>
        <v>-11285968.90502965</v>
      </c>
      <c r="G72" s="170">
        <f t="shared" si="34"/>
        <v>-11709498.168725736</v>
      </c>
      <c r="H72" s="170">
        <f t="shared" si="34"/>
        <v>-12056310.381879117</v>
      </c>
      <c r="I72" s="170">
        <f t="shared" si="34"/>
        <v>-12331929.172128871</v>
      </c>
      <c r="J72" s="170">
        <f t="shared" si="34"/>
        <v>-12541878.16711407</v>
      </c>
      <c r="K72" s="170">
        <f t="shared" si="34"/>
        <v>-12690913.823968362</v>
      </c>
      <c r="L72" s="170">
        <f t="shared" si="34"/>
        <v>-12783792.599825395</v>
      </c>
    </row>
    <row r="73" spans="2:12" ht="18.75" customHeight="1">
      <c r="B73" s="2" t="s">
        <v>47</v>
      </c>
      <c r="C73" s="170">
        <v>0</v>
      </c>
      <c r="D73" s="170">
        <f aca="true" t="shared" si="35" ref="D73:L73">C73</f>
        <v>0</v>
      </c>
      <c r="E73" s="170">
        <f t="shared" si="35"/>
        <v>0</v>
      </c>
      <c r="F73" s="170">
        <f t="shared" si="35"/>
        <v>0</v>
      </c>
      <c r="G73" s="170">
        <f t="shared" si="35"/>
        <v>0</v>
      </c>
      <c r="H73" s="170">
        <f t="shared" si="35"/>
        <v>0</v>
      </c>
      <c r="I73" s="170">
        <f t="shared" si="35"/>
        <v>0</v>
      </c>
      <c r="J73" s="170">
        <f t="shared" si="35"/>
        <v>0</v>
      </c>
      <c r="K73" s="170">
        <f t="shared" si="35"/>
        <v>0</v>
      </c>
      <c r="L73" s="170">
        <f t="shared" si="35"/>
        <v>0</v>
      </c>
    </row>
    <row r="74" spans="2:12" ht="18.75" customHeight="1">
      <c r="B74" s="2" t="s">
        <v>11</v>
      </c>
      <c r="C74" s="170">
        <f aca="true" t="shared" si="36" ref="C74:L74">SUM(C68:C73)</f>
        <v>0</v>
      </c>
      <c r="D74" s="170">
        <f t="shared" si="36"/>
        <v>31000528.683859635</v>
      </c>
      <c r="E74" s="170">
        <f t="shared" si="36"/>
        <v>55292491.640978076</v>
      </c>
      <c r="F74" s="170">
        <f t="shared" si="36"/>
        <v>53231592.670423</v>
      </c>
      <c r="G74" s="170">
        <f t="shared" si="36"/>
        <v>51253854.98265621</v>
      </c>
      <c r="H74" s="170">
        <f t="shared" si="36"/>
        <v>49352834.34543213</v>
      </c>
      <c r="I74" s="170">
        <f t="shared" si="36"/>
        <v>47523007.131111674</v>
      </c>
      <c r="J74" s="170">
        <f t="shared" si="36"/>
        <v>45758849.71205577</v>
      </c>
      <c r="K74" s="170">
        <f t="shared" si="36"/>
        <v>44055605.631130785</v>
      </c>
      <c r="L74" s="170">
        <f t="shared" si="36"/>
        <v>42408518.431203045</v>
      </c>
    </row>
    <row r="75" spans="2:12" ht="18.75" customHeight="1">
      <c r="B75" s="2" t="s">
        <v>12</v>
      </c>
      <c r="C75" s="7">
        <f aca="true" t="shared" si="37" ref="C75:L75">C61</f>
        <v>0.10152297909805327</v>
      </c>
      <c r="D75" s="7">
        <f t="shared" si="37"/>
        <v>0.10152297909805327</v>
      </c>
      <c r="E75" s="7">
        <f t="shared" si="37"/>
        <v>0.10152297909805327</v>
      </c>
      <c r="F75" s="7">
        <f t="shared" si="37"/>
        <v>0.10152297909805327</v>
      </c>
      <c r="G75" s="7">
        <f t="shared" si="37"/>
        <v>0.10152297909805327</v>
      </c>
      <c r="H75" s="7">
        <f t="shared" si="37"/>
        <v>0.10152297909805327</v>
      </c>
      <c r="I75" s="7">
        <f t="shared" si="37"/>
        <v>0.10152297909805327</v>
      </c>
      <c r="J75" s="7">
        <f t="shared" si="37"/>
        <v>0.10152297909805327</v>
      </c>
      <c r="K75" s="7">
        <f t="shared" si="37"/>
        <v>0.10152297909805327</v>
      </c>
      <c r="L75" s="7">
        <f t="shared" si="37"/>
        <v>0.10152297909805327</v>
      </c>
    </row>
    <row r="76" spans="2:12" ht="18.75" customHeight="1">
      <c r="B76" s="34" t="s">
        <v>58</v>
      </c>
      <c r="C76" s="174">
        <f aca="true" t="shared" si="38" ref="C76:L76">C74*C75</f>
        <v>0</v>
      </c>
      <c r="D76" s="174">
        <f t="shared" si="38"/>
        <v>3147266.0256000827</v>
      </c>
      <c r="E76" s="174">
        <f t="shared" si="38"/>
        <v>5613458.473146303</v>
      </c>
      <c r="F76" s="174">
        <f t="shared" si="38"/>
        <v>5404229.87003544</v>
      </c>
      <c r="G76" s="174">
        <f t="shared" si="38"/>
        <v>5203444.04809886</v>
      </c>
      <c r="H76" s="174">
        <f t="shared" si="38"/>
        <v>5010446.769680992</v>
      </c>
      <c r="I76" s="174">
        <f t="shared" si="38"/>
        <v>4824677.259648487</v>
      </c>
      <c r="J76" s="174">
        <f t="shared" si="38"/>
        <v>4645574.742867999</v>
      </c>
      <c r="K76" s="174">
        <f t="shared" si="38"/>
        <v>4472656.329641369</v>
      </c>
      <c r="L76" s="174">
        <f t="shared" si="38"/>
        <v>4305439.130270434</v>
      </c>
    </row>
    <row r="77" spans="1:12" ht="18.75" customHeight="1">
      <c r="A77" s="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8.75" customHeight="1">
      <c r="B78" s="1" t="s">
        <v>52</v>
      </c>
      <c r="C78" s="170">
        <v>0</v>
      </c>
      <c r="D78" s="170">
        <v>0</v>
      </c>
      <c r="E78" s="170">
        <v>0</v>
      </c>
      <c r="F78" s="170">
        <v>0</v>
      </c>
      <c r="G78" s="170">
        <v>0</v>
      </c>
      <c r="H78" s="170">
        <v>0</v>
      </c>
      <c r="I78" s="170">
        <v>0</v>
      </c>
      <c r="J78" s="170">
        <v>0</v>
      </c>
      <c r="K78" s="170">
        <v>0</v>
      </c>
      <c r="L78" s="170">
        <v>0</v>
      </c>
    </row>
    <row r="79" spans="2:12" ht="18.75" customHeight="1">
      <c r="B79" s="2" t="s">
        <v>48</v>
      </c>
      <c r="C79" s="170">
        <f aca="true" t="shared" si="39" ref="C79:L79">C62</f>
        <v>0</v>
      </c>
      <c r="D79" s="170">
        <f t="shared" si="39"/>
        <v>0</v>
      </c>
      <c r="E79" s="170">
        <f t="shared" si="39"/>
        <v>64758.68433627922</v>
      </c>
      <c r="F79" s="170">
        <f t="shared" si="39"/>
        <v>1554208.4240707012</v>
      </c>
      <c r="G79" s="170">
        <f t="shared" si="39"/>
        <v>1554208.4240707012</v>
      </c>
      <c r="H79" s="170">
        <f t="shared" si="39"/>
        <v>1554208.4240707012</v>
      </c>
      <c r="I79" s="170">
        <f t="shared" si="39"/>
        <v>1554208.4240707012</v>
      </c>
      <c r="J79" s="170">
        <f t="shared" si="39"/>
        <v>1554208.4240707012</v>
      </c>
      <c r="K79" s="170">
        <f t="shared" si="39"/>
        <v>1554208.4240707012</v>
      </c>
      <c r="L79" s="170">
        <f t="shared" si="39"/>
        <v>1554208.4240707012</v>
      </c>
    </row>
    <row r="80" spans="2:12" ht="18.75" customHeight="1">
      <c r="B80" s="2" t="s">
        <v>49</v>
      </c>
      <c r="C80" s="170">
        <v>0</v>
      </c>
      <c r="D80" s="170">
        <f aca="true" t="shared" si="40" ref="D80:L80">C80</f>
        <v>0</v>
      </c>
      <c r="E80" s="170">
        <f t="shared" si="40"/>
        <v>0</v>
      </c>
      <c r="F80" s="170">
        <f t="shared" si="40"/>
        <v>0</v>
      </c>
      <c r="G80" s="170">
        <f t="shared" si="40"/>
        <v>0</v>
      </c>
      <c r="H80" s="170">
        <f t="shared" si="40"/>
        <v>0</v>
      </c>
      <c r="I80" s="170">
        <f t="shared" si="40"/>
        <v>0</v>
      </c>
      <c r="J80" s="170">
        <f t="shared" si="40"/>
        <v>0</v>
      </c>
      <c r="K80" s="170">
        <f t="shared" si="40"/>
        <v>0</v>
      </c>
      <c r="L80" s="170">
        <f t="shared" si="40"/>
        <v>0</v>
      </c>
    </row>
    <row r="81" spans="2:12" ht="18.75" customHeight="1">
      <c r="B81" s="2" t="s">
        <v>50</v>
      </c>
      <c r="C81" s="170">
        <v>0</v>
      </c>
      <c r="D81" s="170">
        <f aca="true" t="shared" si="41" ref="D81:L81">D64*(C68+C70)</f>
        <v>0</v>
      </c>
      <c r="E81" s="170">
        <f t="shared" si="41"/>
        <v>46500.793025789455</v>
      </c>
      <c r="F81" s="170">
        <f t="shared" si="41"/>
        <v>99107.65499928502</v>
      </c>
      <c r="G81" s="170">
        <f t="shared" si="41"/>
        <v>96776.34236317898</v>
      </c>
      <c r="H81" s="170">
        <f t="shared" si="41"/>
        <v>94445.02972707292</v>
      </c>
      <c r="I81" s="170">
        <f t="shared" si="41"/>
        <v>92113.71709096686</v>
      </c>
      <c r="J81" s="170">
        <f t="shared" si="41"/>
        <v>89782.40445486082</v>
      </c>
      <c r="K81" s="170">
        <f t="shared" si="41"/>
        <v>87451.09181875476</v>
      </c>
      <c r="L81" s="170">
        <f t="shared" si="41"/>
        <v>85119.77918264872</v>
      </c>
    </row>
    <row r="82" spans="2:12" ht="18.75" customHeight="1">
      <c r="B82" s="21" t="s">
        <v>51</v>
      </c>
      <c r="C82" s="174">
        <f aca="true" t="shared" si="42" ref="C82:L82">SUM(C78:C81)</f>
        <v>0</v>
      </c>
      <c r="D82" s="174">
        <f t="shared" si="42"/>
        <v>0</v>
      </c>
      <c r="E82" s="174">
        <f t="shared" si="42"/>
        <v>111259.47736206868</v>
      </c>
      <c r="F82" s="174">
        <f t="shared" si="42"/>
        <v>1653316.0790699862</v>
      </c>
      <c r="G82" s="174">
        <f t="shared" si="42"/>
        <v>1650984.7664338802</v>
      </c>
      <c r="H82" s="174">
        <f t="shared" si="42"/>
        <v>1648653.4537977742</v>
      </c>
      <c r="I82" s="174">
        <f t="shared" si="42"/>
        <v>1646322.141161668</v>
      </c>
      <c r="J82" s="174">
        <f t="shared" si="42"/>
        <v>1643990.828525562</v>
      </c>
      <c r="K82" s="174">
        <f t="shared" si="42"/>
        <v>1641659.515889456</v>
      </c>
      <c r="L82" s="174">
        <f t="shared" si="42"/>
        <v>1639328.20325335</v>
      </c>
    </row>
    <row r="83" spans="3:12" ht="18.75" customHeight="1">
      <c r="C83" s="34"/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t="18.75" customHeight="1">
      <c r="B84" s="1" t="s">
        <v>59</v>
      </c>
      <c r="C84" s="170">
        <f aca="true" t="shared" si="43" ref="C84:L84">C76+C82</f>
        <v>0</v>
      </c>
      <c r="D84" s="170">
        <f t="shared" si="43"/>
        <v>3147266.0256000827</v>
      </c>
      <c r="E84" s="170">
        <f t="shared" si="43"/>
        <v>5724717.950508371</v>
      </c>
      <c r="F84" s="170">
        <f t="shared" si="43"/>
        <v>7057545.949105426</v>
      </c>
      <c r="G84" s="170">
        <f t="shared" si="43"/>
        <v>6854428.81453274</v>
      </c>
      <c r="H84" s="170">
        <f t="shared" si="43"/>
        <v>6659100.223478766</v>
      </c>
      <c r="I84" s="170">
        <f t="shared" si="43"/>
        <v>6470999.400810155</v>
      </c>
      <c r="J84" s="170">
        <f t="shared" si="43"/>
        <v>6289565.571393561</v>
      </c>
      <c r="K84" s="170">
        <f t="shared" si="43"/>
        <v>6114315.845530825</v>
      </c>
      <c r="L84" s="170">
        <f t="shared" si="43"/>
        <v>5944767.333523784</v>
      </c>
    </row>
  </sheetData>
  <sheetProtection/>
  <dataValidations count="1">
    <dataValidation type="list" allowBlank="1" showInputMessage="1" showErrorMessage="1" sqref="A15 A57">
      <formula1>"Bonus, No Bonus"</formula1>
    </dataValidation>
  </dataValidations>
  <printOptions horizontalCentered="1"/>
  <pageMargins left="0.75" right="0.75" top="1" bottom="0.5" header="0.5" footer="0.5"/>
  <pageSetup horizontalDpi="600" verticalDpi="600" orientation="landscape" scale="67" r:id="rId1"/>
  <rowBreaks count="1" manualBreakCount="1">
    <brk id="44" min="2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AI103"/>
  <sheetViews>
    <sheetView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4.83203125" style="0" customWidth="1"/>
    <col min="3" max="3" width="23.66015625" style="0" customWidth="1"/>
    <col min="4" max="4" width="23.66015625" style="48" customWidth="1"/>
    <col min="5" max="10" width="23.66015625" style="0" customWidth="1"/>
    <col min="11" max="30" width="16.5" style="0" customWidth="1"/>
  </cols>
  <sheetData>
    <row r="1" spans="2:10" ht="21" customHeight="1">
      <c r="B1" s="155" t="s">
        <v>18</v>
      </c>
      <c r="C1" s="47"/>
      <c r="D1" s="156"/>
      <c r="E1" s="47"/>
      <c r="F1" s="47"/>
      <c r="G1" s="47"/>
      <c r="H1" s="47"/>
      <c r="I1" s="47"/>
      <c r="J1" s="47"/>
    </row>
    <row r="2" spans="2:10" ht="21" customHeight="1">
      <c r="B2" s="155" t="s">
        <v>318</v>
      </c>
      <c r="C2" s="47"/>
      <c r="D2" s="156"/>
      <c r="E2" s="47"/>
      <c r="F2" s="47"/>
      <c r="G2" s="47"/>
      <c r="H2" s="47"/>
      <c r="I2" s="47"/>
      <c r="J2" s="47"/>
    </row>
    <row r="3" spans="2:10" ht="21" customHeight="1">
      <c r="B3" s="155" t="s">
        <v>316</v>
      </c>
      <c r="C3" s="47"/>
      <c r="D3" s="156"/>
      <c r="E3" s="47"/>
      <c r="F3" s="47"/>
      <c r="G3" s="47"/>
      <c r="H3" s="47"/>
      <c r="I3" s="47"/>
      <c r="J3" s="47"/>
    </row>
    <row r="4" ht="11.25">
      <c r="D4"/>
    </row>
    <row r="6" spans="2:10" s="14" customFormat="1" ht="120" customHeight="1">
      <c r="B6" s="152" t="s">
        <v>19</v>
      </c>
      <c r="C6" s="152" t="s">
        <v>401</v>
      </c>
      <c r="D6" s="153" t="s">
        <v>399</v>
      </c>
      <c r="E6" s="152" t="s">
        <v>400</v>
      </c>
      <c r="F6" s="152" t="s">
        <v>402</v>
      </c>
      <c r="G6" s="153" t="s">
        <v>431</v>
      </c>
      <c r="H6" s="153" t="s">
        <v>432</v>
      </c>
      <c r="I6" s="153" t="s">
        <v>433</v>
      </c>
      <c r="J6" s="152" t="s">
        <v>20</v>
      </c>
    </row>
    <row r="7" spans="2:10" s="14" customFormat="1" ht="14.25" customHeight="1">
      <c r="B7" s="151">
        <v>2015</v>
      </c>
      <c r="C7" s="162"/>
      <c r="D7" s="163"/>
      <c r="E7" s="208"/>
      <c r="F7" s="208"/>
      <c r="G7" s="201"/>
      <c r="H7" s="201"/>
      <c r="I7" s="201"/>
      <c r="J7" s="164"/>
    </row>
    <row r="8" spans="2:35" ht="14.25" customHeight="1">
      <c r="B8" s="151">
        <f>B7+1</f>
        <v>2016</v>
      </c>
      <c r="C8" s="162">
        <f>103500-103500</f>
        <v>0</v>
      </c>
      <c r="D8" s="163">
        <f>1000000+6000000</f>
        <v>7000000</v>
      </c>
      <c r="E8" s="199">
        <f aca="true" t="shared" si="0" ref="E8:E17">I29</f>
        <v>10071004.700000001</v>
      </c>
      <c r="F8" s="199">
        <f aca="true" t="shared" si="1" ref="F8:F17">I45</f>
        <v>4972500</v>
      </c>
      <c r="G8" s="202">
        <f aca="true" t="shared" si="2" ref="G8:G17">I61</f>
        <v>11344470.16</v>
      </c>
      <c r="H8" s="202">
        <f aca="true" t="shared" si="3" ref="H8:H17">I77</f>
        <v>0</v>
      </c>
      <c r="I8" s="202">
        <f aca="true" t="shared" si="4" ref="I8:I17">I93</f>
        <v>0</v>
      </c>
      <c r="J8" s="164">
        <f aca="true" t="shared" si="5" ref="J8:J17">SUM(C8:I8)</f>
        <v>33387974.860000003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2:17" ht="14.25">
      <c r="B9" s="151">
        <f>B8+1</f>
        <v>2017</v>
      </c>
      <c r="C9" s="162">
        <f>11747250-6494625</f>
        <v>5252625</v>
      </c>
      <c r="D9" s="162">
        <v>0</v>
      </c>
      <c r="E9" s="199">
        <f t="shared" si="0"/>
        <v>0</v>
      </c>
      <c r="F9" s="199">
        <f t="shared" si="1"/>
        <v>22561000</v>
      </c>
      <c r="G9" s="202">
        <f t="shared" si="2"/>
        <v>83867000</v>
      </c>
      <c r="H9" s="202">
        <f t="shared" si="3"/>
        <v>21073751.999999996</v>
      </c>
      <c r="I9" s="202">
        <f t="shared" si="4"/>
        <v>31695300.039999995</v>
      </c>
      <c r="J9" s="164">
        <f t="shared" si="5"/>
        <v>164449677.04</v>
      </c>
      <c r="M9" s="104"/>
      <c r="N9" s="105"/>
      <c r="O9" s="105"/>
      <c r="P9" s="105"/>
      <c r="Q9" s="17"/>
    </row>
    <row r="10" spans="2:17" ht="14.25">
      <c r="B10" s="151">
        <f aca="true" t="shared" si="6" ref="B10:B17">B9+1</f>
        <v>2018</v>
      </c>
      <c r="C10" s="162">
        <v>0</v>
      </c>
      <c r="D10" s="162">
        <v>0</v>
      </c>
      <c r="E10" s="199">
        <f t="shared" si="0"/>
        <v>0</v>
      </c>
      <c r="F10" s="199">
        <f t="shared" si="1"/>
        <v>40676000</v>
      </c>
      <c r="G10" s="202">
        <f t="shared" si="2"/>
        <v>79213000</v>
      </c>
      <c r="H10" s="202">
        <f t="shared" si="3"/>
        <v>26282160</v>
      </c>
      <c r="I10" s="202">
        <f t="shared" si="4"/>
        <v>35602000</v>
      </c>
      <c r="J10" s="164">
        <f t="shared" si="5"/>
        <v>181773160</v>
      </c>
      <c r="M10" s="104"/>
      <c r="N10" s="105"/>
      <c r="O10" s="105"/>
      <c r="P10" s="105"/>
      <c r="Q10" s="17"/>
    </row>
    <row r="11" spans="2:17" ht="14.25">
      <c r="B11" s="151">
        <f t="shared" si="6"/>
        <v>2019</v>
      </c>
      <c r="C11" s="162">
        <v>0</v>
      </c>
      <c r="D11" s="162">
        <v>0</v>
      </c>
      <c r="E11" s="199">
        <f t="shared" si="0"/>
        <v>0</v>
      </c>
      <c r="F11" s="199">
        <f t="shared" si="1"/>
        <v>9313000</v>
      </c>
      <c r="G11" s="202">
        <f t="shared" si="2"/>
        <v>41747000</v>
      </c>
      <c r="H11" s="202">
        <f t="shared" si="3"/>
        <v>11563560</v>
      </c>
      <c r="I11" s="202">
        <f t="shared" si="4"/>
        <v>3797000</v>
      </c>
      <c r="J11" s="164">
        <f t="shared" si="5"/>
        <v>66420560</v>
      </c>
      <c r="M11" s="104"/>
      <c r="N11" s="105"/>
      <c r="O11" s="105"/>
      <c r="P11" s="105"/>
      <c r="Q11" s="17"/>
    </row>
    <row r="12" spans="2:17" ht="14.25">
      <c r="B12" s="151">
        <f t="shared" si="6"/>
        <v>2020</v>
      </c>
      <c r="C12" s="162">
        <v>0</v>
      </c>
      <c r="D12" s="162">
        <v>0</v>
      </c>
      <c r="E12" s="199">
        <f t="shared" si="0"/>
        <v>0</v>
      </c>
      <c r="F12" s="199">
        <f t="shared" si="1"/>
        <v>0</v>
      </c>
      <c r="G12" s="202">
        <f t="shared" si="2"/>
        <v>37374000</v>
      </c>
      <c r="H12" s="202">
        <f t="shared" si="3"/>
        <v>13136399.999999998</v>
      </c>
      <c r="I12" s="202">
        <f t="shared" si="4"/>
        <v>3439000</v>
      </c>
      <c r="J12" s="164">
        <f t="shared" si="5"/>
        <v>53949400</v>
      </c>
      <c r="L12" s="103"/>
      <c r="M12" s="104"/>
      <c r="N12" s="105"/>
      <c r="O12" s="105"/>
      <c r="P12" s="105"/>
      <c r="Q12" s="17"/>
    </row>
    <row r="13" spans="2:17" ht="14.25">
      <c r="B13" s="151">
        <f t="shared" si="6"/>
        <v>2021</v>
      </c>
      <c r="C13" s="162">
        <v>0</v>
      </c>
      <c r="D13" s="163">
        <v>0</v>
      </c>
      <c r="E13" s="199">
        <f t="shared" si="0"/>
        <v>0</v>
      </c>
      <c r="F13" s="199">
        <f t="shared" si="1"/>
        <v>0</v>
      </c>
      <c r="G13" s="202">
        <f t="shared" si="2"/>
        <v>53005000</v>
      </c>
      <c r="H13" s="202">
        <f t="shared" si="3"/>
        <v>7365600</v>
      </c>
      <c r="I13" s="202">
        <f t="shared" si="4"/>
        <v>3626000</v>
      </c>
      <c r="J13" s="164">
        <f t="shared" si="5"/>
        <v>63996600</v>
      </c>
      <c r="L13" s="103"/>
      <c r="M13" s="104"/>
      <c r="N13" s="105"/>
      <c r="O13" s="105"/>
      <c r="P13" s="105"/>
      <c r="Q13" s="17"/>
    </row>
    <row r="14" spans="2:17" ht="14.25">
      <c r="B14" s="151">
        <f t="shared" si="6"/>
        <v>2022</v>
      </c>
      <c r="C14" s="162">
        <v>0</v>
      </c>
      <c r="D14" s="163">
        <v>0</v>
      </c>
      <c r="E14" s="199">
        <f t="shared" si="0"/>
        <v>0</v>
      </c>
      <c r="F14" s="199">
        <f t="shared" si="1"/>
        <v>0</v>
      </c>
      <c r="G14" s="202">
        <f t="shared" si="2"/>
        <v>33376000</v>
      </c>
      <c r="H14" s="202">
        <f t="shared" si="3"/>
        <v>11906999.999999998</v>
      </c>
      <c r="I14" s="202">
        <f t="shared" si="4"/>
        <v>9926000</v>
      </c>
      <c r="J14" s="164">
        <f t="shared" si="5"/>
        <v>55209000</v>
      </c>
      <c r="L14" s="103"/>
      <c r="M14" s="104"/>
      <c r="N14" s="105"/>
      <c r="O14" s="105"/>
      <c r="P14" s="105"/>
      <c r="Q14" s="17"/>
    </row>
    <row r="15" spans="2:17" ht="14.25">
      <c r="B15" s="151">
        <f t="shared" si="6"/>
        <v>2023</v>
      </c>
      <c r="C15" s="162">
        <v>0</v>
      </c>
      <c r="D15" s="163">
        <v>0</v>
      </c>
      <c r="E15" s="199">
        <f t="shared" si="0"/>
        <v>0</v>
      </c>
      <c r="F15" s="199">
        <f t="shared" si="1"/>
        <v>0</v>
      </c>
      <c r="G15" s="202">
        <f t="shared" si="2"/>
        <v>0</v>
      </c>
      <c r="H15" s="202">
        <f t="shared" si="3"/>
        <v>10611720</v>
      </c>
      <c r="I15" s="202">
        <f t="shared" si="4"/>
        <v>10179000</v>
      </c>
      <c r="J15" s="164">
        <f t="shared" si="5"/>
        <v>20790720</v>
      </c>
      <c r="L15" s="103"/>
      <c r="M15" s="104"/>
      <c r="N15" s="105"/>
      <c r="O15" s="105"/>
      <c r="P15" s="105"/>
      <c r="Q15" s="17"/>
    </row>
    <row r="16" spans="2:17" ht="14.25">
      <c r="B16" s="151">
        <f t="shared" si="6"/>
        <v>2024</v>
      </c>
      <c r="C16" s="162">
        <v>0</v>
      </c>
      <c r="D16" s="163">
        <v>0</v>
      </c>
      <c r="E16" s="199">
        <f t="shared" si="0"/>
        <v>0</v>
      </c>
      <c r="F16" s="199">
        <f t="shared" si="1"/>
        <v>0</v>
      </c>
      <c r="G16" s="202">
        <f t="shared" si="2"/>
        <v>0</v>
      </c>
      <c r="H16" s="202">
        <f t="shared" si="3"/>
        <v>0</v>
      </c>
      <c r="I16" s="202">
        <f t="shared" si="4"/>
        <v>0</v>
      </c>
      <c r="J16" s="164">
        <f t="shared" si="5"/>
        <v>0</v>
      </c>
      <c r="L16" s="103"/>
      <c r="M16" s="104"/>
      <c r="N16" s="105"/>
      <c r="O16" s="105"/>
      <c r="P16" s="105"/>
      <c r="Q16" s="17"/>
    </row>
    <row r="17" spans="2:17" ht="14.25">
      <c r="B17" s="154">
        <f t="shared" si="6"/>
        <v>2025</v>
      </c>
      <c r="C17" s="165">
        <v>0</v>
      </c>
      <c r="D17" s="166">
        <v>0</v>
      </c>
      <c r="E17" s="200">
        <f t="shared" si="0"/>
        <v>0</v>
      </c>
      <c r="F17" s="200">
        <f t="shared" si="1"/>
        <v>0</v>
      </c>
      <c r="G17" s="203">
        <f t="shared" si="2"/>
        <v>0</v>
      </c>
      <c r="H17" s="203">
        <f t="shared" si="3"/>
        <v>0</v>
      </c>
      <c r="I17" s="203">
        <f t="shared" si="4"/>
        <v>0</v>
      </c>
      <c r="J17" s="167">
        <f t="shared" si="5"/>
        <v>0</v>
      </c>
      <c r="L17" s="103"/>
      <c r="M17" s="104"/>
      <c r="N17" s="105"/>
      <c r="O17" s="105"/>
      <c r="P17" s="105"/>
      <c r="Q17" s="17"/>
    </row>
    <row r="18" spans="3:17" ht="14.25">
      <c r="C18" s="164">
        <f aca="true" t="shared" si="7" ref="C18:J18">SUM(C7:C17)</f>
        <v>5252625</v>
      </c>
      <c r="D18" s="164">
        <f t="shared" si="7"/>
        <v>7000000</v>
      </c>
      <c r="E18" s="164">
        <f t="shared" si="7"/>
        <v>10071004.700000001</v>
      </c>
      <c r="F18" s="164">
        <f t="shared" si="7"/>
        <v>77522500</v>
      </c>
      <c r="G18" s="164">
        <f t="shared" si="7"/>
        <v>339926470.15999997</v>
      </c>
      <c r="H18" s="164">
        <f t="shared" si="7"/>
        <v>101940192</v>
      </c>
      <c r="I18" s="164">
        <f t="shared" si="7"/>
        <v>98264300.03999999</v>
      </c>
      <c r="J18" s="164">
        <f t="shared" si="7"/>
        <v>639977091.9</v>
      </c>
      <c r="L18" s="103"/>
      <c r="M18" s="104"/>
      <c r="N18" s="105"/>
      <c r="O18" s="105"/>
      <c r="P18" s="105"/>
      <c r="Q18" s="17"/>
    </row>
    <row r="19" spans="7:12" ht="11.25" customHeight="1">
      <c r="G19" s="67"/>
      <c r="H19" s="67"/>
      <c r="I19" s="115"/>
      <c r="J19" s="16"/>
      <c r="L19" s="103"/>
    </row>
    <row r="20" spans="4:28" ht="11.25">
      <c r="D20" s="50"/>
      <c r="F20" s="17"/>
      <c r="G20" s="113"/>
      <c r="H20" s="113"/>
      <c r="I20" s="67"/>
      <c r="J20" s="96"/>
      <c r="K20" s="96"/>
      <c r="L20" s="96"/>
      <c r="M20" s="96"/>
      <c r="N20" s="9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4:28" ht="11.25">
      <c r="D21"/>
      <c r="E21" s="97" t="s">
        <v>254</v>
      </c>
      <c r="F21" s="116">
        <f>Input!N36</f>
        <v>0.75</v>
      </c>
      <c r="G21" s="113"/>
      <c r="H21" s="113"/>
      <c r="I21" s="67"/>
      <c r="J21" s="96"/>
      <c r="K21" s="96"/>
      <c r="L21" s="96"/>
      <c r="M21" s="96"/>
      <c r="N21" s="9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2:14" ht="11.25">
      <c r="B22" s="38"/>
      <c r="D22"/>
      <c r="E22" s="97" t="s">
        <v>53</v>
      </c>
      <c r="F22" s="116">
        <f>Input!N37</f>
        <v>0.52</v>
      </c>
      <c r="G22" s="114"/>
      <c r="H22" s="114"/>
      <c r="I22" s="114"/>
      <c r="J22" s="2"/>
      <c r="K22" s="2"/>
      <c r="L22" s="2"/>
      <c r="M22" s="2"/>
      <c r="N22" s="2"/>
    </row>
    <row r="23" spans="2:14" ht="11.25">
      <c r="B23" s="38"/>
      <c r="D23"/>
      <c r="E23" s="97" t="s">
        <v>54</v>
      </c>
      <c r="F23" s="116">
        <f>Input!N38</f>
        <v>0.48</v>
      </c>
      <c r="G23" s="114"/>
      <c r="H23" s="114"/>
      <c r="I23" s="114"/>
      <c r="J23" s="2"/>
      <c r="K23" s="2"/>
      <c r="L23" s="2"/>
      <c r="M23" s="2"/>
      <c r="N23" s="2"/>
    </row>
    <row r="24" spans="2:14" ht="11.25">
      <c r="B24" s="38"/>
      <c r="G24" s="114"/>
      <c r="H24" s="114"/>
      <c r="I24" s="114"/>
      <c r="J24" s="2"/>
      <c r="K24" s="2"/>
      <c r="L24" s="2"/>
      <c r="M24" s="2"/>
      <c r="N24" s="2"/>
    </row>
    <row r="25" spans="2:14" ht="11.25">
      <c r="B25" s="38"/>
      <c r="G25" s="114"/>
      <c r="H25" s="114"/>
      <c r="I25" s="114"/>
      <c r="J25" s="2"/>
      <c r="K25" s="2"/>
      <c r="L25" s="2"/>
      <c r="M25" s="2"/>
      <c r="N25" s="2"/>
    </row>
    <row r="26" spans="2:14" ht="11.25">
      <c r="B26" s="38"/>
      <c r="C26" s="39" t="s">
        <v>25</v>
      </c>
      <c r="D26" s="50" t="s">
        <v>26</v>
      </c>
      <c r="E26" s="39" t="s">
        <v>27</v>
      </c>
      <c r="F26" s="39" t="s">
        <v>28</v>
      </c>
      <c r="G26" s="114"/>
      <c r="H26" s="114"/>
      <c r="I26" s="114"/>
      <c r="J26" s="2"/>
      <c r="K26" s="2"/>
      <c r="L26" s="2"/>
      <c r="M26" s="2"/>
      <c r="N26" s="2"/>
    </row>
    <row r="27" spans="2:14" ht="11.25">
      <c r="B27" s="205" t="s">
        <v>308</v>
      </c>
      <c r="C27" s="193" t="s">
        <v>346</v>
      </c>
      <c r="D27" s="193" t="s">
        <v>346</v>
      </c>
      <c r="E27" s="193" t="s">
        <v>346</v>
      </c>
      <c r="F27" s="193" t="s">
        <v>346</v>
      </c>
      <c r="G27" s="194"/>
      <c r="H27" s="193"/>
      <c r="I27" s="195" t="s">
        <v>20</v>
      </c>
      <c r="J27" s="2"/>
      <c r="K27" s="2"/>
      <c r="L27" s="2"/>
      <c r="M27" s="2"/>
      <c r="N27" s="2"/>
    </row>
    <row r="28" spans="2:14" ht="11.25">
      <c r="B28" s="204">
        <f aca="true" t="shared" si="8" ref="B28:B38">B7</f>
        <v>2015</v>
      </c>
      <c r="C28" s="259"/>
      <c r="D28" s="259"/>
      <c r="E28" s="259"/>
      <c r="F28" s="259"/>
      <c r="G28" s="259"/>
      <c r="H28" s="259"/>
      <c r="I28" s="266">
        <f>SUM(C28:H28)</f>
        <v>0</v>
      </c>
      <c r="J28" s="2"/>
      <c r="K28" s="2"/>
      <c r="L28" s="2"/>
      <c r="M28" s="2"/>
      <c r="N28" s="2"/>
    </row>
    <row r="29" spans="2:14" ht="11.25">
      <c r="B29" s="197">
        <f t="shared" si="8"/>
        <v>2016</v>
      </c>
      <c r="C29" s="259">
        <f>25466.77+2560833.15</f>
        <v>2586299.92</v>
      </c>
      <c r="D29" s="259">
        <f>25466.77+2679227.37</f>
        <v>2704694.14</v>
      </c>
      <c r="E29" s="259">
        <f>25466.77+2679227.37</f>
        <v>2704694.14</v>
      </c>
      <c r="F29" s="259">
        <f>25466.77+2049849.73</f>
        <v>2075316.5</v>
      </c>
      <c r="G29" s="259"/>
      <c r="H29" s="259"/>
      <c r="I29" s="263">
        <f aca="true" t="shared" si="9" ref="I29:I38">SUM(C29:H29)</f>
        <v>10071004.700000001</v>
      </c>
      <c r="J29" s="2"/>
      <c r="K29" s="2"/>
      <c r="L29" s="2"/>
      <c r="M29" s="2"/>
      <c r="N29" s="2"/>
    </row>
    <row r="30" spans="2:14" ht="11.25">
      <c r="B30" s="197">
        <f t="shared" si="8"/>
        <v>2017</v>
      </c>
      <c r="C30" s="259">
        <v>0</v>
      </c>
      <c r="D30" s="259">
        <v>0</v>
      </c>
      <c r="E30" s="259">
        <v>0</v>
      </c>
      <c r="F30" s="259">
        <v>0</v>
      </c>
      <c r="G30" s="259"/>
      <c r="H30" s="259"/>
      <c r="I30" s="263">
        <f t="shared" si="9"/>
        <v>0</v>
      </c>
      <c r="J30" s="2"/>
      <c r="K30" s="2"/>
      <c r="L30" s="2"/>
      <c r="M30" s="2"/>
      <c r="N30" s="2"/>
    </row>
    <row r="31" spans="2:14" ht="11.25">
      <c r="B31" s="197">
        <f t="shared" si="8"/>
        <v>2018</v>
      </c>
      <c r="C31" s="259">
        <v>0</v>
      </c>
      <c r="D31" s="259">
        <v>0</v>
      </c>
      <c r="E31" s="259">
        <v>0</v>
      </c>
      <c r="F31" s="259">
        <v>0</v>
      </c>
      <c r="G31" s="259"/>
      <c r="H31" s="259"/>
      <c r="I31" s="263">
        <f t="shared" si="9"/>
        <v>0</v>
      </c>
      <c r="J31" s="2"/>
      <c r="K31" s="2"/>
      <c r="L31" s="2"/>
      <c r="M31" s="2"/>
      <c r="N31" s="2"/>
    </row>
    <row r="32" spans="2:14" ht="11.25">
      <c r="B32" s="197">
        <f t="shared" si="8"/>
        <v>2019</v>
      </c>
      <c r="C32" s="259">
        <v>0</v>
      </c>
      <c r="D32" s="259">
        <v>0</v>
      </c>
      <c r="E32" s="259">
        <v>0</v>
      </c>
      <c r="F32" s="259">
        <v>0</v>
      </c>
      <c r="G32" s="259"/>
      <c r="H32" s="259"/>
      <c r="I32" s="263">
        <f t="shared" si="9"/>
        <v>0</v>
      </c>
      <c r="J32" s="2"/>
      <c r="K32" s="2"/>
      <c r="L32" s="2"/>
      <c r="M32" s="2"/>
      <c r="N32" s="2"/>
    </row>
    <row r="33" spans="2:14" ht="11.25">
      <c r="B33" s="197">
        <f t="shared" si="8"/>
        <v>2020</v>
      </c>
      <c r="C33" s="259">
        <v>0</v>
      </c>
      <c r="D33" s="259">
        <v>0</v>
      </c>
      <c r="E33" s="259">
        <v>0</v>
      </c>
      <c r="F33" s="259">
        <v>0</v>
      </c>
      <c r="G33" s="259"/>
      <c r="H33" s="259"/>
      <c r="I33" s="263">
        <f t="shared" si="9"/>
        <v>0</v>
      </c>
      <c r="J33" s="2"/>
      <c r="K33" s="2"/>
      <c r="L33" s="2"/>
      <c r="M33" s="2"/>
      <c r="N33" s="2"/>
    </row>
    <row r="34" spans="2:14" ht="11.25">
      <c r="B34" s="197">
        <f t="shared" si="8"/>
        <v>2021</v>
      </c>
      <c r="C34" s="259">
        <v>0</v>
      </c>
      <c r="D34" s="259">
        <v>0</v>
      </c>
      <c r="E34" s="259">
        <v>0</v>
      </c>
      <c r="F34" s="259">
        <v>0</v>
      </c>
      <c r="G34" s="259"/>
      <c r="H34" s="259"/>
      <c r="I34" s="263">
        <f t="shared" si="9"/>
        <v>0</v>
      </c>
      <c r="J34" s="2"/>
      <c r="K34" s="2"/>
      <c r="L34" s="2"/>
      <c r="M34" s="2"/>
      <c r="N34" s="2"/>
    </row>
    <row r="35" spans="2:14" ht="11.25">
      <c r="B35" s="197">
        <f t="shared" si="8"/>
        <v>2022</v>
      </c>
      <c r="C35" s="259">
        <v>0</v>
      </c>
      <c r="D35" s="259">
        <v>0</v>
      </c>
      <c r="E35" s="259">
        <v>0</v>
      </c>
      <c r="F35" s="259">
        <v>0</v>
      </c>
      <c r="G35" s="259"/>
      <c r="H35" s="259"/>
      <c r="I35" s="263">
        <f t="shared" si="9"/>
        <v>0</v>
      </c>
      <c r="J35" s="2"/>
      <c r="K35" s="2"/>
      <c r="L35" s="2"/>
      <c r="M35" s="2"/>
      <c r="N35" s="2"/>
    </row>
    <row r="36" spans="2:14" ht="11.25">
      <c r="B36" s="197">
        <f t="shared" si="8"/>
        <v>2023</v>
      </c>
      <c r="C36" s="259">
        <v>0</v>
      </c>
      <c r="D36" s="259">
        <v>0</v>
      </c>
      <c r="E36" s="259">
        <v>0</v>
      </c>
      <c r="F36" s="259">
        <v>0</v>
      </c>
      <c r="G36" s="259"/>
      <c r="H36" s="259"/>
      <c r="I36" s="263">
        <f t="shared" si="9"/>
        <v>0</v>
      </c>
      <c r="J36" s="2"/>
      <c r="K36" s="2"/>
      <c r="L36" s="2"/>
      <c r="M36" s="2"/>
      <c r="N36" s="2"/>
    </row>
    <row r="37" spans="2:14" ht="11.25">
      <c r="B37" s="197">
        <f t="shared" si="8"/>
        <v>2024</v>
      </c>
      <c r="C37" s="259"/>
      <c r="D37" s="259"/>
      <c r="E37" s="259"/>
      <c r="F37" s="259"/>
      <c r="G37" s="259"/>
      <c r="H37" s="259"/>
      <c r="I37" s="263">
        <f t="shared" si="9"/>
        <v>0</v>
      </c>
      <c r="J37" s="2"/>
      <c r="K37" s="2"/>
      <c r="L37" s="2"/>
      <c r="M37" s="2"/>
      <c r="N37" s="2"/>
    </row>
    <row r="38" spans="2:14" ht="11.25">
      <c r="B38" s="154">
        <f t="shared" si="8"/>
        <v>2025</v>
      </c>
      <c r="C38" s="261"/>
      <c r="D38" s="261"/>
      <c r="E38" s="261"/>
      <c r="F38" s="261"/>
      <c r="G38" s="261"/>
      <c r="H38" s="261"/>
      <c r="I38" s="264">
        <f t="shared" si="9"/>
        <v>0</v>
      </c>
      <c r="J38" s="2"/>
      <c r="K38" s="2"/>
      <c r="L38" s="2"/>
      <c r="M38" s="2"/>
      <c r="N38" s="2"/>
    </row>
    <row r="39" spans="2:14" ht="11.25">
      <c r="B39" s="182" t="s">
        <v>20</v>
      </c>
      <c r="C39" s="262">
        <f aca="true" t="shared" si="10" ref="C39:H39">SUM(C28:C36)</f>
        <v>2586299.92</v>
      </c>
      <c r="D39" s="262">
        <f t="shared" si="10"/>
        <v>2704694.14</v>
      </c>
      <c r="E39" s="262">
        <f t="shared" si="10"/>
        <v>2704694.14</v>
      </c>
      <c r="F39" s="262">
        <f t="shared" si="10"/>
        <v>2075316.5</v>
      </c>
      <c r="G39" s="262">
        <f t="shared" si="10"/>
        <v>0</v>
      </c>
      <c r="H39" s="262">
        <f t="shared" si="10"/>
        <v>0</v>
      </c>
      <c r="I39" s="262">
        <f>SUM(C39:H39)</f>
        <v>10071004.700000001</v>
      </c>
      <c r="J39" s="2"/>
      <c r="K39" s="2"/>
      <c r="L39" s="2"/>
      <c r="M39" s="2"/>
      <c r="N39" s="2"/>
    </row>
    <row r="40" spans="2:14" ht="11.25">
      <c r="B40" s="38"/>
      <c r="G40" s="114"/>
      <c r="H40" s="114"/>
      <c r="I40" s="114"/>
      <c r="J40" s="2"/>
      <c r="K40" s="2"/>
      <c r="L40" s="2"/>
      <c r="M40" s="2"/>
      <c r="N40" s="2"/>
    </row>
    <row r="41" spans="2:14" ht="11.25">
      <c r="B41" s="38"/>
      <c r="G41" s="114"/>
      <c r="H41" s="114"/>
      <c r="I41" s="114"/>
      <c r="J41" s="2"/>
      <c r="K41" s="2"/>
      <c r="L41" s="2"/>
      <c r="M41" s="2"/>
      <c r="N41" s="2"/>
    </row>
    <row r="42" spans="3:14" ht="11.25">
      <c r="C42" s="39" t="s">
        <v>330</v>
      </c>
      <c r="D42" s="39" t="s">
        <v>330</v>
      </c>
      <c r="E42" s="39" t="s">
        <v>330</v>
      </c>
      <c r="F42" s="39" t="s">
        <v>336</v>
      </c>
      <c r="G42" s="39" t="s">
        <v>337</v>
      </c>
      <c r="I42" s="17"/>
      <c r="J42" s="2"/>
      <c r="K42" s="2"/>
      <c r="L42" s="2"/>
      <c r="M42" s="2"/>
      <c r="N42" s="2"/>
    </row>
    <row r="43" spans="2:14" ht="11.25">
      <c r="B43" s="205" t="s">
        <v>309</v>
      </c>
      <c r="C43" s="193" t="s">
        <v>333</v>
      </c>
      <c r="D43" s="193" t="s">
        <v>334</v>
      </c>
      <c r="E43" s="194" t="s">
        <v>335</v>
      </c>
      <c r="F43" s="194" t="s">
        <v>324</v>
      </c>
      <c r="G43" s="194" t="s">
        <v>324</v>
      </c>
      <c r="H43" s="193"/>
      <c r="I43" s="195" t="s">
        <v>20</v>
      </c>
      <c r="J43" s="2"/>
      <c r="K43" s="2"/>
      <c r="L43" s="2"/>
      <c r="M43" s="2"/>
      <c r="N43" s="2"/>
    </row>
    <row r="44" spans="2:14" ht="11.25">
      <c r="B44" s="151">
        <f aca="true" t="shared" si="11" ref="B44:B54">B7</f>
        <v>2015</v>
      </c>
      <c r="C44" s="259"/>
      <c r="D44" s="259"/>
      <c r="E44" s="259"/>
      <c r="F44" s="259"/>
      <c r="G44" s="259"/>
      <c r="H44" s="259"/>
      <c r="I44" s="262">
        <f>SUM(C44:H44)</f>
        <v>0</v>
      </c>
      <c r="J44" s="2"/>
      <c r="K44" s="2"/>
      <c r="L44" s="2"/>
      <c r="M44" s="2"/>
      <c r="N44" s="2"/>
    </row>
    <row r="45" spans="2:14" ht="11.25">
      <c r="B45" s="151">
        <f t="shared" si="11"/>
        <v>2016</v>
      </c>
      <c r="C45" s="259">
        <f>450000+1128000-418500</f>
        <v>1159500</v>
      </c>
      <c r="D45" s="259">
        <f>616000+1082000</f>
        <v>1698000</v>
      </c>
      <c r="E45" s="259">
        <f>175000+697000</f>
        <v>872000</v>
      </c>
      <c r="F45" s="259">
        <v>323000</v>
      </c>
      <c r="G45" s="259">
        <v>920000</v>
      </c>
      <c r="H45" s="259"/>
      <c r="I45" s="262">
        <f aca="true" t="shared" si="12" ref="I45:I55">SUM(C45:H45)</f>
        <v>4972500</v>
      </c>
      <c r="J45" s="2"/>
      <c r="K45" s="2"/>
      <c r="L45" s="2"/>
      <c r="M45" s="2"/>
      <c r="N45" s="2"/>
    </row>
    <row r="46" spans="2:14" ht="11.25">
      <c r="B46" s="151">
        <f t="shared" si="11"/>
        <v>2017</v>
      </c>
      <c r="C46" s="259">
        <v>7979000</v>
      </c>
      <c r="D46" s="259">
        <v>8854000</v>
      </c>
      <c r="E46" s="259">
        <v>5170000</v>
      </c>
      <c r="F46" s="259">
        <v>155000</v>
      </c>
      <c r="G46" s="259">
        <v>403000</v>
      </c>
      <c r="H46" s="259"/>
      <c r="I46" s="262">
        <f t="shared" si="12"/>
        <v>22561000</v>
      </c>
      <c r="J46" s="2"/>
      <c r="K46" s="2"/>
      <c r="L46" s="2"/>
      <c r="M46" s="2"/>
      <c r="N46" s="2"/>
    </row>
    <row r="47" spans="2:14" ht="11.25">
      <c r="B47" s="151">
        <f t="shared" si="11"/>
        <v>2018</v>
      </c>
      <c r="C47" s="259">
        <v>10647000</v>
      </c>
      <c r="D47" s="259">
        <v>10884000</v>
      </c>
      <c r="E47" s="259">
        <v>9147000</v>
      </c>
      <c r="F47" s="259">
        <v>2705000</v>
      </c>
      <c r="G47" s="259">
        <v>7293000</v>
      </c>
      <c r="H47" s="259"/>
      <c r="I47" s="262">
        <f t="shared" si="12"/>
        <v>40676000</v>
      </c>
      <c r="J47" s="2"/>
      <c r="K47" s="2"/>
      <c r="L47" s="2"/>
      <c r="M47" s="2"/>
      <c r="N47" s="2"/>
    </row>
    <row r="48" spans="2:14" ht="11.25">
      <c r="B48" s="151">
        <f t="shared" si="11"/>
        <v>2019</v>
      </c>
      <c r="C48" s="259"/>
      <c r="D48" s="259"/>
      <c r="E48" s="259"/>
      <c r="F48" s="259">
        <v>4826000</v>
      </c>
      <c r="G48" s="259">
        <v>4487000</v>
      </c>
      <c r="H48" s="259"/>
      <c r="I48" s="262">
        <f t="shared" si="12"/>
        <v>9313000</v>
      </c>
      <c r="J48" s="186"/>
      <c r="K48" s="2"/>
      <c r="L48" s="2"/>
      <c r="M48" s="2"/>
      <c r="N48" s="2"/>
    </row>
    <row r="49" spans="2:9" ht="11.25">
      <c r="B49" s="151">
        <f t="shared" si="11"/>
        <v>2020</v>
      </c>
      <c r="C49" s="259"/>
      <c r="D49" s="259"/>
      <c r="E49" s="259"/>
      <c r="F49" s="259"/>
      <c r="G49" s="259"/>
      <c r="H49" s="259"/>
      <c r="I49" s="262">
        <f t="shared" si="12"/>
        <v>0</v>
      </c>
    </row>
    <row r="50" spans="2:9" ht="11.25">
      <c r="B50" s="151">
        <f t="shared" si="11"/>
        <v>2021</v>
      </c>
      <c r="C50" s="259"/>
      <c r="D50" s="259"/>
      <c r="E50" s="259"/>
      <c r="F50" s="259"/>
      <c r="G50" s="259"/>
      <c r="H50" s="259"/>
      <c r="I50" s="262">
        <f t="shared" si="12"/>
        <v>0</v>
      </c>
    </row>
    <row r="51" spans="2:9" ht="11.25">
      <c r="B51" s="151">
        <f t="shared" si="11"/>
        <v>2022</v>
      </c>
      <c r="C51" s="259"/>
      <c r="D51" s="259"/>
      <c r="E51" s="259"/>
      <c r="F51" s="259"/>
      <c r="G51" s="259"/>
      <c r="H51" s="259"/>
      <c r="I51" s="262">
        <f t="shared" si="12"/>
        <v>0</v>
      </c>
    </row>
    <row r="52" spans="2:9" ht="11.25">
      <c r="B52" s="197">
        <f t="shared" si="11"/>
        <v>2023</v>
      </c>
      <c r="C52" s="259"/>
      <c r="D52" s="259"/>
      <c r="E52" s="259"/>
      <c r="F52" s="259"/>
      <c r="G52" s="259"/>
      <c r="H52" s="259"/>
      <c r="I52" s="263">
        <f t="shared" si="12"/>
        <v>0</v>
      </c>
    </row>
    <row r="53" spans="2:9" ht="11.25">
      <c r="B53" s="197">
        <f t="shared" si="11"/>
        <v>2024</v>
      </c>
      <c r="C53" s="259"/>
      <c r="D53" s="259"/>
      <c r="E53" s="259"/>
      <c r="F53" s="259"/>
      <c r="G53" s="259"/>
      <c r="H53" s="259"/>
      <c r="I53" s="263">
        <f t="shared" si="12"/>
        <v>0</v>
      </c>
    </row>
    <row r="54" spans="2:9" ht="11.25">
      <c r="B54" s="154">
        <f t="shared" si="11"/>
        <v>2025</v>
      </c>
      <c r="C54" s="261"/>
      <c r="D54" s="261"/>
      <c r="E54" s="261"/>
      <c r="F54" s="261"/>
      <c r="G54" s="261"/>
      <c r="H54" s="261"/>
      <c r="I54" s="264">
        <f t="shared" si="12"/>
        <v>0</v>
      </c>
    </row>
    <row r="55" spans="2:9" ht="11.25">
      <c r="B55" s="182" t="s">
        <v>20</v>
      </c>
      <c r="C55" s="262">
        <f aca="true" t="shared" si="13" ref="C55:H55">SUM(C44:C52)</f>
        <v>19785500</v>
      </c>
      <c r="D55" s="262">
        <f t="shared" si="13"/>
        <v>21436000</v>
      </c>
      <c r="E55" s="262">
        <f t="shared" si="13"/>
        <v>15189000</v>
      </c>
      <c r="F55" s="262">
        <f t="shared" si="13"/>
        <v>8009000</v>
      </c>
      <c r="G55" s="262">
        <f t="shared" si="13"/>
        <v>13103000</v>
      </c>
      <c r="H55" s="262">
        <f t="shared" si="13"/>
        <v>0</v>
      </c>
      <c r="I55" s="262">
        <f t="shared" si="12"/>
        <v>77522500</v>
      </c>
    </row>
    <row r="58" spans="3:9" ht="11.25">
      <c r="C58" s="21" t="s">
        <v>421</v>
      </c>
      <c r="D58" s="97"/>
      <c r="E58" s="112"/>
      <c r="F58" s="48"/>
      <c r="G58" s="48"/>
      <c r="I58" s="17"/>
    </row>
    <row r="59" spans="2:9" ht="11.25">
      <c r="B59" s="205" t="s">
        <v>310</v>
      </c>
      <c r="C59" s="193" t="s">
        <v>339</v>
      </c>
      <c r="D59" s="193" t="s">
        <v>334</v>
      </c>
      <c r="E59" s="194" t="s">
        <v>340</v>
      </c>
      <c r="F59" s="194" t="s">
        <v>341</v>
      </c>
      <c r="G59" s="194" t="s">
        <v>342</v>
      </c>
      <c r="H59" s="193" t="s">
        <v>345</v>
      </c>
      <c r="I59" s="195" t="s">
        <v>20</v>
      </c>
    </row>
    <row r="60" spans="2:12" ht="11.25">
      <c r="B60" s="151">
        <f aca="true" t="shared" si="14" ref="B60:B70">B7</f>
        <v>2015</v>
      </c>
      <c r="C60" s="265"/>
      <c r="D60" s="265"/>
      <c r="E60" s="265"/>
      <c r="F60" s="265"/>
      <c r="G60" s="265"/>
      <c r="H60" s="265"/>
      <c r="I60" s="262">
        <f>SUM(C60:H60)</f>
        <v>0</v>
      </c>
      <c r="K60" s="2" t="s">
        <v>353</v>
      </c>
      <c r="L60" s="144">
        <v>1034999.9999999999</v>
      </c>
    </row>
    <row r="61" spans="2:12" ht="11.25">
      <c r="B61" s="151">
        <f t="shared" si="14"/>
        <v>2016</v>
      </c>
      <c r="C61" s="265">
        <f>L65/SUM($L$65:$L$70)*(SUM($L$65:$L$70)-$L$62)</f>
        <v>1089476.1707476852</v>
      </c>
      <c r="D61" s="265">
        <f>L66/SUM($L$65:$L$70)*(SUM($L$65:$L$70)-$L$62)</f>
        <v>2191097.7522569443</v>
      </c>
      <c r="E61" s="265">
        <f>L67/SUM($L$65:$L$70)*(SUM($L$65:$L$70)-$L$62)</f>
        <v>2718274.230178241</v>
      </c>
      <c r="F61" s="265">
        <f>L68/SUM($L$65:$L$70)*(SUM($L$65:$L$70)-$L$62)</f>
        <v>132614.7553425926</v>
      </c>
      <c r="G61" s="265">
        <f>L69/SUM($L$65:$L$70)*(SUM($L$65:$L$70)-$L$62)</f>
        <v>178570.3636296296</v>
      </c>
      <c r="H61" s="265">
        <f>L70/SUM($L$65:$L$70)*(SUM($L$65:$L$70)-$L$62)</f>
        <v>5034436.887844907</v>
      </c>
      <c r="I61" s="262">
        <f aca="true" t="shared" si="15" ref="I61:I71">SUM(C61:H61)</f>
        <v>11344470.16</v>
      </c>
      <c r="K61" s="2" t="s">
        <v>355</v>
      </c>
      <c r="L61" s="207">
        <v>24250529.84</v>
      </c>
    </row>
    <row r="62" spans="2:12" ht="11.25">
      <c r="B62" s="151">
        <f t="shared" si="14"/>
        <v>2017</v>
      </c>
      <c r="C62" s="259">
        <v>4025000.0000000005</v>
      </c>
      <c r="D62" s="259">
        <v>10327000</v>
      </c>
      <c r="E62" s="259">
        <v>20663000</v>
      </c>
      <c r="F62" s="259">
        <v>347000</v>
      </c>
      <c r="G62" s="259">
        <v>487000</v>
      </c>
      <c r="H62" s="259">
        <v>48018000</v>
      </c>
      <c r="I62" s="262">
        <f t="shared" si="15"/>
        <v>83867000</v>
      </c>
      <c r="K62" s="2" t="s">
        <v>354</v>
      </c>
      <c r="L62" s="206">
        <f>L61-L60</f>
        <v>23215529.84</v>
      </c>
    </row>
    <row r="63" spans="2:9" ht="11.25">
      <c r="B63" s="151">
        <f t="shared" si="14"/>
        <v>2018</v>
      </c>
      <c r="C63" s="259">
        <v>1329000</v>
      </c>
      <c r="D63" s="259">
        <v>9843000</v>
      </c>
      <c r="E63" s="259">
        <v>16221000</v>
      </c>
      <c r="F63" s="259">
        <v>582000</v>
      </c>
      <c r="G63" s="259">
        <v>303000</v>
      </c>
      <c r="H63" s="259">
        <v>50935000</v>
      </c>
      <c r="I63" s="262">
        <f t="shared" si="15"/>
        <v>79213000</v>
      </c>
    </row>
    <row r="64" spans="2:12" ht="11.25">
      <c r="B64" s="151">
        <f t="shared" si="14"/>
        <v>2019</v>
      </c>
      <c r="C64" s="259">
        <v>6160000</v>
      </c>
      <c r="D64" s="259">
        <v>7020000</v>
      </c>
      <c r="E64" s="259">
        <v>23675000</v>
      </c>
      <c r="F64" s="259">
        <v>2092000</v>
      </c>
      <c r="G64" s="259">
        <v>2800000</v>
      </c>
      <c r="H64" s="259"/>
      <c r="I64" s="262">
        <f t="shared" si="15"/>
        <v>41747000</v>
      </c>
      <c r="L64" s="2" t="s">
        <v>352</v>
      </c>
    </row>
    <row r="65" spans="2:12" ht="11.25">
      <c r="B65" s="151">
        <f t="shared" si="14"/>
        <v>2020</v>
      </c>
      <c r="C65" s="259">
        <v>5402000</v>
      </c>
      <c r="D65" s="259">
        <v>21478000</v>
      </c>
      <c r="E65" s="259">
        <v>9874000</v>
      </c>
      <c r="F65" s="259"/>
      <c r="G65" s="259">
        <v>620000</v>
      </c>
      <c r="H65" s="259"/>
      <c r="I65" s="262">
        <f t="shared" si="15"/>
        <v>37374000</v>
      </c>
      <c r="K65" t="s">
        <v>339</v>
      </c>
      <c r="L65" s="144">
        <v>3319000</v>
      </c>
    </row>
    <row r="66" spans="2:12" ht="11.25">
      <c r="B66" s="151">
        <f t="shared" si="14"/>
        <v>2021</v>
      </c>
      <c r="C66" s="259">
        <v>25909000</v>
      </c>
      <c r="D66" s="259">
        <v>26476000</v>
      </c>
      <c r="E66" s="259"/>
      <c r="F66" s="259"/>
      <c r="G66" s="259">
        <v>620000</v>
      </c>
      <c r="H66" s="259"/>
      <c r="I66" s="262">
        <f t="shared" si="15"/>
        <v>53005000</v>
      </c>
      <c r="K66" t="s">
        <v>334</v>
      </c>
      <c r="L66" s="144">
        <v>6675000</v>
      </c>
    </row>
    <row r="67" spans="2:12" ht="11.25">
      <c r="B67" s="151">
        <f t="shared" si="14"/>
        <v>2022</v>
      </c>
      <c r="C67" s="259">
        <v>22277000</v>
      </c>
      <c r="D67" s="259">
        <v>11099000</v>
      </c>
      <c r="E67" s="259"/>
      <c r="F67" s="259"/>
      <c r="G67" s="259"/>
      <c r="H67" s="259"/>
      <c r="I67" s="262">
        <f t="shared" si="15"/>
        <v>33376000</v>
      </c>
      <c r="K67" t="s">
        <v>340</v>
      </c>
      <c r="L67" s="144">
        <v>8281000.000000001</v>
      </c>
    </row>
    <row r="68" spans="2:12" ht="11.25">
      <c r="B68" s="151">
        <f t="shared" si="14"/>
        <v>2023</v>
      </c>
      <c r="C68" s="259"/>
      <c r="D68" s="259"/>
      <c r="E68" s="259"/>
      <c r="F68" s="259"/>
      <c r="G68" s="259"/>
      <c r="H68" s="259"/>
      <c r="I68" s="263">
        <f t="shared" si="15"/>
        <v>0</v>
      </c>
      <c r="K68" t="s">
        <v>341</v>
      </c>
      <c r="L68" s="144">
        <v>404000</v>
      </c>
    </row>
    <row r="69" spans="2:12" ht="11.25">
      <c r="B69" s="151">
        <f t="shared" si="14"/>
        <v>2024</v>
      </c>
      <c r="C69" s="259"/>
      <c r="D69" s="259"/>
      <c r="E69" s="259"/>
      <c r="F69" s="259"/>
      <c r="G69" s="259"/>
      <c r="H69" s="259"/>
      <c r="I69" s="263">
        <f t="shared" si="15"/>
        <v>0</v>
      </c>
      <c r="K69" t="s">
        <v>342</v>
      </c>
      <c r="L69" s="144">
        <v>544000</v>
      </c>
    </row>
    <row r="70" spans="2:12" ht="11.25">
      <c r="B70" s="154">
        <f t="shared" si="14"/>
        <v>2025</v>
      </c>
      <c r="C70" s="261"/>
      <c r="D70" s="261"/>
      <c r="E70" s="261"/>
      <c r="F70" s="261"/>
      <c r="G70" s="261"/>
      <c r="H70" s="261"/>
      <c r="I70" s="264">
        <f t="shared" si="15"/>
        <v>0</v>
      </c>
      <c r="K70" t="s">
        <v>345</v>
      </c>
      <c r="L70" s="144">
        <v>15337000</v>
      </c>
    </row>
    <row r="71" spans="2:9" ht="11.25">
      <c r="B71" s="182" t="s">
        <v>20</v>
      </c>
      <c r="C71" s="262">
        <f aca="true" t="shared" si="16" ref="C71:H71">SUM(C60:C68)</f>
        <v>66191476.17074768</v>
      </c>
      <c r="D71" s="262">
        <f t="shared" si="16"/>
        <v>88434097.75225694</v>
      </c>
      <c r="E71" s="262">
        <f t="shared" si="16"/>
        <v>73151274.23017824</v>
      </c>
      <c r="F71" s="262">
        <f t="shared" si="16"/>
        <v>3153614.7553425925</v>
      </c>
      <c r="G71" s="262">
        <f t="shared" si="16"/>
        <v>5008570.36362963</v>
      </c>
      <c r="H71" s="262">
        <f t="shared" si="16"/>
        <v>103987436.8878449</v>
      </c>
      <c r="I71" s="262">
        <f t="shared" si="15"/>
        <v>339926470.16</v>
      </c>
    </row>
    <row r="74" spans="3:9" ht="11.25">
      <c r="C74" s="21" t="s">
        <v>422</v>
      </c>
      <c r="D74" s="97"/>
      <c r="E74" s="112"/>
      <c r="F74" s="48"/>
      <c r="G74" s="48"/>
      <c r="I74" s="17"/>
    </row>
    <row r="75" spans="2:9" ht="11.25">
      <c r="B75" s="205" t="s">
        <v>319</v>
      </c>
      <c r="C75" s="193" t="s">
        <v>324</v>
      </c>
      <c r="D75" s="193" t="s">
        <v>331</v>
      </c>
      <c r="E75" s="194" t="s">
        <v>345</v>
      </c>
      <c r="F75" s="194"/>
      <c r="G75" s="194"/>
      <c r="H75" s="193"/>
      <c r="I75" s="195" t="s">
        <v>20</v>
      </c>
    </row>
    <row r="76" spans="2:12" ht="11.25">
      <c r="B76" s="204">
        <f aca="true" t="shared" si="17" ref="B76:B86">B7</f>
        <v>2015</v>
      </c>
      <c r="C76" s="265"/>
      <c r="D76" s="265"/>
      <c r="E76" s="265"/>
      <c r="F76" s="259"/>
      <c r="G76" s="259"/>
      <c r="H76" s="259"/>
      <c r="I76" s="262">
        <f>SUM(C76:H76)</f>
        <v>0</v>
      </c>
      <c r="K76" s="2" t="s">
        <v>353</v>
      </c>
      <c r="L76" s="144">
        <v>800999.9999999999</v>
      </c>
    </row>
    <row r="77" spans="2:12" ht="11.25">
      <c r="B77" s="197">
        <f t="shared" si="17"/>
        <v>2016</v>
      </c>
      <c r="C77" s="265">
        <v>0</v>
      </c>
      <c r="D77" s="265">
        <v>0</v>
      </c>
      <c r="E77" s="265">
        <v>0</v>
      </c>
      <c r="F77" s="259"/>
      <c r="G77" s="259"/>
      <c r="H77" s="259"/>
      <c r="I77" s="262">
        <f aca="true" t="shared" si="18" ref="I77:I87">SUM(C77:H77)</f>
        <v>0</v>
      </c>
      <c r="K77" s="2" t="s">
        <v>356</v>
      </c>
      <c r="L77" s="144">
        <v>934560</v>
      </c>
    </row>
    <row r="78" spans="2:12" ht="11.25">
      <c r="B78" s="197">
        <f t="shared" si="17"/>
        <v>2017</v>
      </c>
      <c r="C78" s="265">
        <f>L82/SUM($L$82:$L$84)*(SUM($L$82:$L$84)-$L$79)</f>
        <v>979148.6554288705</v>
      </c>
      <c r="D78" s="265">
        <f>L83/SUM($L$82:$L$84)*(SUM($L$82:$L$84)-$L$79)</f>
        <v>622912.3186755681</v>
      </c>
      <c r="E78" s="265">
        <f>L84/SUM($L$82:$L$84)*(SUM($L$82:$L$84)-$L$79)</f>
        <v>19471691.02589556</v>
      </c>
      <c r="F78" s="259"/>
      <c r="G78" s="259"/>
      <c r="H78" s="259"/>
      <c r="I78" s="262">
        <f t="shared" si="18"/>
        <v>21073751.999999996</v>
      </c>
      <c r="K78" s="2" t="s">
        <v>355</v>
      </c>
      <c r="L78" s="144">
        <v>3363768</v>
      </c>
    </row>
    <row r="79" spans="2:12" ht="11.25">
      <c r="B79" s="197">
        <f t="shared" si="17"/>
        <v>2018</v>
      </c>
      <c r="C79" s="259">
        <v>3278520</v>
      </c>
      <c r="D79" s="259">
        <v>1384920</v>
      </c>
      <c r="E79" s="259">
        <v>21618720</v>
      </c>
      <c r="F79" s="259"/>
      <c r="G79" s="259"/>
      <c r="H79" s="259"/>
      <c r="I79" s="262">
        <f t="shared" si="18"/>
        <v>26282160</v>
      </c>
      <c r="K79" s="2" t="s">
        <v>354</v>
      </c>
      <c r="L79" s="206">
        <f>L78-L76-L77</f>
        <v>1628208</v>
      </c>
    </row>
    <row r="80" spans="2:9" ht="11.25">
      <c r="B80" s="197">
        <f t="shared" si="17"/>
        <v>2019</v>
      </c>
      <c r="C80" s="259">
        <v>3709440</v>
      </c>
      <c r="D80" s="259">
        <v>7854119.999999999</v>
      </c>
      <c r="E80" s="259"/>
      <c r="F80" s="259"/>
      <c r="G80" s="259"/>
      <c r="H80" s="259"/>
      <c r="I80" s="262">
        <f t="shared" si="18"/>
        <v>11563560</v>
      </c>
    </row>
    <row r="81" spans="2:12" ht="11.25">
      <c r="B81" s="197">
        <f t="shared" si="17"/>
        <v>2020</v>
      </c>
      <c r="C81" s="259">
        <v>9631079.999999998</v>
      </c>
      <c r="D81" s="259">
        <v>3505320</v>
      </c>
      <c r="E81" s="259"/>
      <c r="F81" s="259"/>
      <c r="G81" s="259"/>
      <c r="H81" s="259"/>
      <c r="I81" s="262">
        <f t="shared" si="18"/>
        <v>13136399.999999998</v>
      </c>
      <c r="L81" s="2" t="s">
        <v>376</v>
      </c>
    </row>
    <row r="82" spans="2:12" ht="11.25">
      <c r="B82" s="197">
        <f t="shared" si="17"/>
        <v>2021</v>
      </c>
      <c r="C82" s="259">
        <v>7365600</v>
      </c>
      <c r="D82" s="259"/>
      <c r="E82" s="259"/>
      <c r="F82" s="259"/>
      <c r="G82" s="259"/>
      <c r="H82" s="259"/>
      <c r="I82" s="262">
        <f t="shared" si="18"/>
        <v>7365600</v>
      </c>
      <c r="K82" t="s">
        <v>324</v>
      </c>
      <c r="L82" s="144">
        <v>1054800</v>
      </c>
    </row>
    <row r="83" spans="2:12" ht="11.25">
      <c r="B83" s="197">
        <f t="shared" si="17"/>
        <v>2022</v>
      </c>
      <c r="C83" s="259">
        <v>11906999.999999998</v>
      </c>
      <c r="D83" s="259"/>
      <c r="E83" s="259"/>
      <c r="F83" s="259"/>
      <c r="G83" s="259"/>
      <c r="H83" s="259"/>
      <c r="I83" s="262">
        <f t="shared" si="18"/>
        <v>11906999.999999998</v>
      </c>
      <c r="K83" t="s">
        <v>331</v>
      </c>
      <c r="L83" s="144">
        <v>671040</v>
      </c>
    </row>
    <row r="84" spans="2:12" ht="11.25">
      <c r="B84" s="197">
        <f t="shared" si="17"/>
        <v>2023</v>
      </c>
      <c r="C84" s="259">
        <v>10611720</v>
      </c>
      <c r="D84" s="259"/>
      <c r="E84" s="259"/>
      <c r="F84" s="259"/>
      <c r="G84" s="259"/>
      <c r="H84" s="259"/>
      <c r="I84" s="263">
        <f t="shared" si="18"/>
        <v>10611720</v>
      </c>
      <c r="K84" t="s">
        <v>345</v>
      </c>
      <c r="L84" s="144">
        <v>20976119.999999996</v>
      </c>
    </row>
    <row r="85" spans="2:9" ht="11.25">
      <c r="B85" s="197">
        <f t="shared" si="17"/>
        <v>2024</v>
      </c>
      <c r="C85" s="259"/>
      <c r="D85" s="259"/>
      <c r="E85" s="259"/>
      <c r="F85" s="259"/>
      <c r="G85" s="259"/>
      <c r="H85" s="259"/>
      <c r="I85" s="263">
        <f t="shared" si="18"/>
        <v>0</v>
      </c>
    </row>
    <row r="86" spans="2:9" ht="11.25">
      <c r="B86" s="154">
        <f t="shared" si="17"/>
        <v>2025</v>
      </c>
      <c r="C86" s="261"/>
      <c r="D86" s="261"/>
      <c r="E86" s="261"/>
      <c r="F86" s="261"/>
      <c r="G86" s="261"/>
      <c r="H86" s="261"/>
      <c r="I86" s="264">
        <f t="shared" si="18"/>
        <v>0</v>
      </c>
    </row>
    <row r="87" spans="2:9" ht="11.25">
      <c r="B87" s="182" t="s">
        <v>20</v>
      </c>
      <c r="C87" s="262">
        <f aca="true" t="shared" si="19" ref="C87:H87">SUM(C76:C84)</f>
        <v>47482508.655428864</v>
      </c>
      <c r="D87" s="262">
        <f t="shared" si="19"/>
        <v>13367272.318675566</v>
      </c>
      <c r="E87" s="262">
        <f t="shared" si="19"/>
        <v>41090411.02589556</v>
      </c>
      <c r="F87" s="262">
        <f t="shared" si="19"/>
        <v>0</v>
      </c>
      <c r="G87" s="262">
        <f t="shared" si="19"/>
        <v>0</v>
      </c>
      <c r="H87" s="262">
        <f t="shared" si="19"/>
        <v>0</v>
      </c>
      <c r="I87" s="262">
        <f t="shared" si="18"/>
        <v>101940192</v>
      </c>
    </row>
    <row r="90" spans="3:9" ht="11.25">
      <c r="C90" s="21" t="s">
        <v>423</v>
      </c>
      <c r="D90" s="97"/>
      <c r="E90" s="112"/>
      <c r="F90" s="48"/>
      <c r="G90" s="48"/>
      <c r="I90" s="17"/>
    </row>
    <row r="91" spans="2:9" ht="11.25">
      <c r="B91" s="205" t="s">
        <v>320</v>
      </c>
      <c r="C91" s="193" t="s">
        <v>344</v>
      </c>
      <c r="D91" s="193" t="s">
        <v>345</v>
      </c>
      <c r="E91" s="194"/>
      <c r="F91" s="194"/>
      <c r="G91" s="194"/>
      <c r="H91" s="193"/>
      <c r="I91" s="195" t="s">
        <v>20</v>
      </c>
    </row>
    <row r="92" spans="2:12" ht="11.25">
      <c r="B92" s="204">
        <f aca="true" t="shared" si="20" ref="B92:B102">B7</f>
        <v>2015</v>
      </c>
      <c r="C92" s="265"/>
      <c r="D92" s="265"/>
      <c r="E92" s="259"/>
      <c r="F92" s="259"/>
      <c r="G92" s="259"/>
      <c r="H92" s="259"/>
      <c r="I92" s="262">
        <f>SUM(C92:H92)</f>
        <v>0</v>
      </c>
      <c r="K92" s="2" t="s">
        <v>356</v>
      </c>
      <c r="L92" s="144">
        <v>1024999.9999999999</v>
      </c>
    </row>
    <row r="93" spans="2:12" ht="11.25">
      <c r="B93" s="197">
        <f t="shared" si="20"/>
        <v>2016</v>
      </c>
      <c r="C93" s="265">
        <v>0</v>
      </c>
      <c r="D93" s="265">
        <v>0</v>
      </c>
      <c r="E93" s="259"/>
      <c r="F93" s="259"/>
      <c r="G93" s="259"/>
      <c r="H93" s="259"/>
      <c r="I93" s="262">
        <f aca="true" t="shared" si="21" ref="I93:I103">SUM(C93:H93)</f>
        <v>0</v>
      </c>
      <c r="K93" s="2" t="s">
        <v>355</v>
      </c>
      <c r="L93" s="207">
        <v>3042699.96</v>
      </c>
    </row>
    <row r="94" spans="2:12" ht="11.25">
      <c r="B94" s="197">
        <f t="shared" si="20"/>
        <v>2017</v>
      </c>
      <c r="C94" s="265">
        <f>L98/SUM($L$98:$L$99)*(SUM($L$98:$L$99)-$L$94)</f>
        <v>694771.3561403613</v>
      </c>
      <c r="D94" s="265">
        <f>L99/SUM($L$98:$L$99)*(SUM($L$98:$L$99)-$L$94)</f>
        <v>31000528.683859635</v>
      </c>
      <c r="E94" s="259"/>
      <c r="F94" s="259"/>
      <c r="G94" s="259"/>
      <c r="H94" s="259"/>
      <c r="I94" s="262">
        <f t="shared" si="21"/>
        <v>31695300.039999995</v>
      </c>
      <c r="K94" s="2" t="s">
        <v>378</v>
      </c>
      <c r="L94" s="206">
        <f>L93-L92</f>
        <v>2017699.96</v>
      </c>
    </row>
    <row r="95" spans="2:9" ht="11.25">
      <c r="B95" s="197">
        <f t="shared" si="20"/>
        <v>2018</v>
      </c>
      <c r="C95" s="259">
        <v>466000</v>
      </c>
      <c r="D95" s="259">
        <v>35136000</v>
      </c>
      <c r="E95" s="259"/>
      <c r="F95" s="259"/>
      <c r="G95" s="259"/>
      <c r="H95" s="259"/>
      <c r="I95" s="262">
        <f t="shared" si="21"/>
        <v>35602000</v>
      </c>
    </row>
    <row r="96" spans="2:9" ht="11.25">
      <c r="B96" s="197">
        <f t="shared" si="20"/>
        <v>2019</v>
      </c>
      <c r="C96" s="259">
        <v>3797000</v>
      </c>
      <c r="D96" s="259"/>
      <c r="E96" s="259"/>
      <c r="F96" s="259"/>
      <c r="G96" s="259"/>
      <c r="H96" s="259"/>
      <c r="I96" s="262">
        <f t="shared" si="21"/>
        <v>3797000</v>
      </c>
    </row>
    <row r="97" spans="2:12" ht="11.25">
      <c r="B97" s="197">
        <f t="shared" si="20"/>
        <v>2020</v>
      </c>
      <c r="C97" s="259">
        <v>3439000</v>
      </c>
      <c r="D97" s="259"/>
      <c r="E97" s="259"/>
      <c r="F97" s="259"/>
      <c r="G97" s="259"/>
      <c r="H97" s="259"/>
      <c r="I97" s="262">
        <f t="shared" si="21"/>
        <v>3439000</v>
      </c>
      <c r="L97" s="2" t="s">
        <v>377</v>
      </c>
    </row>
    <row r="98" spans="2:12" ht="11.25">
      <c r="B98" s="197">
        <f t="shared" si="20"/>
        <v>2021</v>
      </c>
      <c r="C98" s="259">
        <v>3626000</v>
      </c>
      <c r="D98" s="259"/>
      <c r="E98" s="259"/>
      <c r="F98" s="259"/>
      <c r="G98" s="259"/>
      <c r="H98" s="259"/>
      <c r="I98" s="262">
        <f t="shared" si="21"/>
        <v>3626000</v>
      </c>
      <c r="K98" t="s">
        <v>344</v>
      </c>
      <c r="L98" s="144">
        <v>739000</v>
      </c>
    </row>
    <row r="99" spans="2:12" ht="11.25">
      <c r="B99" s="197">
        <f t="shared" si="20"/>
        <v>2022</v>
      </c>
      <c r="C99" s="259">
        <v>9926000</v>
      </c>
      <c r="D99" s="259"/>
      <c r="E99" s="259"/>
      <c r="F99" s="259"/>
      <c r="G99" s="259"/>
      <c r="H99" s="259"/>
      <c r="I99" s="262">
        <f t="shared" si="21"/>
        <v>9926000</v>
      </c>
      <c r="K99" s="2" t="s">
        <v>345</v>
      </c>
      <c r="L99" s="144">
        <v>32973999.999999996</v>
      </c>
    </row>
    <row r="100" spans="2:9" ht="11.25">
      <c r="B100" s="197">
        <f t="shared" si="20"/>
        <v>2023</v>
      </c>
      <c r="C100" s="259">
        <v>10179000</v>
      </c>
      <c r="D100" s="259"/>
      <c r="E100" s="259"/>
      <c r="F100" s="259"/>
      <c r="G100" s="259"/>
      <c r="H100" s="259"/>
      <c r="I100" s="263">
        <f t="shared" si="21"/>
        <v>10179000</v>
      </c>
    </row>
    <row r="101" spans="2:9" ht="11.25">
      <c r="B101" s="197">
        <f t="shared" si="20"/>
        <v>2024</v>
      </c>
      <c r="C101" s="259"/>
      <c r="D101" s="259"/>
      <c r="E101" s="259"/>
      <c r="F101" s="259"/>
      <c r="G101" s="259"/>
      <c r="H101" s="259"/>
      <c r="I101" s="263">
        <f t="shared" si="21"/>
        <v>0</v>
      </c>
    </row>
    <row r="102" spans="2:9" ht="11.25">
      <c r="B102" s="154">
        <f t="shared" si="20"/>
        <v>2025</v>
      </c>
      <c r="C102" s="261"/>
      <c r="D102" s="261"/>
      <c r="E102" s="261"/>
      <c r="F102" s="261"/>
      <c r="G102" s="261"/>
      <c r="H102" s="261"/>
      <c r="I102" s="264">
        <f t="shared" si="21"/>
        <v>0</v>
      </c>
    </row>
    <row r="103" spans="2:9" ht="11.25">
      <c r="B103" s="182" t="s">
        <v>20</v>
      </c>
      <c r="C103" s="262">
        <f aca="true" t="shared" si="22" ref="C103:H103">SUM(C92:C100)</f>
        <v>32127771.35614036</v>
      </c>
      <c r="D103" s="262">
        <f t="shared" si="22"/>
        <v>66136528.68385963</v>
      </c>
      <c r="E103" s="262">
        <f t="shared" si="22"/>
        <v>0</v>
      </c>
      <c r="F103" s="262">
        <f t="shared" si="22"/>
        <v>0</v>
      </c>
      <c r="G103" s="262">
        <f t="shared" si="22"/>
        <v>0</v>
      </c>
      <c r="H103" s="262">
        <f t="shared" si="22"/>
        <v>0</v>
      </c>
      <c r="I103" s="262">
        <f t="shared" si="21"/>
        <v>98264300.03999999</v>
      </c>
    </row>
  </sheetData>
  <sheetProtection/>
  <printOptions/>
  <pageMargins left="0.75" right="0.75" top="1" bottom="1" header="0.5" footer="0.5"/>
  <pageSetup horizontalDpi="600" verticalDpi="600" orientation="portrait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60"/>
  <sheetViews>
    <sheetView zoomScale="75" zoomScaleNormal="75" zoomScalePageLayoutView="0" workbookViewId="0" topLeftCell="A1">
      <selection activeCell="A1" sqref="A1"/>
    </sheetView>
  </sheetViews>
  <sheetFormatPr defaultColWidth="9.33203125" defaultRowHeight="11.25"/>
  <cols>
    <col min="1" max="1" width="17.33203125" style="48" bestFit="1" customWidth="1"/>
    <col min="2" max="2" width="18.5" style="48" customWidth="1"/>
    <col min="3" max="3" width="15.16015625" style="0" customWidth="1"/>
    <col min="4" max="4" width="22.16015625" style="0" bestFit="1" customWidth="1"/>
    <col min="5" max="5" width="21.33203125" style="0" bestFit="1" customWidth="1"/>
    <col min="6" max="8" width="16.16015625" style="0" bestFit="1" customWidth="1"/>
    <col min="10" max="13" width="12" style="0" bestFit="1" customWidth="1"/>
    <col min="14" max="16" width="11.33203125" style="0" bestFit="1" customWidth="1"/>
  </cols>
  <sheetData>
    <row r="1" spans="1:53" ht="11.25">
      <c r="A1" s="241" t="s">
        <v>23</v>
      </c>
      <c r="B1" s="242" t="s">
        <v>41</v>
      </c>
      <c r="C1" s="217" t="s">
        <v>365</v>
      </c>
      <c r="D1" s="228" t="s">
        <v>110</v>
      </c>
      <c r="E1" s="217" t="s">
        <v>6</v>
      </c>
      <c r="F1" s="21"/>
      <c r="H1" s="85"/>
      <c r="I1" s="22"/>
      <c r="J1" s="22"/>
      <c r="K1" s="22"/>
      <c r="L1" s="22"/>
      <c r="M1" s="22"/>
      <c r="N1" s="22"/>
      <c r="O1" s="22"/>
      <c r="P1" s="22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16" ht="11.25">
      <c r="A2" s="243">
        <v>1</v>
      </c>
      <c r="B2" s="244">
        <v>0.0375</v>
      </c>
      <c r="C2" s="220">
        <v>1</v>
      </c>
      <c r="D2" s="229" t="s">
        <v>24</v>
      </c>
      <c r="E2" s="218">
        <f>'KU Depreciation Rate'!E39</f>
        <v>0.0211</v>
      </c>
      <c r="F2" s="24"/>
      <c r="H2" s="145"/>
      <c r="I2" s="24"/>
      <c r="J2" s="20"/>
      <c r="K2" s="20"/>
      <c r="L2" s="20"/>
      <c r="M2" s="20"/>
      <c r="N2" s="20"/>
      <c r="O2" s="20"/>
      <c r="P2" s="20"/>
    </row>
    <row r="3" spans="1:16" ht="11.25">
      <c r="A3" s="243">
        <v>2</v>
      </c>
      <c r="B3" s="244">
        <v>0.07219</v>
      </c>
      <c r="C3" s="220">
        <v>1</v>
      </c>
      <c r="D3" s="149" t="s">
        <v>25</v>
      </c>
      <c r="E3" s="218">
        <f>'KU Depreciation Rate'!E24</f>
        <v>0.026</v>
      </c>
      <c r="F3" s="24"/>
      <c r="H3" s="24"/>
      <c r="I3" s="24"/>
      <c r="J3" s="20"/>
      <c r="K3" s="20"/>
      <c r="L3" s="20"/>
      <c r="M3" s="20"/>
      <c r="N3" s="20"/>
      <c r="O3" s="20"/>
      <c r="P3" s="20"/>
    </row>
    <row r="4" spans="1:16" ht="11.25">
      <c r="A4" s="243">
        <v>3</v>
      </c>
      <c r="B4" s="244">
        <v>0.06677</v>
      </c>
      <c r="C4" s="220">
        <v>1</v>
      </c>
      <c r="D4" s="149" t="s">
        <v>26</v>
      </c>
      <c r="E4" s="218">
        <f>'KU Depreciation Rate'!E34</f>
        <v>0.0146</v>
      </c>
      <c r="F4" s="24"/>
      <c r="G4" s="24"/>
      <c r="H4" s="24"/>
      <c r="I4" s="24"/>
      <c r="J4" s="20"/>
      <c r="K4" s="20"/>
      <c r="L4" s="20"/>
      <c r="M4" s="20"/>
      <c r="N4" s="20"/>
      <c r="O4" s="20"/>
      <c r="P4" s="20"/>
    </row>
    <row r="5" spans="1:16" ht="11.25">
      <c r="A5" s="243">
        <v>4</v>
      </c>
      <c r="B5" s="244">
        <v>0.06177</v>
      </c>
      <c r="C5" s="220">
        <v>1</v>
      </c>
      <c r="D5" s="149" t="s">
        <v>27</v>
      </c>
      <c r="E5" s="218">
        <f>'KU Depreciation Rate'!E44</f>
        <v>0.02</v>
      </c>
      <c r="F5" s="24"/>
      <c r="G5" s="24"/>
      <c r="H5" s="24"/>
      <c r="I5" s="24"/>
      <c r="J5" s="20"/>
      <c r="K5" s="20"/>
      <c r="L5" s="20"/>
      <c r="M5" s="20"/>
      <c r="N5" s="20"/>
      <c r="O5" s="20"/>
      <c r="P5" s="20"/>
    </row>
    <row r="6" spans="1:16" ht="11.25">
      <c r="A6" s="243">
        <v>5</v>
      </c>
      <c r="B6" s="244">
        <v>0.05713</v>
      </c>
      <c r="C6" s="220">
        <v>1</v>
      </c>
      <c r="D6" s="149" t="s">
        <v>28</v>
      </c>
      <c r="E6" s="219">
        <f>'KU Depreciation Rate'!E56</f>
        <v>0.0231</v>
      </c>
      <c r="F6" s="24"/>
      <c r="G6" s="24"/>
      <c r="H6" s="24"/>
      <c r="I6" s="24"/>
      <c r="J6" s="20"/>
      <c r="K6" s="20"/>
      <c r="L6" s="20"/>
      <c r="M6" s="20"/>
      <c r="N6" s="20"/>
      <c r="O6" s="20"/>
      <c r="P6" s="20"/>
    </row>
    <row r="7" spans="1:16" ht="11.25">
      <c r="A7" s="243">
        <v>6</v>
      </c>
      <c r="B7" s="244">
        <v>0.05285</v>
      </c>
      <c r="C7" s="220">
        <v>1</v>
      </c>
      <c r="D7" s="230" t="s">
        <v>29</v>
      </c>
      <c r="E7" s="219">
        <f>'KU Depreciation Rate'!E4</f>
        <v>0.028</v>
      </c>
      <c r="F7" s="24"/>
      <c r="G7" s="24"/>
      <c r="H7" s="25" t="s">
        <v>276</v>
      </c>
      <c r="I7" s="24"/>
      <c r="J7" s="20"/>
      <c r="K7" s="20"/>
      <c r="L7" s="20"/>
      <c r="M7" s="20"/>
      <c r="N7" s="20"/>
      <c r="O7" s="20"/>
      <c r="P7" s="20"/>
    </row>
    <row r="8" spans="1:16" ht="11.25">
      <c r="A8" s="243">
        <v>7</v>
      </c>
      <c r="B8" s="244">
        <v>0.04888</v>
      </c>
      <c r="C8" s="220">
        <v>1</v>
      </c>
      <c r="D8" s="230" t="s">
        <v>30</v>
      </c>
      <c r="E8" s="219">
        <f>'KU Depreciation Rate'!E9</f>
        <v>0.0264</v>
      </c>
      <c r="F8" s="24"/>
      <c r="G8" s="24"/>
      <c r="H8" s="22" t="s">
        <v>277</v>
      </c>
      <c r="I8" s="24"/>
      <c r="J8" s="20"/>
      <c r="K8" s="20"/>
      <c r="L8" s="20"/>
      <c r="M8" s="20"/>
      <c r="N8" s="20"/>
      <c r="O8" s="20"/>
      <c r="P8" s="20"/>
    </row>
    <row r="9" spans="1:16" ht="11.25">
      <c r="A9" s="243">
        <v>8</v>
      </c>
      <c r="B9" s="244">
        <v>0.04522</v>
      </c>
      <c r="C9" s="220">
        <v>1</v>
      </c>
      <c r="D9" s="231" t="s">
        <v>31</v>
      </c>
      <c r="E9" s="219">
        <f>'KU Depreciation Rate'!E15</f>
        <v>0.0235</v>
      </c>
      <c r="F9" s="24"/>
      <c r="G9" s="86"/>
      <c r="H9" s="86"/>
      <c r="I9" s="24"/>
      <c r="J9" s="20"/>
      <c r="K9" s="20"/>
      <c r="L9" s="20"/>
      <c r="M9" s="20"/>
      <c r="N9" s="20"/>
      <c r="O9" s="20"/>
      <c r="P9" s="20"/>
    </row>
    <row r="10" spans="1:16" ht="11.25">
      <c r="A10" s="243">
        <v>9</v>
      </c>
      <c r="B10" s="244">
        <v>0.04462</v>
      </c>
      <c r="C10" s="220">
        <v>1</v>
      </c>
      <c r="D10" s="230" t="s">
        <v>97</v>
      </c>
      <c r="E10" s="219">
        <f>AVERAGE(E3,E5,E6)</f>
        <v>0.023033333333333333</v>
      </c>
      <c r="F10" s="24"/>
      <c r="G10" s="24"/>
      <c r="H10" s="24"/>
      <c r="I10" s="24"/>
      <c r="J10" s="20"/>
      <c r="K10" s="20"/>
      <c r="L10" s="20"/>
      <c r="M10" s="20"/>
      <c r="N10" s="20"/>
      <c r="O10" s="20"/>
      <c r="P10" s="20"/>
    </row>
    <row r="11" spans="1:16" ht="11.25">
      <c r="A11" s="243">
        <v>10</v>
      </c>
      <c r="B11" s="244">
        <v>0.04461</v>
      </c>
      <c r="C11" s="220">
        <v>1</v>
      </c>
      <c r="D11" s="232" t="s">
        <v>32</v>
      </c>
      <c r="E11" s="220">
        <f>'LGE Depreciation Rate'!E26</f>
        <v>0.0176</v>
      </c>
      <c r="F11" s="24"/>
      <c r="G11" s="24"/>
      <c r="H11" s="24"/>
      <c r="I11" s="24"/>
      <c r="J11" s="20"/>
      <c r="K11" s="20"/>
      <c r="L11" s="20"/>
      <c r="M11" s="20"/>
      <c r="N11" s="20"/>
      <c r="O11" s="20"/>
      <c r="P11" s="20"/>
    </row>
    <row r="12" spans="1:16" ht="11.25">
      <c r="A12" s="243">
        <v>11</v>
      </c>
      <c r="B12" s="244">
        <v>0.04462</v>
      </c>
      <c r="C12" s="220">
        <v>1</v>
      </c>
      <c r="D12" s="232" t="s">
        <v>33</v>
      </c>
      <c r="E12" s="220">
        <f>'LGE Depreciation Rate'!E23</f>
        <v>0.0253</v>
      </c>
      <c r="F12" s="24"/>
      <c r="G12" s="24"/>
      <c r="H12" s="24"/>
      <c r="I12" s="24"/>
      <c r="J12" s="20"/>
      <c r="K12" s="20"/>
      <c r="L12" s="20"/>
      <c r="M12" s="20"/>
      <c r="N12" s="20"/>
      <c r="O12" s="20"/>
      <c r="P12" s="20"/>
    </row>
    <row r="13" spans="1:16" ht="11.25">
      <c r="A13" s="243">
        <v>12</v>
      </c>
      <c r="B13" s="244">
        <v>0.04461</v>
      </c>
      <c r="C13" s="220">
        <v>1</v>
      </c>
      <c r="D13" s="232" t="s">
        <v>34</v>
      </c>
      <c r="E13" s="220">
        <f>'LGE Depreciation Rate'!E32</f>
        <v>0.014</v>
      </c>
      <c r="F13" s="24"/>
      <c r="G13" s="24"/>
      <c r="H13" s="24"/>
      <c r="I13" s="24"/>
      <c r="J13" s="20"/>
      <c r="K13" s="20"/>
      <c r="L13" s="20"/>
      <c r="M13" s="20"/>
      <c r="N13" s="20"/>
      <c r="O13" s="20"/>
      <c r="P13" s="20"/>
    </row>
    <row r="14" spans="1:16" ht="11.25">
      <c r="A14" s="243">
        <v>13</v>
      </c>
      <c r="B14" s="244">
        <v>0.04462</v>
      </c>
      <c r="C14" s="220">
        <v>1</v>
      </c>
      <c r="D14" s="233" t="s">
        <v>35</v>
      </c>
      <c r="E14" s="220">
        <f>'LGE Depreciation Rate'!E29</f>
        <v>0.0284</v>
      </c>
      <c r="F14" s="24"/>
      <c r="G14" s="24"/>
      <c r="H14" s="24"/>
      <c r="I14" s="24"/>
      <c r="J14" s="20"/>
      <c r="K14" s="20"/>
      <c r="L14" s="20"/>
      <c r="M14" s="20"/>
      <c r="N14" s="20"/>
      <c r="O14" s="20"/>
      <c r="P14" s="20"/>
    </row>
    <row r="15" spans="1:16" ht="11.25">
      <c r="A15" s="243">
        <v>14</v>
      </c>
      <c r="B15" s="244">
        <v>0.04461</v>
      </c>
      <c r="C15" s="220">
        <v>1</v>
      </c>
      <c r="D15" s="232" t="s">
        <v>36</v>
      </c>
      <c r="E15" s="220">
        <f>'LGE Depreciation Rate'!E38</f>
        <v>0.0217</v>
      </c>
      <c r="F15" s="24"/>
      <c r="G15" s="24"/>
      <c r="H15" s="24"/>
      <c r="I15" s="24"/>
      <c r="J15" s="20"/>
      <c r="K15" s="20"/>
      <c r="L15" s="20"/>
      <c r="M15" s="20"/>
      <c r="N15" s="20"/>
      <c r="O15" s="20"/>
      <c r="P15" s="20"/>
    </row>
    <row r="16" spans="1:16" ht="11.25">
      <c r="A16" s="243">
        <v>15</v>
      </c>
      <c r="B16" s="244">
        <v>0.04462</v>
      </c>
      <c r="C16" s="220">
        <v>1</v>
      </c>
      <c r="D16" s="233" t="s">
        <v>37</v>
      </c>
      <c r="E16" s="220">
        <f>'LGE Depreciation Rate'!E35</f>
        <v>0.0264</v>
      </c>
      <c r="F16" s="24"/>
      <c r="G16" s="24"/>
      <c r="H16" s="24"/>
      <c r="I16" s="24"/>
      <c r="J16" s="20"/>
      <c r="K16" s="20"/>
      <c r="L16" s="20"/>
      <c r="M16" s="20"/>
      <c r="N16" s="20"/>
      <c r="O16" s="20"/>
      <c r="P16" s="20"/>
    </row>
    <row r="17" spans="1:16" ht="11.25">
      <c r="A17" s="243">
        <v>16</v>
      </c>
      <c r="B17" s="244">
        <v>0.04462</v>
      </c>
      <c r="C17" s="220">
        <v>1</v>
      </c>
      <c r="D17" s="233" t="s">
        <v>38</v>
      </c>
      <c r="E17" s="220">
        <f>'LGE Depreciation Rate'!E42</f>
        <v>0.0254</v>
      </c>
      <c r="F17" s="24"/>
      <c r="G17" s="24"/>
      <c r="H17" s="24"/>
      <c r="I17" s="24"/>
      <c r="J17" s="20"/>
      <c r="K17" s="20"/>
      <c r="L17" s="20"/>
      <c r="M17" s="20"/>
      <c r="N17" s="20"/>
      <c r="O17" s="20"/>
      <c r="P17" s="20"/>
    </row>
    <row r="18" spans="1:16" ht="11.25">
      <c r="A18" s="243">
        <v>17</v>
      </c>
      <c r="B18" s="244">
        <v>0.04462</v>
      </c>
      <c r="C18" s="220">
        <v>1</v>
      </c>
      <c r="D18" s="230" t="s">
        <v>39</v>
      </c>
      <c r="E18" s="220">
        <f>'LGE Depreciation Rate'!E46</f>
        <v>0.0156</v>
      </c>
      <c r="F18" s="24"/>
      <c r="G18" s="24"/>
      <c r="H18" s="24"/>
      <c r="I18" s="24"/>
      <c r="J18" s="20"/>
      <c r="K18" s="20"/>
      <c r="L18" s="20"/>
      <c r="M18" s="20"/>
      <c r="N18" s="20"/>
      <c r="O18" s="20"/>
      <c r="P18" s="20"/>
    </row>
    <row r="19" spans="1:16" ht="11.25">
      <c r="A19" s="243">
        <v>18</v>
      </c>
      <c r="B19" s="244">
        <v>0.04462</v>
      </c>
      <c r="C19" s="220">
        <v>1</v>
      </c>
      <c r="D19" s="234" t="s">
        <v>40</v>
      </c>
      <c r="E19" s="220">
        <f>'LGE Depreciation Rate'!E54</f>
        <v>0.0125</v>
      </c>
      <c r="F19" s="24"/>
      <c r="G19" s="24"/>
      <c r="H19" s="24"/>
      <c r="I19" s="24"/>
      <c r="J19" s="20"/>
      <c r="K19" s="20"/>
      <c r="L19" s="20"/>
      <c r="M19" s="20"/>
      <c r="N19" s="20"/>
      <c r="O19" s="20"/>
      <c r="P19" s="20"/>
    </row>
    <row r="20" spans="1:16" ht="11.25">
      <c r="A20" s="243">
        <v>19</v>
      </c>
      <c r="B20" s="244">
        <v>0.04462</v>
      </c>
      <c r="C20" s="220">
        <v>1</v>
      </c>
      <c r="D20" s="235" t="s">
        <v>368</v>
      </c>
      <c r="E20" s="220">
        <f>'LGE Depreciation Rate'!E51</f>
        <v>0.0254</v>
      </c>
      <c r="F20" s="24"/>
      <c r="G20" s="24"/>
      <c r="H20" s="24"/>
      <c r="I20" s="24"/>
      <c r="J20" s="20"/>
      <c r="K20" s="20"/>
      <c r="L20" s="20"/>
      <c r="M20" s="20"/>
      <c r="N20" s="20"/>
      <c r="O20" s="20"/>
      <c r="P20" s="20"/>
    </row>
    <row r="21" spans="1:16" ht="11.25">
      <c r="A21" s="243">
        <v>20</v>
      </c>
      <c r="B21" s="244">
        <v>0.04462</v>
      </c>
      <c r="C21" s="220">
        <v>1</v>
      </c>
      <c r="D21" s="236" t="s">
        <v>330</v>
      </c>
      <c r="E21" s="221">
        <v>0</v>
      </c>
      <c r="F21" s="24"/>
      <c r="G21" s="24"/>
      <c r="H21" s="24"/>
      <c r="I21" s="24"/>
      <c r="J21" s="20"/>
      <c r="K21" s="20"/>
      <c r="L21" s="20"/>
      <c r="M21" s="20"/>
      <c r="N21" s="20"/>
      <c r="O21" s="20"/>
      <c r="P21" s="20"/>
    </row>
    <row r="22" spans="1:16" ht="11.25">
      <c r="A22" s="243">
        <v>21</v>
      </c>
      <c r="B22" s="244">
        <v>0.0223</v>
      </c>
      <c r="C22" s="220">
        <v>1</v>
      </c>
      <c r="D22" s="236" t="s">
        <v>336</v>
      </c>
      <c r="E22" s="222">
        <v>0</v>
      </c>
      <c r="F22" s="24"/>
      <c r="G22" s="24"/>
      <c r="H22" s="24"/>
      <c r="I22" s="24"/>
      <c r="J22" s="20"/>
      <c r="K22" s="20"/>
      <c r="L22" s="20"/>
      <c r="M22" s="20"/>
      <c r="N22" s="20"/>
      <c r="O22" s="20"/>
      <c r="P22" s="20"/>
    </row>
    <row r="23" spans="1:16" ht="11.25">
      <c r="A23" s="243">
        <v>22</v>
      </c>
      <c r="B23" s="244">
        <v>0</v>
      </c>
      <c r="C23" s="220">
        <v>1</v>
      </c>
      <c r="D23" s="231" t="s">
        <v>337</v>
      </c>
      <c r="E23" s="221">
        <v>0</v>
      </c>
      <c r="F23" s="24"/>
      <c r="G23" s="24"/>
      <c r="H23" s="24"/>
      <c r="I23" s="24"/>
      <c r="J23" s="20"/>
      <c r="K23" s="20"/>
      <c r="L23" s="20"/>
      <c r="M23" s="20"/>
      <c r="N23" s="20"/>
      <c r="O23" s="20"/>
      <c r="P23" s="20"/>
    </row>
    <row r="24" spans="1:16" ht="11.25">
      <c r="A24" s="243">
        <v>23</v>
      </c>
      <c r="B24" s="244">
        <v>0</v>
      </c>
      <c r="C24" s="220">
        <v>1</v>
      </c>
      <c r="D24" s="236" t="s">
        <v>369</v>
      </c>
      <c r="E24" s="220">
        <f>'KU Depreciation Rate'!E39</f>
        <v>0.0211</v>
      </c>
      <c r="F24" s="24"/>
      <c r="G24" s="24"/>
      <c r="H24" s="24"/>
      <c r="I24" s="24"/>
      <c r="J24" s="20"/>
      <c r="K24" s="20"/>
      <c r="L24" s="20"/>
      <c r="M24" s="20"/>
      <c r="N24" s="20"/>
      <c r="O24" s="20"/>
      <c r="P24" s="20"/>
    </row>
    <row r="25" spans="1:16" ht="11.25">
      <c r="A25" s="243">
        <v>24</v>
      </c>
      <c r="B25" s="244">
        <v>0</v>
      </c>
      <c r="C25" s="220">
        <v>1</v>
      </c>
      <c r="D25" s="236" t="s">
        <v>366</v>
      </c>
      <c r="E25" s="223">
        <f>'KU Depreciation Rate'!E95</f>
        <v>0.021</v>
      </c>
      <c r="G25" s="24"/>
      <c r="H25" s="24"/>
      <c r="I25" s="24"/>
      <c r="J25" s="20"/>
      <c r="K25" s="20"/>
      <c r="L25" s="20"/>
      <c r="M25" s="20"/>
      <c r="N25" s="20"/>
      <c r="O25" s="20"/>
      <c r="P25" s="20"/>
    </row>
    <row r="26" spans="1:16" ht="11.25">
      <c r="A26" s="243">
        <v>25</v>
      </c>
      <c r="B26" s="244">
        <v>0</v>
      </c>
      <c r="C26" s="220">
        <v>1</v>
      </c>
      <c r="D26" s="236" t="s">
        <v>367</v>
      </c>
      <c r="E26" s="220">
        <f>'LGE Depreciation Rate'!E57</f>
        <v>0.0246</v>
      </c>
      <c r="F26" s="7"/>
      <c r="G26" s="24"/>
      <c r="H26" s="24"/>
      <c r="I26" s="24"/>
      <c r="J26" s="20"/>
      <c r="K26" s="20"/>
      <c r="L26" s="20"/>
      <c r="M26" s="20"/>
      <c r="N26" s="20"/>
      <c r="O26" s="20"/>
      <c r="P26" s="20"/>
    </row>
    <row r="27" spans="1:16" ht="11.25">
      <c r="A27" s="243">
        <v>26</v>
      </c>
      <c r="B27" s="244">
        <v>0</v>
      </c>
      <c r="C27" s="220">
        <v>1</v>
      </c>
      <c r="D27" s="231" t="s">
        <v>329</v>
      </c>
      <c r="E27" s="221">
        <v>0</v>
      </c>
      <c r="F27" s="7"/>
      <c r="G27" s="24"/>
      <c r="H27" s="24"/>
      <c r="I27" s="24"/>
      <c r="J27" s="20"/>
      <c r="K27" s="20"/>
      <c r="L27" s="20"/>
      <c r="M27" s="20"/>
      <c r="N27" s="20"/>
      <c r="O27" s="20"/>
      <c r="P27" s="20"/>
    </row>
    <row r="28" spans="1:16" ht="11.25">
      <c r="A28" s="243">
        <v>27</v>
      </c>
      <c r="B28" s="244">
        <v>0</v>
      </c>
      <c r="C28" s="220">
        <v>1</v>
      </c>
      <c r="D28" s="231" t="s">
        <v>370</v>
      </c>
      <c r="E28" s="221">
        <v>0</v>
      </c>
      <c r="F28" s="7"/>
      <c r="G28" s="24"/>
      <c r="H28" s="24"/>
      <c r="I28" s="24"/>
      <c r="J28" s="20"/>
      <c r="K28" s="20"/>
      <c r="L28" s="20"/>
      <c r="M28" s="20"/>
      <c r="N28" s="20"/>
      <c r="O28" s="20"/>
      <c r="P28" s="20"/>
    </row>
    <row r="29" spans="1:16" ht="11.25">
      <c r="A29" s="243">
        <v>28</v>
      </c>
      <c r="B29" s="244">
        <v>0</v>
      </c>
      <c r="C29" s="220">
        <v>1</v>
      </c>
      <c r="D29" s="231" t="s">
        <v>338</v>
      </c>
      <c r="E29" s="221">
        <v>0</v>
      </c>
      <c r="F29" s="7"/>
      <c r="G29" s="24"/>
      <c r="H29" s="24"/>
      <c r="I29" s="24"/>
      <c r="J29" s="20"/>
      <c r="K29" s="20"/>
      <c r="L29" s="20"/>
      <c r="M29" s="20"/>
      <c r="N29" s="20"/>
      <c r="O29" s="20"/>
      <c r="P29" s="20"/>
    </row>
    <row r="30" spans="1:16" ht="11.25">
      <c r="A30" s="243">
        <v>29</v>
      </c>
      <c r="B30" s="244">
        <v>0</v>
      </c>
      <c r="C30" s="220">
        <v>1</v>
      </c>
      <c r="D30" s="231" t="s">
        <v>371</v>
      </c>
      <c r="E30" s="221">
        <v>0</v>
      </c>
      <c r="F30" s="7"/>
      <c r="G30" s="24"/>
      <c r="H30" s="24"/>
      <c r="I30" s="24"/>
      <c r="J30" s="20"/>
      <c r="K30" s="20"/>
      <c r="L30" s="20"/>
      <c r="M30" s="20"/>
      <c r="N30" s="20"/>
      <c r="O30" s="20"/>
      <c r="P30" s="20"/>
    </row>
    <row r="31" spans="1:16" ht="12" thickBot="1">
      <c r="A31" s="243">
        <v>30</v>
      </c>
      <c r="B31" s="244">
        <v>0</v>
      </c>
      <c r="C31" s="220">
        <v>1</v>
      </c>
      <c r="D31" s="237" t="s">
        <v>343</v>
      </c>
      <c r="E31" s="224">
        <v>0</v>
      </c>
      <c r="F31" s="7"/>
      <c r="G31" s="24"/>
      <c r="H31" s="24"/>
      <c r="I31" s="24"/>
      <c r="J31" s="20"/>
      <c r="K31" s="20"/>
      <c r="L31" s="20"/>
      <c r="M31" s="20"/>
      <c r="N31" s="20"/>
      <c r="O31" s="20"/>
      <c r="P31" s="20"/>
    </row>
    <row r="32" spans="1:16" ht="11.25">
      <c r="A32" s="243">
        <v>31</v>
      </c>
      <c r="B32" s="244">
        <v>0</v>
      </c>
      <c r="C32" s="220">
        <v>1</v>
      </c>
      <c r="D32" s="44"/>
      <c r="E32" s="20"/>
      <c r="F32" s="7"/>
      <c r="G32" s="24"/>
      <c r="H32" s="24"/>
      <c r="I32" s="24"/>
      <c r="J32" s="20"/>
      <c r="K32" s="20"/>
      <c r="L32" s="20"/>
      <c r="M32" s="20"/>
      <c r="N32" s="20"/>
      <c r="O32" s="20"/>
      <c r="P32" s="20"/>
    </row>
    <row r="33" spans="1:16" ht="11.25">
      <c r="A33" s="243">
        <v>32</v>
      </c>
      <c r="B33" s="244">
        <v>0</v>
      </c>
      <c r="C33" s="220">
        <v>1</v>
      </c>
      <c r="D33" s="20"/>
      <c r="E33" s="20"/>
      <c r="F33" s="24"/>
      <c r="G33" s="24"/>
      <c r="H33" s="24"/>
      <c r="I33" s="24"/>
      <c r="J33" s="20"/>
      <c r="K33" s="20"/>
      <c r="L33" s="20"/>
      <c r="M33" s="20"/>
      <c r="N33" s="20"/>
      <c r="O33" s="20"/>
      <c r="P33" s="20"/>
    </row>
    <row r="34" spans="1:16" ht="11.25">
      <c r="A34" s="243">
        <v>33</v>
      </c>
      <c r="B34" s="244">
        <v>0</v>
      </c>
      <c r="C34" s="220">
        <v>1</v>
      </c>
      <c r="D34" s="20"/>
      <c r="E34" s="20"/>
      <c r="F34" s="24"/>
      <c r="G34" s="24"/>
      <c r="H34" s="24"/>
      <c r="I34" s="24"/>
      <c r="J34" s="20"/>
      <c r="K34" s="20"/>
      <c r="L34" s="20"/>
      <c r="M34" s="20"/>
      <c r="N34" s="20"/>
      <c r="O34" s="20"/>
      <c r="P34" s="20"/>
    </row>
    <row r="35" spans="1:16" ht="11.25">
      <c r="A35" s="243">
        <v>34</v>
      </c>
      <c r="B35" s="244">
        <v>0</v>
      </c>
      <c r="C35" s="220">
        <v>1</v>
      </c>
      <c r="D35" s="20"/>
      <c r="E35" s="20"/>
      <c r="F35" s="24"/>
      <c r="G35" s="24"/>
      <c r="H35" s="24"/>
      <c r="I35" s="24"/>
      <c r="J35" s="20"/>
      <c r="K35" s="20"/>
      <c r="L35" s="20"/>
      <c r="M35" s="20"/>
      <c r="N35" s="20"/>
      <c r="O35" s="20"/>
      <c r="P35" s="20"/>
    </row>
    <row r="36" spans="1:16" ht="11.25">
      <c r="A36" s="243">
        <v>35</v>
      </c>
      <c r="B36" s="244">
        <v>0</v>
      </c>
      <c r="C36" s="220">
        <v>1</v>
      </c>
      <c r="D36" s="20"/>
      <c r="E36" s="20"/>
      <c r="F36" s="24"/>
      <c r="G36" s="24"/>
      <c r="H36" s="24"/>
      <c r="I36" s="24"/>
      <c r="J36" s="20"/>
      <c r="K36" s="20"/>
      <c r="L36" s="20"/>
      <c r="M36" s="20"/>
      <c r="N36" s="20"/>
      <c r="O36" s="20"/>
      <c r="P36" s="20"/>
    </row>
    <row r="37" spans="1:16" ht="11.25">
      <c r="A37" s="243">
        <v>36</v>
      </c>
      <c r="B37" s="244">
        <v>0</v>
      </c>
      <c r="C37" s="220">
        <v>1</v>
      </c>
      <c r="D37" s="20"/>
      <c r="E37" s="20"/>
      <c r="F37" s="24"/>
      <c r="G37" s="24"/>
      <c r="H37" s="24"/>
      <c r="I37" s="24"/>
      <c r="J37" s="20"/>
      <c r="K37" s="20"/>
      <c r="L37" s="20"/>
      <c r="M37" s="20"/>
      <c r="N37" s="20"/>
      <c r="O37" s="20"/>
      <c r="P37" s="20"/>
    </row>
    <row r="38" spans="1:16" ht="11.25">
      <c r="A38" s="243">
        <v>37</v>
      </c>
      <c r="B38" s="244">
        <v>0</v>
      </c>
      <c r="C38" s="220">
        <v>1</v>
      </c>
      <c r="D38" s="20"/>
      <c r="E38" s="20"/>
      <c r="F38" s="24"/>
      <c r="G38" s="24"/>
      <c r="H38" s="24"/>
      <c r="I38" s="24"/>
      <c r="J38" s="20"/>
      <c r="K38" s="20"/>
      <c r="L38" s="20"/>
      <c r="M38" s="20"/>
      <c r="N38" s="20"/>
      <c r="O38" s="20"/>
      <c r="P38" s="20"/>
    </row>
    <row r="39" spans="1:16" ht="12" thickBot="1">
      <c r="A39" s="243">
        <v>38</v>
      </c>
      <c r="B39" s="244">
        <v>0</v>
      </c>
      <c r="C39" s="220">
        <v>1</v>
      </c>
      <c r="D39" s="20"/>
      <c r="E39" s="248">
        <v>2016</v>
      </c>
      <c r="F39" s="248">
        <v>2017</v>
      </c>
      <c r="G39" s="248">
        <v>2018</v>
      </c>
      <c r="H39" s="248">
        <v>2019</v>
      </c>
      <c r="I39" s="248">
        <v>2020</v>
      </c>
      <c r="J39" s="248">
        <v>2021</v>
      </c>
      <c r="K39" s="248">
        <v>2022</v>
      </c>
      <c r="L39" s="248">
        <v>2023</v>
      </c>
      <c r="M39" s="248">
        <v>2024</v>
      </c>
      <c r="N39" s="248">
        <v>2025</v>
      </c>
      <c r="O39" s="20"/>
      <c r="P39" s="20"/>
    </row>
    <row r="40" spans="1:16" ht="11.25">
      <c r="A40" s="243">
        <v>39</v>
      </c>
      <c r="B40" s="244">
        <v>0</v>
      </c>
      <c r="C40" s="220">
        <v>1</v>
      </c>
      <c r="D40" s="238" t="s">
        <v>360</v>
      </c>
      <c r="E40" s="225"/>
      <c r="F40" s="249"/>
      <c r="G40" s="250"/>
      <c r="H40" s="250"/>
      <c r="I40" s="250"/>
      <c r="J40" s="251"/>
      <c r="K40" s="251"/>
      <c r="L40" s="251"/>
      <c r="M40" s="251"/>
      <c r="N40" s="225"/>
      <c r="O40" s="20"/>
      <c r="P40" s="20"/>
    </row>
    <row r="41" spans="1:16" ht="11.25">
      <c r="A41" s="243">
        <v>40</v>
      </c>
      <c r="B41" s="244">
        <v>0</v>
      </c>
      <c r="C41" s="220">
        <v>1</v>
      </c>
      <c r="D41" s="239">
        <v>2016</v>
      </c>
      <c r="E41" s="226">
        <v>0.5</v>
      </c>
      <c r="F41" s="252">
        <f>E41</f>
        <v>0.5</v>
      </c>
      <c r="G41" s="253">
        <f>F41</f>
        <v>0.5</v>
      </c>
      <c r="H41" s="253">
        <f aca="true" t="shared" si="0" ref="H41:M41">G41</f>
        <v>0.5</v>
      </c>
      <c r="I41" s="253">
        <f t="shared" si="0"/>
        <v>0.5</v>
      </c>
      <c r="J41" s="253">
        <f t="shared" si="0"/>
        <v>0.5</v>
      </c>
      <c r="K41" s="253">
        <f t="shared" si="0"/>
        <v>0.5</v>
      </c>
      <c r="L41" s="253">
        <f t="shared" si="0"/>
        <v>0.5</v>
      </c>
      <c r="M41" s="253">
        <f t="shared" si="0"/>
        <v>0.5</v>
      </c>
      <c r="N41" s="223">
        <f aca="true" t="shared" si="1" ref="N41:N50">M41</f>
        <v>0.5</v>
      </c>
      <c r="O41" s="20"/>
      <c r="P41" s="20"/>
    </row>
    <row r="42" spans="1:16" ht="11.25">
      <c r="A42" s="243">
        <v>41</v>
      </c>
      <c r="B42" s="244">
        <v>0</v>
      </c>
      <c r="C42" s="220">
        <v>1</v>
      </c>
      <c r="D42" s="239">
        <v>2017</v>
      </c>
      <c r="E42" s="226">
        <v>0.5</v>
      </c>
      <c r="F42" s="252">
        <f>E42</f>
        <v>0.5</v>
      </c>
      <c r="G42" s="253">
        <f aca="true" t="shared" si="2" ref="G42:M50">F42</f>
        <v>0.5</v>
      </c>
      <c r="H42" s="253">
        <f t="shared" si="2"/>
        <v>0.5</v>
      </c>
      <c r="I42" s="253">
        <f t="shared" si="2"/>
        <v>0.5</v>
      </c>
      <c r="J42" s="253">
        <f t="shared" si="2"/>
        <v>0.5</v>
      </c>
      <c r="K42" s="253">
        <f t="shared" si="2"/>
        <v>0.5</v>
      </c>
      <c r="L42" s="253">
        <f t="shared" si="2"/>
        <v>0.5</v>
      </c>
      <c r="M42" s="253">
        <f t="shared" si="2"/>
        <v>0.5</v>
      </c>
      <c r="N42" s="223">
        <f t="shared" si="1"/>
        <v>0.5</v>
      </c>
      <c r="O42" s="20"/>
      <c r="P42" s="20"/>
    </row>
    <row r="43" spans="1:16" ht="11.25">
      <c r="A43" s="243">
        <v>42</v>
      </c>
      <c r="B43" s="244">
        <v>0</v>
      </c>
      <c r="C43" s="220">
        <v>1</v>
      </c>
      <c r="D43" s="239">
        <v>2018</v>
      </c>
      <c r="E43" s="226">
        <v>0.4</v>
      </c>
      <c r="F43" s="252">
        <f aca="true" t="shared" si="3" ref="F43:F50">E43</f>
        <v>0.4</v>
      </c>
      <c r="G43" s="253">
        <f t="shared" si="2"/>
        <v>0.4</v>
      </c>
      <c r="H43" s="253">
        <f t="shared" si="2"/>
        <v>0.4</v>
      </c>
      <c r="I43" s="253">
        <f t="shared" si="2"/>
        <v>0.4</v>
      </c>
      <c r="J43" s="253">
        <f t="shared" si="2"/>
        <v>0.4</v>
      </c>
      <c r="K43" s="253">
        <f t="shared" si="2"/>
        <v>0.4</v>
      </c>
      <c r="L43" s="253">
        <f t="shared" si="2"/>
        <v>0.4</v>
      </c>
      <c r="M43" s="253">
        <f t="shared" si="2"/>
        <v>0.4</v>
      </c>
      <c r="N43" s="223">
        <f t="shared" si="1"/>
        <v>0.4</v>
      </c>
      <c r="O43" s="20"/>
      <c r="P43" s="20"/>
    </row>
    <row r="44" spans="1:16" ht="11.25">
      <c r="A44" s="243">
        <v>43</v>
      </c>
      <c r="B44" s="244">
        <v>0</v>
      </c>
      <c r="C44" s="220">
        <v>1</v>
      </c>
      <c r="D44" s="239">
        <v>2019</v>
      </c>
      <c r="E44" s="226">
        <v>0.3</v>
      </c>
      <c r="F44" s="252">
        <f t="shared" si="3"/>
        <v>0.3</v>
      </c>
      <c r="G44" s="253">
        <f t="shared" si="2"/>
        <v>0.3</v>
      </c>
      <c r="H44" s="253">
        <f t="shared" si="2"/>
        <v>0.3</v>
      </c>
      <c r="I44" s="253">
        <f t="shared" si="2"/>
        <v>0.3</v>
      </c>
      <c r="J44" s="253">
        <f t="shared" si="2"/>
        <v>0.3</v>
      </c>
      <c r="K44" s="253">
        <f t="shared" si="2"/>
        <v>0.3</v>
      </c>
      <c r="L44" s="253">
        <f t="shared" si="2"/>
        <v>0.3</v>
      </c>
      <c r="M44" s="253">
        <f t="shared" si="2"/>
        <v>0.3</v>
      </c>
      <c r="N44" s="223">
        <f t="shared" si="1"/>
        <v>0.3</v>
      </c>
      <c r="O44" s="20"/>
      <c r="P44" s="20"/>
    </row>
    <row r="45" spans="1:16" ht="11.25">
      <c r="A45" s="243">
        <v>44</v>
      </c>
      <c r="B45" s="244">
        <v>0</v>
      </c>
      <c r="C45" s="220">
        <v>1</v>
      </c>
      <c r="D45" s="239">
        <v>2020</v>
      </c>
      <c r="E45" s="226">
        <v>0</v>
      </c>
      <c r="F45" s="252">
        <f t="shared" si="3"/>
        <v>0</v>
      </c>
      <c r="G45" s="253">
        <f t="shared" si="2"/>
        <v>0</v>
      </c>
      <c r="H45" s="253">
        <f t="shared" si="2"/>
        <v>0</v>
      </c>
      <c r="I45" s="253">
        <f t="shared" si="2"/>
        <v>0</v>
      </c>
      <c r="J45" s="253">
        <f t="shared" si="2"/>
        <v>0</v>
      </c>
      <c r="K45" s="253">
        <f t="shared" si="2"/>
        <v>0</v>
      </c>
      <c r="L45" s="253">
        <f t="shared" si="2"/>
        <v>0</v>
      </c>
      <c r="M45" s="253">
        <f t="shared" si="2"/>
        <v>0</v>
      </c>
      <c r="N45" s="223">
        <f t="shared" si="1"/>
        <v>0</v>
      </c>
      <c r="O45" s="20"/>
      <c r="P45" s="20"/>
    </row>
    <row r="46" spans="1:16" ht="11.25">
      <c r="A46" s="243">
        <v>45</v>
      </c>
      <c r="B46" s="244">
        <v>0</v>
      </c>
      <c r="C46" s="220">
        <v>1</v>
      </c>
      <c r="D46" s="239">
        <v>2021</v>
      </c>
      <c r="E46" s="226"/>
      <c r="F46" s="252">
        <f t="shared" si="3"/>
        <v>0</v>
      </c>
      <c r="G46" s="253">
        <f t="shared" si="2"/>
        <v>0</v>
      </c>
      <c r="H46" s="253">
        <f t="shared" si="2"/>
        <v>0</v>
      </c>
      <c r="I46" s="253">
        <f t="shared" si="2"/>
        <v>0</v>
      </c>
      <c r="J46" s="253">
        <f t="shared" si="2"/>
        <v>0</v>
      </c>
      <c r="K46" s="253">
        <f t="shared" si="2"/>
        <v>0</v>
      </c>
      <c r="L46" s="253">
        <f t="shared" si="2"/>
        <v>0</v>
      </c>
      <c r="M46" s="253">
        <f t="shared" si="2"/>
        <v>0</v>
      </c>
      <c r="N46" s="223">
        <f t="shared" si="1"/>
        <v>0</v>
      </c>
      <c r="O46" s="20"/>
      <c r="P46" s="20"/>
    </row>
    <row r="47" spans="1:16" ht="11.25">
      <c r="A47" s="243">
        <v>46</v>
      </c>
      <c r="B47" s="244">
        <v>0</v>
      </c>
      <c r="C47" s="220">
        <v>1</v>
      </c>
      <c r="D47" s="239">
        <v>2022</v>
      </c>
      <c r="E47" s="226"/>
      <c r="F47" s="252">
        <f t="shared" si="3"/>
        <v>0</v>
      </c>
      <c r="G47" s="253">
        <f t="shared" si="2"/>
        <v>0</v>
      </c>
      <c r="H47" s="253">
        <f t="shared" si="2"/>
        <v>0</v>
      </c>
      <c r="I47" s="253">
        <f t="shared" si="2"/>
        <v>0</v>
      </c>
      <c r="J47" s="253">
        <f t="shared" si="2"/>
        <v>0</v>
      </c>
      <c r="K47" s="253">
        <f t="shared" si="2"/>
        <v>0</v>
      </c>
      <c r="L47" s="253">
        <f t="shared" si="2"/>
        <v>0</v>
      </c>
      <c r="M47" s="253">
        <f t="shared" si="2"/>
        <v>0</v>
      </c>
      <c r="N47" s="223">
        <f t="shared" si="1"/>
        <v>0</v>
      </c>
      <c r="O47" s="20"/>
      <c r="P47" s="20"/>
    </row>
    <row r="48" spans="1:16" ht="11.25">
      <c r="A48" s="243">
        <v>47</v>
      </c>
      <c r="B48" s="244">
        <v>0</v>
      </c>
      <c r="C48" s="220">
        <v>1</v>
      </c>
      <c r="D48" s="239">
        <v>2023</v>
      </c>
      <c r="E48" s="226"/>
      <c r="F48" s="252">
        <f t="shared" si="3"/>
        <v>0</v>
      </c>
      <c r="G48" s="253">
        <f t="shared" si="2"/>
        <v>0</v>
      </c>
      <c r="H48" s="253">
        <f t="shared" si="2"/>
        <v>0</v>
      </c>
      <c r="I48" s="253">
        <f t="shared" si="2"/>
        <v>0</v>
      </c>
      <c r="J48" s="253">
        <f t="shared" si="2"/>
        <v>0</v>
      </c>
      <c r="K48" s="253">
        <f t="shared" si="2"/>
        <v>0</v>
      </c>
      <c r="L48" s="253">
        <f t="shared" si="2"/>
        <v>0</v>
      </c>
      <c r="M48" s="253">
        <f t="shared" si="2"/>
        <v>0</v>
      </c>
      <c r="N48" s="223">
        <f t="shared" si="1"/>
        <v>0</v>
      </c>
      <c r="O48" s="20"/>
      <c r="P48" s="20"/>
    </row>
    <row r="49" spans="1:16" ht="11.25">
      <c r="A49" s="243">
        <v>48</v>
      </c>
      <c r="B49" s="244">
        <v>0</v>
      </c>
      <c r="C49" s="220">
        <v>1</v>
      </c>
      <c r="D49" s="239">
        <v>2024</v>
      </c>
      <c r="E49" s="226"/>
      <c r="F49" s="252">
        <f t="shared" si="3"/>
        <v>0</v>
      </c>
      <c r="G49" s="253">
        <f t="shared" si="2"/>
        <v>0</v>
      </c>
      <c r="H49" s="253">
        <f t="shared" si="2"/>
        <v>0</v>
      </c>
      <c r="I49" s="253">
        <f t="shared" si="2"/>
        <v>0</v>
      </c>
      <c r="J49" s="253">
        <f t="shared" si="2"/>
        <v>0</v>
      </c>
      <c r="K49" s="253">
        <f t="shared" si="2"/>
        <v>0</v>
      </c>
      <c r="L49" s="253">
        <f t="shared" si="2"/>
        <v>0</v>
      </c>
      <c r="M49" s="253">
        <f t="shared" si="2"/>
        <v>0</v>
      </c>
      <c r="N49" s="223">
        <f t="shared" si="1"/>
        <v>0</v>
      </c>
      <c r="O49" s="20"/>
      <c r="P49" s="20"/>
    </row>
    <row r="50" spans="1:16" ht="12" thickBot="1">
      <c r="A50" s="243">
        <v>49</v>
      </c>
      <c r="B50" s="244">
        <v>0</v>
      </c>
      <c r="C50" s="220">
        <v>1</v>
      </c>
      <c r="D50" s="240">
        <v>2025</v>
      </c>
      <c r="E50" s="227"/>
      <c r="F50" s="254">
        <f t="shared" si="3"/>
        <v>0</v>
      </c>
      <c r="G50" s="255">
        <f t="shared" si="2"/>
        <v>0</v>
      </c>
      <c r="H50" s="255">
        <f t="shared" si="2"/>
        <v>0</v>
      </c>
      <c r="I50" s="255">
        <f t="shared" si="2"/>
        <v>0</v>
      </c>
      <c r="J50" s="255">
        <f t="shared" si="2"/>
        <v>0</v>
      </c>
      <c r="K50" s="255">
        <f t="shared" si="2"/>
        <v>0</v>
      </c>
      <c r="L50" s="255">
        <f t="shared" si="2"/>
        <v>0</v>
      </c>
      <c r="M50" s="255">
        <f t="shared" si="2"/>
        <v>0</v>
      </c>
      <c r="N50" s="256">
        <f t="shared" si="1"/>
        <v>0</v>
      </c>
      <c r="O50" s="20"/>
      <c r="P50" s="20"/>
    </row>
    <row r="51" spans="1:16" ht="11.25">
      <c r="A51" s="243">
        <v>50</v>
      </c>
      <c r="B51" s="244">
        <v>0</v>
      </c>
      <c r="C51" s="220">
        <v>1</v>
      </c>
      <c r="D51" s="20"/>
      <c r="E51" s="20"/>
      <c r="F51" s="24"/>
      <c r="G51" s="24"/>
      <c r="H51" s="24"/>
      <c r="I51" s="24"/>
      <c r="J51" s="20"/>
      <c r="K51" s="20"/>
      <c r="L51" s="20"/>
      <c r="M51" s="20"/>
      <c r="N51" s="20"/>
      <c r="O51" s="20"/>
      <c r="P51" s="20"/>
    </row>
    <row r="52" spans="1:16" ht="11.25">
      <c r="A52" s="243">
        <v>51</v>
      </c>
      <c r="B52" s="244">
        <v>0</v>
      </c>
      <c r="C52" s="220">
        <v>1</v>
      </c>
      <c r="D52" s="20"/>
      <c r="E52" s="20"/>
      <c r="F52" s="24"/>
      <c r="G52" s="24"/>
      <c r="H52" s="24"/>
      <c r="I52" s="24"/>
      <c r="J52" s="20"/>
      <c r="K52" s="20"/>
      <c r="L52" s="20"/>
      <c r="M52" s="20"/>
      <c r="N52" s="20"/>
      <c r="O52" s="20"/>
      <c r="P52" s="20"/>
    </row>
    <row r="53" spans="1:16" ht="11.25">
      <c r="A53" s="243">
        <v>52</v>
      </c>
      <c r="B53" s="244">
        <v>0</v>
      </c>
      <c r="C53" s="220">
        <v>1</v>
      </c>
      <c r="D53" s="20"/>
      <c r="E53" s="20"/>
      <c r="F53" s="24"/>
      <c r="G53" s="24"/>
      <c r="H53" s="24"/>
      <c r="I53" s="24"/>
      <c r="J53" s="20"/>
      <c r="K53" s="20"/>
      <c r="L53" s="20"/>
      <c r="M53" s="20"/>
      <c r="N53" s="20"/>
      <c r="O53" s="20"/>
      <c r="P53" s="20"/>
    </row>
    <row r="54" spans="1:5" ht="11.25">
      <c r="A54" s="243">
        <v>53</v>
      </c>
      <c r="B54" s="244">
        <v>0</v>
      </c>
      <c r="C54" s="220">
        <v>1</v>
      </c>
      <c r="D54" s="20"/>
      <c r="E54" s="20"/>
    </row>
    <row r="55" spans="1:5" ht="11.25">
      <c r="A55" s="243">
        <v>54</v>
      </c>
      <c r="B55" s="244">
        <v>0</v>
      </c>
      <c r="C55" s="220">
        <v>1</v>
      </c>
      <c r="D55" s="20"/>
      <c r="E55" s="20"/>
    </row>
    <row r="56" spans="1:5" ht="11.25">
      <c r="A56" s="243">
        <v>55</v>
      </c>
      <c r="B56" s="244">
        <v>0</v>
      </c>
      <c r="C56" s="220">
        <v>1</v>
      </c>
      <c r="D56" s="20"/>
      <c r="E56" s="20"/>
    </row>
    <row r="57" spans="1:5" ht="11.25">
      <c r="A57" s="243">
        <v>56</v>
      </c>
      <c r="B57" s="244">
        <v>0</v>
      </c>
      <c r="C57" s="220">
        <v>1</v>
      </c>
      <c r="D57" s="20"/>
      <c r="E57" s="20"/>
    </row>
    <row r="58" spans="1:5" ht="12" thickBot="1">
      <c r="A58" s="245">
        <v>57</v>
      </c>
      <c r="B58" s="246">
        <v>0</v>
      </c>
      <c r="C58" s="247">
        <v>1</v>
      </c>
      <c r="D58" s="20"/>
      <c r="E58" s="20"/>
    </row>
    <row r="59" spans="4:5" ht="11.25">
      <c r="D59" s="20"/>
      <c r="E59" s="20"/>
    </row>
    <row r="60" ht="11.25">
      <c r="E60" s="26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99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12.33203125" style="73" bestFit="1" customWidth="1"/>
    <col min="2" max="4" width="10.66015625" style="73" customWidth="1"/>
    <col min="5" max="5" width="10.83203125" style="73" bestFit="1" customWidth="1"/>
    <col min="6" max="6" width="10.83203125" style="73" customWidth="1"/>
    <col min="7" max="8" width="10.66015625" style="73" customWidth="1"/>
    <col min="9" max="9" width="12.66015625" style="73" customWidth="1"/>
    <col min="10" max="16384" width="10.66015625" style="73" customWidth="1"/>
  </cols>
  <sheetData>
    <row r="1" spans="2:5" ht="11.25">
      <c r="B1" s="148">
        <v>35064</v>
      </c>
      <c r="C1" s="148">
        <v>38353</v>
      </c>
      <c r="D1" s="148">
        <v>39850</v>
      </c>
      <c r="E1" s="148">
        <v>41275</v>
      </c>
    </row>
    <row r="2" spans="1:11" ht="11.25">
      <c r="A2" s="146" t="s">
        <v>110</v>
      </c>
      <c r="B2" s="146" t="s">
        <v>111</v>
      </c>
      <c r="C2" s="146" t="s">
        <v>111</v>
      </c>
      <c r="D2" s="147"/>
      <c r="E2" s="146" t="s">
        <v>111</v>
      </c>
      <c r="H2" s="74"/>
      <c r="K2" s="74"/>
    </row>
    <row r="3" spans="1:12" ht="11.25">
      <c r="A3" s="74" t="s">
        <v>112</v>
      </c>
      <c r="B3" s="75">
        <v>0.029</v>
      </c>
      <c r="C3" s="75">
        <v>0.029</v>
      </c>
      <c r="D3" s="41">
        <v>0.006</v>
      </c>
      <c r="E3" s="75">
        <v>0.0004</v>
      </c>
      <c r="F3" s="76"/>
      <c r="I3" s="76"/>
      <c r="L3" s="76"/>
    </row>
    <row r="4" spans="1:12" ht="11.25">
      <c r="A4" s="74" t="s">
        <v>113</v>
      </c>
      <c r="B4" s="75">
        <v>0.0288</v>
      </c>
      <c r="C4" s="75">
        <v>0.0288</v>
      </c>
      <c r="D4" s="41">
        <v>0.0298</v>
      </c>
      <c r="E4" s="75">
        <v>0.028</v>
      </c>
      <c r="F4" s="76"/>
      <c r="I4" s="76"/>
      <c r="L4" s="76"/>
    </row>
    <row r="5" spans="1:12" ht="11.25">
      <c r="A5" s="74" t="s">
        <v>114</v>
      </c>
      <c r="B5" s="75">
        <v>0.0288</v>
      </c>
      <c r="C5" s="75">
        <v>0.0288</v>
      </c>
      <c r="D5" s="41">
        <v>0.0112</v>
      </c>
      <c r="E5" s="75">
        <v>0.0238</v>
      </c>
      <c r="F5" s="76"/>
      <c r="I5" s="76"/>
      <c r="L5" s="76"/>
    </row>
    <row r="6" spans="1:12" ht="11.25">
      <c r="A6" s="74" t="s">
        <v>115</v>
      </c>
      <c r="B6" s="75">
        <v>0.0288</v>
      </c>
      <c r="C6" s="75">
        <v>0.0288</v>
      </c>
      <c r="D6" s="41">
        <v>0.021</v>
      </c>
      <c r="E6" s="75">
        <v>0.0118</v>
      </c>
      <c r="F6" s="76"/>
      <c r="I6" s="76"/>
      <c r="L6" s="76"/>
    </row>
    <row r="7" spans="1:12" ht="11.25">
      <c r="A7" s="74" t="s">
        <v>116</v>
      </c>
      <c r="B7" s="75">
        <v>0.0288</v>
      </c>
      <c r="C7" s="75">
        <v>0.0288</v>
      </c>
      <c r="D7" s="41">
        <v>0.0226</v>
      </c>
      <c r="E7" s="75">
        <v>0.0142</v>
      </c>
      <c r="F7" s="76"/>
      <c r="I7" s="76"/>
      <c r="L7" s="76"/>
    </row>
    <row r="8" spans="1:12" ht="11.25">
      <c r="A8" s="74" t="s">
        <v>117</v>
      </c>
      <c r="B8" s="75">
        <v>0.0288</v>
      </c>
      <c r="C8" s="75">
        <v>0.0288</v>
      </c>
      <c r="D8" s="41">
        <v>0.0008</v>
      </c>
      <c r="E8" s="75">
        <v>0.0059</v>
      </c>
      <c r="F8" s="76"/>
      <c r="I8" s="76"/>
      <c r="L8" s="76"/>
    </row>
    <row r="9" spans="1:12" ht="11.25">
      <c r="A9" s="74" t="s">
        <v>118</v>
      </c>
      <c r="B9" s="75">
        <v>0.0288</v>
      </c>
      <c r="C9" s="75">
        <v>0.0288</v>
      </c>
      <c r="D9" s="41">
        <v>0.0301</v>
      </c>
      <c r="E9" s="75">
        <v>0.0264</v>
      </c>
      <c r="F9" s="76"/>
      <c r="I9" s="76"/>
      <c r="L9" s="76"/>
    </row>
    <row r="10" spans="1:12" ht="11.25">
      <c r="A10" s="74" t="s">
        <v>119</v>
      </c>
      <c r="B10" s="75">
        <v>0.0288</v>
      </c>
      <c r="C10" s="75">
        <v>0.0288</v>
      </c>
      <c r="D10" s="41">
        <v>0.0291</v>
      </c>
      <c r="E10" s="75">
        <v>0.0153</v>
      </c>
      <c r="F10" s="76"/>
      <c r="I10" s="76"/>
      <c r="L10" s="76"/>
    </row>
    <row r="11" spans="1:12" ht="11.25">
      <c r="A11" s="74" t="s">
        <v>120</v>
      </c>
      <c r="B11" s="75">
        <v>0.0288</v>
      </c>
      <c r="C11" s="75">
        <v>0.0288</v>
      </c>
      <c r="D11" s="41">
        <v>0.0048</v>
      </c>
      <c r="E11" s="75">
        <v>0.0189</v>
      </c>
      <c r="F11" s="76"/>
      <c r="I11" s="76"/>
      <c r="L11" s="76"/>
    </row>
    <row r="12" spans="1:12" ht="11.25">
      <c r="A12" s="74" t="s">
        <v>121</v>
      </c>
      <c r="B12" s="75">
        <v>0.0288</v>
      </c>
      <c r="C12" s="75">
        <v>0.0288</v>
      </c>
      <c r="D12" s="41">
        <v>0.0071</v>
      </c>
      <c r="E12" s="75">
        <v>0.0005</v>
      </c>
      <c r="F12" s="76"/>
      <c r="I12" s="76"/>
      <c r="L12" s="76"/>
    </row>
    <row r="13" spans="1:12" ht="11.25">
      <c r="A13" s="74" t="s">
        <v>286</v>
      </c>
      <c r="B13" s="75"/>
      <c r="C13" s="75"/>
      <c r="D13" s="41"/>
      <c r="E13" s="75">
        <v>0</v>
      </c>
      <c r="F13" s="76" t="s">
        <v>283</v>
      </c>
      <c r="I13" s="76"/>
      <c r="L13" s="76"/>
    </row>
    <row r="14" spans="1:12" ht="11.25">
      <c r="A14" s="74" t="s">
        <v>122</v>
      </c>
      <c r="B14" s="75">
        <v>0.0391</v>
      </c>
      <c r="C14" s="75">
        <v>0.0391</v>
      </c>
      <c r="D14" s="41">
        <v>0.0054</v>
      </c>
      <c r="E14" s="75">
        <v>0.016</v>
      </c>
      <c r="F14" s="76"/>
      <c r="I14" s="76"/>
      <c r="L14" s="76"/>
    </row>
    <row r="15" spans="1:12" ht="11.25">
      <c r="A15" s="74" t="s">
        <v>123</v>
      </c>
      <c r="B15" s="75">
        <v>0.0391</v>
      </c>
      <c r="C15" s="75">
        <v>0.0391</v>
      </c>
      <c r="D15" s="41">
        <v>0.028</v>
      </c>
      <c r="E15" s="215">
        <v>0.0235</v>
      </c>
      <c r="F15" s="76"/>
      <c r="I15" s="76"/>
      <c r="L15" s="76"/>
    </row>
    <row r="16" spans="1:12" ht="11.25">
      <c r="A16" s="74" t="s">
        <v>124</v>
      </c>
      <c r="B16" s="75">
        <v>0.0391</v>
      </c>
      <c r="C16" s="75">
        <v>0.0391</v>
      </c>
      <c r="D16" s="41">
        <v>0.0317</v>
      </c>
      <c r="E16" s="75">
        <v>0.0153</v>
      </c>
      <c r="F16" s="76"/>
      <c r="I16" s="76"/>
      <c r="L16" s="76"/>
    </row>
    <row r="17" spans="1:12" ht="11.25">
      <c r="A17" s="74" t="s">
        <v>125</v>
      </c>
      <c r="B17" s="75">
        <v>0.0391</v>
      </c>
      <c r="C17" s="75">
        <v>0.0391</v>
      </c>
      <c r="D17" s="41">
        <v>0.0054</v>
      </c>
      <c r="E17" s="75">
        <v>0.0119</v>
      </c>
      <c r="F17" s="76"/>
      <c r="L17" s="76"/>
    </row>
    <row r="18" spans="1:5" ht="11.25">
      <c r="A18" s="74" t="s">
        <v>126</v>
      </c>
      <c r="B18" s="75">
        <v>0.0391</v>
      </c>
      <c r="C18" s="75">
        <v>0.0391</v>
      </c>
      <c r="D18" s="41">
        <v>0.0233</v>
      </c>
      <c r="E18" s="75">
        <v>0.0208</v>
      </c>
    </row>
    <row r="19" spans="1:9" ht="11.25">
      <c r="A19" s="74" t="s">
        <v>127</v>
      </c>
      <c r="B19" s="75">
        <v>0.0391</v>
      </c>
      <c r="C19" s="75">
        <v>0.0391</v>
      </c>
      <c r="D19" s="41">
        <v>0.0265</v>
      </c>
      <c r="E19" s="75">
        <v>0.0428</v>
      </c>
      <c r="I19" s="77"/>
    </row>
    <row r="20" spans="1:9" ht="11.25">
      <c r="A20" s="74" t="s">
        <v>128</v>
      </c>
      <c r="B20" s="75">
        <v>0.0391</v>
      </c>
      <c r="C20" s="75">
        <v>0.0391</v>
      </c>
      <c r="D20" s="41">
        <v>0.0387</v>
      </c>
      <c r="E20" s="75">
        <v>0.0427</v>
      </c>
      <c r="I20" s="77"/>
    </row>
    <row r="21" spans="1:5" ht="11.25">
      <c r="A21" s="74" t="s">
        <v>129</v>
      </c>
      <c r="B21" s="75">
        <v>0.0391</v>
      </c>
      <c r="C21" s="75">
        <v>0.0391</v>
      </c>
      <c r="D21" s="41">
        <v>0</v>
      </c>
      <c r="E21" s="75">
        <v>0</v>
      </c>
    </row>
    <row r="22" spans="1:9" ht="11.25">
      <c r="A22" s="74" t="s">
        <v>130</v>
      </c>
      <c r="B22" s="75">
        <v>0.0391</v>
      </c>
      <c r="C22" s="75">
        <v>0.0391</v>
      </c>
      <c r="D22" s="41">
        <v>0.027</v>
      </c>
      <c r="E22" s="75">
        <v>0.0425</v>
      </c>
      <c r="I22" s="77"/>
    </row>
    <row r="23" spans="1:5" ht="11.25">
      <c r="A23" s="74" t="s">
        <v>136</v>
      </c>
      <c r="B23" s="75">
        <v>0.0312</v>
      </c>
      <c r="C23" s="75">
        <v>0.0312</v>
      </c>
      <c r="D23" s="41">
        <v>0.0039</v>
      </c>
      <c r="E23" s="75">
        <v>0.0028</v>
      </c>
    </row>
    <row r="24" spans="1:5" ht="11.25">
      <c r="A24" s="74" t="s">
        <v>137</v>
      </c>
      <c r="B24" s="75">
        <v>0.0312</v>
      </c>
      <c r="C24" s="75">
        <v>0.0312</v>
      </c>
      <c r="D24" s="41">
        <v>0.0384</v>
      </c>
      <c r="E24" s="215">
        <v>0.026</v>
      </c>
    </row>
    <row r="25" spans="1:5" ht="11.25">
      <c r="A25" s="74" t="s">
        <v>138</v>
      </c>
      <c r="B25" s="75">
        <v>0.0312</v>
      </c>
      <c r="C25" s="75">
        <v>0.0312</v>
      </c>
      <c r="D25" s="41">
        <v>0.0223</v>
      </c>
      <c r="E25" s="75">
        <v>0.0231</v>
      </c>
    </row>
    <row r="26" spans="1:5" ht="11.25">
      <c r="A26" s="74" t="s">
        <v>139</v>
      </c>
      <c r="B26" s="75">
        <v>0.0312</v>
      </c>
      <c r="C26" s="75">
        <v>0.0312</v>
      </c>
      <c r="D26" s="41">
        <v>0.0055</v>
      </c>
      <c r="E26" s="75">
        <v>0.0053</v>
      </c>
    </row>
    <row r="27" spans="1:5" ht="11.25">
      <c r="A27" s="74" t="s">
        <v>140</v>
      </c>
      <c r="B27" s="75">
        <v>0.0312</v>
      </c>
      <c r="C27" s="75">
        <v>0.0312</v>
      </c>
      <c r="D27" s="41">
        <v>0.0138</v>
      </c>
      <c r="E27" s="75">
        <v>0.0069</v>
      </c>
    </row>
    <row r="28" spans="1:5" ht="11.25">
      <c r="A28" s="74" t="s">
        <v>141</v>
      </c>
      <c r="B28" s="75">
        <v>0.0312</v>
      </c>
      <c r="C28" s="75">
        <v>0.0312</v>
      </c>
      <c r="D28" s="41">
        <v>0.0265</v>
      </c>
      <c r="E28" s="75">
        <v>0.0103</v>
      </c>
    </row>
    <row r="29" spans="1:5" ht="11.25">
      <c r="A29" s="74" t="s">
        <v>142</v>
      </c>
      <c r="B29" s="75">
        <v>0.0312</v>
      </c>
      <c r="C29" s="75">
        <v>0.0312</v>
      </c>
      <c r="D29" s="41">
        <v>0.0387</v>
      </c>
      <c r="E29" s="75">
        <v>0.037</v>
      </c>
    </row>
    <row r="30" spans="1:5" ht="11.25">
      <c r="A30" s="74" t="s">
        <v>143</v>
      </c>
      <c r="B30" s="75">
        <v>0.0312</v>
      </c>
      <c r="C30" s="75">
        <v>0.0312</v>
      </c>
      <c r="D30" s="41">
        <v>0</v>
      </c>
      <c r="E30" s="75">
        <v>0</v>
      </c>
    </row>
    <row r="31" spans="1:5" ht="11.25">
      <c r="A31" s="74" t="s">
        <v>144</v>
      </c>
      <c r="B31" s="75">
        <v>0.0312</v>
      </c>
      <c r="C31" s="75">
        <v>0.0312</v>
      </c>
      <c r="D31" s="41">
        <v>0.027</v>
      </c>
      <c r="E31" s="75">
        <v>0.0358</v>
      </c>
    </row>
    <row r="32" spans="1:5" ht="11.25">
      <c r="A32" s="74" t="s">
        <v>145</v>
      </c>
      <c r="B32" s="75">
        <v>0.0312</v>
      </c>
      <c r="C32" s="75">
        <v>0.0312</v>
      </c>
      <c r="D32" s="41">
        <v>0.0287</v>
      </c>
      <c r="E32" s="75">
        <v>0.0113</v>
      </c>
    </row>
    <row r="33" spans="1:5" ht="11.25">
      <c r="A33" s="74" t="s">
        <v>146</v>
      </c>
      <c r="B33" s="75">
        <v>0.0184</v>
      </c>
      <c r="C33" s="75">
        <v>0.0184</v>
      </c>
      <c r="D33" s="41">
        <v>0.005</v>
      </c>
      <c r="E33" s="75">
        <v>0.0078</v>
      </c>
    </row>
    <row r="34" spans="1:5" ht="11.25">
      <c r="A34" s="74" t="s">
        <v>147</v>
      </c>
      <c r="B34" s="75">
        <v>0.0184</v>
      </c>
      <c r="C34" s="75">
        <v>0.0184</v>
      </c>
      <c r="D34" s="41">
        <v>0.0233</v>
      </c>
      <c r="E34" s="215">
        <v>0.0146</v>
      </c>
    </row>
    <row r="35" spans="1:5" ht="11.25">
      <c r="A35" s="74" t="s">
        <v>148</v>
      </c>
      <c r="B35" s="75">
        <v>0.0184</v>
      </c>
      <c r="C35" s="75">
        <v>0.0184</v>
      </c>
      <c r="D35" s="41">
        <v>0.0208</v>
      </c>
      <c r="E35" s="75">
        <v>0.0187</v>
      </c>
    </row>
    <row r="36" spans="1:5" ht="11.25">
      <c r="A36" s="74" t="s">
        <v>149</v>
      </c>
      <c r="B36" s="75">
        <v>0.0184</v>
      </c>
      <c r="C36" s="75">
        <v>0.0184</v>
      </c>
      <c r="D36" s="41">
        <v>0.006</v>
      </c>
      <c r="E36" s="75">
        <v>0.0132</v>
      </c>
    </row>
    <row r="37" spans="1:5" ht="11.25">
      <c r="A37" s="74" t="s">
        <v>150</v>
      </c>
      <c r="B37" s="75">
        <v>0.0184</v>
      </c>
      <c r="C37" s="75">
        <v>0.0184</v>
      </c>
      <c r="D37" s="41">
        <v>0.0107</v>
      </c>
      <c r="E37" s="75">
        <v>0.0058</v>
      </c>
    </row>
    <row r="38" spans="1:5" ht="11.25">
      <c r="A38" s="74" t="s">
        <v>151</v>
      </c>
      <c r="B38" s="75">
        <v>0.0184</v>
      </c>
      <c r="C38" s="75">
        <v>0.0184</v>
      </c>
      <c r="D38" s="41">
        <v>0.0265</v>
      </c>
      <c r="E38" s="75">
        <v>0.0106</v>
      </c>
    </row>
    <row r="39" spans="1:5" ht="11.25">
      <c r="A39" s="74" t="s">
        <v>152</v>
      </c>
      <c r="B39" s="75">
        <v>0.0184</v>
      </c>
      <c r="C39" s="75">
        <v>0.0184</v>
      </c>
      <c r="D39" s="41">
        <v>0.0387</v>
      </c>
      <c r="E39" s="215">
        <v>0.0211</v>
      </c>
    </row>
    <row r="40" spans="1:5" ht="11.25">
      <c r="A40" s="74" t="s">
        <v>153</v>
      </c>
      <c r="B40" s="75">
        <v>0.0184</v>
      </c>
      <c r="C40" s="75">
        <v>0.0184</v>
      </c>
      <c r="D40" s="41">
        <v>0</v>
      </c>
      <c r="E40" s="75">
        <v>0</v>
      </c>
    </row>
    <row r="41" spans="1:5" ht="11.25">
      <c r="A41" s="74" t="s">
        <v>154</v>
      </c>
      <c r="B41" s="75">
        <v>0.0184</v>
      </c>
      <c r="C41" s="75">
        <v>0.0184</v>
      </c>
      <c r="D41" s="41">
        <v>0.027</v>
      </c>
      <c r="E41" s="75">
        <v>0.0438</v>
      </c>
    </row>
    <row r="42" spans="1:5" ht="11.25">
      <c r="A42" s="74" t="s">
        <v>155</v>
      </c>
      <c r="B42" s="75">
        <v>0.0184</v>
      </c>
      <c r="C42" s="75">
        <v>0.0184</v>
      </c>
      <c r="D42" s="41">
        <v>0.0287</v>
      </c>
      <c r="E42" s="75">
        <v>0.0146</v>
      </c>
    </row>
    <row r="43" spans="1:5" ht="11.25">
      <c r="A43" s="74" t="s">
        <v>156</v>
      </c>
      <c r="B43" s="75">
        <v>0.0222</v>
      </c>
      <c r="C43" s="75">
        <v>0.0222</v>
      </c>
      <c r="D43" s="41">
        <v>0.0119</v>
      </c>
      <c r="E43" s="75">
        <v>0.013</v>
      </c>
    </row>
    <row r="44" spans="1:5" ht="11.25">
      <c r="A44" s="74" t="s">
        <v>157</v>
      </c>
      <c r="B44" s="75">
        <v>0.0222</v>
      </c>
      <c r="C44" s="75">
        <v>0.0222</v>
      </c>
      <c r="D44" s="41">
        <v>0.0263</v>
      </c>
      <c r="E44" s="215">
        <v>0.02</v>
      </c>
    </row>
    <row r="45" spans="1:5" ht="11.25">
      <c r="A45" s="74" t="s">
        <v>158</v>
      </c>
      <c r="B45" s="75">
        <v>0.0222</v>
      </c>
      <c r="C45" s="75">
        <v>0.0222</v>
      </c>
      <c r="D45" s="41">
        <v>0.0203</v>
      </c>
      <c r="E45" s="75">
        <v>0.0175</v>
      </c>
    </row>
    <row r="46" spans="1:5" ht="11.25">
      <c r="A46" s="74" t="s">
        <v>159</v>
      </c>
      <c r="B46" s="75">
        <v>0.0222</v>
      </c>
      <c r="C46" s="75">
        <v>0.0222</v>
      </c>
      <c r="D46" s="41">
        <v>0.0103</v>
      </c>
      <c r="E46" s="75">
        <v>0.0129</v>
      </c>
    </row>
    <row r="47" spans="1:5" ht="11.25">
      <c r="A47" s="74" t="s">
        <v>160</v>
      </c>
      <c r="B47" s="75">
        <v>0.0222</v>
      </c>
      <c r="C47" s="75">
        <v>0.0222</v>
      </c>
      <c r="D47" s="41">
        <v>0.014</v>
      </c>
      <c r="E47" s="75">
        <v>0.0106</v>
      </c>
    </row>
    <row r="48" spans="1:5" ht="11.25">
      <c r="A48" s="74" t="s">
        <v>161</v>
      </c>
      <c r="B48" s="75">
        <v>0.0222</v>
      </c>
      <c r="C48" s="75">
        <v>0.0222</v>
      </c>
      <c r="D48" s="41">
        <v>0</v>
      </c>
      <c r="E48" s="75">
        <v>0.0244</v>
      </c>
    </row>
    <row r="49" spans="1:5" ht="11.25">
      <c r="A49" s="74" t="s">
        <v>162</v>
      </c>
      <c r="B49" s="78">
        <v>0.0567</v>
      </c>
      <c r="C49" s="78">
        <v>0.0567</v>
      </c>
      <c r="D49" s="80">
        <v>0.0265</v>
      </c>
      <c r="E49" s="75">
        <v>0.0106</v>
      </c>
    </row>
    <row r="50" spans="1:5" ht="11.25">
      <c r="A50" s="74" t="s">
        <v>163</v>
      </c>
      <c r="B50" s="78">
        <v>0.0567</v>
      </c>
      <c r="C50" s="78">
        <v>0.0567</v>
      </c>
      <c r="D50" s="80">
        <v>0.0387</v>
      </c>
      <c r="E50" s="75">
        <v>0.0345</v>
      </c>
    </row>
    <row r="51" spans="1:5" ht="11.25">
      <c r="A51" s="74" t="s">
        <v>164</v>
      </c>
      <c r="B51" s="78">
        <v>0.0567</v>
      </c>
      <c r="C51" s="78">
        <v>0.0567</v>
      </c>
      <c r="D51" s="80">
        <v>0</v>
      </c>
      <c r="E51" s="75">
        <v>0</v>
      </c>
    </row>
    <row r="52" spans="1:5" ht="11.25">
      <c r="A52" s="74" t="s">
        <v>165</v>
      </c>
      <c r="B52" s="78">
        <v>0.0567</v>
      </c>
      <c r="C52" s="78">
        <v>0.0567</v>
      </c>
      <c r="D52" s="80">
        <v>0.027</v>
      </c>
      <c r="E52" s="75">
        <v>0.0347</v>
      </c>
    </row>
    <row r="53" spans="1:5" ht="11.25">
      <c r="A53" s="74" t="s">
        <v>166</v>
      </c>
      <c r="B53" s="78">
        <v>0.0567</v>
      </c>
      <c r="C53" s="78">
        <v>0.0567</v>
      </c>
      <c r="D53" s="80">
        <v>0</v>
      </c>
      <c r="E53" s="75">
        <v>0</v>
      </c>
    </row>
    <row r="54" spans="1:6" ht="11.25">
      <c r="A54" s="74" t="s">
        <v>287</v>
      </c>
      <c r="B54" s="78"/>
      <c r="C54" s="78"/>
      <c r="D54" s="80"/>
      <c r="E54" s="75">
        <v>0</v>
      </c>
      <c r="F54" s="73" t="s">
        <v>283</v>
      </c>
    </row>
    <row r="55" spans="1:6" ht="11.25">
      <c r="A55" s="74" t="s">
        <v>167</v>
      </c>
      <c r="B55" s="75">
        <v>0.0216</v>
      </c>
      <c r="C55" s="75">
        <v>0.0216</v>
      </c>
      <c r="D55" s="41">
        <v>0.0141</v>
      </c>
      <c r="E55" s="75">
        <v>0.0221</v>
      </c>
      <c r="F55" s="73" t="s">
        <v>284</v>
      </c>
    </row>
    <row r="56" spans="1:5" ht="11.25">
      <c r="A56" s="74" t="s">
        <v>168</v>
      </c>
      <c r="B56" s="75">
        <v>0.0216</v>
      </c>
      <c r="C56" s="75">
        <v>0.0216</v>
      </c>
      <c r="D56" s="41">
        <v>0.0279</v>
      </c>
      <c r="E56" s="215">
        <v>0.0231</v>
      </c>
    </row>
    <row r="57" spans="1:5" ht="11.25">
      <c r="A57" s="74" t="s">
        <v>169</v>
      </c>
      <c r="B57" s="75">
        <v>0.0216</v>
      </c>
      <c r="C57" s="75">
        <v>0.0216</v>
      </c>
      <c r="D57" s="41">
        <v>0.022</v>
      </c>
      <c r="E57" s="75">
        <v>0.0212</v>
      </c>
    </row>
    <row r="58" spans="1:5" ht="11.25">
      <c r="A58" s="74" t="s">
        <v>170</v>
      </c>
      <c r="B58" s="75">
        <v>0.0216</v>
      </c>
      <c r="C58" s="75">
        <v>0.0216</v>
      </c>
      <c r="D58" s="41">
        <v>0.0122</v>
      </c>
      <c r="E58" s="75">
        <v>0.0148</v>
      </c>
    </row>
    <row r="59" spans="1:5" ht="11.25">
      <c r="A59" s="74" t="s">
        <v>171</v>
      </c>
      <c r="B59" s="75">
        <v>0.0216</v>
      </c>
      <c r="C59" s="75">
        <v>0.0216</v>
      </c>
      <c r="D59" s="41">
        <v>0.0203</v>
      </c>
      <c r="E59" s="75">
        <v>0.0269</v>
      </c>
    </row>
    <row r="60" spans="1:9" ht="11.25">
      <c r="A60" s="74" t="s">
        <v>131</v>
      </c>
      <c r="B60" s="75">
        <v>0.0216</v>
      </c>
      <c r="C60" s="75">
        <v>0.0567</v>
      </c>
      <c r="D60" s="41">
        <v>0.0265</v>
      </c>
      <c r="E60" s="75">
        <v>0.0106</v>
      </c>
      <c r="I60" s="77"/>
    </row>
    <row r="61" spans="1:5" ht="11.25">
      <c r="A61" s="74" t="s">
        <v>132</v>
      </c>
      <c r="B61" s="75">
        <v>0.0216</v>
      </c>
      <c r="C61" s="75">
        <v>0.0567</v>
      </c>
      <c r="D61" s="41">
        <v>0.0387</v>
      </c>
      <c r="E61" s="75">
        <v>0.0356</v>
      </c>
    </row>
    <row r="62" spans="1:9" ht="11.25">
      <c r="A62" s="74" t="s">
        <v>133</v>
      </c>
      <c r="B62" s="75">
        <v>0.0216</v>
      </c>
      <c r="C62" s="75">
        <v>0.0567</v>
      </c>
      <c r="D62" s="41">
        <v>0</v>
      </c>
      <c r="E62" s="75">
        <v>0</v>
      </c>
      <c r="I62" s="78"/>
    </row>
    <row r="63" spans="1:5" ht="11.25">
      <c r="A63" s="74" t="s">
        <v>134</v>
      </c>
      <c r="B63" s="75">
        <v>0.0216</v>
      </c>
      <c r="C63" s="75">
        <v>0.0567</v>
      </c>
      <c r="D63" s="41">
        <v>0.027</v>
      </c>
      <c r="E63" s="75">
        <v>0.0359</v>
      </c>
    </row>
    <row r="64" spans="1:5" ht="11.25">
      <c r="A64" s="74" t="s">
        <v>135</v>
      </c>
      <c r="B64" s="75">
        <v>0.0216</v>
      </c>
      <c r="C64" s="75">
        <v>0.0567</v>
      </c>
      <c r="D64" s="41">
        <v>0</v>
      </c>
      <c r="E64" s="75">
        <v>0</v>
      </c>
    </row>
    <row r="65" spans="1:6" ht="11.25">
      <c r="A65" s="74" t="s">
        <v>288</v>
      </c>
      <c r="B65" s="75"/>
      <c r="C65" s="75"/>
      <c r="D65" s="41"/>
      <c r="E65" s="75">
        <v>0.0233</v>
      </c>
      <c r="F65" s="73" t="s">
        <v>285</v>
      </c>
    </row>
    <row r="66" spans="1:6" ht="11.25">
      <c r="A66" s="74" t="s">
        <v>289</v>
      </c>
      <c r="B66" s="75"/>
      <c r="C66" s="75"/>
      <c r="D66" s="41"/>
      <c r="E66" s="75">
        <v>0.0323</v>
      </c>
      <c r="F66" s="73" t="s">
        <v>285</v>
      </c>
    </row>
    <row r="67" spans="1:6" ht="11.25">
      <c r="A67" s="74" t="s">
        <v>290</v>
      </c>
      <c r="B67" s="75"/>
      <c r="C67" s="75"/>
      <c r="D67" s="41"/>
      <c r="E67" s="75">
        <v>0.027</v>
      </c>
      <c r="F67" s="73" t="s">
        <v>285</v>
      </c>
    </row>
    <row r="68" spans="1:6" ht="11.25">
      <c r="A68" s="74" t="s">
        <v>291</v>
      </c>
      <c r="B68" s="75"/>
      <c r="C68" s="75"/>
      <c r="D68" s="41"/>
      <c r="E68" s="75">
        <v>0.0237</v>
      </c>
      <c r="F68" s="73" t="s">
        <v>285</v>
      </c>
    </row>
    <row r="69" spans="1:5" ht="11.25">
      <c r="A69" s="74" t="s">
        <v>172</v>
      </c>
      <c r="B69" s="75">
        <v>0</v>
      </c>
      <c r="C69" s="75">
        <v>0.0194</v>
      </c>
      <c r="D69" s="41">
        <v>0</v>
      </c>
      <c r="E69" s="75">
        <v>0</v>
      </c>
    </row>
    <row r="70" spans="1:5" ht="11.25">
      <c r="A70" s="74" t="s">
        <v>173</v>
      </c>
      <c r="B70" s="75">
        <v>0</v>
      </c>
      <c r="C70" s="75">
        <v>0.0194</v>
      </c>
      <c r="D70" s="41">
        <v>0.0218</v>
      </c>
      <c r="E70" s="75">
        <v>0</v>
      </c>
    </row>
    <row r="71" spans="1:5" ht="11.25">
      <c r="A71" s="74" t="s">
        <v>174</v>
      </c>
      <c r="B71" s="75">
        <v>0</v>
      </c>
      <c r="C71" s="75">
        <v>0.0194</v>
      </c>
      <c r="D71" s="41">
        <v>0</v>
      </c>
      <c r="E71" s="75">
        <v>0</v>
      </c>
    </row>
    <row r="72" spans="1:5" ht="11.25">
      <c r="A72" s="74" t="s">
        <v>175</v>
      </c>
      <c r="B72" s="75">
        <v>0</v>
      </c>
      <c r="C72" s="75">
        <v>0.0194</v>
      </c>
      <c r="D72" s="41">
        <v>0</v>
      </c>
      <c r="E72" s="75">
        <v>0</v>
      </c>
    </row>
    <row r="73" spans="1:5" ht="11.25">
      <c r="A73" s="74" t="s">
        <v>176</v>
      </c>
      <c r="B73" s="75">
        <v>0</v>
      </c>
      <c r="C73" s="75">
        <v>0.0194</v>
      </c>
      <c r="D73" s="41">
        <v>0</v>
      </c>
      <c r="E73" s="75">
        <v>0</v>
      </c>
    </row>
    <row r="74" spans="1:5" ht="11.25">
      <c r="A74" s="74" t="s">
        <v>177</v>
      </c>
      <c r="B74" s="75">
        <v>0</v>
      </c>
      <c r="C74" s="75">
        <v>0.0194</v>
      </c>
      <c r="D74" s="41">
        <v>0</v>
      </c>
      <c r="E74" s="75">
        <v>0</v>
      </c>
    </row>
    <row r="75" spans="1:5" ht="11.25">
      <c r="A75" s="74" t="s">
        <v>178</v>
      </c>
      <c r="B75" s="75">
        <v>0</v>
      </c>
      <c r="C75" s="75">
        <v>0.0194</v>
      </c>
      <c r="D75" s="41">
        <v>0.0308</v>
      </c>
      <c r="E75" s="75">
        <v>0</v>
      </c>
    </row>
    <row r="76" spans="1:5" ht="11.25">
      <c r="A76" s="74" t="s">
        <v>179</v>
      </c>
      <c r="B76" s="75">
        <v>0</v>
      </c>
      <c r="C76" s="75">
        <v>0.0194</v>
      </c>
      <c r="D76" s="41">
        <v>0.029</v>
      </c>
      <c r="E76" s="75">
        <v>0</v>
      </c>
    </row>
    <row r="77" spans="1:5" ht="11.25">
      <c r="A77" s="74" t="s">
        <v>180</v>
      </c>
      <c r="B77" s="75">
        <v>0</v>
      </c>
      <c r="C77" s="75">
        <v>0.0194</v>
      </c>
      <c r="D77" s="41">
        <v>0</v>
      </c>
      <c r="E77" s="75">
        <v>0</v>
      </c>
    </row>
    <row r="78" spans="1:5" ht="11.25">
      <c r="A78" s="74" t="s">
        <v>181</v>
      </c>
      <c r="B78" s="75">
        <v>0</v>
      </c>
      <c r="C78" s="75">
        <v>0.0194</v>
      </c>
      <c r="D78" s="41">
        <v>0.0397</v>
      </c>
      <c r="E78" s="75">
        <v>0</v>
      </c>
    </row>
    <row r="79" spans="1:5" ht="11.25">
      <c r="A79" s="74" t="s">
        <v>182</v>
      </c>
      <c r="B79" s="75">
        <v>0.031</v>
      </c>
      <c r="C79" s="75">
        <v>0.031</v>
      </c>
      <c r="D79" s="41">
        <v>0</v>
      </c>
      <c r="E79" s="75">
        <v>0.0578</v>
      </c>
    </row>
    <row r="80" spans="1:5" ht="11.25">
      <c r="A80" s="74" t="s">
        <v>183</v>
      </c>
      <c r="B80" s="75">
        <v>0.031</v>
      </c>
      <c r="C80" s="75">
        <v>0.031</v>
      </c>
      <c r="D80" s="41">
        <v>0.042</v>
      </c>
      <c r="E80" s="75">
        <v>0.0554</v>
      </c>
    </row>
    <row r="81" spans="1:5" ht="11.25">
      <c r="A81" s="74" t="s">
        <v>184</v>
      </c>
      <c r="B81" s="75">
        <v>0.031</v>
      </c>
      <c r="C81" s="75">
        <v>0.031</v>
      </c>
      <c r="D81" s="41">
        <v>0.0379</v>
      </c>
      <c r="E81" s="75">
        <v>0.0254</v>
      </c>
    </row>
    <row r="82" spans="1:5" ht="11.25">
      <c r="A82" s="74" t="s">
        <v>185</v>
      </c>
      <c r="B82" s="75">
        <v>0.031</v>
      </c>
      <c r="C82" s="75">
        <v>0.031</v>
      </c>
      <c r="D82" s="41">
        <v>0.0146</v>
      </c>
      <c r="E82" s="75">
        <v>0.0849</v>
      </c>
    </row>
    <row r="83" spans="1:5" ht="11.25">
      <c r="A83" s="74" t="s">
        <v>186</v>
      </c>
      <c r="B83" s="75">
        <v>0.031</v>
      </c>
      <c r="C83" s="75">
        <v>0.031</v>
      </c>
      <c r="D83" s="41">
        <v>0.0271</v>
      </c>
      <c r="E83" s="75">
        <v>0.1086</v>
      </c>
    </row>
    <row r="84" spans="1:5" ht="11.25">
      <c r="A84" s="74" t="s">
        <v>187</v>
      </c>
      <c r="B84" s="78">
        <v>0.0222</v>
      </c>
      <c r="C84" s="78">
        <v>0.0567</v>
      </c>
      <c r="D84" s="80">
        <v>0.2</v>
      </c>
      <c r="E84" s="75">
        <v>0.1428</v>
      </c>
    </row>
    <row r="85" spans="1:5" ht="11.25">
      <c r="A85" s="74" t="s">
        <v>188</v>
      </c>
      <c r="B85" s="79">
        <v>0.2</v>
      </c>
      <c r="C85" s="79">
        <v>0.2</v>
      </c>
      <c r="D85" s="80">
        <v>0.1014</v>
      </c>
      <c r="E85" s="75">
        <v>0.2158</v>
      </c>
    </row>
    <row r="86" spans="1:5" ht="11.25">
      <c r="A86" s="74" t="s">
        <v>189</v>
      </c>
      <c r="B86" s="75">
        <v>0.0213</v>
      </c>
      <c r="C86" s="75">
        <v>0.0213</v>
      </c>
      <c r="D86" s="41">
        <v>0</v>
      </c>
      <c r="E86" s="75">
        <v>0</v>
      </c>
    </row>
    <row r="87" spans="1:5" ht="11.25">
      <c r="A87" s="74" t="s">
        <v>190</v>
      </c>
      <c r="B87" s="75">
        <v>0.0213</v>
      </c>
      <c r="C87" s="75">
        <v>0.0213</v>
      </c>
      <c r="D87" s="41">
        <v>0.0399</v>
      </c>
      <c r="E87" s="75">
        <v>0</v>
      </c>
    </row>
    <row r="88" spans="1:5" ht="11.25">
      <c r="A88" s="74" t="s">
        <v>191</v>
      </c>
      <c r="B88" s="75">
        <v>0.0213</v>
      </c>
      <c r="C88" s="75">
        <v>0.0213</v>
      </c>
      <c r="D88" s="41">
        <v>0.0344</v>
      </c>
      <c r="E88" s="75">
        <v>0</v>
      </c>
    </row>
    <row r="89" spans="1:5" ht="11.25">
      <c r="A89" s="74" t="s">
        <v>192</v>
      </c>
      <c r="B89" s="75">
        <v>0.0213</v>
      </c>
      <c r="C89" s="75">
        <v>0.0213</v>
      </c>
      <c r="D89" s="41">
        <v>0</v>
      </c>
      <c r="E89" s="75">
        <v>0</v>
      </c>
    </row>
    <row r="90" spans="1:5" ht="11.25">
      <c r="A90" s="74" t="s">
        <v>193</v>
      </c>
      <c r="B90" s="75">
        <v>0.0213</v>
      </c>
      <c r="C90" s="75">
        <v>0.0213</v>
      </c>
      <c r="D90" s="41">
        <v>0.0312</v>
      </c>
      <c r="E90" s="75">
        <v>0</v>
      </c>
    </row>
    <row r="91" spans="1:5" ht="11.25">
      <c r="A91" s="73" t="s">
        <v>292</v>
      </c>
      <c r="B91" s="75"/>
      <c r="C91" s="75"/>
      <c r="D91" s="41"/>
      <c r="E91" s="75">
        <v>0.0136</v>
      </c>
    </row>
    <row r="92" spans="1:5" ht="11.25">
      <c r="A92" s="74" t="s">
        <v>293</v>
      </c>
      <c r="B92" s="78"/>
      <c r="C92" s="78"/>
      <c r="D92" s="80"/>
      <c r="E92" s="75">
        <v>0.0234</v>
      </c>
    </row>
    <row r="93" spans="1:5" ht="11.25">
      <c r="A93" s="74" t="s">
        <v>294</v>
      </c>
      <c r="B93" s="78"/>
      <c r="C93" s="78"/>
      <c r="D93" s="80"/>
      <c r="E93" s="75">
        <v>0.0194</v>
      </c>
    </row>
    <row r="94" spans="1:5" ht="11.25">
      <c r="A94" s="74" t="s">
        <v>295</v>
      </c>
      <c r="B94" s="78"/>
      <c r="C94" s="78"/>
      <c r="D94" s="80"/>
      <c r="E94" s="75">
        <v>0.0182</v>
      </c>
    </row>
    <row r="95" spans="1:5" ht="11.25">
      <c r="A95" s="74" t="s">
        <v>296</v>
      </c>
      <c r="B95" s="79"/>
      <c r="C95" s="79"/>
      <c r="D95" s="80"/>
      <c r="E95" s="215">
        <v>0.021</v>
      </c>
    </row>
    <row r="96" spans="1:5" ht="11.25">
      <c r="A96" s="73" t="s">
        <v>297</v>
      </c>
      <c r="D96" s="143"/>
      <c r="E96" s="75">
        <v>0.0193</v>
      </c>
    </row>
    <row r="97" spans="1:5" ht="11.25">
      <c r="A97" s="73" t="s">
        <v>298</v>
      </c>
      <c r="D97" s="143"/>
      <c r="E97" s="75">
        <v>0.0128</v>
      </c>
    </row>
    <row r="98" spans="1:5" ht="11.25">
      <c r="A98" s="73" t="s">
        <v>299</v>
      </c>
      <c r="D98" s="143"/>
      <c r="E98" s="75">
        <v>0.0197</v>
      </c>
    </row>
    <row r="99" spans="1:5" ht="11.25">
      <c r="A99" s="73" t="s">
        <v>300</v>
      </c>
      <c r="E99" s="75">
        <v>0.0147</v>
      </c>
    </row>
  </sheetData>
  <sheetProtection/>
  <printOptions/>
  <pageMargins left="0.75" right="0.75" top="1" bottom="1" header="0.5" footer="0.5"/>
  <pageSetup horizontalDpi="600" verticalDpi="600" orientation="portrait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14.33203125" style="81" bestFit="1" customWidth="1"/>
    <col min="2" max="8" width="10.66015625" style="81" customWidth="1"/>
    <col min="9" max="16384" width="10.66015625" style="81" customWidth="1"/>
  </cols>
  <sheetData>
    <row r="1" spans="2:5" ht="11.25">
      <c r="B1" s="130">
        <v>35064</v>
      </c>
      <c r="C1" s="130">
        <v>38353</v>
      </c>
      <c r="D1" s="130">
        <v>39850</v>
      </c>
      <c r="E1" s="130">
        <v>41275</v>
      </c>
    </row>
    <row r="2" spans="1:8" ht="11.25">
      <c r="A2" s="131" t="s">
        <v>110</v>
      </c>
      <c r="B2" s="132" t="s">
        <v>111</v>
      </c>
      <c r="C2" s="132" t="s">
        <v>111</v>
      </c>
      <c r="D2" s="132"/>
      <c r="E2" s="132" t="s">
        <v>111</v>
      </c>
      <c r="H2" s="82"/>
    </row>
    <row r="3" spans="1:9" ht="11.25">
      <c r="A3" s="82" t="s">
        <v>194</v>
      </c>
      <c r="B3" s="75">
        <v>0.0294</v>
      </c>
      <c r="C3" s="75">
        <v>0.0294</v>
      </c>
      <c r="D3" s="75">
        <v>0.0114</v>
      </c>
      <c r="E3" s="75">
        <v>0</v>
      </c>
      <c r="F3" s="83"/>
      <c r="I3" s="83"/>
    </row>
    <row r="4" spans="1:9" ht="11.25">
      <c r="A4" s="82" t="s">
        <v>195</v>
      </c>
      <c r="B4" s="75">
        <v>0.0294</v>
      </c>
      <c r="C4" s="75">
        <v>0.0294</v>
      </c>
      <c r="D4" s="75">
        <v>0.0588</v>
      </c>
      <c r="E4" s="75">
        <v>0</v>
      </c>
      <c r="F4" s="83"/>
      <c r="I4" s="83"/>
    </row>
    <row r="5" spans="1:9" ht="11.25">
      <c r="A5" s="82" t="s">
        <v>196</v>
      </c>
      <c r="B5" s="75">
        <v>0.0294</v>
      </c>
      <c r="C5" s="75">
        <v>0.0294</v>
      </c>
      <c r="D5" s="75">
        <v>0.0318</v>
      </c>
      <c r="E5" s="75">
        <v>0</v>
      </c>
      <c r="F5" s="83"/>
      <c r="I5" s="83"/>
    </row>
    <row r="6" spans="1:9" ht="11.25">
      <c r="A6" s="82" t="s">
        <v>197</v>
      </c>
      <c r="B6" s="75">
        <v>0.0347</v>
      </c>
      <c r="C6" s="75">
        <v>0.0347</v>
      </c>
      <c r="D6" s="75">
        <v>0.0095</v>
      </c>
      <c r="E6" s="75">
        <v>0</v>
      </c>
      <c r="F6" s="83"/>
      <c r="I6" s="83"/>
    </row>
    <row r="7" spans="1:9" ht="11.25">
      <c r="A7" s="82" t="s">
        <v>198</v>
      </c>
      <c r="B7" s="75">
        <v>0.0347</v>
      </c>
      <c r="C7" s="75">
        <v>0.0347</v>
      </c>
      <c r="D7" s="75">
        <v>0.0493</v>
      </c>
      <c r="E7" s="75">
        <v>0</v>
      </c>
      <c r="F7" s="83"/>
      <c r="I7" s="83"/>
    </row>
    <row r="8" spans="1:9" ht="11.25">
      <c r="A8" s="82" t="s">
        <v>199</v>
      </c>
      <c r="B8" s="75">
        <v>0.0347</v>
      </c>
      <c r="C8" s="75">
        <v>0.0347</v>
      </c>
      <c r="D8" s="75">
        <v>0.0082</v>
      </c>
      <c r="E8" s="75">
        <v>0</v>
      </c>
      <c r="F8" s="83"/>
      <c r="I8" s="83"/>
    </row>
    <row r="9" spans="1:9" ht="11.25">
      <c r="A9" s="82" t="s">
        <v>200</v>
      </c>
      <c r="B9" s="75">
        <v>0.0287</v>
      </c>
      <c r="C9" s="75">
        <v>0.0287</v>
      </c>
      <c r="D9" s="75">
        <v>0.0192</v>
      </c>
      <c r="E9" s="75">
        <v>0</v>
      </c>
      <c r="F9" s="83"/>
      <c r="I9" s="83"/>
    </row>
    <row r="10" spans="1:9" ht="11.25">
      <c r="A10" s="82" t="s">
        <v>201</v>
      </c>
      <c r="B10" s="75">
        <v>0.0287</v>
      </c>
      <c r="C10" s="75">
        <v>0.0287</v>
      </c>
      <c r="D10" s="75">
        <v>0.0611</v>
      </c>
      <c r="E10" s="75">
        <v>0</v>
      </c>
      <c r="F10" s="83"/>
      <c r="I10" s="83"/>
    </row>
    <row r="11" spans="1:9" ht="11.25">
      <c r="A11" s="82" t="s">
        <v>202</v>
      </c>
      <c r="B11" s="75">
        <v>0.0287</v>
      </c>
      <c r="C11" s="75">
        <v>0.0287</v>
      </c>
      <c r="D11" s="75">
        <v>0.0297</v>
      </c>
      <c r="E11" s="75">
        <v>0</v>
      </c>
      <c r="F11" s="83"/>
      <c r="I11" s="83"/>
    </row>
    <row r="12" spans="1:9" ht="11.25">
      <c r="A12" s="82" t="s">
        <v>203</v>
      </c>
      <c r="B12" s="75">
        <v>0.0347</v>
      </c>
      <c r="C12" s="75">
        <v>0.0347</v>
      </c>
      <c r="D12" s="75">
        <v>0.0156</v>
      </c>
      <c r="E12" s="75">
        <v>0</v>
      </c>
      <c r="F12" s="83"/>
      <c r="I12" s="83"/>
    </row>
    <row r="13" spans="1:9" ht="11.25">
      <c r="A13" s="82" t="s">
        <v>204</v>
      </c>
      <c r="B13" s="75">
        <v>0.0347</v>
      </c>
      <c r="C13" s="75">
        <v>0.0347</v>
      </c>
      <c r="D13" s="75">
        <v>0.0407</v>
      </c>
      <c r="E13" s="75">
        <v>0</v>
      </c>
      <c r="F13" s="83"/>
      <c r="I13" s="83"/>
    </row>
    <row r="14" spans="1:9" ht="11.25">
      <c r="A14" s="82" t="s">
        <v>205</v>
      </c>
      <c r="B14" s="75">
        <v>0.0347</v>
      </c>
      <c r="C14" s="75">
        <v>0.0347</v>
      </c>
      <c r="D14" s="75">
        <v>0.0149</v>
      </c>
      <c r="E14" s="75">
        <v>0</v>
      </c>
      <c r="F14" s="83"/>
      <c r="I14" s="83"/>
    </row>
    <row r="15" spans="1:9" ht="11.25">
      <c r="A15" s="82" t="s">
        <v>206</v>
      </c>
      <c r="B15" s="75">
        <v>0.0306</v>
      </c>
      <c r="C15" s="75">
        <v>0.0306</v>
      </c>
      <c r="D15" s="75">
        <v>0.0213</v>
      </c>
      <c r="E15" s="75">
        <v>0</v>
      </c>
      <c r="F15" s="83"/>
      <c r="I15" s="83"/>
    </row>
    <row r="16" spans="1:9" ht="11.25">
      <c r="A16" s="82" t="s">
        <v>207</v>
      </c>
      <c r="B16" s="75">
        <v>0.0306</v>
      </c>
      <c r="C16" s="75">
        <v>0.0306</v>
      </c>
      <c r="D16" s="75">
        <v>0.0519</v>
      </c>
      <c r="E16" s="75">
        <v>0</v>
      </c>
      <c r="F16" s="83"/>
      <c r="I16" s="83"/>
    </row>
    <row r="17" spans="1:5" ht="11.25">
      <c r="A17" s="82" t="s">
        <v>208</v>
      </c>
      <c r="B17" s="75">
        <v>0.0306</v>
      </c>
      <c r="C17" s="75">
        <v>0.0306</v>
      </c>
      <c r="D17" s="75">
        <v>0.028</v>
      </c>
      <c r="E17" s="75">
        <v>0</v>
      </c>
    </row>
    <row r="18" spans="1:5" ht="11.25">
      <c r="A18" s="82" t="s">
        <v>209</v>
      </c>
      <c r="B18" s="75">
        <v>0.0218</v>
      </c>
      <c r="C18" s="75">
        <v>0.0218</v>
      </c>
      <c r="D18" s="75">
        <v>0.0204</v>
      </c>
      <c r="E18" s="75">
        <v>0</v>
      </c>
    </row>
    <row r="19" spans="1:5" ht="11.25">
      <c r="A19" s="82" t="s">
        <v>210</v>
      </c>
      <c r="B19" s="75">
        <v>0.0218</v>
      </c>
      <c r="C19" s="75">
        <v>0.0218</v>
      </c>
      <c r="D19" s="75">
        <v>0.0446</v>
      </c>
      <c r="E19" s="75">
        <v>0</v>
      </c>
    </row>
    <row r="20" spans="1:5" ht="11.25">
      <c r="A20" s="82" t="s">
        <v>211</v>
      </c>
      <c r="B20" s="75">
        <v>0.0218</v>
      </c>
      <c r="C20" s="75">
        <v>0.0218</v>
      </c>
      <c r="D20" s="75">
        <v>0.0144</v>
      </c>
      <c r="E20" s="75">
        <v>0</v>
      </c>
    </row>
    <row r="21" spans="1:5" ht="11.25">
      <c r="A21" s="82" t="s">
        <v>212</v>
      </c>
      <c r="B21" s="84">
        <v>0.0282</v>
      </c>
      <c r="C21" s="84">
        <v>0.0282</v>
      </c>
      <c r="D21" s="84">
        <v>0.0213</v>
      </c>
      <c r="E21" s="84">
        <v>0</v>
      </c>
    </row>
    <row r="22" spans="1:5" ht="11.25">
      <c r="A22" s="82" t="s">
        <v>213</v>
      </c>
      <c r="B22" s="75">
        <v>0.0239</v>
      </c>
      <c r="C22" s="75">
        <v>0.0239</v>
      </c>
      <c r="D22" s="75">
        <v>0.0164</v>
      </c>
      <c r="E22" s="75">
        <v>0.0097</v>
      </c>
    </row>
    <row r="23" spans="1:5" ht="11.25">
      <c r="A23" s="82" t="s">
        <v>214</v>
      </c>
      <c r="B23" s="75">
        <v>0.0239</v>
      </c>
      <c r="C23" s="75">
        <v>0.0239</v>
      </c>
      <c r="D23" s="75">
        <v>0.0424</v>
      </c>
      <c r="E23" s="75">
        <v>0.0253</v>
      </c>
    </row>
    <row r="24" spans="1:5" ht="11.25">
      <c r="A24" s="82" t="s">
        <v>215</v>
      </c>
      <c r="B24" s="75">
        <v>0.0239</v>
      </c>
      <c r="C24" s="75">
        <v>0.0239</v>
      </c>
      <c r="D24" s="75">
        <v>0.0275</v>
      </c>
      <c r="E24" s="75">
        <v>0.0275</v>
      </c>
    </row>
    <row r="25" spans="1:5" ht="11.25">
      <c r="A25" s="82" t="s">
        <v>216</v>
      </c>
      <c r="B25" s="75">
        <v>0.039</v>
      </c>
      <c r="C25" s="75">
        <v>0.039</v>
      </c>
      <c r="D25" s="75">
        <v>0.0165</v>
      </c>
      <c r="E25" s="75">
        <v>0</v>
      </c>
    </row>
    <row r="26" spans="1:5" ht="11.25">
      <c r="A26" s="82" t="s">
        <v>217</v>
      </c>
      <c r="B26" s="75">
        <v>0.039</v>
      </c>
      <c r="C26" s="75">
        <v>0.039</v>
      </c>
      <c r="D26" s="75">
        <v>0.045</v>
      </c>
      <c r="E26" s="75">
        <v>0.0176</v>
      </c>
    </row>
    <row r="27" spans="1:5" ht="11.25">
      <c r="A27" s="82" t="s">
        <v>218</v>
      </c>
      <c r="B27" s="75">
        <v>0.039</v>
      </c>
      <c r="C27" s="75">
        <v>0.039</v>
      </c>
      <c r="D27" s="75">
        <v>0.0167</v>
      </c>
      <c r="E27" s="75">
        <v>0</v>
      </c>
    </row>
    <row r="28" spans="1:5" ht="11.25">
      <c r="A28" s="82" t="s">
        <v>219</v>
      </c>
      <c r="B28" s="75">
        <v>0.0229</v>
      </c>
      <c r="C28" s="75">
        <v>0.0229</v>
      </c>
      <c r="D28" s="75">
        <v>0.0142</v>
      </c>
      <c r="E28" s="75">
        <v>0.0099</v>
      </c>
    </row>
    <row r="29" spans="1:5" ht="11.25">
      <c r="A29" s="82" t="s">
        <v>220</v>
      </c>
      <c r="B29" s="75">
        <v>0.0229</v>
      </c>
      <c r="C29" s="75">
        <v>0.0229</v>
      </c>
      <c r="D29" s="75">
        <v>0.047</v>
      </c>
      <c r="E29" s="215">
        <v>0.0284</v>
      </c>
    </row>
    <row r="30" spans="1:5" ht="11.25">
      <c r="A30" s="82" t="s">
        <v>221</v>
      </c>
      <c r="B30" s="75">
        <v>0.0229</v>
      </c>
      <c r="C30" s="75">
        <v>0.0229</v>
      </c>
      <c r="D30" s="75">
        <v>0.0203</v>
      </c>
      <c r="E30" s="75">
        <v>0.0178</v>
      </c>
    </row>
    <row r="31" spans="1:5" ht="11.25">
      <c r="A31" s="82" t="s">
        <v>222</v>
      </c>
      <c r="B31" s="75">
        <v>0.0399</v>
      </c>
      <c r="C31" s="75">
        <v>0.0399</v>
      </c>
      <c r="D31" s="75">
        <v>0.0181</v>
      </c>
      <c r="E31" s="75">
        <v>0</v>
      </c>
    </row>
    <row r="32" spans="1:5" ht="11.25">
      <c r="A32" s="82" t="s">
        <v>223</v>
      </c>
      <c r="B32" s="75">
        <v>0.0399</v>
      </c>
      <c r="C32" s="75">
        <v>0.0399</v>
      </c>
      <c r="D32" s="75">
        <v>0.0428</v>
      </c>
      <c r="E32" s="75">
        <v>0.014</v>
      </c>
    </row>
    <row r="33" spans="1:5" ht="11.25">
      <c r="A33" s="82" t="s">
        <v>224</v>
      </c>
      <c r="B33" s="75">
        <v>0.0399</v>
      </c>
      <c r="C33" s="75">
        <v>0.0399</v>
      </c>
      <c r="D33" s="75">
        <v>0.0169</v>
      </c>
      <c r="E33" s="75">
        <v>0</v>
      </c>
    </row>
    <row r="34" spans="1:5" ht="11.25">
      <c r="A34" s="82" t="s">
        <v>225</v>
      </c>
      <c r="B34" s="75">
        <v>0.0303</v>
      </c>
      <c r="C34" s="75">
        <v>0.0303</v>
      </c>
      <c r="D34" s="75">
        <v>0.0151</v>
      </c>
      <c r="E34" s="75">
        <v>0.0095</v>
      </c>
    </row>
    <row r="35" spans="1:5" ht="11.25">
      <c r="A35" s="82" t="s">
        <v>226</v>
      </c>
      <c r="B35" s="75">
        <v>0.0303</v>
      </c>
      <c r="C35" s="75">
        <v>0.0303</v>
      </c>
      <c r="D35" s="75">
        <v>0.0387</v>
      </c>
      <c r="E35" s="215">
        <v>0.0264</v>
      </c>
    </row>
    <row r="36" spans="1:5" ht="11.25">
      <c r="A36" s="82" t="s">
        <v>227</v>
      </c>
      <c r="B36" s="75">
        <v>0.0229</v>
      </c>
      <c r="C36" s="75">
        <v>0.0229</v>
      </c>
      <c r="D36" s="75">
        <v>0.0158</v>
      </c>
      <c r="E36" s="75">
        <v>0.0092</v>
      </c>
    </row>
    <row r="37" spans="1:5" ht="11.25">
      <c r="A37" s="82" t="s">
        <v>228</v>
      </c>
      <c r="B37" s="75">
        <v>0.0454</v>
      </c>
      <c r="C37" s="75">
        <v>0.0454</v>
      </c>
      <c r="D37" s="75">
        <v>0.0147</v>
      </c>
      <c r="E37" s="75">
        <v>0</v>
      </c>
    </row>
    <row r="38" spans="1:5" ht="11.25">
      <c r="A38" s="82" t="s">
        <v>229</v>
      </c>
      <c r="B38" s="75">
        <v>0.0454</v>
      </c>
      <c r="C38" s="75">
        <v>0.0454</v>
      </c>
      <c r="D38" s="75">
        <v>0.0385</v>
      </c>
      <c r="E38" s="75">
        <v>0.0217</v>
      </c>
    </row>
    <row r="39" spans="1:5" ht="11.25">
      <c r="A39" s="82" t="s">
        <v>230</v>
      </c>
      <c r="B39" s="75">
        <v>0.0399</v>
      </c>
      <c r="C39" s="75">
        <v>0.0399</v>
      </c>
      <c r="D39" s="75">
        <v>0.0156</v>
      </c>
      <c r="E39" s="75">
        <v>0</v>
      </c>
    </row>
    <row r="40" spans="1:6" ht="11.25">
      <c r="A40" s="82" t="s">
        <v>231</v>
      </c>
      <c r="B40" s="75">
        <v>0.0282</v>
      </c>
      <c r="C40" s="75">
        <v>0.0282</v>
      </c>
      <c r="D40" s="75">
        <v>0</v>
      </c>
      <c r="E40" s="75">
        <v>0</v>
      </c>
      <c r="F40" s="81" t="s">
        <v>279</v>
      </c>
    </row>
    <row r="41" spans="1:5" ht="11.25">
      <c r="A41" s="82" t="s">
        <v>232</v>
      </c>
      <c r="B41" s="75">
        <v>0.0282</v>
      </c>
      <c r="C41" s="75">
        <v>0.0282</v>
      </c>
      <c r="D41" s="75">
        <v>0.0185</v>
      </c>
      <c r="E41" s="75">
        <v>0.0165</v>
      </c>
    </row>
    <row r="42" spans="1:5" ht="11.25">
      <c r="A42" s="82" t="s">
        <v>233</v>
      </c>
      <c r="B42" s="75">
        <v>0.0282</v>
      </c>
      <c r="C42" s="75">
        <v>0.0282</v>
      </c>
      <c r="D42" s="75">
        <v>0.0385</v>
      </c>
      <c r="E42" s="215">
        <v>0.0254</v>
      </c>
    </row>
    <row r="43" spans="1:5" ht="11.25">
      <c r="A43" s="82" t="s">
        <v>234</v>
      </c>
      <c r="B43" s="75">
        <v>0.0229</v>
      </c>
      <c r="C43" s="75">
        <v>0.0229</v>
      </c>
      <c r="D43" s="75">
        <v>0.0175</v>
      </c>
      <c r="E43" s="75">
        <v>0.0149</v>
      </c>
    </row>
    <row r="44" spans="1:5" ht="11.25">
      <c r="A44" s="82" t="s">
        <v>278</v>
      </c>
      <c r="B44" s="75"/>
      <c r="C44" s="75"/>
      <c r="D44" s="75"/>
      <c r="E44" s="75">
        <v>0.0271</v>
      </c>
    </row>
    <row r="45" spans="1:5" ht="11.25">
      <c r="A45" s="82" t="s">
        <v>235</v>
      </c>
      <c r="B45" s="75">
        <v>0.0538</v>
      </c>
      <c r="C45" s="75">
        <v>0.0538</v>
      </c>
      <c r="D45" s="75">
        <v>0.0176</v>
      </c>
      <c r="E45" s="75">
        <v>0.005</v>
      </c>
    </row>
    <row r="46" spans="1:5" ht="11.25">
      <c r="A46" s="82" t="s">
        <v>236</v>
      </c>
      <c r="B46" s="75">
        <v>0.0538</v>
      </c>
      <c r="C46" s="75">
        <v>0.0538</v>
      </c>
      <c r="D46" s="75">
        <v>0.0371</v>
      </c>
      <c r="E46" s="75">
        <v>0.0156</v>
      </c>
    </row>
    <row r="47" spans="1:5" ht="11.25">
      <c r="A47" s="82" t="s">
        <v>237</v>
      </c>
      <c r="B47" s="75">
        <v>0.0399</v>
      </c>
      <c r="C47" s="75">
        <v>0.0399</v>
      </c>
      <c r="D47" s="75">
        <v>0.0171</v>
      </c>
      <c r="E47" s="75">
        <v>0.0038</v>
      </c>
    </row>
    <row r="48" spans="1:5" ht="11.25">
      <c r="A48" s="82" t="s">
        <v>238</v>
      </c>
      <c r="B48" s="75">
        <v>0.021</v>
      </c>
      <c r="C48" s="75">
        <v>0.021</v>
      </c>
      <c r="D48" s="75">
        <v>0.0132</v>
      </c>
      <c r="E48" s="75">
        <v>0.0138</v>
      </c>
    </row>
    <row r="49" spans="1:5" ht="11.25">
      <c r="A49" s="82" t="s">
        <v>239</v>
      </c>
      <c r="B49" s="84">
        <v>0.2</v>
      </c>
      <c r="C49" s="84">
        <v>0.2</v>
      </c>
      <c r="D49" s="84">
        <v>0.2196</v>
      </c>
      <c r="E49" s="84">
        <v>0.0343</v>
      </c>
    </row>
    <row r="50" spans="1:5" ht="11.25">
      <c r="A50" s="82" t="s">
        <v>240</v>
      </c>
      <c r="B50" s="75">
        <v>0.0241</v>
      </c>
      <c r="C50" s="75">
        <v>0.0241</v>
      </c>
      <c r="D50" s="75">
        <v>0.0208</v>
      </c>
      <c r="E50" s="75">
        <v>0.0159</v>
      </c>
    </row>
    <row r="51" spans="1:5" ht="11.25">
      <c r="A51" s="82" t="s">
        <v>241</v>
      </c>
      <c r="B51" s="75">
        <v>0.0241</v>
      </c>
      <c r="C51" s="75">
        <v>0.0241</v>
      </c>
      <c r="D51" s="75">
        <v>0.0362</v>
      </c>
      <c r="E51" s="75">
        <v>0.0254</v>
      </c>
    </row>
    <row r="52" spans="1:5" ht="11.25">
      <c r="A52" s="82" t="s">
        <v>242</v>
      </c>
      <c r="B52" s="75">
        <v>0.0241</v>
      </c>
      <c r="C52" s="75">
        <v>0.0241</v>
      </c>
      <c r="D52" s="75">
        <v>0.0213</v>
      </c>
      <c r="E52" s="75">
        <v>0.02</v>
      </c>
    </row>
    <row r="53" spans="1:5" ht="11.25">
      <c r="A53" s="82" t="s">
        <v>243</v>
      </c>
      <c r="B53" s="75">
        <v>0.0347</v>
      </c>
      <c r="C53" s="75">
        <v>0.0347</v>
      </c>
      <c r="D53" s="75">
        <v>0.0228</v>
      </c>
      <c r="E53" s="75">
        <v>0.0101</v>
      </c>
    </row>
    <row r="54" spans="1:5" ht="11.25">
      <c r="A54" s="82" t="s">
        <v>244</v>
      </c>
      <c r="B54" s="75">
        <v>0.0347</v>
      </c>
      <c r="C54" s="75">
        <v>0.0347</v>
      </c>
      <c r="D54" s="75">
        <v>0.0362</v>
      </c>
      <c r="E54" s="75">
        <v>0.0125</v>
      </c>
    </row>
    <row r="55" spans="1:5" ht="11.25">
      <c r="A55" s="82" t="s">
        <v>245</v>
      </c>
      <c r="B55" s="75">
        <v>0.0347</v>
      </c>
      <c r="C55" s="75">
        <v>0.0347</v>
      </c>
      <c r="D55" s="75">
        <v>0.0212</v>
      </c>
      <c r="E55" s="75">
        <v>0.0088</v>
      </c>
    </row>
    <row r="56" spans="1:5" ht="11.25">
      <c r="A56" s="82" t="s">
        <v>246</v>
      </c>
      <c r="B56" s="75">
        <v>0.0241</v>
      </c>
      <c r="C56" s="75">
        <v>0.0241</v>
      </c>
      <c r="D56" s="75">
        <v>0.021</v>
      </c>
      <c r="E56" s="75">
        <v>0.021</v>
      </c>
    </row>
    <row r="57" spans="1:5" ht="11.25">
      <c r="A57" s="82" t="s">
        <v>247</v>
      </c>
      <c r="B57" s="75">
        <v>0.0241</v>
      </c>
      <c r="C57" s="75">
        <v>0.0241</v>
      </c>
      <c r="D57" s="75">
        <v>0.0428</v>
      </c>
      <c r="E57" s="215">
        <v>0.0246</v>
      </c>
    </row>
    <row r="58" spans="1:5" ht="11.25">
      <c r="A58" s="82" t="s">
        <v>248</v>
      </c>
      <c r="B58" s="75">
        <v>0.0241</v>
      </c>
      <c r="C58" s="75">
        <v>0.0241</v>
      </c>
      <c r="D58" s="75">
        <v>0.0249</v>
      </c>
      <c r="E58" s="75">
        <v>0.0229</v>
      </c>
    </row>
    <row r="59" spans="1:5" ht="11.25">
      <c r="A59" s="82" t="s">
        <v>249</v>
      </c>
      <c r="B59" s="75">
        <v>0.0347</v>
      </c>
      <c r="C59" s="75">
        <v>0.0347</v>
      </c>
      <c r="D59" s="75">
        <v>0.021</v>
      </c>
      <c r="E59" s="75">
        <v>0</v>
      </c>
    </row>
    <row r="60" spans="1:5" ht="11.25">
      <c r="A60" s="82" t="s">
        <v>250</v>
      </c>
      <c r="B60" s="75">
        <v>0.0347</v>
      </c>
      <c r="C60" s="75">
        <v>0.0347</v>
      </c>
      <c r="D60" s="75">
        <v>0.0428</v>
      </c>
      <c r="E60" s="75">
        <v>0.0247</v>
      </c>
    </row>
    <row r="61" spans="1:5" ht="11.25">
      <c r="A61" s="82" t="s">
        <v>251</v>
      </c>
      <c r="B61" s="75">
        <v>0.0347</v>
      </c>
      <c r="C61" s="75">
        <v>0.0347</v>
      </c>
      <c r="D61" s="75">
        <v>0.0249</v>
      </c>
      <c r="E61" s="75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80" zoomScaleNormal="80" workbookViewId="0" topLeftCell="A1">
      <selection activeCell="A1" sqref="A1"/>
    </sheetView>
  </sheetViews>
  <sheetFormatPr defaultColWidth="9.33203125" defaultRowHeight="11.25"/>
  <cols>
    <col min="1" max="1" width="52.66015625" style="0" customWidth="1"/>
    <col min="2" max="3" width="15.5" style="0" bestFit="1" customWidth="1"/>
    <col min="4" max="4" width="14.66015625" style="0" customWidth="1"/>
    <col min="5" max="5" width="13.83203125" style="0" customWidth="1"/>
    <col min="6" max="6" width="13.66015625" style="0" customWidth="1"/>
    <col min="7" max="7" width="15.5" style="0" customWidth="1"/>
    <col min="8" max="9" width="15.66015625" style="0" bestFit="1" customWidth="1"/>
    <col min="10" max="10" width="14.16015625" style="0" bestFit="1" customWidth="1"/>
    <col min="11" max="11" width="14" style="0" bestFit="1" customWidth="1"/>
    <col min="12" max="12" width="15.33203125" style="0" customWidth="1"/>
    <col min="13" max="14" width="13.83203125" style="0" customWidth="1"/>
    <col min="15" max="16" width="13.66015625" style="0" customWidth="1"/>
    <col min="17" max="17" width="13.83203125" style="0" customWidth="1"/>
    <col min="18" max="18" width="13.66015625" style="0" customWidth="1"/>
    <col min="19" max="19" width="13.83203125" style="0" customWidth="1"/>
  </cols>
  <sheetData>
    <row r="1" spans="2:14" ht="18.75" customHeight="1">
      <c r="B1" s="39"/>
      <c r="C1" s="39"/>
      <c r="K1" s="48"/>
      <c r="L1" s="48"/>
      <c r="M1" s="48"/>
      <c r="N1" s="48"/>
    </row>
    <row r="2" spans="1:11" ht="18.75" customHeight="1">
      <c r="A2" t="s">
        <v>98</v>
      </c>
      <c r="B2" s="141">
        <v>2016</v>
      </c>
      <c r="C2" s="45">
        <f aca="true" t="shared" si="0" ref="C2:K2">B2+1</f>
        <v>2017</v>
      </c>
      <c r="D2" s="45">
        <f t="shared" si="0"/>
        <v>2018</v>
      </c>
      <c r="E2" s="45">
        <f t="shared" si="0"/>
        <v>2019</v>
      </c>
      <c r="F2" s="45">
        <f t="shared" si="0"/>
        <v>2020</v>
      </c>
      <c r="G2" s="45">
        <f t="shared" si="0"/>
        <v>2021</v>
      </c>
      <c r="H2" s="45">
        <f t="shared" si="0"/>
        <v>2022</v>
      </c>
      <c r="I2" s="45">
        <f t="shared" si="0"/>
        <v>2023</v>
      </c>
      <c r="J2" s="45">
        <f t="shared" si="0"/>
        <v>2024</v>
      </c>
      <c r="K2" s="45">
        <f t="shared" si="0"/>
        <v>2025</v>
      </c>
    </row>
    <row r="3" spans="1:11" ht="18.75" customHeight="1">
      <c r="A3" t="s">
        <v>72</v>
      </c>
      <c r="B3" s="136">
        <f>(35+(6*0.65*0.94))/100</f>
        <v>0.38665999999999995</v>
      </c>
      <c r="C3" s="62">
        <f aca="true" t="shared" si="1" ref="C3:K3">+B3</f>
        <v>0.38665999999999995</v>
      </c>
      <c r="D3" s="62">
        <f t="shared" si="1"/>
        <v>0.38665999999999995</v>
      </c>
      <c r="E3" s="62">
        <f t="shared" si="1"/>
        <v>0.38665999999999995</v>
      </c>
      <c r="F3" s="62">
        <f t="shared" si="1"/>
        <v>0.38665999999999995</v>
      </c>
      <c r="G3" s="62">
        <f t="shared" si="1"/>
        <v>0.38665999999999995</v>
      </c>
      <c r="H3" s="62">
        <f t="shared" si="1"/>
        <v>0.38665999999999995</v>
      </c>
      <c r="I3" s="62">
        <f t="shared" si="1"/>
        <v>0.38665999999999995</v>
      </c>
      <c r="J3" s="62">
        <f t="shared" si="1"/>
        <v>0.38665999999999995</v>
      </c>
      <c r="K3" s="62">
        <f t="shared" si="1"/>
        <v>0.38665999999999995</v>
      </c>
    </row>
    <row r="4" spans="2:8" ht="18.75" customHeight="1">
      <c r="B4" s="46" t="s">
        <v>53</v>
      </c>
      <c r="C4" s="46" t="s">
        <v>54</v>
      </c>
      <c r="D4" s="20"/>
      <c r="E4" s="20"/>
      <c r="F4" s="20"/>
      <c r="G4" s="20"/>
      <c r="H4" s="20"/>
    </row>
    <row r="5" spans="1:3" ht="18.75" customHeight="1">
      <c r="A5" t="s">
        <v>75</v>
      </c>
      <c r="B5" s="136">
        <f>(35+6*0.65)/100</f>
        <v>0.389</v>
      </c>
      <c r="C5" s="71">
        <f>B5</f>
        <v>0.389</v>
      </c>
    </row>
    <row r="6" spans="1:3" ht="18.75" customHeight="1">
      <c r="A6" t="s">
        <v>73</v>
      </c>
      <c r="B6" s="136">
        <v>0.0015</v>
      </c>
      <c r="C6" s="71">
        <f>B6</f>
        <v>0.0015</v>
      </c>
    </row>
    <row r="7" spans="2:3" ht="18.75" customHeight="1">
      <c r="B7" s="20"/>
      <c r="C7" s="20"/>
    </row>
    <row r="8" spans="2:3" ht="18.75" customHeight="1">
      <c r="B8" s="20"/>
      <c r="C8" s="20"/>
    </row>
    <row r="9" spans="1:9" ht="18.75" customHeight="1">
      <c r="A9" s="271" t="s">
        <v>79</v>
      </c>
      <c r="B9" s="271"/>
      <c r="C9" s="271"/>
      <c r="D9" s="271"/>
      <c r="E9" s="271"/>
      <c r="F9" s="271"/>
      <c r="G9" s="271"/>
      <c r="H9" s="271"/>
      <c r="I9" s="271"/>
    </row>
    <row r="10" spans="1:9" ht="18.75" customHeight="1">
      <c r="A10" s="272">
        <v>42063</v>
      </c>
      <c r="B10" s="272"/>
      <c r="C10" s="272"/>
      <c r="D10" s="272"/>
      <c r="E10" s="272"/>
      <c r="F10" s="272"/>
      <c r="G10" s="272"/>
      <c r="H10" s="272"/>
      <c r="I10" s="272"/>
    </row>
    <row r="11" spans="2:18" ht="42" customHeight="1">
      <c r="B11" s="20" t="s">
        <v>80</v>
      </c>
      <c r="C11" s="20" t="s">
        <v>81</v>
      </c>
      <c r="D11" t="s">
        <v>82</v>
      </c>
      <c r="E11" t="s">
        <v>83</v>
      </c>
      <c r="F11" t="s">
        <v>84</v>
      </c>
      <c r="H11" t="s">
        <v>85</v>
      </c>
      <c r="I11" s="87" t="str">
        <f>$B$2&amp;" Weighted Cost of Capital"</f>
        <v>2016 Weighted Cost of Capital</v>
      </c>
      <c r="J11" s="87" t="str">
        <f aca="true" t="shared" si="2" ref="J11:R11">C2&amp;" Weighted Cost of Capital"</f>
        <v>2017 Weighted Cost of Capital</v>
      </c>
      <c r="K11" s="87" t="str">
        <f t="shared" si="2"/>
        <v>2018 Weighted Cost of Capital</v>
      </c>
      <c r="L11" s="87" t="str">
        <f t="shared" si="2"/>
        <v>2019 Weighted Cost of Capital</v>
      </c>
      <c r="M11" s="87" t="str">
        <f t="shared" si="2"/>
        <v>2020 Weighted Cost of Capital</v>
      </c>
      <c r="N11" s="87" t="str">
        <f t="shared" si="2"/>
        <v>2021 Weighted Cost of Capital</v>
      </c>
      <c r="O11" s="87" t="str">
        <f t="shared" si="2"/>
        <v>2022 Weighted Cost of Capital</v>
      </c>
      <c r="P11" s="87" t="str">
        <f t="shared" si="2"/>
        <v>2023 Weighted Cost of Capital</v>
      </c>
      <c r="Q11" s="87" t="str">
        <f t="shared" si="2"/>
        <v>2024 Weighted Cost of Capital</v>
      </c>
      <c r="R11" s="87" t="str">
        <f t="shared" si="2"/>
        <v>2025 Weighted Cost of Capital</v>
      </c>
    </row>
    <row r="12" spans="1:18" ht="18.75" customHeight="1">
      <c r="A12" t="s">
        <v>76</v>
      </c>
      <c r="B12" s="63"/>
      <c r="C12" s="62"/>
      <c r="D12" s="63"/>
      <c r="E12" s="63"/>
      <c r="F12" s="133">
        <v>837088356</v>
      </c>
      <c r="G12" s="62">
        <f>F12/$F$16</f>
        <v>0.39219849756477654</v>
      </c>
      <c r="H12" s="134">
        <v>0.0366</v>
      </c>
      <c r="I12" s="20">
        <f>G12*H12</f>
        <v>0.014354465010870822</v>
      </c>
      <c r="J12" s="20">
        <f aca="true" t="shared" si="3" ref="J12:O12">I12</f>
        <v>0.014354465010870822</v>
      </c>
      <c r="K12" s="20">
        <f t="shared" si="3"/>
        <v>0.014354465010870822</v>
      </c>
      <c r="L12" s="20">
        <f t="shared" si="3"/>
        <v>0.014354465010870822</v>
      </c>
      <c r="M12" s="20">
        <f t="shared" si="3"/>
        <v>0.014354465010870822</v>
      </c>
      <c r="N12" s="20">
        <f t="shared" si="3"/>
        <v>0.014354465010870822</v>
      </c>
      <c r="O12" s="20">
        <f t="shared" si="3"/>
        <v>0.014354465010870822</v>
      </c>
      <c r="P12" s="20">
        <f aca="true" t="shared" si="4" ref="P12:R15">O12</f>
        <v>0.014354465010870822</v>
      </c>
      <c r="Q12" s="20">
        <f t="shared" si="4"/>
        <v>0.014354465010870822</v>
      </c>
      <c r="R12" s="20">
        <f t="shared" si="4"/>
        <v>0.014354465010870822</v>
      </c>
    </row>
    <row r="13" spans="1:18" ht="18.75" customHeight="1">
      <c r="A13" t="s">
        <v>77</v>
      </c>
      <c r="B13" s="63"/>
      <c r="C13" s="62"/>
      <c r="D13" s="63"/>
      <c r="E13" s="63"/>
      <c r="F13" s="133">
        <v>182255435</v>
      </c>
      <c r="G13" s="62">
        <f>F13/$F$16</f>
        <v>0.08539159249757236</v>
      </c>
      <c r="H13" s="134">
        <v>0.0045</v>
      </c>
      <c r="I13" s="20">
        <f>G13*H13</f>
        <v>0.0003842621662390756</v>
      </c>
      <c r="J13" s="20">
        <f aca="true" t="shared" si="5" ref="J13:O15">I13</f>
        <v>0.0003842621662390756</v>
      </c>
      <c r="K13" s="20">
        <f t="shared" si="5"/>
        <v>0.0003842621662390756</v>
      </c>
      <c r="L13" s="20">
        <f t="shared" si="5"/>
        <v>0.0003842621662390756</v>
      </c>
      <c r="M13" s="20">
        <f t="shared" si="5"/>
        <v>0.0003842621662390756</v>
      </c>
      <c r="N13" s="20">
        <f t="shared" si="5"/>
        <v>0.0003842621662390756</v>
      </c>
      <c r="O13" s="20">
        <f t="shared" si="5"/>
        <v>0.0003842621662390756</v>
      </c>
      <c r="P13" s="20">
        <f t="shared" si="4"/>
        <v>0.0003842621662390756</v>
      </c>
      <c r="Q13" s="20">
        <f t="shared" si="4"/>
        <v>0.0003842621662390756</v>
      </c>
      <c r="R13" s="20">
        <f t="shared" si="4"/>
        <v>0.0003842621662390756</v>
      </c>
    </row>
    <row r="14" spans="1:18" ht="18.75" customHeight="1">
      <c r="A14" t="s">
        <v>78</v>
      </c>
      <c r="B14" s="63"/>
      <c r="C14" s="62"/>
      <c r="D14" s="63"/>
      <c r="E14" s="63"/>
      <c r="F14" s="133">
        <v>0</v>
      </c>
      <c r="G14" s="62">
        <f>F14/$F$16</f>
        <v>0</v>
      </c>
      <c r="H14" s="134">
        <v>0</v>
      </c>
      <c r="I14" s="20">
        <f>G14*H14</f>
        <v>0</v>
      </c>
      <c r="J14" s="20">
        <f t="shared" si="5"/>
        <v>0</v>
      </c>
      <c r="K14" s="20">
        <f t="shared" si="5"/>
        <v>0</v>
      </c>
      <c r="L14" s="20">
        <f t="shared" si="5"/>
        <v>0</v>
      </c>
      <c r="M14" s="20">
        <f t="shared" si="5"/>
        <v>0</v>
      </c>
      <c r="N14" s="20">
        <f t="shared" si="5"/>
        <v>0</v>
      </c>
      <c r="O14" s="20">
        <f t="shared" si="5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</row>
    <row r="15" spans="1:18" ht="18.75" customHeight="1">
      <c r="A15" t="s">
        <v>255</v>
      </c>
      <c r="B15" s="63"/>
      <c r="C15" s="62"/>
      <c r="D15" s="63"/>
      <c r="E15" s="63"/>
      <c r="F15" s="133">
        <v>1115004915.58</v>
      </c>
      <c r="G15" s="62">
        <f>F15/$F$16</f>
        <v>0.5224099099376511</v>
      </c>
      <c r="H15" s="134">
        <v>0.1</v>
      </c>
      <c r="I15" s="20">
        <f>G15*H15</f>
        <v>0.05224099099376511</v>
      </c>
      <c r="J15" s="20">
        <f t="shared" si="5"/>
        <v>0.05224099099376511</v>
      </c>
      <c r="K15" s="20">
        <f t="shared" si="5"/>
        <v>0.05224099099376511</v>
      </c>
      <c r="L15" s="20">
        <f t="shared" si="5"/>
        <v>0.05224099099376511</v>
      </c>
      <c r="M15" s="20">
        <f t="shared" si="5"/>
        <v>0.05224099099376511</v>
      </c>
      <c r="N15" s="20">
        <f t="shared" si="5"/>
        <v>0.05224099099376511</v>
      </c>
      <c r="O15" s="20">
        <f t="shared" si="5"/>
        <v>0.05224099099376511</v>
      </c>
      <c r="P15" s="20">
        <f t="shared" si="4"/>
        <v>0.05224099099376511</v>
      </c>
      <c r="Q15" s="20">
        <f t="shared" si="4"/>
        <v>0.05224099099376511</v>
      </c>
      <c r="R15" s="20">
        <f t="shared" si="4"/>
        <v>0.05224099099376511</v>
      </c>
    </row>
    <row r="16" spans="1:18" ht="18.75" customHeight="1">
      <c r="A16" t="s">
        <v>20</v>
      </c>
      <c r="B16" s="63"/>
      <c r="C16" s="62"/>
      <c r="D16" s="63"/>
      <c r="E16" s="63"/>
      <c r="F16" s="63">
        <f>SUM(F12:F15)</f>
        <v>2134348706.58</v>
      </c>
      <c r="G16" s="63"/>
      <c r="H16" s="62"/>
      <c r="I16" s="20">
        <f>SUM(I12:I15)</f>
        <v>0.06697971817087502</v>
      </c>
      <c r="J16" s="20">
        <f aca="true" t="shared" si="6" ref="J16:O16">SUM(J12:J15)</f>
        <v>0.06697971817087502</v>
      </c>
      <c r="K16" s="20">
        <f t="shared" si="6"/>
        <v>0.06697971817087502</v>
      </c>
      <c r="L16" s="20">
        <f t="shared" si="6"/>
        <v>0.06697971817087502</v>
      </c>
      <c r="M16" s="20">
        <f t="shared" si="6"/>
        <v>0.06697971817087502</v>
      </c>
      <c r="N16" s="20">
        <f t="shared" si="6"/>
        <v>0.06697971817087502</v>
      </c>
      <c r="O16" s="20">
        <f t="shared" si="6"/>
        <v>0.06697971817087502</v>
      </c>
      <c r="P16" s="20">
        <f>SUM(P12:P15)</f>
        <v>0.06697971817087502</v>
      </c>
      <c r="Q16" s="20">
        <f>SUM(Q12:Q15)</f>
        <v>0.06697971817087502</v>
      </c>
      <c r="R16" s="20">
        <f>SUM(R12:R15)</f>
        <v>0.06697971817087502</v>
      </c>
    </row>
    <row r="17" spans="1:18" ht="18.75" customHeight="1">
      <c r="A17" t="s">
        <v>87</v>
      </c>
      <c r="B17" s="63"/>
      <c r="C17" s="62"/>
      <c r="D17" s="63"/>
      <c r="E17" s="63"/>
      <c r="F17" s="63"/>
      <c r="G17" s="63"/>
      <c r="H17" s="62"/>
      <c r="I17" s="20">
        <f>I12+I13</f>
        <v>0.014738727177109898</v>
      </c>
      <c r="J17" s="20">
        <f aca="true" t="shared" si="7" ref="J17:O17">J12+J13</f>
        <v>0.014738727177109898</v>
      </c>
      <c r="K17" s="20">
        <f t="shared" si="7"/>
        <v>0.014738727177109898</v>
      </c>
      <c r="L17" s="20">
        <f t="shared" si="7"/>
        <v>0.014738727177109898</v>
      </c>
      <c r="M17" s="20">
        <f t="shared" si="7"/>
        <v>0.014738727177109898</v>
      </c>
      <c r="N17" s="20">
        <f t="shared" si="7"/>
        <v>0.014738727177109898</v>
      </c>
      <c r="O17" s="20">
        <f t="shared" si="7"/>
        <v>0.014738727177109898</v>
      </c>
      <c r="P17" s="20">
        <f>P12+P13</f>
        <v>0.014738727177109898</v>
      </c>
      <c r="Q17" s="20">
        <f>Q12+Q13</f>
        <v>0.014738727177109898</v>
      </c>
      <c r="R17" s="20">
        <f>R12+R13</f>
        <v>0.014738727177109898</v>
      </c>
    </row>
    <row r="18" spans="1:18" ht="18.75" customHeight="1">
      <c r="A18" t="s">
        <v>86</v>
      </c>
      <c r="B18" s="63"/>
      <c r="C18" s="62"/>
      <c r="D18" s="48"/>
      <c r="E18" s="48"/>
      <c r="F18" s="48"/>
      <c r="G18" s="48"/>
      <c r="H18" s="48"/>
      <c r="I18" s="62">
        <f aca="true" t="shared" si="8" ref="I18:R18">B3</f>
        <v>0.38665999999999995</v>
      </c>
      <c r="J18" s="62">
        <f t="shared" si="8"/>
        <v>0.38665999999999995</v>
      </c>
      <c r="K18" s="62">
        <f t="shared" si="8"/>
        <v>0.38665999999999995</v>
      </c>
      <c r="L18" s="62">
        <f t="shared" si="8"/>
        <v>0.38665999999999995</v>
      </c>
      <c r="M18" s="62">
        <f t="shared" si="8"/>
        <v>0.38665999999999995</v>
      </c>
      <c r="N18" s="62">
        <f t="shared" si="8"/>
        <v>0.38665999999999995</v>
      </c>
      <c r="O18" s="62">
        <f t="shared" si="8"/>
        <v>0.38665999999999995</v>
      </c>
      <c r="P18" s="62">
        <f t="shared" si="8"/>
        <v>0.38665999999999995</v>
      </c>
      <c r="Q18" s="62">
        <f t="shared" si="8"/>
        <v>0.38665999999999995</v>
      </c>
      <c r="R18" s="62">
        <f t="shared" si="8"/>
        <v>0.38665999999999995</v>
      </c>
    </row>
    <row r="19" spans="1:18" ht="18.75" customHeight="1">
      <c r="A19" t="s">
        <v>88</v>
      </c>
      <c r="B19" s="63"/>
      <c r="C19" s="62"/>
      <c r="D19" s="48"/>
      <c r="E19" s="48"/>
      <c r="F19" s="48"/>
      <c r="G19" s="48"/>
      <c r="H19" s="48"/>
      <c r="I19" s="20">
        <f>(I16+(I16-I17)*(I18/(1-I18)))</f>
        <v>0.09991333016039017</v>
      </c>
      <c r="J19" s="20">
        <f aca="true" t="shared" si="9" ref="J19:O19">(J16+(J16-J17)*(J18/(1-J18)))</f>
        <v>0.09991333016039017</v>
      </c>
      <c r="K19" s="20">
        <f t="shared" si="9"/>
        <v>0.09991333016039017</v>
      </c>
      <c r="L19" s="20">
        <f t="shared" si="9"/>
        <v>0.09991333016039017</v>
      </c>
      <c r="M19" s="20">
        <f t="shared" si="9"/>
        <v>0.09991333016039017</v>
      </c>
      <c r="N19" s="20">
        <f t="shared" si="9"/>
        <v>0.09991333016039017</v>
      </c>
      <c r="O19" s="20">
        <f t="shared" si="9"/>
        <v>0.09991333016039017</v>
      </c>
      <c r="P19" s="20">
        <f>(P16+(P16-P17)*(P18/(1-P18)))</f>
        <v>0.09991333016039017</v>
      </c>
      <c r="Q19" s="20">
        <f>(Q16+(Q16-Q17)*(Q18/(1-Q18)))</f>
        <v>0.09991333016039017</v>
      </c>
      <c r="R19" s="20">
        <f>(R16+(R16-R17)*(R18/(1-R18)))</f>
        <v>0.09991333016039017</v>
      </c>
    </row>
    <row r="20" spans="2:8" ht="18.75" customHeight="1">
      <c r="B20" s="48"/>
      <c r="C20" s="48"/>
      <c r="D20" s="48"/>
      <c r="E20" s="48"/>
      <c r="F20" s="48"/>
      <c r="G20" s="48"/>
      <c r="H20" s="48"/>
    </row>
    <row r="21" spans="1:9" ht="18.75" customHeight="1">
      <c r="A21" s="271" t="s">
        <v>89</v>
      </c>
      <c r="B21" s="271"/>
      <c r="C21" s="271"/>
      <c r="D21" s="271"/>
      <c r="E21" s="271"/>
      <c r="F21" s="271"/>
      <c r="G21" s="271"/>
      <c r="H21" s="271"/>
      <c r="I21" s="271"/>
    </row>
    <row r="22" spans="1:9" ht="18.75" customHeight="1">
      <c r="A22" s="272">
        <v>42063</v>
      </c>
      <c r="B22" s="272"/>
      <c r="C22" s="272"/>
      <c r="D22" s="272"/>
      <c r="E22" s="272"/>
      <c r="F22" s="272"/>
      <c r="G22" s="272"/>
      <c r="H22" s="272"/>
      <c r="I22" s="272"/>
    </row>
    <row r="23" spans="2:19" ht="42" customHeight="1">
      <c r="B23" s="20" t="s">
        <v>80</v>
      </c>
      <c r="C23" s="20" t="s">
        <v>81</v>
      </c>
      <c r="D23" t="s">
        <v>82</v>
      </c>
      <c r="E23" t="s">
        <v>90</v>
      </c>
      <c r="F23" t="s">
        <v>91</v>
      </c>
      <c r="G23" t="s">
        <v>84</v>
      </c>
      <c r="I23" t="s">
        <v>85</v>
      </c>
      <c r="J23" s="87" t="str">
        <f aca="true" t="shared" si="10" ref="J23:S23">B2&amp;" Weighted Cost of Capital"</f>
        <v>2016 Weighted Cost of Capital</v>
      </c>
      <c r="K23" s="87" t="str">
        <f t="shared" si="10"/>
        <v>2017 Weighted Cost of Capital</v>
      </c>
      <c r="L23" s="87" t="str">
        <f t="shared" si="10"/>
        <v>2018 Weighted Cost of Capital</v>
      </c>
      <c r="M23" s="87" t="str">
        <f t="shared" si="10"/>
        <v>2019 Weighted Cost of Capital</v>
      </c>
      <c r="N23" s="87" t="str">
        <f t="shared" si="10"/>
        <v>2020 Weighted Cost of Capital</v>
      </c>
      <c r="O23" s="87" t="str">
        <f t="shared" si="10"/>
        <v>2021 Weighted Cost of Capital</v>
      </c>
      <c r="P23" s="87" t="str">
        <f t="shared" si="10"/>
        <v>2022 Weighted Cost of Capital</v>
      </c>
      <c r="Q23" s="87" t="str">
        <f t="shared" si="10"/>
        <v>2023 Weighted Cost of Capital</v>
      </c>
      <c r="R23" s="87" t="str">
        <f t="shared" si="10"/>
        <v>2024 Weighted Cost of Capital</v>
      </c>
      <c r="S23" s="87" t="str">
        <f t="shared" si="10"/>
        <v>2025 Weighted Cost of Capital</v>
      </c>
    </row>
    <row r="24" spans="1:19" ht="18.75" customHeight="1">
      <c r="A24" t="s">
        <v>76</v>
      </c>
      <c r="B24" s="63"/>
      <c r="C24" s="62"/>
      <c r="D24" s="63"/>
      <c r="E24" s="63"/>
      <c r="F24" s="63"/>
      <c r="G24" s="135">
        <v>1486494601</v>
      </c>
      <c r="H24" s="62">
        <f>G24/$G$28</f>
        <v>0.41964840899744105</v>
      </c>
      <c r="I24" s="134">
        <v>0.0367</v>
      </c>
      <c r="J24" s="20">
        <f>ROUND(H24*I24,4)</f>
        <v>0.0154</v>
      </c>
      <c r="K24" s="20">
        <f aca="true" t="shared" si="11" ref="K24:P26">J24</f>
        <v>0.0154</v>
      </c>
      <c r="L24" s="20">
        <f t="shared" si="11"/>
        <v>0.0154</v>
      </c>
      <c r="M24" s="20">
        <f t="shared" si="11"/>
        <v>0.0154</v>
      </c>
      <c r="N24" s="20">
        <f t="shared" si="11"/>
        <v>0.0154</v>
      </c>
      <c r="O24" s="20">
        <f t="shared" si="11"/>
        <v>0.0154</v>
      </c>
      <c r="P24" s="20">
        <f t="shared" si="11"/>
        <v>0.0154</v>
      </c>
      <c r="Q24" s="20">
        <f aca="true" t="shared" si="12" ref="Q24:S27">P24</f>
        <v>0.0154</v>
      </c>
      <c r="R24" s="20">
        <f t="shared" si="12"/>
        <v>0.0154</v>
      </c>
      <c r="S24" s="20">
        <f t="shared" si="12"/>
        <v>0.0154</v>
      </c>
    </row>
    <row r="25" spans="1:19" ht="18.75" customHeight="1">
      <c r="A25" t="s">
        <v>77</v>
      </c>
      <c r="B25" s="63"/>
      <c r="C25" s="62"/>
      <c r="D25" s="63"/>
      <c r="E25" s="63"/>
      <c r="F25" s="63"/>
      <c r="G25" s="135">
        <v>188285275</v>
      </c>
      <c r="H25" s="62">
        <f>G25/$G$28</f>
        <v>0.05315432429975954</v>
      </c>
      <c r="I25" s="134">
        <v>0.0045</v>
      </c>
      <c r="J25" s="20">
        <f>ROUND(H25*I25,4)</f>
        <v>0.0002</v>
      </c>
      <c r="K25" s="20">
        <f t="shared" si="11"/>
        <v>0.0002</v>
      </c>
      <c r="L25" s="20">
        <f t="shared" si="11"/>
        <v>0.0002</v>
      </c>
      <c r="M25" s="20">
        <f t="shared" si="11"/>
        <v>0.0002</v>
      </c>
      <c r="N25" s="20">
        <f t="shared" si="11"/>
        <v>0.0002</v>
      </c>
      <c r="O25" s="20">
        <f t="shared" si="11"/>
        <v>0.0002</v>
      </c>
      <c r="P25" s="20">
        <f t="shared" si="11"/>
        <v>0.0002</v>
      </c>
      <c r="Q25" s="20">
        <f t="shared" si="12"/>
        <v>0.0002</v>
      </c>
      <c r="R25" s="20">
        <f t="shared" si="12"/>
        <v>0.0002</v>
      </c>
      <c r="S25" s="20">
        <f t="shared" si="12"/>
        <v>0.0002</v>
      </c>
    </row>
    <row r="26" spans="1:19" ht="18.75" customHeight="1">
      <c r="A26" t="s">
        <v>78</v>
      </c>
      <c r="B26" s="63"/>
      <c r="C26" s="62"/>
      <c r="D26" s="63"/>
      <c r="E26" s="63"/>
      <c r="F26" s="63"/>
      <c r="G26" s="133">
        <v>0</v>
      </c>
      <c r="H26" s="62">
        <f>G26/$G$28</f>
        <v>0</v>
      </c>
      <c r="I26" s="134">
        <v>0</v>
      </c>
      <c r="J26" s="20">
        <f>ROUND(H26*I26,4)</f>
        <v>0</v>
      </c>
      <c r="K26" s="20">
        <f t="shared" si="11"/>
        <v>0</v>
      </c>
      <c r="L26" s="20">
        <f t="shared" si="11"/>
        <v>0</v>
      </c>
      <c r="M26" s="20">
        <f t="shared" si="11"/>
        <v>0</v>
      </c>
      <c r="N26" s="20">
        <f t="shared" si="11"/>
        <v>0</v>
      </c>
      <c r="O26" s="20">
        <f t="shared" si="11"/>
        <v>0</v>
      </c>
      <c r="P26" s="20">
        <f t="shared" si="11"/>
        <v>0</v>
      </c>
      <c r="Q26" s="20">
        <f t="shared" si="12"/>
        <v>0</v>
      </c>
      <c r="R26" s="20">
        <f t="shared" si="12"/>
        <v>0</v>
      </c>
      <c r="S26" s="20">
        <f t="shared" si="12"/>
        <v>0</v>
      </c>
    </row>
    <row r="27" spans="1:19" ht="18.75" customHeight="1">
      <c r="A27" t="s">
        <v>255</v>
      </c>
      <c r="B27" s="63"/>
      <c r="C27" s="62"/>
      <c r="D27" s="63"/>
      <c r="E27" s="63"/>
      <c r="F27" s="63"/>
      <c r="G27" s="135">
        <v>1867458267</v>
      </c>
      <c r="H27" s="62">
        <f>G27/$G$28</f>
        <v>0.5271972667027994</v>
      </c>
      <c r="I27" s="134">
        <v>0.1</v>
      </c>
      <c r="J27" s="20">
        <f>ROUND(H27*I27,4)</f>
        <v>0.0527</v>
      </c>
      <c r="K27" s="20">
        <f aca="true" t="shared" si="13" ref="K27:P27">J27</f>
        <v>0.0527</v>
      </c>
      <c r="L27" s="20">
        <f t="shared" si="13"/>
        <v>0.0527</v>
      </c>
      <c r="M27" s="20">
        <f t="shared" si="13"/>
        <v>0.0527</v>
      </c>
      <c r="N27" s="20">
        <f t="shared" si="13"/>
        <v>0.0527</v>
      </c>
      <c r="O27" s="20">
        <f t="shared" si="13"/>
        <v>0.0527</v>
      </c>
      <c r="P27" s="20">
        <f t="shared" si="13"/>
        <v>0.0527</v>
      </c>
      <c r="Q27" s="20">
        <f t="shared" si="12"/>
        <v>0.0527</v>
      </c>
      <c r="R27" s="20">
        <f t="shared" si="12"/>
        <v>0.0527</v>
      </c>
      <c r="S27" s="20">
        <f t="shared" si="12"/>
        <v>0.0527</v>
      </c>
    </row>
    <row r="28" spans="1:19" ht="18.75" customHeight="1">
      <c r="A28" t="s">
        <v>20</v>
      </c>
      <c r="B28" s="63"/>
      <c r="C28" s="62"/>
      <c r="D28" s="63"/>
      <c r="E28" s="63"/>
      <c r="F28" s="63"/>
      <c r="G28" s="63">
        <f>SUM(G24:G27)</f>
        <v>3542238143</v>
      </c>
      <c r="H28" s="63"/>
      <c r="I28" s="62"/>
      <c r="J28" s="20">
        <f>ROUND(SUM(J24:J27),4)</f>
        <v>0.0683</v>
      </c>
      <c r="K28" s="20">
        <f aca="true" t="shared" si="14" ref="K28:P28">SUM(K24:K27)</f>
        <v>0.0683</v>
      </c>
      <c r="L28" s="20">
        <f t="shared" si="14"/>
        <v>0.0683</v>
      </c>
      <c r="M28" s="20">
        <f t="shared" si="14"/>
        <v>0.0683</v>
      </c>
      <c r="N28" s="20">
        <f t="shared" si="14"/>
        <v>0.0683</v>
      </c>
      <c r="O28" s="20">
        <f t="shared" si="14"/>
        <v>0.0683</v>
      </c>
      <c r="P28" s="20">
        <f t="shared" si="14"/>
        <v>0.0683</v>
      </c>
      <c r="Q28" s="20">
        <f>SUM(Q24:Q27)</f>
        <v>0.0683</v>
      </c>
      <c r="R28" s="20">
        <f>SUM(R24:R27)</f>
        <v>0.0683</v>
      </c>
      <c r="S28" s="20">
        <f>SUM(S24:S27)</f>
        <v>0.0683</v>
      </c>
    </row>
    <row r="29" spans="1:19" ht="18.75" customHeight="1">
      <c r="A29" t="s">
        <v>87</v>
      </c>
      <c r="B29" s="63"/>
      <c r="C29" s="62"/>
      <c r="D29" s="63"/>
      <c r="E29" s="48"/>
      <c r="F29" s="63"/>
      <c r="G29" s="63"/>
      <c r="H29" s="63"/>
      <c r="I29" s="62"/>
      <c r="J29" s="20">
        <f>J24+J25</f>
        <v>0.015600000000000001</v>
      </c>
      <c r="K29" s="20">
        <f aca="true" t="shared" si="15" ref="K29:P29">K24+K25</f>
        <v>0.015600000000000001</v>
      </c>
      <c r="L29" s="20">
        <f t="shared" si="15"/>
        <v>0.015600000000000001</v>
      </c>
      <c r="M29" s="20">
        <f t="shared" si="15"/>
        <v>0.015600000000000001</v>
      </c>
      <c r="N29" s="20">
        <f t="shared" si="15"/>
        <v>0.015600000000000001</v>
      </c>
      <c r="O29" s="20">
        <f t="shared" si="15"/>
        <v>0.015600000000000001</v>
      </c>
      <c r="P29" s="20">
        <f t="shared" si="15"/>
        <v>0.015600000000000001</v>
      </c>
      <c r="Q29" s="20">
        <f>Q24+Q25</f>
        <v>0.015600000000000001</v>
      </c>
      <c r="R29" s="20">
        <f>R24+R25</f>
        <v>0.015600000000000001</v>
      </c>
      <c r="S29" s="20">
        <f>S24+S25</f>
        <v>0.015600000000000001</v>
      </c>
    </row>
    <row r="30" spans="1:19" ht="18.75" customHeight="1">
      <c r="A30" t="s">
        <v>86</v>
      </c>
      <c r="B30" s="63"/>
      <c r="C30" s="62"/>
      <c r="D30" s="48"/>
      <c r="E30" s="48"/>
      <c r="F30" s="48"/>
      <c r="G30" s="48"/>
      <c r="H30" s="48"/>
      <c r="I30" s="48"/>
      <c r="J30" s="62">
        <f aca="true" t="shared" si="16" ref="J30:S30">B3</f>
        <v>0.38665999999999995</v>
      </c>
      <c r="K30" s="62">
        <f t="shared" si="16"/>
        <v>0.38665999999999995</v>
      </c>
      <c r="L30" s="62">
        <f t="shared" si="16"/>
        <v>0.38665999999999995</v>
      </c>
      <c r="M30" s="62">
        <f t="shared" si="16"/>
        <v>0.38665999999999995</v>
      </c>
      <c r="N30" s="62">
        <f t="shared" si="16"/>
        <v>0.38665999999999995</v>
      </c>
      <c r="O30" s="62">
        <f t="shared" si="16"/>
        <v>0.38665999999999995</v>
      </c>
      <c r="P30" s="62">
        <f t="shared" si="16"/>
        <v>0.38665999999999995</v>
      </c>
      <c r="Q30" s="62">
        <f t="shared" si="16"/>
        <v>0.38665999999999995</v>
      </c>
      <c r="R30" s="62">
        <f t="shared" si="16"/>
        <v>0.38665999999999995</v>
      </c>
      <c r="S30" s="62">
        <f t="shared" si="16"/>
        <v>0.38665999999999995</v>
      </c>
    </row>
    <row r="31" spans="1:19" ht="18.75" customHeight="1">
      <c r="A31" t="s">
        <v>88</v>
      </c>
      <c r="B31" s="48"/>
      <c r="C31" s="48"/>
      <c r="D31" s="48"/>
      <c r="E31" s="48"/>
      <c r="F31" s="48"/>
      <c r="G31" s="48"/>
      <c r="H31" s="48"/>
      <c r="I31" s="48"/>
      <c r="J31" s="20">
        <f>(J28+(J28-J29)*(J30/(1-J30)))</f>
        <v>0.10152297909805327</v>
      </c>
      <c r="K31" s="20">
        <f aca="true" t="shared" si="17" ref="K31:P31">(K28+(K28-K29)*(K30/(1-K30)))</f>
        <v>0.10152297909805327</v>
      </c>
      <c r="L31" s="20">
        <f t="shared" si="17"/>
        <v>0.10152297909805327</v>
      </c>
      <c r="M31" s="20">
        <f t="shared" si="17"/>
        <v>0.10152297909805327</v>
      </c>
      <c r="N31" s="20">
        <f t="shared" si="17"/>
        <v>0.10152297909805327</v>
      </c>
      <c r="O31" s="20">
        <f t="shared" si="17"/>
        <v>0.10152297909805327</v>
      </c>
      <c r="P31" s="20">
        <f t="shared" si="17"/>
        <v>0.10152297909805327</v>
      </c>
      <c r="Q31" s="20">
        <f>(Q28+(Q28-Q29)*(Q30/(1-Q30)))</f>
        <v>0.10152297909805327</v>
      </c>
      <c r="R31" s="20">
        <f>(R28+(R28-R29)*(R30/(1-R30)))</f>
        <v>0.10152297909805327</v>
      </c>
      <c r="S31" s="20">
        <f>(S28+(S28-S29)*(S30/(1-S30)))</f>
        <v>0.10152297909805327</v>
      </c>
    </row>
    <row r="32" ht="18.75" customHeight="1">
      <c r="C32" s="20"/>
    </row>
    <row r="33" spans="1:15" ht="18.75" customHeight="1">
      <c r="A33" s="271" t="s">
        <v>42</v>
      </c>
      <c r="B33" s="271"/>
      <c r="C33" s="271"/>
      <c r="G33" s="271" t="s">
        <v>108</v>
      </c>
      <c r="H33" s="271"/>
      <c r="I33" s="271"/>
      <c r="J33" s="68"/>
      <c r="K33" s="68"/>
      <c r="L33" s="267" t="s">
        <v>269</v>
      </c>
      <c r="M33" s="68"/>
      <c r="N33" s="68"/>
      <c r="O33" s="68"/>
    </row>
    <row r="34" spans="7:11" ht="18.75" customHeight="1">
      <c r="G34" s="269" t="str">
        <f>TEXT(42309,"m/d/yyy")&amp;" Expense Month"</f>
        <v>11/1/2015 Expense Month</v>
      </c>
      <c r="H34" s="269"/>
      <c r="I34" s="269"/>
      <c r="J34" s="68"/>
      <c r="K34" s="68"/>
    </row>
    <row r="35" spans="1:9" ht="18.75" customHeight="1">
      <c r="A35" s="92" t="s">
        <v>317</v>
      </c>
      <c r="B35" s="39" t="s">
        <v>53</v>
      </c>
      <c r="C35" s="39" t="s">
        <v>54</v>
      </c>
      <c r="H35" s="39" t="s">
        <v>53</v>
      </c>
      <c r="I35" s="39" t="s">
        <v>54</v>
      </c>
    </row>
    <row r="36" spans="1:14" ht="18.75" customHeight="1">
      <c r="A36" s="19">
        <v>42005</v>
      </c>
      <c r="B36" s="136">
        <v>0.8957</v>
      </c>
      <c r="C36" s="136">
        <v>0.8776</v>
      </c>
      <c r="G36" t="s">
        <v>93</v>
      </c>
      <c r="H36" s="137">
        <v>10.75</v>
      </c>
      <c r="I36" s="137">
        <v>10.75</v>
      </c>
      <c r="M36" t="s">
        <v>270</v>
      </c>
      <c r="N36" s="43">
        <v>0.75</v>
      </c>
    </row>
    <row r="37" spans="1:15" ht="18.75" customHeight="1">
      <c r="A37" s="19">
        <v>42036</v>
      </c>
      <c r="B37" s="136">
        <v>0.9391</v>
      </c>
      <c r="C37" s="136">
        <v>0.8807</v>
      </c>
      <c r="G37" t="s">
        <v>105</v>
      </c>
      <c r="H37" s="138">
        <v>0.08082</v>
      </c>
      <c r="I37" s="138">
        <v>0.08508</v>
      </c>
      <c r="M37" s="98" t="s">
        <v>53</v>
      </c>
      <c r="N37" s="99">
        <v>0.52</v>
      </c>
      <c r="O37" s="108">
        <f>N37*N36</f>
        <v>0.39</v>
      </c>
    </row>
    <row r="38" spans="1:15" ht="18.75" customHeight="1">
      <c r="A38" s="19">
        <v>42064</v>
      </c>
      <c r="B38" s="136">
        <v>0.9028</v>
      </c>
      <c r="C38" s="136">
        <v>0.8743</v>
      </c>
      <c r="G38" t="s">
        <v>106</v>
      </c>
      <c r="H38" s="138">
        <v>-0.00271</v>
      </c>
      <c r="I38" s="138">
        <v>-0.00586</v>
      </c>
      <c r="M38" s="98" t="s">
        <v>54</v>
      </c>
      <c r="N38" s="99">
        <v>0.48</v>
      </c>
      <c r="O38" s="108">
        <f>N38*N36</f>
        <v>0.36</v>
      </c>
    </row>
    <row r="39" spans="1:9" ht="18.75" customHeight="1">
      <c r="A39" s="19">
        <v>42095</v>
      </c>
      <c r="B39" s="136">
        <v>0.8318</v>
      </c>
      <c r="C39" s="136">
        <v>0.8633</v>
      </c>
      <c r="G39" t="s">
        <v>107</v>
      </c>
      <c r="H39" s="138">
        <v>0.00397</v>
      </c>
      <c r="I39" s="138">
        <v>0.00298</v>
      </c>
    </row>
    <row r="40" spans="1:9" ht="18.75" customHeight="1">
      <c r="A40" s="19">
        <v>42125</v>
      </c>
      <c r="B40" s="136">
        <v>0.919</v>
      </c>
      <c r="C40" s="136">
        <v>0.8487</v>
      </c>
      <c r="G40" t="s">
        <v>109</v>
      </c>
      <c r="H40" s="138">
        <v>0.0973</v>
      </c>
      <c r="I40" s="138">
        <v>0.0609</v>
      </c>
    </row>
    <row r="41" spans="1:3" ht="18.75" customHeight="1">
      <c r="A41" s="19">
        <v>42156</v>
      </c>
      <c r="B41" s="136">
        <v>0.9304</v>
      </c>
      <c r="C41" s="136">
        <v>0.8858</v>
      </c>
    </row>
    <row r="42" spans="1:3" ht="18.75" customHeight="1">
      <c r="A42" s="19">
        <v>42186</v>
      </c>
      <c r="B42" s="136">
        <v>0.96</v>
      </c>
      <c r="C42" s="136">
        <v>0.861</v>
      </c>
    </row>
    <row r="43" spans="1:8" ht="18.75" customHeight="1">
      <c r="A43" s="19">
        <v>42217</v>
      </c>
      <c r="B43" s="136">
        <v>0.9872</v>
      </c>
      <c r="C43" s="136">
        <v>0.8603</v>
      </c>
      <c r="H43" s="150"/>
    </row>
    <row r="44" spans="1:3" ht="18.75" customHeight="1">
      <c r="A44" s="19">
        <v>42248</v>
      </c>
      <c r="B44" s="136">
        <v>0.9914</v>
      </c>
      <c r="C44" s="136">
        <v>0.8613</v>
      </c>
    </row>
    <row r="45" spans="1:3" ht="18.75" customHeight="1">
      <c r="A45" s="19">
        <v>42278</v>
      </c>
      <c r="B45" s="136">
        <v>0.9909</v>
      </c>
      <c r="C45" s="136">
        <v>0.8694</v>
      </c>
    </row>
    <row r="46" spans="1:3" ht="18.75" customHeight="1">
      <c r="A46" s="19">
        <v>42309</v>
      </c>
      <c r="B46" s="136">
        <v>0.9878</v>
      </c>
      <c r="C46" s="136">
        <v>0.8736</v>
      </c>
    </row>
    <row r="47" spans="1:3" ht="18.75" customHeight="1">
      <c r="A47" s="19">
        <v>42339</v>
      </c>
      <c r="B47" s="136">
        <v>0.9732</v>
      </c>
      <c r="C47" s="136">
        <v>0.8958</v>
      </c>
    </row>
    <row r="48" spans="1:3" ht="18.75" customHeight="1">
      <c r="A48" s="19" t="s">
        <v>22</v>
      </c>
      <c r="B48" s="20">
        <f>AVERAGE(B36:B47)</f>
        <v>0.9424416666666667</v>
      </c>
      <c r="C48" s="20">
        <f>AVERAGE(C36:C47)</f>
        <v>0.8709833333333332</v>
      </c>
    </row>
    <row r="49" spans="1:13" ht="18.75" customHeight="1">
      <c r="A49" s="48"/>
      <c r="K49" s="43"/>
      <c r="M49" s="91"/>
    </row>
    <row r="50" spans="1:3" ht="18.75" customHeight="1">
      <c r="A50" s="48" t="str">
        <f>""&amp;TEXT(Input!$G$34,"mmm yy")&amp;" Avg Mth Juris Rev"</f>
        <v>11/1/2015 Expense Month Avg Mth Juris Rev</v>
      </c>
      <c r="B50" s="139">
        <f>(35214049+31139963)*12</f>
        <v>796248144</v>
      </c>
      <c r="C50" s="139">
        <f>(50319679+43456013)*12</f>
        <v>1125308304</v>
      </c>
    </row>
    <row r="51" spans="1:3" ht="18.75" customHeight="1">
      <c r="A51" s="19"/>
      <c r="B51" s="42"/>
      <c r="C51" s="42"/>
    </row>
    <row r="52" spans="1:15" ht="18.75" customHeight="1">
      <c r="A52" s="270" t="s">
        <v>96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48"/>
      <c r="M52" s="48"/>
      <c r="N52" s="48"/>
      <c r="O52" s="48"/>
    </row>
    <row r="53" spans="1:15" ht="18.75" customHeight="1">
      <c r="A53" s="21" t="s">
        <v>53</v>
      </c>
      <c r="B53" s="140">
        <v>2016</v>
      </c>
      <c r="C53" s="93">
        <f>B53+1</f>
        <v>2017</v>
      </c>
      <c r="D53" s="93">
        <f>C53+1</f>
        <v>2018</v>
      </c>
      <c r="E53" s="93">
        <f>D53+1</f>
        <v>2019</v>
      </c>
      <c r="F53" s="93">
        <f aca="true" t="shared" si="18" ref="F53:K53">E53+1</f>
        <v>2020</v>
      </c>
      <c r="G53" s="93">
        <f t="shared" si="18"/>
        <v>2021</v>
      </c>
      <c r="H53" s="93">
        <f t="shared" si="18"/>
        <v>2022</v>
      </c>
      <c r="I53" s="93">
        <f t="shared" si="18"/>
        <v>2023</v>
      </c>
      <c r="J53" s="93">
        <f t="shared" si="18"/>
        <v>2024</v>
      </c>
      <c r="K53" s="93">
        <f t="shared" si="18"/>
        <v>2025</v>
      </c>
      <c r="L53" s="48"/>
      <c r="M53" s="48"/>
      <c r="N53" s="48"/>
      <c r="O53" s="48"/>
    </row>
    <row r="54" spans="1:15" ht="18.75" customHeight="1">
      <c r="A54" t="s">
        <v>253</v>
      </c>
      <c r="B54" s="139">
        <v>635584240.513952</v>
      </c>
      <c r="C54" s="139">
        <v>672643700.0121422</v>
      </c>
      <c r="D54" s="139">
        <v>710883314.8855525</v>
      </c>
      <c r="E54" s="139">
        <v>727881493.1856242</v>
      </c>
      <c r="F54" s="139">
        <v>737557582.0308157</v>
      </c>
      <c r="G54" s="139">
        <v>763024490.126578</v>
      </c>
      <c r="H54" s="139">
        <v>775455494.296376</v>
      </c>
      <c r="I54" s="139">
        <v>817272999.658698</v>
      </c>
      <c r="J54" s="139">
        <v>838536322.365433</v>
      </c>
      <c r="K54" s="139">
        <v>860577821.212925</v>
      </c>
      <c r="L54" s="63"/>
      <c r="M54" s="63"/>
      <c r="N54" s="48"/>
      <c r="O54" s="48"/>
    </row>
    <row r="55" spans="1:15" ht="18.75" customHeight="1">
      <c r="A55" t="s">
        <v>280</v>
      </c>
      <c r="B55" s="139">
        <v>311604751.71191657</v>
      </c>
      <c r="C55" s="139">
        <v>301081896.7491805</v>
      </c>
      <c r="D55" s="139">
        <v>298186683.48023874</v>
      </c>
      <c r="E55" s="139">
        <v>310709966.8742755</v>
      </c>
      <c r="F55" s="139">
        <v>312274493.1357857</v>
      </c>
      <c r="G55" s="139">
        <v>326048526.45652044</v>
      </c>
      <c r="H55" s="139">
        <v>337898727.3604235</v>
      </c>
      <c r="I55" s="139">
        <v>345979891.271931</v>
      </c>
      <c r="J55" s="139">
        <v>357147154.31558573</v>
      </c>
      <c r="K55" s="139">
        <v>378487419.5092322</v>
      </c>
      <c r="L55" s="63"/>
      <c r="M55" s="63"/>
      <c r="N55" s="48"/>
      <c r="O55" s="48"/>
    </row>
    <row r="56" spans="1:15" ht="18.75" customHeight="1">
      <c r="A56" t="s">
        <v>281</v>
      </c>
      <c r="B56" s="139">
        <v>142957395.120284</v>
      </c>
      <c r="C56" s="139">
        <v>155235879.197692</v>
      </c>
      <c r="D56" s="139">
        <v>169188413.641951</v>
      </c>
      <c r="E56" s="139">
        <v>187286320.546985</v>
      </c>
      <c r="F56" s="139">
        <v>202903705.585018</v>
      </c>
      <c r="G56" s="139">
        <v>236736126.74263</v>
      </c>
      <c r="H56" s="139">
        <v>241146241.79185498</v>
      </c>
      <c r="I56" s="139">
        <v>238719119.668346</v>
      </c>
      <c r="J56" s="139">
        <v>235104982.37490702</v>
      </c>
      <c r="K56" s="139">
        <v>234092069.409429</v>
      </c>
      <c r="L56" s="63"/>
      <c r="M56" s="63"/>
      <c r="N56" s="48"/>
      <c r="O56" s="48"/>
    </row>
    <row r="57" spans="1:15" ht="18.75" customHeight="1">
      <c r="A57" s="27" t="s">
        <v>282</v>
      </c>
      <c r="B57" s="139">
        <v>19340943.8855421</v>
      </c>
      <c r="C57" s="139">
        <v>20563937.9802751</v>
      </c>
      <c r="D57" s="139">
        <v>19906073.0413491</v>
      </c>
      <c r="E57" s="139">
        <v>12714713.8423103</v>
      </c>
      <c r="F57" s="139">
        <v>13023536.5263828</v>
      </c>
      <c r="G57" s="139">
        <v>13994639.6951922</v>
      </c>
      <c r="H57" s="139">
        <v>14710808.9761382</v>
      </c>
      <c r="I57" s="139">
        <v>15123717.6581266</v>
      </c>
      <c r="J57" s="139">
        <v>15516913.2968287</v>
      </c>
      <c r="K57" s="139">
        <v>15857047.740651</v>
      </c>
      <c r="L57" s="63"/>
      <c r="M57" s="63"/>
      <c r="N57" s="48"/>
      <c r="O57" s="48"/>
    </row>
    <row r="58" spans="1:15" ht="18.75" customHeight="1">
      <c r="A58" s="100" t="s">
        <v>256</v>
      </c>
      <c r="B58" s="63">
        <f aca="true" t="shared" si="19" ref="B58:K58">SUM(B54:B57)-B56</f>
        <v>966529936.1114107</v>
      </c>
      <c r="C58" s="63">
        <f t="shared" si="19"/>
        <v>994289534.7415978</v>
      </c>
      <c r="D58" s="63">
        <f t="shared" si="19"/>
        <v>1028976071.4071406</v>
      </c>
      <c r="E58" s="63">
        <f t="shared" si="19"/>
        <v>1051306173.9022099</v>
      </c>
      <c r="F58" s="63">
        <f t="shared" si="19"/>
        <v>1062855611.692984</v>
      </c>
      <c r="G58" s="63">
        <f t="shared" si="19"/>
        <v>1103067656.2782905</v>
      </c>
      <c r="H58" s="63">
        <f t="shared" si="19"/>
        <v>1128065030.632938</v>
      </c>
      <c r="I58" s="63">
        <f t="shared" si="19"/>
        <v>1178376608.5887556</v>
      </c>
      <c r="J58" s="63">
        <f t="shared" si="19"/>
        <v>1211200389.9778476</v>
      </c>
      <c r="K58" s="63">
        <f t="shared" si="19"/>
        <v>1254922288.4628081</v>
      </c>
      <c r="L58" s="48"/>
      <c r="M58" s="48"/>
      <c r="N58" s="48"/>
      <c r="O58" s="48"/>
    </row>
    <row r="59" spans="1:11" ht="18.75" customHeight="1">
      <c r="A59" s="88" t="s">
        <v>95</v>
      </c>
      <c r="B59" s="63"/>
      <c r="C59" s="89"/>
      <c r="D59" s="89"/>
      <c r="E59" s="89"/>
      <c r="F59" s="89"/>
      <c r="G59" s="89"/>
      <c r="H59" s="89"/>
      <c r="I59" s="89"/>
      <c r="J59" s="89"/>
      <c r="K59" s="89"/>
    </row>
    <row r="60" spans="1:11" ht="18.75" customHeight="1">
      <c r="A60" s="88"/>
      <c r="B60" s="63"/>
      <c r="C60" s="63"/>
      <c r="D60" s="90"/>
      <c r="E60" s="90"/>
      <c r="F60" s="90"/>
      <c r="G60" s="90"/>
      <c r="H60" s="90"/>
      <c r="I60" s="90"/>
      <c r="J60" s="90"/>
      <c r="K60" s="90"/>
    </row>
    <row r="61" spans="1:11" ht="18.75" customHeight="1">
      <c r="A61" s="88"/>
      <c r="B61" s="63"/>
      <c r="C61" s="63"/>
      <c r="D61" s="90"/>
      <c r="E61" s="90"/>
      <c r="F61" s="90"/>
      <c r="G61" s="90"/>
      <c r="H61" s="90"/>
      <c r="I61" s="90"/>
      <c r="J61" s="90"/>
      <c r="K61" s="90"/>
    </row>
    <row r="62" spans="1:11" ht="18.75" customHeight="1">
      <c r="A62" s="21" t="s">
        <v>54</v>
      </c>
      <c r="B62" s="140">
        <v>2016</v>
      </c>
      <c r="C62" s="93">
        <f>B62+1</f>
        <v>2017</v>
      </c>
      <c r="D62" s="93">
        <f>C62+1</f>
        <v>2018</v>
      </c>
      <c r="E62" s="93">
        <f>D62+1</f>
        <v>2019</v>
      </c>
      <c r="F62" s="93">
        <f aca="true" t="shared" si="20" ref="F62:K62">E62+1</f>
        <v>2020</v>
      </c>
      <c r="G62" s="93">
        <f t="shared" si="20"/>
        <v>2021</v>
      </c>
      <c r="H62" s="93">
        <f t="shared" si="20"/>
        <v>2022</v>
      </c>
      <c r="I62" s="93">
        <f t="shared" si="20"/>
        <v>2023</v>
      </c>
      <c r="J62" s="93">
        <f t="shared" si="20"/>
        <v>2024</v>
      </c>
      <c r="K62" s="93">
        <f t="shared" si="20"/>
        <v>2025</v>
      </c>
    </row>
    <row r="63" spans="1:11" ht="18.75" customHeight="1">
      <c r="A63" s="48" t="s">
        <v>253</v>
      </c>
      <c r="B63" s="139">
        <v>941188809.887951</v>
      </c>
      <c r="C63" s="139">
        <v>965354008.4586538</v>
      </c>
      <c r="D63" s="139">
        <v>997841518.3415384</v>
      </c>
      <c r="E63" s="139">
        <v>1055519339.4860721</v>
      </c>
      <c r="F63" s="139">
        <v>1086707104.154954</v>
      </c>
      <c r="G63" s="139">
        <v>1150461954.3025532</v>
      </c>
      <c r="H63" s="139">
        <v>1184986870.6374102</v>
      </c>
      <c r="I63" s="139">
        <v>1214246130.53844</v>
      </c>
      <c r="J63" s="139">
        <v>1232546329.9992502</v>
      </c>
      <c r="K63" s="139">
        <v>1267091076.417393</v>
      </c>
    </row>
    <row r="64" spans="1:11" ht="18.75" customHeight="1">
      <c r="A64" s="48" t="s">
        <v>280</v>
      </c>
      <c r="B64" s="139">
        <v>521282541.15895396</v>
      </c>
      <c r="C64" s="139">
        <v>546277888.7960564</v>
      </c>
      <c r="D64" s="139">
        <v>557739973.1273003</v>
      </c>
      <c r="E64" s="139">
        <v>577454510.3815957</v>
      </c>
      <c r="F64" s="139">
        <v>589656540.8166229</v>
      </c>
      <c r="G64" s="139">
        <v>616037817.6372573</v>
      </c>
      <c r="H64" s="139">
        <v>646027047.6088263</v>
      </c>
      <c r="I64" s="139">
        <v>667026517.8545455</v>
      </c>
      <c r="J64" s="139">
        <v>696638750.5517986</v>
      </c>
      <c r="K64" s="139">
        <v>723361232.6531359</v>
      </c>
    </row>
    <row r="65" spans="1:11" ht="18.75" customHeight="1">
      <c r="A65" s="48" t="s">
        <v>281</v>
      </c>
      <c r="B65" s="139">
        <v>154577413.079359</v>
      </c>
      <c r="C65" s="139">
        <v>164222835.791916</v>
      </c>
      <c r="D65" s="139">
        <v>188747407.805695</v>
      </c>
      <c r="E65" s="139">
        <v>211291981.05517098</v>
      </c>
      <c r="F65" s="139">
        <v>230627115.856254</v>
      </c>
      <c r="G65" s="139">
        <v>251269507.332038</v>
      </c>
      <c r="H65" s="139">
        <v>274932700.73355603</v>
      </c>
      <c r="I65" s="139">
        <v>278922111.461568</v>
      </c>
      <c r="J65" s="139">
        <v>279072443.611898</v>
      </c>
      <c r="K65" s="139">
        <v>275421360.859363</v>
      </c>
    </row>
    <row r="66" spans="1:11" ht="18.75" customHeight="1">
      <c r="A66" s="65" t="s">
        <v>282</v>
      </c>
      <c r="B66" s="139">
        <v>24091816.8507291</v>
      </c>
      <c r="C66" s="139">
        <v>26047674.297090203</v>
      </c>
      <c r="D66" s="139">
        <v>24519886.0400866</v>
      </c>
      <c r="E66" s="139">
        <v>16635186.871938499</v>
      </c>
      <c r="F66" s="139">
        <v>16732565.0342714</v>
      </c>
      <c r="G66" s="139">
        <v>17419554.079493597</v>
      </c>
      <c r="H66" s="139">
        <v>17875978.3483424</v>
      </c>
      <c r="I66" s="139">
        <v>18158982.903458897</v>
      </c>
      <c r="J66" s="139">
        <v>18505915.7220699</v>
      </c>
      <c r="K66" s="139">
        <v>18775673.0408055</v>
      </c>
    </row>
    <row r="67" spans="1:11" ht="18.75" customHeight="1">
      <c r="A67" s="100" t="s">
        <v>256</v>
      </c>
      <c r="B67" s="63">
        <f aca="true" t="shared" si="21" ref="B67:K67">SUM(B63:B66)-B65</f>
        <v>1486563167.897634</v>
      </c>
      <c r="C67" s="63">
        <f t="shared" si="21"/>
        <v>1537679571.5518003</v>
      </c>
      <c r="D67" s="63">
        <f t="shared" si="21"/>
        <v>1580101377.5089252</v>
      </c>
      <c r="E67" s="63">
        <f t="shared" si="21"/>
        <v>1649609036.7396061</v>
      </c>
      <c r="F67" s="63">
        <f t="shared" si="21"/>
        <v>1693096210.0058482</v>
      </c>
      <c r="G67" s="63">
        <f t="shared" si="21"/>
        <v>1783919326.019304</v>
      </c>
      <c r="H67" s="63">
        <f t="shared" si="21"/>
        <v>1848889896.5945787</v>
      </c>
      <c r="I67" s="63">
        <f t="shared" si="21"/>
        <v>1899431631.2964444</v>
      </c>
      <c r="J67" s="63">
        <f t="shared" si="21"/>
        <v>1947690996.2731185</v>
      </c>
      <c r="K67" s="63">
        <f t="shared" si="21"/>
        <v>2009227982.1113343</v>
      </c>
    </row>
    <row r="68" spans="1:11" ht="18.75" customHeight="1">
      <c r="A68" s="88" t="s">
        <v>95</v>
      </c>
      <c r="B68" s="63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8.75" customHeight="1">
      <c r="A69" s="88"/>
      <c r="B69" s="63"/>
      <c r="C69" s="63"/>
      <c r="D69" s="90"/>
      <c r="E69" s="90"/>
      <c r="F69" s="90"/>
      <c r="G69" s="90"/>
      <c r="H69" s="90"/>
      <c r="I69" s="90"/>
      <c r="J69" s="90"/>
      <c r="K69" s="90"/>
    </row>
    <row r="70" spans="1:9" ht="18.75" customHeight="1">
      <c r="A70" s="19"/>
      <c r="B70" s="42"/>
      <c r="C70" s="42"/>
      <c r="D70" s="42"/>
      <c r="G70" s="43"/>
      <c r="I70" s="91"/>
    </row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/>
  <mergeCells count="8">
    <mergeCell ref="G34:I34"/>
    <mergeCell ref="A52:K52"/>
    <mergeCell ref="A33:C33"/>
    <mergeCell ref="G33:I33"/>
    <mergeCell ref="A9:I9"/>
    <mergeCell ref="A21:I21"/>
    <mergeCell ref="A10:I10"/>
    <mergeCell ref="A22:I22"/>
  </mergeCells>
  <printOptions/>
  <pageMargins left="0.75" right="0.75" top="1" bottom="1" header="0.5" footer="0.5"/>
  <pageSetup horizontalDpi="600" verticalDpi="600" orientation="landscape" scale="4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33203125" defaultRowHeight="11.25"/>
  <cols>
    <col min="1" max="1" width="14.83203125" style="3" customWidth="1"/>
    <col min="2" max="2" width="44.83203125" style="3" customWidth="1"/>
    <col min="3" max="12" width="15.33203125" style="3" customWidth="1"/>
    <col min="13" max="13" width="12.83203125" style="3" bestFit="1" customWidth="1"/>
    <col min="14" max="14" width="13.66015625" style="3" bestFit="1" customWidth="1"/>
    <col min="15" max="16384" width="9.33203125" style="3" customWidth="1"/>
  </cols>
  <sheetData>
    <row r="1" spans="2:12" ht="18.75" customHeight="1">
      <c r="B1" s="66" t="s">
        <v>56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8.75" customHeight="1">
      <c r="B2" s="66" t="s">
        <v>302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2" ht="18.75" customHeight="1">
      <c r="B3" s="11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3:12" s="51" customFormat="1" ht="18.75" customHeight="1">
      <c r="C4" s="52">
        <f>Input!B2</f>
        <v>2016</v>
      </c>
      <c r="D4" s="52">
        <f aca="true" t="shared" si="0" ref="D4:I4">C4+1</f>
        <v>2017</v>
      </c>
      <c r="E4" s="52">
        <f t="shared" si="0"/>
        <v>2018</v>
      </c>
      <c r="F4" s="52">
        <f t="shared" si="0"/>
        <v>2019</v>
      </c>
      <c r="G4" s="52">
        <f t="shared" si="0"/>
        <v>2020</v>
      </c>
      <c r="H4" s="52">
        <f t="shared" si="0"/>
        <v>2021</v>
      </c>
      <c r="I4" s="52">
        <f t="shared" si="0"/>
        <v>2022</v>
      </c>
      <c r="J4" s="52">
        <f>I4+1</f>
        <v>2023</v>
      </c>
      <c r="K4" s="52">
        <f>J4+1</f>
        <v>2024</v>
      </c>
      <c r="L4" s="52">
        <f>K4+1</f>
        <v>2025</v>
      </c>
    </row>
    <row r="5" spans="1:14" ht="18.75" customHeight="1">
      <c r="A5" s="10" t="s">
        <v>102</v>
      </c>
      <c r="B5" s="40" t="s">
        <v>416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</row>
    <row r="6" spans="1:12" ht="18.75" customHeight="1">
      <c r="A6" s="55"/>
      <c r="B6" s="56" t="s">
        <v>14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8.75" customHeight="1">
      <c r="A7" s="55"/>
      <c r="B7" s="55" t="s">
        <v>60</v>
      </c>
      <c r="C7" s="169">
        <f>'LGE-Project 28'!C26+'LGE-Project 28'!C68+'LGE-Project 28'!C110+'LGE-Project 28'!C152</f>
        <v>4928995.3</v>
      </c>
      <c r="D7" s="169">
        <f>'LGE-Project 28'!D26+'LGE-Project 28'!D68+'LGE-Project 28'!D110+'LGE-Project 28'!D152</f>
        <v>4928995.3</v>
      </c>
      <c r="E7" s="169">
        <f>'LGE-Project 28'!E26+'LGE-Project 28'!E68+'LGE-Project 28'!E110+'LGE-Project 28'!E152</f>
        <v>4928995.3</v>
      </c>
      <c r="F7" s="169">
        <f>'LGE-Project 28'!F26+'LGE-Project 28'!F68+'LGE-Project 28'!F110+'LGE-Project 28'!F152</f>
        <v>4928995.3</v>
      </c>
      <c r="G7" s="169">
        <f>'LGE-Project 28'!G26+'LGE-Project 28'!G68+'LGE-Project 28'!G110+'LGE-Project 28'!G152</f>
        <v>4928995.3</v>
      </c>
      <c r="H7" s="169">
        <f>'LGE-Project 28'!H26+'LGE-Project 28'!H68+'LGE-Project 28'!H110+'LGE-Project 28'!H152</f>
        <v>4928995.3</v>
      </c>
      <c r="I7" s="169">
        <f>'LGE-Project 28'!I26+'LGE-Project 28'!I68+'LGE-Project 28'!I110+'LGE-Project 28'!I152</f>
        <v>4928995.3</v>
      </c>
      <c r="J7" s="169">
        <f>'LGE-Project 28'!J26+'LGE-Project 28'!J68+'LGE-Project 28'!J110+'LGE-Project 28'!J152</f>
        <v>4928995.3</v>
      </c>
      <c r="K7" s="169">
        <f>'LGE-Project 28'!K26+'LGE-Project 28'!K68+'LGE-Project 28'!K110+'LGE-Project 28'!K152</f>
        <v>4928995.3</v>
      </c>
      <c r="L7" s="169">
        <f>'LGE-Project 28'!L26+'LGE-Project 28'!L68+'LGE-Project 28'!L110+'LGE-Project 28'!L152</f>
        <v>4928995.3</v>
      </c>
    </row>
    <row r="8" spans="1:12" ht="18.75" customHeight="1">
      <c r="A8" s="55"/>
      <c r="B8" s="57" t="s">
        <v>61</v>
      </c>
      <c r="C8" s="169">
        <f>'LGE-Project 28'!C27+'LGE-Project 28'!C69+'LGE-Project 28'!C111+'LGE-Project 28'!C153</f>
        <v>0</v>
      </c>
      <c r="D8" s="169">
        <f>'LGE-Project 28'!D27+'LGE-Project 28'!D69+'LGE-Project 28'!D111+'LGE-Project 28'!D153</f>
        <v>0</v>
      </c>
      <c r="E8" s="169">
        <f>'LGE-Project 28'!E27+'LGE-Project 28'!E69+'LGE-Project 28'!E111+'LGE-Project 28'!E153</f>
        <v>0</v>
      </c>
      <c r="F8" s="169">
        <f>'LGE-Project 28'!F27+'LGE-Project 28'!F69+'LGE-Project 28'!F111+'LGE-Project 28'!F153</f>
        <v>0</v>
      </c>
      <c r="G8" s="169">
        <f>'LGE-Project 28'!G27+'LGE-Project 28'!G69+'LGE-Project 28'!G111+'LGE-Project 28'!G153</f>
        <v>0</v>
      </c>
      <c r="H8" s="169">
        <f>'LGE-Project 28'!H27+'LGE-Project 28'!H69+'LGE-Project 28'!H111+'LGE-Project 28'!H153</f>
        <v>0</v>
      </c>
      <c r="I8" s="169">
        <f>'LGE-Project 28'!I27+'LGE-Project 28'!I69+'LGE-Project 28'!I111+'LGE-Project 28'!I153</f>
        <v>0</v>
      </c>
      <c r="J8" s="169">
        <f>'LGE-Project 28'!J27+'LGE-Project 28'!J69+'LGE-Project 28'!J111+'LGE-Project 28'!J153</f>
        <v>0</v>
      </c>
      <c r="K8" s="169">
        <f>'LGE-Project 28'!K27+'LGE-Project 28'!K69+'LGE-Project 28'!K111+'LGE-Project 28'!K153</f>
        <v>0</v>
      </c>
      <c r="L8" s="169">
        <f>'LGE-Project 28'!L27+'LGE-Project 28'!L69+'LGE-Project 28'!L111+'LGE-Project 28'!L153</f>
        <v>0</v>
      </c>
    </row>
    <row r="9" spans="1:12" ht="18.75" customHeight="1">
      <c r="A9" s="55"/>
      <c r="B9" s="55" t="s">
        <v>10</v>
      </c>
      <c r="C9" s="169">
        <f>'LGE-Project 28'!C28+'LGE-Project 28'!C70+'LGE-Project 28'!C112+'LGE-Project 28'!C154</f>
        <v>-72547.21823916667</v>
      </c>
      <c r="D9" s="169">
        <f>'LGE-Project 28'!D28+'LGE-Project 28'!D70+'LGE-Project 28'!D112+'LGE-Project 28'!D154</f>
        <v>-206480.54421916668</v>
      </c>
      <c r="E9" s="169">
        <f>'LGE-Project 28'!E28+'LGE-Project 28'!E70+'LGE-Project 28'!E112+'LGE-Project 28'!E154</f>
        <v>-340413.8701991667</v>
      </c>
      <c r="F9" s="169">
        <f>'LGE-Project 28'!F28+'LGE-Project 28'!F70+'LGE-Project 28'!F112+'LGE-Project 28'!F154</f>
        <v>-474347.19617916667</v>
      </c>
      <c r="G9" s="169">
        <f>'LGE-Project 28'!G28+'LGE-Project 28'!G70+'LGE-Project 28'!G112+'LGE-Project 28'!G154</f>
        <v>-608280.5221591668</v>
      </c>
      <c r="H9" s="169">
        <f>'LGE-Project 28'!H28+'LGE-Project 28'!H70+'LGE-Project 28'!H112+'LGE-Project 28'!H154</f>
        <v>-742213.8481391668</v>
      </c>
      <c r="I9" s="169">
        <f>'LGE-Project 28'!I28+'LGE-Project 28'!I70+'LGE-Project 28'!I112+'LGE-Project 28'!I154</f>
        <v>-876147.1741191668</v>
      </c>
      <c r="J9" s="169">
        <f>'LGE-Project 28'!J28+'LGE-Project 28'!J70+'LGE-Project 28'!J112+'LGE-Project 28'!J154</f>
        <v>-1010080.5000991668</v>
      </c>
      <c r="K9" s="169">
        <f>'LGE-Project 28'!K28+'LGE-Project 28'!K70+'LGE-Project 28'!K112+'LGE-Project 28'!K154</f>
        <v>-1144013.8260791667</v>
      </c>
      <c r="L9" s="169">
        <f>'LGE-Project 28'!L28+'LGE-Project 28'!L70+'LGE-Project 28'!L112+'LGE-Project 28'!L154</f>
        <v>-1277947.1520591667</v>
      </c>
    </row>
    <row r="10" spans="1:12" ht="18.75" customHeight="1">
      <c r="A10" s="55"/>
      <c r="B10" s="58" t="s">
        <v>62</v>
      </c>
      <c r="C10" s="169">
        <f>'LGE-Project 28'!C29+'LGE-Project 28'!C71+'LGE-Project 28'!C113+'LGE-Project 28'!C155</f>
        <v>0</v>
      </c>
      <c r="D10" s="169">
        <f>'LGE-Project 28'!D29+'LGE-Project 28'!D71+'LGE-Project 28'!D113+'LGE-Project 28'!D155</f>
        <v>0</v>
      </c>
      <c r="E10" s="169">
        <f>'LGE-Project 28'!E29+'LGE-Project 28'!E71+'LGE-Project 28'!E113+'LGE-Project 28'!E155</f>
        <v>0</v>
      </c>
      <c r="F10" s="169">
        <f>'LGE-Project 28'!F29+'LGE-Project 28'!F71+'LGE-Project 28'!F113+'LGE-Project 28'!F155</f>
        <v>0</v>
      </c>
      <c r="G10" s="169">
        <f>'LGE-Project 28'!G29+'LGE-Project 28'!G71+'LGE-Project 28'!G113+'LGE-Project 28'!G155</f>
        <v>0</v>
      </c>
      <c r="H10" s="169">
        <f>'LGE-Project 28'!H29+'LGE-Project 28'!H71+'LGE-Project 28'!H113+'LGE-Project 28'!H155</f>
        <v>0</v>
      </c>
      <c r="I10" s="169">
        <f>'LGE-Project 28'!I29+'LGE-Project 28'!I71+'LGE-Project 28'!I113+'LGE-Project 28'!I155</f>
        <v>0</v>
      </c>
      <c r="J10" s="169">
        <f>'LGE-Project 28'!J29+'LGE-Project 28'!J71+'LGE-Project 28'!J113+'LGE-Project 28'!J155</f>
        <v>0</v>
      </c>
      <c r="K10" s="169">
        <f>'LGE-Project 28'!K29+'LGE-Project 28'!K71+'LGE-Project 28'!K113+'LGE-Project 28'!K155</f>
        <v>0</v>
      </c>
      <c r="L10" s="169">
        <f>'LGE-Project 28'!L29+'LGE-Project 28'!L71+'LGE-Project 28'!L113+'LGE-Project 28'!L155</f>
        <v>0</v>
      </c>
    </row>
    <row r="11" spans="1:12" ht="18.75" customHeight="1">
      <c r="A11" s="55"/>
      <c r="B11" s="55" t="s">
        <v>63</v>
      </c>
      <c r="C11" s="169">
        <f>'LGE-Project 28'!C30+'LGE-Project 28'!C72+'LGE-Project 28'!C114+'LGE-Project 28'!C156</f>
        <v>-960606.1537452311</v>
      </c>
      <c r="D11" s="169">
        <f>'LGE-Project 28'!D30+'LGE-Project 28'!D72+'LGE-Project 28'!D114+'LGE-Project 28'!D156</f>
        <v>-977610.9808445886</v>
      </c>
      <c r="E11" s="169">
        <f>'LGE-Project 28'!E30+'LGE-Project 28'!E72+'LGE-Project 28'!E114+'LGE-Project 28'!E156</f>
        <v>-989450.9671194347</v>
      </c>
      <c r="F11" s="169">
        <f>'LGE-Project 28'!F30+'LGE-Project 28'!F72+'LGE-Project 28'!F114+'LGE-Project 28'!F156</f>
        <v>-996526.3400875356</v>
      </c>
      <c r="G11" s="169">
        <f>'LGE-Project 28'!G30+'LGE-Project 28'!G72+'LGE-Project 28'!G114+'LGE-Project 28'!G156</f>
        <v>-999180.1519069771</v>
      </c>
      <c r="H11" s="169">
        <f>'LGE-Project 28'!H30+'LGE-Project 28'!H72+'LGE-Project 28'!H114+'LGE-Project 28'!H156</f>
        <v>-997755.454735845</v>
      </c>
      <c r="I11" s="169">
        <f>'LGE-Project 28'!I30+'LGE-Project 28'!I72+'LGE-Project 28'!I114+'LGE-Project 28'!I156</f>
        <v>-992547.6545991573</v>
      </c>
      <c r="J11" s="169">
        <f>'LGE-Project 28'!J30+'LGE-Project 28'!J72+'LGE-Project 28'!J114+'LGE-Project 28'!J156</f>
        <v>-983852.1575219322</v>
      </c>
      <c r="K11" s="169">
        <f>'LGE-Project 28'!K30+'LGE-Project 28'!K72+'LGE-Project 28'!K114+'LGE-Project 28'!K156</f>
        <v>-974584.9068478978</v>
      </c>
      <c r="L11" s="169">
        <f>'LGE-Project 28'!L30+'LGE-Project 28'!L72+'LGE-Project 28'!L114+'LGE-Project 28'!L156</f>
        <v>-965308.12694725</v>
      </c>
    </row>
    <row r="12" spans="1:12" ht="18.75" customHeight="1">
      <c r="A12" s="55"/>
      <c r="B12" s="57" t="s">
        <v>64</v>
      </c>
      <c r="C12" s="169">
        <f>'LGE-Project 28'!C31+'LGE-Project 28'!C73+'LGE-Project 28'!C115+'LGE-Project 28'!C157</f>
        <v>0</v>
      </c>
      <c r="D12" s="169">
        <f>'LGE-Project 28'!D31+'LGE-Project 28'!D73+'LGE-Project 28'!D115+'LGE-Project 28'!D157</f>
        <v>0</v>
      </c>
      <c r="E12" s="169">
        <f>'LGE-Project 28'!E31+'LGE-Project 28'!E73+'LGE-Project 28'!E115+'LGE-Project 28'!E157</f>
        <v>0</v>
      </c>
      <c r="F12" s="169">
        <f>'LGE-Project 28'!F31+'LGE-Project 28'!F73+'LGE-Project 28'!F115+'LGE-Project 28'!F157</f>
        <v>0</v>
      </c>
      <c r="G12" s="169">
        <f>'LGE-Project 28'!G31+'LGE-Project 28'!G73+'LGE-Project 28'!G115+'LGE-Project 28'!G157</f>
        <v>0</v>
      </c>
      <c r="H12" s="169">
        <f>'LGE-Project 28'!H31+'LGE-Project 28'!H73+'LGE-Project 28'!H115+'LGE-Project 28'!H157</f>
        <v>0</v>
      </c>
      <c r="I12" s="169">
        <f>'LGE-Project 28'!I31+'LGE-Project 28'!I73+'LGE-Project 28'!I115+'LGE-Project 28'!I157</f>
        <v>0</v>
      </c>
      <c r="J12" s="169">
        <f>'LGE-Project 28'!J31+'LGE-Project 28'!J73+'LGE-Project 28'!J115+'LGE-Project 28'!J157</f>
        <v>0</v>
      </c>
      <c r="K12" s="169">
        <f>'LGE-Project 28'!K31+'LGE-Project 28'!K73+'LGE-Project 28'!K115+'LGE-Project 28'!K157</f>
        <v>0</v>
      </c>
      <c r="L12" s="169">
        <f>'LGE-Project 28'!L31+'LGE-Project 28'!L73+'LGE-Project 28'!L115+'LGE-Project 28'!L157</f>
        <v>0</v>
      </c>
    </row>
    <row r="13" spans="1:12" ht="18.75" customHeight="1">
      <c r="A13" s="55"/>
      <c r="B13" s="55" t="s">
        <v>11</v>
      </c>
      <c r="C13" s="169">
        <f>SUM(C7:C12)</f>
        <v>3895841.928015602</v>
      </c>
      <c r="D13" s="169">
        <f aca="true" t="shared" si="1" ref="D13:L13">SUM(D7:D12)</f>
        <v>3744903.7749362444</v>
      </c>
      <c r="E13" s="169">
        <f t="shared" si="1"/>
        <v>3599130.462681398</v>
      </c>
      <c r="F13" s="169">
        <f t="shared" si="1"/>
        <v>3458121.7637332976</v>
      </c>
      <c r="G13" s="169">
        <f t="shared" si="1"/>
        <v>3321534.6259338562</v>
      </c>
      <c r="H13" s="169">
        <f t="shared" si="1"/>
        <v>3189025.997124988</v>
      </c>
      <c r="I13" s="169">
        <f t="shared" si="1"/>
        <v>3060300.4712816756</v>
      </c>
      <c r="J13" s="169">
        <f t="shared" si="1"/>
        <v>2935062.642378901</v>
      </c>
      <c r="K13" s="169">
        <f t="shared" si="1"/>
        <v>2810396.5670729354</v>
      </c>
      <c r="L13" s="169">
        <f t="shared" si="1"/>
        <v>2685740.020993583</v>
      </c>
    </row>
    <row r="14" spans="1:12" ht="18.75" customHeight="1">
      <c r="A14" s="55"/>
      <c r="B14" s="55" t="s">
        <v>12</v>
      </c>
      <c r="C14" s="34">
        <f>'LGE-Project 28'!C33</f>
        <v>0.09991333016039017</v>
      </c>
      <c r="D14" s="34">
        <f>'LGE-Project 28'!D33</f>
        <v>0.09991333016039017</v>
      </c>
      <c r="E14" s="34">
        <f>'LGE-Project 28'!E33</f>
        <v>0.09991333016039017</v>
      </c>
      <c r="F14" s="34">
        <f>'LGE-Project 28'!F33</f>
        <v>0.09991333016039017</v>
      </c>
      <c r="G14" s="34">
        <f>'LGE-Project 28'!G33</f>
        <v>0.09991333016039017</v>
      </c>
      <c r="H14" s="34">
        <f>'LGE-Project 28'!H33</f>
        <v>0.09991333016039017</v>
      </c>
      <c r="I14" s="34">
        <f>'LGE-Project 28'!I33</f>
        <v>0.09991333016039017</v>
      </c>
      <c r="J14" s="34">
        <f>'LGE-Project 28'!J33</f>
        <v>0.09991333016039017</v>
      </c>
      <c r="K14" s="34">
        <f>'LGE-Project 28'!K33</f>
        <v>0.09991333016039017</v>
      </c>
      <c r="L14" s="34">
        <f>'LGE-Project 28'!L33</f>
        <v>0.09991333016039017</v>
      </c>
    </row>
    <row r="15" spans="1:12" ht="18.75" customHeight="1">
      <c r="A15" s="55"/>
      <c r="B15" s="41"/>
      <c r="C15" s="180">
        <f>C13*C14</f>
        <v>389246.5408065138</v>
      </c>
      <c r="D15" s="180">
        <f aca="true" t="shared" si="2" ref="D15:J15">D13*D14</f>
        <v>374165.80728409643</v>
      </c>
      <c r="E15" s="180">
        <f t="shared" si="2"/>
        <v>359601.1102082043</v>
      </c>
      <c r="F15" s="180">
        <f t="shared" si="2"/>
        <v>345512.46151471575</v>
      </c>
      <c r="G15" s="180">
        <f t="shared" si="2"/>
        <v>331865.5857200974</v>
      </c>
      <c r="H15" s="180">
        <f t="shared" si="2"/>
        <v>318626.2073408164</v>
      </c>
      <c r="I15" s="180">
        <f t="shared" si="2"/>
        <v>305764.8113771637</v>
      </c>
      <c r="J15" s="180">
        <f t="shared" si="2"/>
        <v>293251.88282943034</v>
      </c>
      <c r="K15" s="180">
        <f>K13*K14</f>
        <v>280796.0800875853</v>
      </c>
      <c r="L15" s="180">
        <f>L13*L14</f>
        <v>268341.22944250505</v>
      </c>
    </row>
    <row r="16" spans="1:12" ht="18.75" customHeight="1">
      <c r="A16" s="55"/>
      <c r="B16" s="41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8.75" customHeight="1">
      <c r="A17" s="55"/>
      <c r="B17" s="57" t="s">
        <v>65</v>
      </c>
      <c r="C17" s="190">
        <f>'LGE-Project 28'!C36+'LGE-Project 28'!C78+'LGE-Project 28'!C120+'LGE-Project 28'!C162</f>
        <v>0</v>
      </c>
      <c r="D17" s="190">
        <f>'LGE-Project 28'!D36+'LGE-Project 28'!D78+'LGE-Project 28'!D120+'LGE-Project 28'!D162</f>
        <v>0</v>
      </c>
      <c r="E17" s="190">
        <f>'LGE-Project 28'!E36+'LGE-Project 28'!E78+'LGE-Project 28'!E120+'LGE-Project 28'!E162</f>
        <v>0</v>
      </c>
      <c r="F17" s="190">
        <f>'LGE-Project 28'!F36+'LGE-Project 28'!F78+'LGE-Project 28'!F120+'LGE-Project 28'!F162</f>
        <v>0</v>
      </c>
      <c r="G17" s="190">
        <f>'LGE-Project 28'!G36+'LGE-Project 28'!G78+'LGE-Project 28'!G120+'LGE-Project 28'!G162</f>
        <v>0</v>
      </c>
      <c r="H17" s="190">
        <f>'LGE-Project 28'!H36+'LGE-Project 28'!H78+'LGE-Project 28'!H120+'LGE-Project 28'!H162</f>
        <v>0</v>
      </c>
      <c r="I17" s="190">
        <f>'LGE-Project 28'!I36+'LGE-Project 28'!I78+'LGE-Project 28'!I120+'LGE-Project 28'!I162</f>
        <v>0</v>
      </c>
      <c r="J17" s="190">
        <f>'LGE-Project 28'!J36+'LGE-Project 28'!J78+'LGE-Project 28'!J120+'LGE-Project 28'!J162</f>
        <v>0</v>
      </c>
      <c r="K17" s="190">
        <f>'LGE-Project 28'!K36+'LGE-Project 28'!K78+'LGE-Project 28'!K120+'LGE-Project 28'!K162</f>
        <v>0</v>
      </c>
      <c r="L17" s="190">
        <f>'LGE-Project 28'!L36+'LGE-Project 28'!L78+'LGE-Project 28'!L120+'LGE-Project 28'!L162</f>
        <v>0</v>
      </c>
    </row>
    <row r="18" spans="1:12" ht="18.75" customHeight="1">
      <c r="A18" s="55"/>
      <c r="B18" s="55" t="s">
        <v>48</v>
      </c>
      <c r="C18" s="190">
        <f>'LGE-Project 28'!C37+'LGE-Project 28'!C79+'LGE-Project 28'!C121+'LGE-Project 28'!C163</f>
        <v>72547.21823916667</v>
      </c>
      <c r="D18" s="190">
        <f>'LGE-Project 28'!D37+'LGE-Project 28'!D79+'LGE-Project 28'!D121+'LGE-Project 28'!D163</f>
        <v>133933.32598000002</v>
      </c>
      <c r="E18" s="190">
        <f>'LGE-Project 28'!E37+'LGE-Project 28'!E79+'LGE-Project 28'!E121+'LGE-Project 28'!E163</f>
        <v>133933.32598000002</v>
      </c>
      <c r="F18" s="190">
        <f>'LGE-Project 28'!F37+'LGE-Project 28'!F79+'LGE-Project 28'!F121+'LGE-Project 28'!F163</f>
        <v>133933.32598000002</v>
      </c>
      <c r="G18" s="190">
        <f>'LGE-Project 28'!G37+'LGE-Project 28'!G79+'LGE-Project 28'!G121+'LGE-Project 28'!G163</f>
        <v>133933.32598000002</v>
      </c>
      <c r="H18" s="190">
        <f>'LGE-Project 28'!H37+'LGE-Project 28'!H79+'LGE-Project 28'!H121+'LGE-Project 28'!H163</f>
        <v>133933.32598000002</v>
      </c>
      <c r="I18" s="190">
        <f>'LGE-Project 28'!I37+'LGE-Project 28'!I79+'LGE-Project 28'!I121+'LGE-Project 28'!I163</f>
        <v>133933.32598000002</v>
      </c>
      <c r="J18" s="190">
        <f>'LGE-Project 28'!J37+'LGE-Project 28'!J79+'LGE-Project 28'!J121+'LGE-Project 28'!J163</f>
        <v>133933.32598000002</v>
      </c>
      <c r="K18" s="190">
        <f>'LGE-Project 28'!K37+'LGE-Project 28'!K79+'LGE-Project 28'!K121+'LGE-Project 28'!K163</f>
        <v>133933.32598000002</v>
      </c>
      <c r="L18" s="190">
        <f>'LGE-Project 28'!L37+'LGE-Project 28'!L79+'LGE-Project 28'!L121+'LGE-Project 28'!L163</f>
        <v>133933.32598000002</v>
      </c>
    </row>
    <row r="19" spans="1:12" ht="18.75" customHeight="1">
      <c r="A19" s="55"/>
      <c r="B19" s="55" t="s">
        <v>49</v>
      </c>
      <c r="C19" s="190">
        <f>'LGE-Project 28'!C38+'LGE-Project 28'!C80+'LGE-Project 28'!C122+'LGE-Project 28'!C164</f>
        <v>0</v>
      </c>
      <c r="D19" s="190">
        <f>'LGE-Project 28'!D38+'LGE-Project 28'!D80+'LGE-Project 28'!D122+'LGE-Project 28'!D164</f>
        <v>0</v>
      </c>
      <c r="E19" s="190">
        <f>'LGE-Project 28'!E38+'LGE-Project 28'!E80+'LGE-Project 28'!E122+'LGE-Project 28'!E164</f>
        <v>0</v>
      </c>
      <c r="F19" s="190">
        <f>'LGE-Project 28'!F38+'LGE-Project 28'!F80+'LGE-Project 28'!F122+'LGE-Project 28'!F164</f>
        <v>0</v>
      </c>
      <c r="G19" s="190">
        <f>'LGE-Project 28'!G38+'LGE-Project 28'!G80+'LGE-Project 28'!G122+'LGE-Project 28'!G164</f>
        <v>0</v>
      </c>
      <c r="H19" s="190">
        <f>'LGE-Project 28'!H38+'LGE-Project 28'!H80+'LGE-Project 28'!H122+'LGE-Project 28'!H164</f>
        <v>0</v>
      </c>
      <c r="I19" s="190">
        <f>'LGE-Project 28'!I38+'LGE-Project 28'!I80+'LGE-Project 28'!I122+'LGE-Project 28'!I164</f>
        <v>0</v>
      </c>
      <c r="J19" s="190">
        <f>'LGE-Project 28'!J38+'LGE-Project 28'!J80+'LGE-Project 28'!J122+'LGE-Project 28'!J164</f>
        <v>0</v>
      </c>
      <c r="K19" s="190">
        <f>'LGE-Project 28'!K38+'LGE-Project 28'!K80+'LGE-Project 28'!K122+'LGE-Project 28'!K164</f>
        <v>0</v>
      </c>
      <c r="L19" s="190">
        <f>'LGE-Project 28'!L38+'LGE-Project 28'!L80+'LGE-Project 28'!L122+'LGE-Project 28'!L164</f>
        <v>0</v>
      </c>
    </row>
    <row r="20" spans="1:12" ht="18.75" customHeight="1">
      <c r="A20" s="55"/>
      <c r="B20" s="55" t="s">
        <v>50</v>
      </c>
      <c r="C20" s="191">
        <f>'LGE-Project 28'!C39+'LGE-Project 28'!C81+'LGE-Project 28'!C123+'LGE-Project 28'!C165</f>
        <v>0</v>
      </c>
      <c r="D20" s="191">
        <f>'LGE-Project 28'!D39+'LGE-Project 28'!D81+'LGE-Project 28'!D123+'LGE-Project 28'!D165</f>
        <v>7284.67212264125</v>
      </c>
      <c r="E20" s="191">
        <f>'LGE-Project 28'!E39+'LGE-Project 28'!E81+'LGE-Project 28'!E123+'LGE-Project 28'!E165</f>
        <v>7083.77213367125</v>
      </c>
      <c r="F20" s="191">
        <f>'LGE-Project 28'!F39+'LGE-Project 28'!F81+'LGE-Project 28'!F123+'LGE-Project 28'!F165</f>
        <v>6882.87214470125</v>
      </c>
      <c r="G20" s="191">
        <f>'LGE-Project 28'!G39+'LGE-Project 28'!G81+'LGE-Project 28'!G123+'LGE-Project 28'!G165</f>
        <v>6681.97215573125</v>
      </c>
      <c r="H20" s="191">
        <f>'LGE-Project 28'!H39+'LGE-Project 28'!H81+'LGE-Project 28'!H123+'LGE-Project 28'!H165</f>
        <v>6481.07216676125</v>
      </c>
      <c r="I20" s="191">
        <f>'LGE-Project 28'!I39+'LGE-Project 28'!I81+'LGE-Project 28'!I123+'LGE-Project 28'!I165</f>
        <v>6280.17217779125</v>
      </c>
      <c r="J20" s="191">
        <f>'LGE-Project 28'!J39+'LGE-Project 28'!J81+'LGE-Project 28'!J123+'LGE-Project 28'!J165</f>
        <v>6079.27218882125</v>
      </c>
      <c r="K20" s="191">
        <f>'LGE-Project 28'!K39+'LGE-Project 28'!K81+'LGE-Project 28'!K123+'LGE-Project 28'!K165</f>
        <v>5878.37219985125</v>
      </c>
      <c r="L20" s="191">
        <f>'LGE-Project 28'!L39+'LGE-Project 28'!L81+'LGE-Project 28'!L123+'LGE-Project 28'!L165</f>
        <v>5677.47221088125</v>
      </c>
    </row>
    <row r="21" spans="1:12" ht="18.75" customHeight="1">
      <c r="A21" s="55"/>
      <c r="B21" s="60" t="s">
        <v>51</v>
      </c>
      <c r="C21" s="179">
        <f>SUM(C17:C20)</f>
        <v>72547.21823916667</v>
      </c>
      <c r="D21" s="179">
        <f aca="true" t="shared" si="3" ref="D21:J21">SUM(D17:D20)</f>
        <v>141217.9981026413</v>
      </c>
      <c r="E21" s="179">
        <f t="shared" si="3"/>
        <v>141017.09811367127</v>
      </c>
      <c r="F21" s="179">
        <f t="shared" si="3"/>
        <v>140816.19812470127</v>
      </c>
      <c r="G21" s="179">
        <f t="shared" si="3"/>
        <v>140615.29813573128</v>
      </c>
      <c r="H21" s="179">
        <f t="shared" si="3"/>
        <v>140414.39814676126</v>
      </c>
      <c r="I21" s="179">
        <f t="shared" si="3"/>
        <v>140213.49815779127</v>
      </c>
      <c r="J21" s="179">
        <f t="shared" si="3"/>
        <v>140012.59816882128</v>
      </c>
      <c r="K21" s="179">
        <f>SUM(K17:K20)</f>
        <v>139811.6981798513</v>
      </c>
      <c r="L21" s="179">
        <f>SUM(L17:L20)</f>
        <v>139610.79819088127</v>
      </c>
    </row>
    <row r="22" spans="1:12" ht="18.75" customHeight="1">
      <c r="A22" s="55"/>
      <c r="B22" s="55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8.75" customHeight="1">
      <c r="A23" s="55"/>
      <c r="B23" s="60" t="s">
        <v>13</v>
      </c>
      <c r="C23" s="169">
        <f>C15+C21</f>
        <v>461793.75904568046</v>
      </c>
      <c r="D23" s="169">
        <f aca="true" t="shared" si="4" ref="D23:I23">D15+D21</f>
        <v>515383.8053867377</v>
      </c>
      <c r="E23" s="169">
        <f t="shared" si="4"/>
        <v>500618.20832187554</v>
      </c>
      <c r="F23" s="169">
        <f t="shared" si="4"/>
        <v>486328.659639417</v>
      </c>
      <c r="G23" s="169">
        <f t="shared" si="4"/>
        <v>472480.88385582867</v>
      </c>
      <c r="H23" s="169">
        <f t="shared" si="4"/>
        <v>459040.6054875776</v>
      </c>
      <c r="I23" s="169">
        <f t="shared" si="4"/>
        <v>445978.30953495495</v>
      </c>
      <c r="J23" s="169">
        <f>J15+J21</f>
        <v>433264.4809982516</v>
      </c>
      <c r="K23" s="169">
        <f>K15+K21</f>
        <v>420607.7782674366</v>
      </c>
      <c r="L23" s="169">
        <f>L15+L21</f>
        <v>407952.0276333863</v>
      </c>
    </row>
    <row r="24" s="48" customFormat="1" ht="18.75" customHeight="1"/>
    <row r="25" spans="1:14" ht="18.75" customHeight="1">
      <c r="A25" s="10" t="s">
        <v>103</v>
      </c>
      <c r="B25" s="40" t="s">
        <v>414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4"/>
    </row>
    <row r="26" spans="1:12" ht="18.75" customHeight="1">
      <c r="A26" s="55"/>
      <c r="B26" s="56" t="s">
        <v>14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8.75" customHeight="1">
      <c r="A27" s="55"/>
      <c r="B27" s="3" t="s">
        <v>60</v>
      </c>
      <c r="C27" s="169">
        <f>'LGE-Project 29'!C26+'LGE-Project 29'!C68+'LGE-Project 29'!C110+'LGE-Project 29'!C152+'LGE-Project 29'!C194+'LGE-Project 29'!C236</f>
        <v>28601966.6</v>
      </c>
      <c r="D27" s="169">
        <f>'LGE-Project 29'!D26+'LGE-Project 29'!D68+'LGE-Project 29'!D110+'LGE-Project 29'!D152+'LGE-Project 29'!D194+'LGE-Project 29'!D236</f>
        <v>78656966.60000001</v>
      </c>
      <c r="E27" s="169">
        <f>'LGE-Project 29'!E26+'LGE-Project 29'!E68+'LGE-Project 29'!E110+'LGE-Project 29'!E152+'LGE-Project 29'!E194+'LGE-Project 29'!E236</f>
        <v>152014966.6</v>
      </c>
      <c r="F27" s="169">
        <f>'LGE-Project 29'!F26+'LGE-Project 29'!F68+'LGE-Project 29'!F110+'LGE-Project 29'!F152+'LGE-Project 29'!F194+'LGE-Project 29'!F236</f>
        <v>166333966.60000002</v>
      </c>
      <c r="G27" s="169">
        <f>'LGE-Project 29'!G26+'LGE-Project 29'!G68+'LGE-Project 29'!G110+'LGE-Project 29'!G152+'LGE-Project 29'!G194+'LGE-Project 29'!G236</f>
        <v>193707966.6</v>
      </c>
      <c r="H27" s="169">
        <f>'LGE-Project 29'!H26+'LGE-Project 29'!H68+'LGE-Project 29'!H110+'LGE-Project 29'!H152+'LGE-Project 29'!H194+'LGE-Project 29'!H236</f>
        <v>193707966.6</v>
      </c>
      <c r="I27" s="169">
        <f>'LGE-Project 29'!I26+'LGE-Project 29'!I68+'LGE-Project 29'!I110+'LGE-Project 29'!I152+'LGE-Project 29'!I194+'LGE-Project 29'!I236</f>
        <v>193707966.6</v>
      </c>
      <c r="J27" s="169">
        <f>'LGE-Project 29'!J26+'LGE-Project 29'!J68+'LGE-Project 29'!J110+'LGE-Project 29'!J152+'LGE-Project 29'!J194+'LGE-Project 29'!J236</f>
        <v>193707966.6</v>
      </c>
      <c r="K27" s="169">
        <f>'LGE-Project 29'!K26+'LGE-Project 29'!K68+'LGE-Project 29'!K110+'LGE-Project 29'!K152+'LGE-Project 29'!K194+'LGE-Project 29'!K236</f>
        <v>193707966.6</v>
      </c>
      <c r="L27" s="169">
        <f>'LGE-Project 29'!L26+'LGE-Project 29'!L68+'LGE-Project 29'!L110+'LGE-Project 29'!L152+'LGE-Project 29'!L194+'LGE-Project 29'!L236</f>
        <v>193707966.6</v>
      </c>
    </row>
    <row r="28" spans="1:12" ht="18.75" customHeight="1">
      <c r="A28" s="55"/>
      <c r="B28" s="57" t="s">
        <v>61</v>
      </c>
      <c r="C28" s="169">
        <f>'LGE-Project 29'!C27+'LGE-Project 29'!C69+'LGE-Project 29'!C111+'LGE-Project 29'!C153+'LGE-Project 29'!C195+'LGE-Project 29'!C237</f>
        <v>0</v>
      </c>
      <c r="D28" s="169">
        <f>'LGE-Project 29'!D27+'LGE-Project 29'!D69+'LGE-Project 29'!D111+'LGE-Project 29'!D153+'LGE-Project 29'!D195+'LGE-Project 29'!D237</f>
        <v>0</v>
      </c>
      <c r="E28" s="169">
        <f>'LGE-Project 29'!E27+'LGE-Project 29'!E69+'LGE-Project 29'!E111+'LGE-Project 29'!E153+'LGE-Project 29'!E195+'LGE-Project 29'!E237</f>
        <v>0</v>
      </c>
      <c r="F28" s="169">
        <f>'LGE-Project 29'!F27+'LGE-Project 29'!F69+'LGE-Project 29'!F111+'LGE-Project 29'!F153+'LGE-Project 29'!F195+'LGE-Project 29'!F237</f>
        <v>0</v>
      </c>
      <c r="G28" s="169">
        <f>'LGE-Project 29'!G27+'LGE-Project 29'!G69+'LGE-Project 29'!G111+'LGE-Project 29'!G153+'LGE-Project 29'!G195+'LGE-Project 29'!G237</f>
        <v>0</v>
      </c>
      <c r="H28" s="169">
        <f>'LGE-Project 29'!H27+'LGE-Project 29'!H69+'LGE-Project 29'!H111+'LGE-Project 29'!H153+'LGE-Project 29'!H195+'LGE-Project 29'!H237</f>
        <v>0</v>
      </c>
      <c r="I28" s="169">
        <f>'LGE-Project 29'!I27+'LGE-Project 29'!I69+'LGE-Project 29'!I111+'LGE-Project 29'!I153+'LGE-Project 29'!I195+'LGE-Project 29'!I237</f>
        <v>0</v>
      </c>
      <c r="J28" s="169">
        <f>'LGE-Project 29'!J27+'LGE-Project 29'!J69+'LGE-Project 29'!J111+'LGE-Project 29'!J153+'LGE-Project 29'!J195+'LGE-Project 29'!J237</f>
        <v>0</v>
      </c>
      <c r="K28" s="169">
        <f>'LGE-Project 29'!K27+'LGE-Project 29'!K69+'LGE-Project 29'!K111+'LGE-Project 29'!K153+'LGE-Project 29'!K195+'LGE-Project 29'!K237</f>
        <v>0</v>
      </c>
      <c r="L28" s="169">
        <f>'LGE-Project 29'!L27+'LGE-Project 29'!L69+'LGE-Project 29'!L111+'LGE-Project 29'!L153+'LGE-Project 29'!L195+'LGE-Project 29'!L237</f>
        <v>0</v>
      </c>
    </row>
    <row r="29" spans="1:12" ht="18.75" customHeight="1">
      <c r="A29" s="55"/>
      <c r="B29" s="55" t="s">
        <v>10</v>
      </c>
      <c r="C29" s="169">
        <f>'LGE-Project 29'!C28+'LGE-Project 29'!C70+'LGE-Project 29'!C112+'LGE-Project 29'!C154+'LGE-Project 29'!C196+'LGE-Project 29'!C238</f>
        <v>-3614947.221247</v>
      </c>
      <c r="D29" s="169">
        <f>'LGE-Project 29'!D28+'LGE-Project 29'!D70+'LGE-Project 29'!D112+'LGE-Project 29'!D154+'LGE-Project 29'!D196+'LGE-Project 29'!D238</f>
        <v>-7229894.442494</v>
      </c>
      <c r="E29" s="169">
        <f>'LGE-Project 29'!E28+'LGE-Project 29'!E70+'LGE-Project 29'!E112+'LGE-Project 29'!E154+'LGE-Project 29'!E196+'LGE-Project 29'!E238</f>
        <v>-10972107.169349672</v>
      </c>
      <c r="F29" s="169">
        <f>'LGE-Project 29'!F28+'LGE-Project 29'!F70+'LGE-Project 29'!F112+'LGE-Project 29'!F154+'LGE-Project 29'!F196+'LGE-Project 29'!F238</f>
        <v>-17641426.525204815</v>
      </c>
      <c r="G29" s="169">
        <f>'LGE-Project 29'!G28+'LGE-Project 29'!G70+'LGE-Project 29'!G112+'LGE-Project 29'!G154+'LGE-Project 29'!G196+'LGE-Project 29'!G238</f>
        <v>-24310745.88105996</v>
      </c>
      <c r="H29" s="169">
        <f>'LGE-Project 29'!H28+'LGE-Project 29'!H70+'LGE-Project 29'!H112+'LGE-Project 29'!H154+'LGE-Project 29'!H196+'LGE-Project 29'!H238</f>
        <v>-30980065.236915097</v>
      </c>
      <c r="I29" s="169">
        <f>'LGE-Project 29'!I28+'LGE-Project 29'!I70+'LGE-Project 29'!I112+'LGE-Project 29'!I154+'LGE-Project 29'!I196+'LGE-Project 29'!I238</f>
        <v>-37649384.59277024</v>
      </c>
      <c r="J29" s="169">
        <f>'LGE-Project 29'!J28+'LGE-Project 29'!J70+'LGE-Project 29'!J112+'LGE-Project 29'!J154+'LGE-Project 29'!J196+'LGE-Project 29'!J238</f>
        <v>-44318703.94862538</v>
      </c>
      <c r="K29" s="169">
        <f>'LGE-Project 29'!K28+'LGE-Project 29'!K70+'LGE-Project 29'!K112+'LGE-Project 29'!K154+'LGE-Project 29'!K196+'LGE-Project 29'!K238</f>
        <v>-50988023.30448052</v>
      </c>
      <c r="L29" s="169">
        <f>'LGE-Project 29'!L28+'LGE-Project 29'!L70+'LGE-Project 29'!L112+'LGE-Project 29'!L154+'LGE-Project 29'!L196+'LGE-Project 29'!L238</f>
        <v>-57657342.66033566</v>
      </c>
    </row>
    <row r="30" spans="1:12" ht="18.75" customHeight="1">
      <c r="A30" s="55"/>
      <c r="B30" s="58" t="s">
        <v>62</v>
      </c>
      <c r="C30" s="169">
        <f>'LGE-Project 29'!C29+'LGE-Project 29'!C71+'LGE-Project 29'!C113+'LGE-Project 29'!C155+'LGE-Project 29'!C197+'LGE-Project 29'!C239</f>
        <v>0</v>
      </c>
      <c r="D30" s="169">
        <f>'LGE-Project 29'!D29+'LGE-Project 29'!D71+'LGE-Project 29'!D113+'LGE-Project 29'!D155+'LGE-Project 29'!D197+'LGE-Project 29'!D239</f>
        <v>0</v>
      </c>
      <c r="E30" s="169">
        <f>'LGE-Project 29'!E29+'LGE-Project 29'!E71+'LGE-Project 29'!E113+'LGE-Project 29'!E155+'LGE-Project 29'!E197+'LGE-Project 29'!E239</f>
        <v>0</v>
      </c>
      <c r="F30" s="169">
        <f>'LGE-Project 29'!F29+'LGE-Project 29'!F71+'LGE-Project 29'!F113+'LGE-Project 29'!F155+'LGE-Project 29'!F197+'LGE-Project 29'!F239</f>
        <v>0</v>
      </c>
      <c r="G30" s="169">
        <f>'LGE-Project 29'!G29+'LGE-Project 29'!G71+'LGE-Project 29'!G113+'LGE-Project 29'!G155+'LGE-Project 29'!G197+'LGE-Project 29'!G239</f>
        <v>0</v>
      </c>
      <c r="H30" s="169">
        <f>'LGE-Project 29'!H29+'LGE-Project 29'!H71+'LGE-Project 29'!H113+'LGE-Project 29'!H155+'LGE-Project 29'!H197+'LGE-Project 29'!H239</f>
        <v>0</v>
      </c>
      <c r="I30" s="169">
        <f>'LGE-Project 29'!I29+'LGE-Project 29'!I71+'LGE-Project 29'!I113+'LGE-Project 29'!I155+'LGE-Project 29'!I197+'LGE-Project 29'!I239</f>
        <v>0</v>
      </c>
      <c r="J30" s="169">
        <f>'LGE-Project 29'!J29+'LGE-Project 29'!J71+'LGE-Project 29'!J113+'LGE-Project 29'!J155+'LGE-Project 29'!J197+'LGE-Project 29'!J239</f>
        <v>0</v>
      </c>
      <c r="K30" s="169">
        <f>'LGE-Project 29'!K29+'LGE-Project 29'!K71+'LGE-Project 29'!K113+'LGE-Project 29'!K155+'LGE-Project 29'!K197+'LGE-Project 29'!K239</f>
        <v>0</v>
      </c>
      <c r="L30" s="169">
        <f>'LGE-Project 29'!L29+'LGE-Project 29'!L71+'LGE-Project 29'!L113+'LGE-Project 29'!L155+'LGE-Project 29'!L197+'LGE-Project 29'!L239</f>
        <v>0</v>
      </c>
    </row>
    <row r="31" spans="1:12" ht="18.75" customHeight="1">
      <c r="A31" s="55"/>
      <c r="B31" s="55" t="s">
        <v>63</v>
      </c>
      <c r="C31" s="169">
        <f>'LGE-Project 29'!C30+'LGE-Project 29'!C72+'LGE-Project 29'!C114+'LGE-Project 29'!C156+'LGE-Project 29'!C198+'LGE-Project 29'!C240</f>
        <v>-2069074.861508944</v>
      </c>
      <c r="D31" s="169">
        <f>'LGE-Project 29'!D30+'LGE-Project 29'!D72+'LGE-Project 29'!D114+'LGE-Project 29'!D156+'LGE-Project 29'!D198+'LGE-Project 29'!D240</f>
        <v>-5098963.028941579</v>
      </c>
      <c r="E31" s="169">
        <f>'LGE-Project 29'!E30+'LGE-Project 29'!E72+'LGE-Project 29'!E114+'LGE-Project 29'!E156+'LGE-Project 29'!E198+'LGE-Project 29'!E240</f>
        <v>-27684075.400475733</v>
      </c>
      <c r="F31" s="169">
        <f>'LGE-Project 29'!F30+'LGE-Project 29'!F72+'LGE-Project 29'!F114+'LGE-Project 29'!F156+'LGE-Project 29'!F198+'LGE-Project 29'!F240</f>
        <v>-32655837.40966717</v>
      </c>
      <c r="G31" s="169">
        <f>'LGE-Project 29'!G30+'LGE-Project 29'!G72+'LGE-Project 29'!G114+'LGE-Project 29'!G156+'LGE-Project 29'!G198+'LGE-Project 29'!G240</f>
        <v>-42524240.07011241</v>
      </c>
      <c r="H31" s="169">
        <f>'LGE-Project 29'!H30+'LGE-Project 29'!H72+'LGE-Project 29'!H114+'LGE-Project 29'!H156+'LGE-Project 29'!H198+'LGE-Project 29'!H240</f>
        <v>-41668723.284703195</v>
      </c>
      <c r="I31" s="169">
        <f>'LGE-Project 29'!I30+'LGE-Project 29'!I72+'LGE-Project 29'!I114+'LGE-Project 29'!I156+'LGE-Project 29'!I198+'LGE-Project 29'!I240</f>
        <v>-40683761.073061064</v>
      </c>
      <c r="J31" s="169">
        <f>'LGE-Project 29'!J30+'LGE-Project 29'!J72+'LGE-Project 29'!J114+'LGE-Project 29'!J156+'LGE-Project 29'!J198+'LGE-Project 29'!J240</f>
        <v>-39579396.61480754</v>
      </c>
      <c r="K31" s="169">
        <f>'LGE-Project 29'!K30+'LGE-Project 29'!K72+'LGE-Project 29'!K114+'LGE-Project 29'!K156+'LGE-Project 29'!K198+'LGE-Project 29'!K240</f>
        <v>-38364278.20350558</v>
      </c>
      <c r="L31" s="169">
        <f>'LGE-Project 29'!L30+'LGE-Project 29'!L72+'LGE-Project 29'!L114+'LGE-Project 29'!L156+'LGE-Project 29'!L198+'LGE-Project 29'!L240</f>
        <v>-37047054.13271818</v>
      </c>
    </row>
    <row r="32" spans="1:12" ht="18.75" customHeight="1">
      <c r="A32" s="55"/>
      <c r="B32" s="57" t="s">
        <v>64</v>
      </c>
      <c r="C32" s="169">
        <f>'LGE-Project 29'!C31+'LGE-Project 29'!C73+'LGE-Project 29'!C115+'LGE-Project 29'!C157+'LGE-Project 29'!C199+'LGE-Project 29'!C241</f>
        <v>0</v>
      </c>
      <c r="D32" s="169">
        <f>'LGE-Project 29'!D31+'LGE-Project 29'!D73+'LGE-Project 29'!D115+'LGE-Project 29'!D157+'LGE-Project 29'!D199+'LGE-Project 29'!D241</f>
        <v>0</v>
      </c>
      <c r="E32" s="169">
        <f>'LGE-Project 29'!E31+'LGE-Project 29'!E73+'LGE-Project 29'!E115+'LGE-Project 29'!E157+'LGE-Project 29'!E199+'LGE-Project 29'!E241</f>
        <v>0</v>
      </c>
      <c r="F32" s="169">
        <f>'LGE-Project 29'!F31+'LGE-Project 29'!F73+'LGE-Project 29'!F115+'LGE-Project 29'!F157+'LGE-Project 29'!F199+'LGE-Project 29'!F241</f>
        <v>0</v>
      </c>
      <c r="G32" s="169">
        <f>'LGE-Project 29'!G31+'LGE-Project 29'!G73+'LGE-Project 29'!G115+'LGE-Project 29'!G157+'LGE-Project 29'!G199+'LGE-Project 29'!G241</f>
        <v>0</v>
      </c>
      <c r="H32" s="169">
        <f>'LGE-Project 29'!H31+'LGE-Project 29'!H73+'LGE-Project 29'!H115+'LGE-Project 29'!H157+'LGE-Project 29'!H199+'LGE-Project 29'!H241</f>
        <v>0</v>
      </c>
      <c r="I32" s="169">
        <f>'LGE-Project 29'!I31+'LGE-Project 29'!I73+'LGE-Project 29'!I115+'LGE-Project 29'!I157+'LGE-Project 29'!I199+'LGE-Project 29'!I241</f>
        <v>0</v>
      </c>
      <c r="J32" s="169">
        <f>'LGE-Project 29'!J31+'LGE-Project 29'!J73+'LGE-Project 29'!J115+'LGE-Project 29'!J157+'LGE-Project 29'!J199+'LGE-Project 29'!J241</f>
        <v>0</v>
      </c>
      <c r="K32" s="169">
        <f>'LGE-Project 29'!K31+'LGE-Project 29'!K73+'LGE-Project 29'!K115+'LGE-Project 29'!K157+'LGE-Project 29'!K199+'LGE-Project 29'!K241</f>
        <v>0</v>
      </c>
      <c r="L32" s="169">
        <f>'LGE-Project 29'!L31+'LGE-Project 29'!L73+'LGE-Project 29'!L115+'LGE-Project 29'!L157+'LGE-Project 29'!L199+'LGE-Project 29'!L241</f>
        <v>0</v>
      </c>
    </row>
    <row r="33" spans="1:12" ht="18.75" customHeight="1">
      <c r="A33" s="55"/>
      <c r="B33" s="55" t="s">
        <v>11</v>
      </c>
      <c r="C33" s="169">
        <f aca="true" t="shared" si="5" ref="C33:J33">SUM(C27:C32)</f>
        <v>22917944.51724406</v>
      </c>
      <c r="D33" s="169">
        <f t="shared" si="5"/>
        <v>66328109.128564425</v>
      </c>
      <c r="E33" s="169">
        <f t="shared" si="5"/>
        <v>113358784.03017458</v>
      </c>
      <c r="F33" s="169">
        <f t="shared" si="5"/>
        <v>116036702.66512805</v>
      </c>
      <c r="G33" s="169">
        <f t="shared" si="5"/>
        <v>126872980.64882761</v>
      </c>
      <c r="H33" s="169">
        <f t="shared" si="5"/>
        <v>121059178.07838172</v>
      </c>
      <c r="I33" s="169">
        <f t="shared" si="5"/>
        <v>115374820.93416868</v>
      </c>
      <c r="J33" s="169">
        <f t="shared" si="5"/>
        <v>109809866.03656706</v>
      </c>
      <c r="K33" s="169">
        <f>SUM(K27:K32)</f>
        <v>104355665.0920139</v>
      </c>
      <c r="L33" s="169">
        <f>SUM(L27:L32)</f>
        <v>99003569.80694616</v>
      </c>
    </row>
    <row r="34" spans="1:12" ht="18.75" customHeight="1">
      <c r="A34" s="55"/>
      <c r="B34" s="55" t="s">
        <v>12</v>
      </c>
      <c r="C34" s="34">
        <f>'LGE-Project 29'!C33</f>
        <v>0.09991333016039017</v>
      </c>
      <c r="D34" s="34">
        <f>'LGE-Project 29'!D33</f>
        <v>0.09991333016039017</v>
      </c>
      <c r="E34" s="34">
        <f>'LGE-Project 29'!E33</f>
        <v>0.09991333016039017</v>
      </c>
      <c r="F34" s="34">
        <f>'LGE-Project 29'!F33</f>
        <v>0.09991333016039017</v>
      </c>
      <c r="G34" s="34">
        <f>'LGE-Project 29'!G33</f>
        <v>0.09991333016039017</v>
      </c>
      <c r="H34" s="34">
        <f>'LGE-Project 29'!H33</f>
        <v>0.09991333016039017</v>
      </c>
      <c r="I34" s="34">
        <f>'LGE-Project 29'!I33</f>
        <v>0.09991333016039017</v>
      </c>
      <c r="J34" s="34">
        <f>'LGE-Project 29'!J33</f>
        <v>0.09991333016039017</v>
      </c>
      <c r="K34" s="34">
        <f>'LGE-Project 29'!K33</f>
        <v>0.09991333016039017</v>
      </c>
      <c r="L34" s="34">
        <f>'LGE-Project 29'!L33</f>
        <v>0.09991333016039017</v>
      </c>
    </row>
    <row r="35" spans="1:12" ht="18.75" customHeight="1">
      <c r="A35" s="55"/>
      <c r="B35" s="41"/>
      <c r="C35" s="180">
        <f aca="true" t="shared" si="6" ref="C35:J35">C33*C34</f>
        <v>2289808.1571489093</v>
      </c>
      <c r="D35" s="180">
        <f t="shared" si="6"/>
        <v>6627062.266276646</v>
      </c>
      <c r="E35" s="180">
        <f t="shared" si="6"/>
        <v>11326053.615387198</v>
      </c>
      <c r="F35" s="180">
        <f t="shared" si="6"/>
        <v>11593613.384103965</v>
      </c>
      <c r="G35" s="180">
        <f t="shared" si="6"/>
        <v>12676302.003999107</v>
      </c>
      <c r="H35" s="180">
        <f t="shared" si="6"/>
        <v>12095425.62829082</v>
      </c>
      <c r="I35" s="180">
        <f t="shared" si="6"/>
        <v>11527482.57619149</v>
      </c>
      <c r="J35" s="180">
        <f t="shared" si="6"/>
        <v>10971469.40017974</v>
      </c>
      <c r="K35" s="180">
        <f>K33*K34</f>
        <v>10426522.020445487</v>
      </c>
      <c r="L35" s="180">
        <f>L33*L34</f>
        <v>9891776.357178647</v>
      </c>
    </row>
    <row r="36" spans="1:12" ht="18.75" customHeight="1">
      <c r="A36" s="55"/>
      <c r="B36" s="41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18.75" customHeight="1">
      <c r="A37" s="55"/>
      <c r="B37" s="57" t="s">
        <v>65</v>
      </c>
      <c r="C37" s="190">
        <f>'LGE-Project 29'!C36+'LGE-Project 29'!C78+'LGE-Project 29'!C120+'LGE-Project 29'!C162+'LGE-Project 29'!C204+'LGE-Project 29'!C246</f>
        <v>0</v>
      </c>
      <c r="D37" s="190">
        <f>'LGE-Project 29'!D36+'LGE-Project 29'!D78+'LGE-Project 29'!D120+'LGE-Project 29'!D162+'LGE-Project 29'!D204+'LGE-Project 29'!D246</f>
        <v>0</v>
      </c>
      <c r="E37" s="190">
        <f>'LGE-Project 29'!E36+'LGE-Project 29'!E78+'LGE-Project 29'!E120+'LGE-Project 29'!E162+'LGE-Project 29'!E204+'LGE-Project 29'!E246</f>
        <v>0</v>
      </c>
      <c r="F37" s="190">
        <f>'LGE-Project 29'!F36+'LGE-Project 29'!F78+'LGE-Project 29'!F120+'LGE-Project 29'!F162+'LGE-Project 29'!F204+'LGE-Project 29'!F246</f>
        <v>0</v>
      </c>
      <c r="G37" s="190">
        <f>'LGE-Project 29'!G36+'LGE-Project 29'!G78+'LGE-Project 29'!G120+'LGE-Project 29'!G162+'LGE-Project 29'!G204+'LGE-Project 29'!G246</f>
        <v>0</v>
      </c>
      <c r="H37" s="190">
        <f>'LGE-Project 29'!H36+'LGE-Project 29'!H78+'LGE-Project 29'!H120+'LGE-Project 29'!H162+'LGE-Project 29'!H204+'LGE-Project 29'!H246</f>
        <v>0</v>
      </c>
      <c r="I37" s="190">
        <f>'LGE-Project 29'!I36+'LGE-Project 29'!I78+'LGE-Project 29'!I120+'LGE-Project 29'!I162+'LGE-Project 29'!I204+'LGE-Project 29'!I246</f>
        <v>0</v>
      </c>
      <c r="J37" s="190">
        <f>'LGE-Project 29'!J36+'LGE-Project 29'!J78+'LGE-Project 29'!J120+'LGE-Project 29'!J162+'LGE-Project 29'!J204+'LGE-Project 29'!J246</f>
        <v>0</v>
      </c>
      <c r="K37" s="190">
        <f>'LGE-Project 29'!K36+'LGE-Project 29'!K78+'LGE-Project 29'!K120+'LGE-Project 29'!K162+'LGE-Project 29'!K204+'LGE-Project 29'!K246</f>
        <v>0</v>
      </c>
      <c r="L37" s="190">
        <f>'LGE-Project 29'!L36+'LGE-Project 29'!L78+'LGE-Project 29'!L120+'LGE-Project 29'!L162+'LGE-Project 29'!L204+'LGE-Project 29'!L246</f>
        <v>0</v>
      </c>
    </row>
    <row r="38" spans="1:12" ht="18.75" customHeight="1">
      <c r="A38" s="55"/>
      <c r="B38" s="55" t="s">
        <v>48</v>
      </c>
      <c r="C38" s="190">
        <f>'LGE-Project 29'!C37+'LGE-Project 29'!C79+'LGE-Project 29'!C121+'LGE-Project 29'!C163+'LGE-Project 29'!C205+'LGE-Project 29'!C247</f>
        <v>0</v>
      </c>
      <c r="D38" s="190">
        <f>'LGE-Project 29'!D37+'LGE-Project 29'!D79+'LGE-Project 29'!D121+'LGE-Project 29'!D163+'LGE-Project 29'!D205+'LGE-Project 29'!D247</f>
        <v>0</v>
      </c>
      <c r="E38" s="190">
        <f>'LGE-Project 29'!E37+'LGE-Project 29'!E79+'LGE-Project 29'!E121+'LGE-Project 29'!E163+'LGE-Project 29'!E205+'LGE-Project 29'!E247</f>
        <v>127265.50560867257</v>
      </c>
      <c r="F38" s="190">
        <f>'LGE-Project 29'!F37+'LGE-Project 29'!F79+'LGE-Project 29'!F121+'LGE-Project 29'!F163+'LGE-Project 29'!F205+'LGE-Project 29'!F247</f>
        <v>3054372.134608142</v>
      </c>
      <c r="G38" s="190">
        <f>'LGE-Project 29'!G37+'LGE-Project 29'!G79+'LGE-Project 29'!G121+'LGE-Project 29'!G163+'LGE-Project 29'!G205+'LGE-Project 29'!G247</f>
        <v>3054372.134608142</v>
      </c>
      <c r="H38" s="190">
        <f>'LGE-Project 29'!H37+'LGE-Project 29'!H79+'LGE-Project 29'!H121+'LGE-Project 29'!H163+'LGE-Project 29'!H205+'LGE-Project 29'!H247</f>
        <v>3054372.134608142</v>
      </c>
      <c r="I38" s="190">
        <f>'LGE-Project 29'!I37+'LGE-Project 29'!I79+'LGE-Project 29'!I121+'LGE-Project 29'!I163+'LGE-Project 29'!I205+'LGE-Project 29'!I247</f>
        <v>3054372.134608142</v>
      </c>
      <c r="J38" s="190">
        <f>'LGE-Project 29'!J37+'LGE-Project 29'!J79+'LGE-Project 29'!J121+'LGE-Project 29'!J163+'LGE-Project 29'!J205+'LGE-Project 29'!J247</f>
        <v>3054372.134608142</v>
      </c>
      <c r="K38" s="190">
        <f>'LGE-Project 29'!K37+'LGE-Project 29'!K79+'LGE-Project 29'!K121+'LGE-Project 29'!K163+'LGE-Project 29'!K205+'LGE-Project 29'!K247</f>
        <v>3054372.134608142</v>
      </c>
      <c r="L38" s="190">
        <f>'LGE-Project 29'!L37+'LGE-Project 29'!L79+'LGE-Project 29'!L121+'LGE-Project 29'!L163+'LGE-Project 29'!L205+'LGE-Project 29'!L247</f>
        <v>3054372.134608142</v>
      </c>
    </row>
    <row r="39" spans="1:12" ht="18.75" customHeight="1">
      <c r="A39" s="55"/>
      <c r="B39" s="3" t="s">
        <v>434</v>
      </c>
      <c r="C39" s="190">
        <f>'LGE-Project 29'!C38+'LGE-Project 29'!C80+'LGE-Project 29'!C122+'LGE-Project 29'!C164+'LGE-Project 29'!C206+'LGE-Project 29'!C248</f>
        <v>3614947.221247</v>
      </c>
      <c r="D39" s="190">
        <f>'LGE-Project 29'!D38+'LGE-Project 29'!D80+'LGE-Project 29'!D122+'LGE-Project 29'!D164+'LGE-Project 29'!D206+'LGE-Project 29'!D248</f>
        <v>3614947.221247</v>
      </c>
      <c r="E39" s="190">
        <f>'LGE-Project 29'!E38+'LGE-Project 29'!E80+'LGE-Project 29'!E122+'LGE-Project 29'!E164+'LGE-Project 29'!E206+'LGE-Project 29'!E248</f>
        <v>3614947.221247</v>
      </c>
      <c r="F39" s="190">
        <f>'LGE-Project 29'!F38+'LGE-Project 29'!F80+'LGE-Project 29'!F122+'LGE-Project 29'!F164+'LGE-Project 29'!F206+'LGE-Project 29'!F248</f>
        <v>3614947.221247</v>
      </c>
      <c r="G39" s="190">
        <f>'LGE-Project 29'!G38+'LGE-Project 29'!G80+'LGE-Project 29'!G122+'LGE-Project 29'!G164+'LGE-Project 29'!G206+'LGE-Project 29'!G248</f>
        <v>3614947.221247</v>
      </c>
      <c r="H39" s="190">
        <f>'LGE-Project 29'!H38+'LGE-Project 29'!H80+'LGE-Project 29'!H122+'LGE-Project 29'!H164+'LGE-Project 29'!H206+'LGE-Project 29'!H248</f>
        <v>3614947.221247</v>
      </c>
      <c r="I39" s="190">
        <f>'LGE-Project 29'!I38+'LGE-Project 29'!I80+'LGE-Project 29'!I122+'LGE-Project 29'!I164+'LGE-Project 29'!I206+'LGE-Project 29'!I248</f>
        <v>3614947.221247</v>
      </c>
      <c r="J39" s="190">
        <f>'LGE-Project 29'!J38+'LGE-Project 29'!J80+'LGE-Project 29'!J122+'LGE-Project 29'!J164+'LGE-Project 29'!J206+'LGE-Project 29'!J248</f>
        <v>3614947.221247</v>
      </c>
      <c r="K39" s="190">
        <f>'LGE-Project 29'!K38+'LGE-Project 29'!K80+'LGE-Project 29'!K122+'LGE-Project 29'!K164+'LGE-Project 29'!K206+'LGE-Project 29'!K248</f>
        <v>3614947.221247</v>
      </c>
      <c r="L39" s="190">
        <f>'LGE-Project 29'!L38+'LGE-Project 29'!L80+'LGE-Project 29'!L122+'LGE-Project 29'!L164+'LGE-Project 29'!L206+'LGE-Project 29'!L248</f>
        <v>3614947.221247</v>
      </c>
    </row>
    <row r="40" spans="1:12" ht="18.75" customHeight="1">
      <c r="A40" s="55"/>
      <c r="B40" s="55" t="s">
        <v>50</v>
      </c>
      <c r="C40" s="191">
        <f>'LGE-Project 29'!C39+'LGE-Project 29'!C81+'LGE-Project 29'!C123+'LGE-Project 29'!C165+'LGE-Project 29'!C207+'LGE-Project 29'!C249</f>
        <v>0</v>
      </c>
      <c r="D40" s="191">
        <f>'LGE-Project 29'!D39+'LGE-Project 29'!D81+'LGE-Project 29'!D123+'LGE-Project 29'!D165+'LGE-Project 29'!D207+'LGE-Project 29'!D249</f>
        <v>37480.5290681295</v>
      </c>
      <c r="E40" s="191">
        <f>'LGE-Project 29'!E39+'LGE-Project 29'!E81+'LGE-Project 29'!E123+'LGE-Project 29'!E165+'LGE-Project 29'!E207+'LGE-Project 29'!E249</f>
        <v>107140.60823625901</v>
      </c>
      <c r="F40" s="191">
        <f>'LGE-Project 29'!F39+'LGE-Project 29'!F81+'LGE-Project 29'!F123+'LGE-Project 29'!F165+'LGE-Project 29'!F207+'LGE-Project 29'!F249</f>
        <v>211564.2891459755</v>
      </c>
      <c r="G40" s="191">
        <f>'LGE-Project 29'!G39+'LGE-Project 29'!G81+'LGE-Project 29'!G123+'LGE-Project 29'!G165+'LGE-Project 29'!G207+'LGE-Project 29'!G249</f>
        <v>223038.8101121928</v>
      </c>
      <c r="H40" s="191">
        <f>'LGE-Project 29'!H39+'LGE-Project 29'!H81+'LGE-Project 29'!H123+'LGE-Project 29'!H165+'LGE-Project 29'!H207+'LGE-Project 29'!H249</f>
        <v>254095.8310784101</v>
      </c>
      <c r="I40" s="191">
        <f>'LGE-Project 29'!I39+'LGE-Project 29'!I81+'LGE-Project 29'!I123+'LGE-Project 29'!I165+'LGE-Project 29'!I207+'LGE-Project 29'!I249</f>
        <v>244091.85204462736</v>
      </c>
      <c r="J40" s="191">
        <f>'LGE-Project 29'!J39+'LGE-Project 29'!J81+'LGE-Project 29'!J123+'LGE-Project 29'!J165+'LGE-Project 29'!J207+'LGE-Project 29'!J249</f>
        <v>234087.87301084463</v>
      </c>
      <c r="K40" s="191">
        <f>'LGE-Project 29'!K39+'LGE-Project 29'!K81+'LGE-Project 29'!K123+'LGE-Project 29'!K165+'LGE-Project 29'!K207+'LGE-Project 29'!K249</f>
        <v>224083.89397706196</v>
      </c>
      <c r="L40" s="191">
        <f>'LGE-Project 29'!L39+'LGE-Project 29'!L81+'LGE-Project 29'!L123+'LGE-Project 29'!L165+'LGE-Project 29'!L207+'LGE-Project 29'!L249</f>
        <v>214079.91494327926</v>
      </c>
    </row>
    <row r="41" spans="1:12" ht="18.75" customHeight="1">
      <c r="A41" s="55"/>
      <c r="B41" s="60" t="s">
        <v>51</v>
      </c>
      <c r="C41" s="179">
        <f aca="true" t="shared" si="7" ref="C41:J41">SUM(C37:C40)</f>
        <v>3614947.221247</v>
      </c>
      <c r="D41" s="179">
        <f t="shared" si="7"/>
        <v>3652427.7503151298</v>
      </c>
      <c r="E41" s="179">
        <f t="shared" si="7"/>
        <v>3849353.3350919317</v>
      </c>
      <c r="F41" s="179">
        <f t="shared" si="7"/>
        <v>6880883.645001118</v>
      </c>
      <c r="G41" s="179">
        <f t="shared" si="7"/>
        <v>6892358.165967336</v>
      </c>
      <c r="H41" s="179">
        <f t="shared" si="7"/>
        <v>6923415.186933553</v>
      </c>
      <c r="I41" s="179">
        <f t="shared" si="7"/>
        <v>6913411.20789977</v>
      </c>
      <c r="J41" s="179">
        <f t="shared" si="7"/>
        <v>6903407.228865988</v>
      </c>
      <c r="K41" s="179">
        <f>SUM(K37:K40)</f>
        <v>6893403.249832205</v>
      </c>
      <c r="L41" s="179">
        <f>SUM(L37:L40)</f>
        <v>6883399.270798422</v>
      </c>
    </row>
    <row r="42" spans="1:12" ht="18.75" customHeight="1">
      <c r="A42" s="55"/>
      <c r="B42" s="55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8.75" customHeight="1">
      <c r="A43" s="55"/>
      <c r="B43" s="60" t="s">
        <v>13</v>
      </c>
      <c r="C43" s="169">
        <f>C35+C41</f>
        <v>5904755.378395909</v>
      </c>
      <c r="D43" s="169">
        <f aca="true" t="shared" si="8" ref="D43:I43">D35+D41</f>
        <v>10279490.016591776</v>
      </c>
      <c r="E43" s="169">
        <f t="shared" si="8"/>
        <v>15175406.95047913</v>
      </c>
      <c r="F43" s="169">
        <f t="shared" si="8"/>
        <v>18474497.029105082</v>
      </c>
      <c r="G43" s="169">
        <f t="shared" si="8"/>
        <v>19568660.169966444</v>
      </c>
      <c r="H43" s="169">
        <f t="shared" si="8"/>
        <v>19018840.81522437</v>
      </c>
      <c r="I43" s="169">
        <f t="shared" si="8"/>
        <v>18440893.78409126</v>
      </c>
      <c r="J43" s="169">
        <f>J35+J41</f>
        <v>17874876.62904573</v>
      </c>
      <c r="K43" s="169">
        <f>K35+K41</f>
        <v>17319925.27027769</v>
      </c>
      <c r="L43" s="169">
        <f>L35+L41</f>
        <v>16775175.62797707</v>
      </c>
    </row>
    <row r="44" s="48" customFormat="1" ht="18.75" customHeight="1"/>
    <row r="45" spans="1:14" ht="18.75" customHeight="1">
      <c r="A45" s="10" t="s">
        <v>323</v>
      </c>
      <c r="B45" s="40" t="s">
        <v>415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  <c r="N45" s="54"/>
    </row>
    <row r="46" spans="1:12" ht="18.75" customHeight="1">
      <c r="A46" s="55"/>
      <c r="B46" s="56" t="s">
        <v>14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8.75" customHeight="1">
      <c r="A47" s="55"/>
      <c r="B47" s="3" t="s">
        <v>60</v>
      </c>
      <c r="C47" s="169">
        <f>'LGE-Project 30'!C26+'LGE-Project 30'!C68+'LGE-Project 30'!C110</f>
        <v>0</v>
      </c>
      <c r="D47" s="169">
        <f>'LGE-Project 30'!D26+'LGE-Project 30'!D68+'LGE-Project 30'!D110</f>
        <v>22829898</v>
      </c>
      <c r="E47" s="169">
        <f>'LGE-Project 30'!E26+'LGE-Project 30'!E68+'LGE-Project 30'!E110</f>
        <v>51302238</v>
      </c>
      <c r="F47" s="169">
        <f>'LGE-Project 30'!F26+'LGE-Project 30'!F68+'LGE-Project 30'!F110</f>
        <v>63829428</v>
      </c>
      <c r="G47" s="169">
        <f>'LGE-Project 30'!G26+'LGE-Project 30'!G68+'LGE-Project 30'!G110</f>
        <v>78060528</v>
      </c>
      <c r="H47" s="169">
        <f>'LGE-Project 30'!H26+'LGE-Project 30'!H68+'LGE-Project 30'!H110</f>
        <v>86039928</v>
      </c>
      <c r="I47" s="169">
        <f>'LGE-Project 30'!I26+'LGE-Project 30'!I68+'LGE-Project 30'!I110</f>
        <v>98939178</v>
      </c>
      <c r="J47" s="169">
        <f>'LGE-Project 30'!J26+'LGE-Project 30'!J68+'LGE-Project 30'!J110</f>
        <v>110435208</v>
      </c>
      <c r="K47" s="169">
        <f>'LGE-Project 30'!K26+'LGE-Project 30'!K68+'LGE-Project 30'!K110</f>
        <v>110435208</v>
      </c>
      <c r="L47" s="169">
        <f>'LGE-Project 30'!L26+'LGE-Project 30'!L68+'LGE-Project 30'!L110</f>
        <v>110435208</v>
      </c>
    </row>
    <row r="48" spans="1:12" ht="18.75" customHeight="1">
      <c r="A48" s="55"/>
      <c r="B48" s="57" t="s">
        <v>61</v>
      </c>
      <c r="C48" s="169">
        <f>'LGE-Project 30'!C27+'LGE-Project 30'!C69+'LGE-Project 30'!C111</f>
        <v>0</v>
      </c>
      <c r="D48" s="169">
        <f>'LGE-Project 30'!D27+'LGE-Project 30'!D69+'LGE-Project 30'!D111</f>
        <v>0</v>
      </c>
      <c r="E48" s="169">
        <f>'LGE-Project 30'!E27+'LGE-Project 30'!E69+'LGE-Project 30'!E111</f>
        <v>0</v>
      </c>
      <c r="F48" s="169">
        <f>'LGE-Project 30'!F27+'LGE-Project 30'!F69+'LGE-Project 30'!F111</f>
        <v>0</v>
      </c>
      <c r="G48" s="169">
        <f>'LGE-Project 30'!G27+'LGE-Project 30'!G69+'LGE-Project 30'!G111</f>
        <v>0</v>
      </c>
      <c r="H48" s="169">
        <f>'LGE-Project 30'!H27+'LGE-Project 30'!H69+'LGE-Project 30'!H111</f>
        <v>0</v>
      </c>
      <c r="I48" s="169">
        <f>'LGE-Project 30'!I27+'LGE-Project 30'!I69+'LGE-Project 30'!I111</f>
        <v>0</v>
      </c>
      <c r="J48" s="169">
        <f>'LGE-Project 30'!J27+'LGE-Project 30'!J69+'LGE-Project 30'!J111</f>
        <v>0</v>
      </c>
      <c r="K48" s="169">
        <f>'LGE-Project 30'!K27+'LGE-Project 30'!K69+'LGE-Project 30'!K111</f>
        <v>0</v>
      </c>
      <c r="L48" s="169">
        <f>'LGE-Project 30'!L27+'LGE-Project 30'!L69+'LGE-Project 30'!L111</f>
        <v>0</v>
      </c>
    </row>
    <row r="49" spans="1:12" ht="18.75" customHeight="1">
      <c r="A49" s="55"/>
      <c r="B49" s="55" t="s">
        <v>10</v>
      </c>
      <c r="C49" s="169">
        <f>'LGE-Project 30'!C28+'LGE-Project 30'!C70+'LGE-Project 30'!C112</f>
        <v>-1936270.0441999997</v>
      </c>
      <c r="D49" s="169">
        <f>'LGE-Project 30'!D28+'LGE-Project 30'!D70+'LGE-Project 30'!D112</f>
        <v>-3872540.0883999993</v>
      </c>
      <c r="E49" s="169">
        <f>'LGE-Project 30'!E28+'LGE-Project 30'!E70+'LGE-Project 30'!E112</f>
        <v>-5854437.609843337</v>
      </c>
      <c r="F49" s="169">
        <f>'LGE-Project 30'!F28+'LGE-Project 30'!F70+'LGE-Project 30'!F112</f>
        <v>-8885767.107883453</v>
      </c>
      <c r="G49" s="169">
        <f>'LGE-Project 30'!G28+'LGE-Project 30'!G70+'LGE-Project 30'!G112</f>
        <v>-11917096.60592357</v>
      </c>
      <c r="H49" s="169">
        <f>'LGE-Project 30'!H28+'LGE-Project 30'!H70+'LGE-Project 30'!H112</f>
        <v>-14948426.103963688</v>
      </c>
      <c r="I49" s="169">
        <f>'LGE-Project 30'!I28+'LGE-Project 30'!I70+'LGE-Project 30'!I112</f>
        <v>-17979755.602003805</v>
      </c>
      <c r="J49" s="169">
        <f>'LGE-Project 30'!J28+'LGE-Project 30'!J70+'LGE-Project 30'!J112</f>
        <v>-21011085.10004392</v>
      </c>
      <c r="K49" s="169">
        <f>'LGE-Project 30'!K28+'LGE-Project 30'!K70+'LGE-Project 30'!K112</f>
        <v>-24042414.59808404</v>
      </c>
      <c r="L49" s="169">
        <f>'LGE-Project 30'!L28+'LGE-Project 30'!L70+'LGE-Project 30'!L112</f>
        <v>-27073744.096124154</v>
      </c>
    </row>
    <row r="50" spans="1:12" ht="18.75" customHeight="1">
      <c r="A50" s="55"/>
      <c r="B50" s="58" t="s">
        <v>62</v>
      </c>
      <c r="C50" s="169">
        <f>'LGE-Project 30'!C29+'LGE-Project 30'!C71+'LGE-Project 30'!C113</f>
        <v>0</v>
      </c>
      <c r="D50" s="169">
        <f>'LGE-Project 30'!D29+'LGE-Project 30'!D71+'LGE-Project 30'!D113</f>
        <v>0</v>
      </c>
      <c r="E50" s="169">
        <f>'LGE-Project 30'!E29+'LGE-Project 30'!E71+'LGE-Project 30'!E113</f>
        <v>0</v>
      </c>
      <c r="F50" s="169">
        <f>'LGE-Project 30'!F29+'LGE-Project 30'!F71+'LGE-Project 30'!F113</f>
        <v>0</v>
      </c>
      <c r="G50" s="169">
        <f>'LGE-Project 30'!G29+'LGE-Project 30'!G71+'LGE-Project 30'!G113</f>
        <v>0</v>
      </c>
      <c r="H50" s="169">
        <f>'LGE-Project 30'!H29+'LGE-Project 30'!H71+'LGE-Project 30'!H113</f>
        <v>0</v>
      </c>
      <c r="I50" s="169">
        <f>'LGE-Project 30'!I29+'LGE-Project 30'!I71+'LGE-Project 30'!I113</f>
        <v>0</v>
      </c>
      <c r="J50" s="169">
        <f>'LGE-Project 30'!J29+'LGE-Project 30'!J71+'LGE-Project 30'!J113</f>
        <v>0</v>
      </c>
      <c r="K50" s="169">
        <f>'LGE-Project 30'!K29+'LGE-Project 30'!K71+'LGE-Project 30'!K113</f>
        <v>0</v>
      </c>
      <c r="L50" s="169">
        <f>'LGE-Project 30'!L29+'LGE-Project 30'!L71+'LGE-Project 30'!L113</f>
        <v>0</v>
      </c>
    </row>
    <row r="51" spans="1:12" ht="18.75" customHeight="1">
      <c r="A51" s="55"/>
      <c r="B51" s="55" t="s">
        <v>63</v>
      </c>
      <c r="C51" s="169">
        <f>'LGE-Project 30'!C30+'LGE-Project 30'!C72+'LGE-Project 30'!C114</f>
        <v>748678.1752903718</v>
      </c>
      <c r="D51" s="169">
        <f>'LGE-Project 30'!D30+'LGE-Project 30'!D72+'LGE-Project 30'!D114</f>
        <v>826282.379646253</v>
      </c>
      <c r="E51" s="169">
        <f>'LGE-Project 30'!E30+'LGE-Project 30'!E72+'LGE-Project 30'!E114</f>
        <v>-7632905.032857943</v>
      </c>
      <c r="F51" s="169">
        <f>'LGE-Project 30'!F30+'LGE-Project 30'!F72+'LGE-Project 30'!F114</f>
        <v>-12050095.882525535</v>
      </c>
      <c r="G51" s="169">
        <f>'LGE-Project 30'!G30+'LGE-Project 30'!G72+'LGE-Project 30'!G114</f>
        <v>-17070147.084226146</v>
      </c>
      <c r="H51" s="169">
        <f>'LGE-Project 30'!H30+'LGE-Project 30'!H72+'LGE-Project 30'!H114</f>
        <v>-19621279.904363118</v>
      </c>
      <c r="I51" s="169">
        <f>'LGE-Project 30'!I30+'LGE-Project 30'!I72+'LGE-Project 30'!I114</f>
        <v>-24026803.662225038</v>
      </c>
      <c r="J51" s="169">
        <f>'LGE-Project 30'!J30+'LGE-Project 30'!J72+'LGE-Project 30'!J114</f>
        <v>-27845557.907900486</v>
      </c>
      <c r="K51" s="169">
        <f>'LGE-Project 30'!K30+'LGE-Project 30'!K72+'LGE-Project 30'!K114</f>
        <v>-27178258.162482403</v>
      </c>
      <c r="L51" s="169">
        <f>'LGE-Project 30'!L30+'LGE-Project 30'!L72+'LGE-Project 30'!L114</f>
        <v>-26473160.82146374</v>
      </c>
    </row>
    <row r="52" spans="1:12" ht="18.75" customHeight="1">
      <c r="A52" s="55"/>
      <c r="B52" s="57" t="s">
        <v>64</v>
      </c>
      <c r="C52" s="169">
        <f>'LGE-Project 30'!C31+'LGE-Project 30'!C73+'LGE-Project 30'!C115</f>
        <v>0</v>
      </c>
      <c r="D52" s="169">
        <f>'LGE-Project 30'!D31+'LGE-Project 30'!D73+'LGE-Project 30'!D115</f>
        <v>0</v>
      </c>
      <c r="E52" s="169">
        <f>'LGE-Project 30'!E31+'LGE-Project 30'!E73+'LGE-Project 30'!E115</f>
        <v>0</v>
      </c>
      <c r="F52" s="169">
        <f>'LGE-Project 30'!F31+'LGE-Project 30'!F73+'LGE-Project 30'!F115</f>
        <v>0</v>
      </c>
      <c r="G52" s="169">
        <f>'LGE-Project 30'!G31+'LGE-Project 30'!G73+'LGE-Project 30'!G115</f>
        <v>0</v>
      </c>
      <c r="H52" s="169">
        <f>'LGE-Project 30'!H31+'LGE-Project 30'!H73+'LGE-Project 30'!H115</f>
        <v>0</v>
      </c>
      <c r="I52" s="169">
        <f>'LGE-Project 30'!I31+'LGE-Project 30'!I73+'LGE-Project 30'!I115</f>
        <v>0</v>
      </c>
      <c r="J52" s="169">
        <f>'LGE-Project 30'!J31+'LGE-Project 30'!J73+'LGE-Project 30'!J115</f>
        <v>0</v>
      </c>
      <c r="K52" s="169">
        <f>'LGE-Project 30'!K31+'LGE-Project 30'!K73+'LGE-Project 30'!K115</f>
        <v>0</v>
      </c>
      <c r="L52" s="169">
        <f>'LGE-Project 30'!L31+'LGE-Project 30'!L73+'LGE-Project 30'!L115</f>
        <v>0</v>
      </c>
    </row>
    <row r="53" spans="1:12" ht="18.75" customHeight="1">
      <c r="A53" s="55"/>
      <c r="B53" s="55" t="s">
        <v>11</v>
      </c>
      <c r="C53" s="169">
        <f aca="true" t="shared" si="9" ref="C53:J53">SUM(C47:C52)</f>
        <v>-1187591.868909628</v>
      </c>
      <c r="D53" s="169">
        <f t="shared" si="9"/>
        <v>19783640.291246254</v>
      </c>
      <c r="E53" s="169">
        <f t="shared" si="9"/>
        <v>37814895.35729872</v>
      </c>
      <c r="F53" s="169">
        <f t="shared" si="9"/>
        <v>42893565.00959101</v>
      </c>
      <c r="G53" s="169">
        <f t="shared" si="9"/>
        <v>49073284.30985028</v>
      </c>
      <c r="H53" s="169">
        <f t="shared" si="9"/>
        <v>51470221.991673194</v>
      </c>
      <c r="I53" s="169">
        <f t="shared" si="9"/>
        <v>56932618.73577115</v>
      </c>
      <c r="J53" s="169">
        <f t="shared" si="9"/>
        <v>61578564.992055595</v>
      </c>
      <c r="K53" s="169">
        <f>SUM(K47:K52)</f>
        <v>59214535.239433564</v>
      </c>
      <c r="L53" s="169">
        <f>SUM(L47:L52)</f>
        <v>56888303.0824121</v>
      </c>
    </row>
    <row r="54" spans="1:12" ht="18.75" customHeight="1">
      <c r="A54" s="55"/>
      <c r="B54" s="55" t="s">
        <v>12</v>
      </c>
      <c r="C54" s="34">
        <f>'LGE-Project 30'!C33</f>
        <v>0.09991333016039017</v>
      </c>
      <c r="D54" s="34">
        <f>'LGE-Project 30'!D33</f>
        <v>0.09991333016039017</v>
      </c>
      <c r="E54" s="34">
        <f>'LGE-Project 30'!E33</f>
        <v>0.09991333016039017</v>
      </c>
      <c r="F54" s="34">
        <f>'LGE-Project 30'!F33</f>
        <v>0.09991333016039017</v>
      </c>
      <c r="G54" s="34">
        <f>'LGE-Project 30'!G33</f>
        <v>0.09991333016039017</v>
      </c>
      <c r="H54" s="34">
        <f>'LGE-Project 30'!H33</f>
        <v>0.09991333016039017</v>
      </c>
      <c r="I54" s="34">
        <f>'LGE-Project 30'!I33</f>
        <v>0.09991333016039017</v>
      </c>
      <c r="J54" s="34">
        <f>'LGE-Project 30'!J33</f>
        <v>0.09991333016039017</v>
      </c>
      <c r="K54" s="34">
        <f>'LGE-Project 30'!K33</f>
        <v>0.09991333016039017</v>
      </c>
      <c r="L54" s="34">
        <f>'LGE-Project 30'!L33</f>
        <v>0.09991333016039017</v>
      </c>
    </row>
    <row r="55" spans="1:12" ht="18.75" customHeight="1">
      <c r="A55" s="55"/>
      <c r="B55" s="41"/>
      <c r="C55" s="180">
        <f aca="true" t="shared" si="10" ref="C55:J55">C53*C54</f>
        <v>-118656.25849416245</v>
      </c>
      <c r="D55" s="180">
        <f t="shared" si="10"/>
        <v>1976649.3841936844</v>
      </c>
      <c r="E55" s="180">
        <f t="shared" si="10"/>
        <v>3778212.124814392</v>
      </c>
      <c r="F55" s="180">
        <f t="shared" si="10"/>
        <v>4285638.922559426</v>
      </c>
      <c r="G55" s="180">
        <f t="shared" si="10"/>
        <v>4903075.257304766</v>
      </c>
      <c r="H55" s="180">
        <f t="shared" si="10"/>
        <v>5142561.283282619</v>
      </c>
      <c r="I55" s="180">
        <f t="shared" si="10"/>
        <v>5688327.5326427175</v>
      </c>
      <c r="J55" s="180">
        <f t="shared" si="10"/>
        <v>6152519.494854295</v>
      </c>
      <c r="K55" s="180">
        <f>K53*K54</f>
        <v>5916321.409671584</v>
      </c>
      <c r="L55" s="180">
        <f>L53*L54</f>
        <v>5683899.808137382</v>
      </c>
    </row>
    <row r="56" spans="1:12" ht="18.75" customHeight="1">
      <c r="A56" s="55"/>
      <c r="B56" s="41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18.75" customHeight="1">
      <c r="A57" s="55"/>
      <c r="B57" s="57" t="s">
        <v>65</v>
      </c>
      <c r="C57" s="190">
        <f>'LGE-Project 30'!C36+'LGE-Project 30'!C78+'LGE-Project 30'!C120</f>
        <v>0</v>
      </c>
      <c r="D57" s="190">
        <f>'LGE-Project 30'!D36+'LGE-Project 30'!D78+'LGE-Project 30'!D120</f>
        <v>0</v>
      </c>
      <c r="E57" s="190">
        <f>'LGE-Project 30'!E36+'LGE-Project 30'!E78+'LGE-Project 30'!E120</f>
        <v>0</v>
      </c>
      <c r="F57" s="190">
        <f>'LGE-Project 30'!F36+'LGE-Project 30'!F78+'LGE-Project 30'!F120</f>
        <v>0</v>
      </c>
      <c r="G57" s="190">
        <f>'LGE-Project 30'!G36+'LGE-Project 30'!G78+'LGE-Project 30'!G120</f>
        <v>0</v>
      </c>
      <c r="H57" s="190">
        <f>'LGE-Project 30'!H36+'LGE-Project 30'!H78+'LGE-Project 30'!H120</f>
        <v>0</v>
      </c>
      <c r="I57" s="190">
        <f>'LGE-Project 30'!I36+'LGE-Project 30'!I78+'LGE-Project 30'!I120</f>
        <v>0</v>
      </c>
      <c r="J57" s="190">
        <f>'LGE-Project 30'!J36+'LGE-Project 30'!J78+'LGE-Project 30'!J120</f>
        <v>0</v>
      </c>
      <c r="K57" s="190">
        <f>'LGE-Project 30'!K36+'LGE-Project 30'!K78+'LGE-Project 30'!K120</f>
        <v>0</v>
      </c>
      <c r="L57" s="190">
        <f>'LGE-Project 30'!L36+'LGE-Project 30'!L78+'LGE-Project 30'!L120</f>
        <v>0</v>
      </c>
    </row>
    <row r="58" spans="1:12" ht="18.75" customHeight="1">
      <c r="A58" s="55"/>
      <c r="B58" s="55" t="s">
        <v>48</v>
      </c>
      <c r="C58" s="190">
        <f>'LGE-Project 30'!C37+'LGE-Project 30'!C79+'LGE-Project 30'!C121</f>
        <v>0</v>
      </c>
      <c r="D58" s="190">
        <f>'LGE-Project 30'!D37+'LGE-Project 30'!D79+'LGE-Project 30'!D121</f>
        <v>0</v>
      </c>
      <c r="E58" s="190">
        <f>'LGE-Project 30'!E37+'LGE-Project 30'!E79+'LGE-Project 30'!E121</f>
        <v>45627.4772433382</v>
      </c>
      <c r="F58" s="190">
        <f>'LGE-Project 30'!F37+'LGE-Project 30'!F79+'LGE-Project 30'!F121</f>
        <v>1095059.4538401167</v>
      </c>
      <c r="G58" s="190">
        <f>'LGE-Project 30'!G37+'LGE-Project 30'!G79+'LGE-Project 30'!G121</f>
        <v>1095059.4538401167</v>
      </c>
      <c r="H58" s="190">
        <f>'LGE-Project 30'!H37+'LGE-Project 30'!H79+'LGE-Project 30'!H121</f>
        <v>1095059.4538401167</v>
      </c>
      <c r="I58" s="190">
        <f>'LGE-Project 30'!I37+'LGE-Project 30'!I79+'LGE-Project 30'!I121</f>
        <v>1095059.4538401167</v>
      </c>
      <c r="J58" s="190">
        <f>'LGE-Project 30'!J37+'LGE-Project 30'!J79+'LGE-Project 30'!J121</f>
        <v>1095059.4538401167</v>
      </c>
      <c r="K58" s="190">
        <f>'LGE-Project 30'!K37+'LGE-Project 30'!K79+'LGE-Project 30'!K121</f>
        <v>1095059.4538401167</v>
      </c>
      <c r="L58" s="190">
        <f>'LGE-Project 30'!L37+'LGE-Project 30'!L79+'LGE-Project 30'!L121</f>
        <v>1095059.4538401167</v>
      </c>
    </row>
    <row r="59" spans="1:12" ht="18.75" customHeight="1">
      <c r="A59" s="55"/>
      <c r="B59" s="3" t="s">
        <v>434</v>
      </c>
      <c r="C59" s="190">
        <f>'LGE-Project 30'!C38+'LGE-Project 30'!C80+'LGE-Project 30'!C122</f>
        <v>1936270.0441999997</v>
      </c>
      <c r="D59" s="190">
        <f>'LGE-Project 30'!D38+'LGE-Project 30'!D80+'LGE-Project 30'!D122</f>
        <v>1936270.0441999997</v>
      </c>
      <c r="E59" s="190">
        <f>'LGE-Project 30'!E38+'LGE-Project 30'!E80+'LGE-Project 30'!E122</f>
        <v>1936270.0441999997</v>
      </c>
      <c r="F59" s="190">
        <f>'LGE-Project 30'!F38+'LGE-Project 30'!F80+'LGE-Project 30'!F122</f>
        <v>1936270.0441999997</v>
      </c>
      <c r="G59" s="190">
        <f>'LGE-Project 30'!G38+'LGE-Project 30'!G80+'LGE-Project 30'!G122</f>
        <v>1936270.0441999997</v>
      </c>
      <c r="H59" s="190">
        <f>'LGE-Project 30'!H38+'LGE-Project 30'!H80+'LGE-Project 30'!H122</f>
        <v>1936270.0441999997</v>
      </c>
      <c r="I59" s="190">
        <f>'LGE-Project 30'!I38+'LGE-Project 30'!I80+'LGE-Project 30'!I122</f>
        <v>1936270.0441999997</v>
      </c>
      <c r="J59" s="190">
        <f>'LGE-Project 30'!J38+'LGE-Project 30'!J80+'LGE-Project 30'!J122</f>
        <v>1936270.0441999997</v>
      </c>
      <c r="K59" s="190">
        <f>'LGE-Project 30'!K38+'LGE-Project 30'!K80+'LGE-Project 30'!K122</f>
        <v>1936270.0441999997</v>
      </c>
      <c r="L59" s="190">
        <f>'LGE-Project 30'!L38+'LGE-Project 30'!L80+'LGE-Project 30'!L122</f>
        <v>1936270.0441999997</v>
      </c>
    </row>
    <row r="60" spans="1:12" ht="18.75" customHeight="1">
      <c r="A60" s="55"/>
      <c r="B60" s="55" t="s">
        <v>50</v>
      </c>
      <c r="C60" s="191">
        <f>'LGE-Project 30'!C39+'LGE-Project 30'!C81+'LGE-Project 30'!C123</f>
        <v>0</v>
      </c>
      <c r="D60" s="191">
        <f>'LGE-Project 30'!D39+'LGE-Project 30'!D81+'LGE-Project 30'!D123</f>
        <v>-2904.4050662999994</v>
      </c>
      <c r="E60" s="191">
        <f>'LGE-Project 30'!E39+'LGE-Project 30'!E81+'LGE-Project 30'!E123</f>
        <v>28436.036867400006</v>
      </c>
      <c r="F60" s="191">
        <f>'LGE-Project 30'!F39+'LGE-Project 30'!F81+'LGE-Project 30'!F123</f>
        <v>68171.70058523498</v>
      </c>
      <c r="G60" s="191">
        <f>'LGE-Project 30'!G39+'LGE-Project 30'!G81+'LGE-Project 30'!G123</f>
        <v>82415.49133817482</v>
      </c>
      <c r="H60" s="191">
        <f>'LGE-Project 30'!H39+'LGE-Project 30'!H81+'LGE-Project 30'!H123</f>
        <v>99215.14709111465</v>
      </c>
      <c r="I60" s="191">
        <f>'LGE-Project 30'!I39+'LGE-Project 30'!I81+'LGE-Project 30'!I123</f>
        <v>106637.25284405447</v>
      </c>
      <c r="J60" s="191">
        <f>'LGE-Project 30'!J39+'LGE-Project 30'!J81+'LGE-Project 30'!J123</f>
        <v>121439.1335969943</v>
      </c>
      <c r="K60" s="191">
        <f>'LGE-Project 30'!K39+'LGE-Project 30'!K81+'LGE-Project 30'!K123</f>
        <v>134136.1843499341</v>
      </c>
      <c r="L60" s="191">
        <f>'LGE-Project 30'!L39+'LGE-Project 30'!L81+'LGE-Project 30'!L123</f>
        <v>129589.19010287395</v>
      </c>
    </row>
    <row r="61" spans="1:12" ht="18.75" customHeight="1">
      <c r="A61" s="55"/>
      <c r="B61" s="60" t="s">
        <v>51</v>
      </c>
      <c r="C61" s="179">
        <f aca="true" t="shared" si="11" ref="C61:J61">SUM(C57:C60)</f>
        <v>1936270.0441999997</v>
      </c>
      <c r="D61" s="179">
        <f t="shared" si="11"/>
        <v>1933365.6391336997</v>
      </c>
      <c r="E61" s="179">
        <f t="shared" si="11"/>
        <v>2010333.5583107378</v>
      </c>
      <c r="F61" s="179">
        <f t="shared" si="11"/>
        <v>3099501.1986253513</v>
      </c>
      <c r="G61" s="179">
        <f t="shared" si="11"/>
        <v>3113744.989378291</v>
      </c>
      <c r="H61" s="179">
        <f t="shared" si="11"/>
        <v>3130544.645131231</v>
      </c>
      <c r="I61" s="179">
        <f t="shared" si="11"/>
        <v>3137966.7508841706</v>
      </c>
      <c r="J61" s="179">
        <f t="shared" si="11"/>
        <v>3152768.631637111</v>
      </c>
      <c r="K61" s="179">
        <f>SUM(K57:K60)</f>
        <v>3165465.6823900505</v>
      </c>
      <c r="L61" s="179">
        <f>SUM(L57:L60)</f>
        <v>3160918.68814299</v>
      </c>
    </row>
    <row r="62" spans="1:12" ht="18.75" customHeight="1">
      <c r="A62" s="55"/>
      <c r="B62" s="55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8.75" customHeight="1">
      <c r="A63" s="55"/>
      <c r="B63" s="60" t="s">
        <v>13</v>
      </c>
      <c r="C63" s="169">
        <f>C55+C61</f>
        <v>1817613.7857058372</v>
      </c>
      <c r="D63" s="169">
        <f aca="true" t="shared" si="12" ref="D63:I63">D55+D61</f>
        <v>3910015.023327384</v>
      </c>
      <c r="E63" s="169">
        <f t="shared" si="12"/>
        <v>5788545.68312513</v>
      </c>
      <c r="F63" s="169">
        <f t="shared" si="12"/>
        <v>7385140.1211847775</v>
      </c>
      <c r="G63" s="169">
        <f t="shared" si="12"/>
        <v>8016820.246683057</v>
      </c>
      <c r="H63" s="169">
        <f t="shared" si="12"/>
        <v>8273105.928413849</v>
      </c>
      <c r="I63" s="169">
        <f t="shared" si="12"/>
        <v>8826294.283526888</v>
      </c>
      <c r="J63" s="169">
        <f>J55+J61</f>
        <v>9305288.126491405</v>
      </c>
      <c r="K63" s="169">
        <f>K55+K61</f>
        <v>9081787.092061635</v>
      </c>
      <c r="L63" s="169">
        <f>L55+L61</f>
        <v>8844818.496280372</v>
      </c>
    </row>
    <row r="64" s="48" customFormat="1" ht="18.75" customHeight="1"/>
    <row r="65" spans="2:13" s="48" customFormat="1" ht="18.75" customHeight="1">
      <c r="B65" s="60" t="s">
        <v>67</v>
      </c>
      <c r="C65" s="181">
        <f aca="true" t="shared" si="13" ref="C65:L65">C23+C43+C63</f>
        <v>8184162.923147427</v>
      </c>
      <c r="D65" s="181">
        <f t="shared" si="13"/>
        <v>14704888.845305897</v>
      </c>
      <c r="E65" s="181">
        <f t="shared" si="13"/>
        <v>21464570.841926135</v>
      </c>
      <c r="F65" s="181">
        <f t="shared" si="13"/>
        <v>26345965.809929278</v>
      </c>
      <c r="G65" s="181">
        <f t="shared" si="13"/>
        <v>28057961.30050533</v>
      </c>
      <c r="H65" s="181">
        <f t="shared" si="13"/>
        <v>27750987.3491258</v>
      </c>
      <c r="I65" s="181">
        <f t="shared" si="13"/>
        <v>27713166.377153106</v>
      </c>
      <c r="J65" s="181">
        <f t="shared" si="13"/>
        <v>27613429.236535385</v>
      </c>
      <c r="K65" s="181">
        <f t="shared" si="13"/>
        <v>26822320.14060676</v>
      </c>
      <c r="L65" s="181">
        <f t="shared" si="13"/>
        <v>26027946.15189083</v>
      </c>
      <c r="M65" s="3"/>
    </row>
    <row r="66" spans="3:12" s="48" customFormat="1" ht="18.75" customHeight="1"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="48" customFormat="1" ht="18.75" customHeight="1">
      <c r="B67" s="60" t="s">
        <v>68</v>
      </c>
    </row>
    <row r="68" spans="2:12" s="48" customFormat="1" ht="18.75" customHeight="1">
      <c r="B68" s="3" t="str">
        <f>A5</f>
        <v>Project 28</v>
      </c>
      <c r="C68" s="177">
        <f aca="true" t="shared" si="14" ref="C68:L68">C23</f>
        <v>461793.75904568046</v>
      </c>
      <c r="D68" s="177">
        <f t="shared" si="14"/>
        <v>515383.8053867377</v>
      </c>
      <c r="E68" s="177">
        <f t="shared" si="14"/>
        <v>500618.20832187554</v>
      </c>
      <c r="F68" s="177">
        <f t="shared" si="14"/>
        <v>486328.659639417</v>
      </c>
      <c r="G68" s="177">
        <f t="shared" si="14"/>
        <v>472480.88385582867</v>
      </c>
      <c r="H68" s="177">
        <f t="shared" si="14"/>
        <v>459040.6054875776</v>
      </c>
      <c r="I68" s="177">
        <f t="shared" si="14"/>
        <v>445978.30953495495</v>
      </c>
      <c r="J68" s="177">
        <f t="shared" si="14"/>
        <v>433264.4809982516</v>
      </c>
      <c r="K68" s="177">
        <f t="shared" si="14"/>
        <v>420607.7782674366</v>
      </c>
      <c r="L68" s="177">
        <f t="shared" si="14"/>
        <v>407952.0276333863</v>
      </c>
    </row>
    <row r="69" spans="2:12" s="48" customFormat="1" ht="18.75" customHeight="1">
      <c r="B69" s="3" t="str">
        <f>A25</f>
        <v>Project 29</v>
      </c>
      <c r="C69" s="177">
        <f aca="true" t="shared" si="15" ref="C69:L69">C43</f>
        <v>5904755.378395909</v>
      </c>
      <c r="D69" s="177">
        <f t="shared" si="15"/>
        <v>10279490.016591776</v>
      </c>
      <c r="E69" s="177">
        <f t="shared" si="15"/>
        <v>15175406.95047913</v>
      </c>
      <c r="F69" s="177">
        <f t="shared" si="15"/>
        <v>18474497.029105082</v>
      </c>
      <c r="G69" s="177">
        <f t="shared" si="15"/>
        <v>19568660.169966444</v>
      </c>
      <c r="H69" s="177">
        <f t="shared" si="15"/>
        <v>19018840.81522437</v>
      </c>
      <c r="I69" s="177">
        <f t="shared" si="15"/>
        <v>18440893.78409126</v>
      </c>
      <c r="J69" s="177">
        <f t="shared" si="15"/>
        <v>17874876.62904573</v>
      </c>
      <c r="K69" s="177">
        <f t="shared" si="15"/>
        <v>17319925.27027769</v>
      </c>
      <c r="L69" s="177">
        <f t="shared" si="15"/>
        <v>16775175.62797707</v>
      </c>
    </row>
    <row r="70" spans="2:12" s="48" customFormat="1" ht="18.75" customHeight="1">
      <c r="B70" s="3" t="str">
        <f>A45</f>
        <v>Project 30</v>
      </c>
      <c r="C70" s="177">
        <f aca="true" t="shared" si="16" ref="C70:L70">C63</f>
        <v>1817613.7857058372</v>
      </c>
      <c r="D70" s="177">
        <f t="shared" si="16"/>
        <v>3910015.023327384</v>
      </c>
      <c r="E70" s="177">
        <f t="shared" si="16"/>
        <v>5788545.68312513</v>
      </c>
      <c r="F70" s="177">
        <f t="shared" si="16"/>
        <v>7385140.1211847775</v>
      </c>
      <c r="G70" s="177">
        <f t="shared" si="16"/>
        <v>8016820.246683057</v>
      </c>
      <c r="H70" s="177">
        <f t="shared" si="16"/>
        <v>8273105.928413849</v>
      </c>
      <c r="I70" s="177">
        <f t="shared" si="16"/>
        <v>8826294.283526888</v>
      </c>
      <c r="J70" s="177">
        <f t="shared" si="16"/>
        <v>9305288.126491405</v>
      </c>
      <c r="K70" s="177">
        <f t="shared" si="16"/>
        <v>9081787.092061635</v>
      </c>
      <c r="L70" s="177">
        <f t="shared" si="16"/>
        <v>8844818.496280372</v>
      </c>
    </row>
    <row r="71" spans="2:13" s="48" customFormat="1" ht="18.75" customHeight="1">
      <c r="B71" s="48" t="s">
        <v>20</v>
      </c>
      <c r="C71" s="177">
        <f aca="true" t="shared" si="17" ref="C71:L71">SUM(C68:C70)</f>
        <v>8184162.923147427</v>
      </c>
      <c r="D71" s="177">
        <f t="shared" si="17"/>
        <v>14704888.845305897</v>
      </c>
      <c r="E71" s="177">
        <f t="shared" si="17"/>
        <v>21464570.841926135</v>
      </c>
      <c r="F71" s="177">
        <f t="shared" si="17"/>
        <v>26345965.809929278</v>
      </c>
      <c r="G71" s="177">
        <f t="shared" si="17"/>
        <v>28057961.30050533</v>
      </c>
      <c r="H71" s="177">
        <f t="shared" si="17"/>
        <v>27750987.3491258</v>
      </c>
      <c r="I71" s="177">
        <f t="shared" si="17"/>
        <v>27713166.377153106</v>
      </c>
      <c r="J71" s="177">
        <f t="shared" si="17"/>
        <v>27613429.236535385</v>
      </c>
      <c r="K71" s="177">
        <f t="shared" si="17"/>
        <v>26822320.14060676</v>
      </c>
      <c r="L71" s="177">
        <f t="shared" si="17"/>
        <v>26027946.15189083</v>
      </c>
      <c r="M71" s="177"/>
    </row>
    <row r="72" spans="3:12" s="48" customFormat="1" ht="18.75" customHeight="1"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2:12" s="48" customFormat="1" ht="18.75" customHeight="1">
      <c r="B73" s="60" t="s">
        <v>69</v>
      </c>
      <c r="C73" s="62">
        <f>Input!$B$48</f>
        <v>0.9424416666666667</v>
      </c>
      <c r="D73" s="62">
        <f>Input!$B$48</f>
        <v>0.9424416666666667</v>
      </c>
      <c r="E73" s="62">
        <f>Input!$B$48</f>
        <v>0.9424416666666667</v>
      </c>
      <c r="F73" s="62">
        <f>Input!$B$48</f>
        <v>0.9424416666666667</v>
      </c>
      <c r="G73" s="62">
        <f>Input!$B$48</f>
        <v>0.9424416666666667</v>
      </c>
      <c r="H73" s="62">
        <f>Input!$B$48</f>
        <v>0.9424416666666667</v>
      </c>
      <c r="I73" s="62">
        <f>Input!$B$48</f>
        <v>0.9424416666666667</v>
      </c>
      <c r="J73" s="62">
        <f>Input!$B$48</f>
        <v>0.9424416666666667</v>
      </c>
      <c r="K73" s="62">
        <f>Input!$B$48</f>
        <v>0.9424416666666667</v>
      </c>
      <c r="L73" s="62">
        <f>Input!$B$48</f>
        <v>0.9424416666666667</v>
      </c>
    </row>
    <row r="74" s="48" customFormat="1" ht="18.75" customHeight="1"/>
    <row r="75" spans="2:12" s="48" customFormat="1" ht="18.75" customHeight="1">
      <c r="B75" s="60" t="s">
        <v>70</v>
      </c>
      <c r="C75" s="177">
        <f>C71*C73</f>
        <v>7713096.1455626</v>
      </c>
      <c r="D75" s="177">
        <f aca="true" t="shared" si="18" ref="D75:I75">D71*D73</f>
        <v>13858499.951518167</v>
      </c>
      <c r="E75" s="177">
        <f t="shared" si="18"/>
        <v>20229105.918549605</v>
      </c>
      <c r="F75" s="177">
        <f t="shared" si="18"/>
        <v>24829535.92785277</v>
      </c>
      <c r="G75" s="177">
        <f t="shared" si="18"/>
        <v>26442991.81131708</v>
      </c>
      <c r="H75" s="177">
        <f t="shared" si="18"/>
        <v>26153686.7689557</v>
      </c>
      <c r="I75" s="177">
        <f t="shared" si="18"/>
        <v>26118042.709094804</v>
      </c>
      <c r="J75" s="177">
        <f>J71*J73</f>
        <v>26024046.272062473</v>
      </c>
      <c r="K75" s="177">
        <f>K71*K73</f>
        <v>25278472.09718034</v>
      </c>
      <c r="L75" s="177">
        <f>L71*L73</f>
        <v>24529820.951298248</v>
      </c>
    </row>
    <row r="76" s="48" customFormat="1" ht="18.75" customHeight="1"/>
    <row r="77" spans="2:12" s="48" customFormat="1" ht="18.75" customHeight="1">
      <c r="B77" s="60" t="s">
        <v>252</v>
      </c>
      <c r="C77" s="63">
        <f>Input!B58</f>
        <v>966529936.1114107</v>
      </c>
      <c r="D77" s="63">
        <f>Input!C58</f>
        <v>994289534.7415978</v>
      </c>
      <c r="E77" s="63">
        <f>Input!D58</f>
        <v>1028976071.4071406</v>
      </c>
      <c r="F77" s="63">
        <f>Input!E58</f>
        <v>1051306173.9022099</v>
      </c>
      <c r="G77" s="63">
        <f>Input!F58</f>
        <v>1062855611.692984</v>
      </c>
      <c r="H77" s="63">
        <f>Input!G58</f>
        <v>1103067656.2782905</v>
      </c>
      <c r="I77" s="63">
        <f>Input!H58</f>
        <v>1128065030.632938</v>
      </c>
      <c r="J77" s="63">
        <f>Input!I58</f>
        <v>1178376608.5887556</v>
      </c>
      <c r="K77" s="63">
        <f>Input!J58</f>
        <v>1211200389.9778476</v>
      </c>
      <c r="L77" s="63">
        <f>Input!K58</f>
        <v>1254922288.4628081</v>
      </c>
    </row>
    <row r="78" s="48" customFormat="1" ht="18.75" customHeight="1"/>
    <row r="79" spans="2:12" s="48" customFormat="1" ht="18.75" customHeight="1">
      <c r="B79" s="60" t="s">
        <v>71</v>
      </c>
      <c r="C79" s="62">
        <f>C75/C77</f>
        <v>0.007980193739879694</v>
      </c>
      <c r="D79" s="62">
        <f aca="true" t="shared" si="19" ref="D79:I79">D75/D77</f>
        <v>0.013938092947060738</v>
      </c>
      <c r="E79" s="62">
        <f t="shared" si="19"/>
        <v>0.01965945222699493</v>
      </c>
      <c r="F79" s="62">
        <f t="shared" si="19"/>
        <v>0.02361779712154754</v>
      </c>
      <c r="G79" s="62">
        <f t="shared" si="19"/>
        <v>0.02487919480351334</v>
      </c>
      <c r="H79" s="62">
        <f t="shared" si="19"/>
        <v>0.0237099570639187</v>
      </c>
      <c r="I79" s="62">
        <f t="shared" si="19"/>
        <v>0.02315295838435876</v>
      </c>
      <c r="J79" s="62">
        <f>J75/J77</f>
        <v>0.022084659592173445</v>
      </c>
      <c r="K79" s="62">
        <f>K75/K77</f>
        <v>0.020870594417198525</v>
      </c>
      <c r="L79" s="62">
        <f>L75/L77</f>
        <v>0.01954688443803605</v>
      </c>
    </row>
    <row r="80" s="48" customFormat="1" ht="18.75" customHeight="1"/>
    <row r="81" s="48" customFormat="1" ht="18.75" customHeight="1">
      <c r="B81" s="10" t="s">
        <v>92</v>
      </c>
    </row>
    <row r="82" spans="2:13" s="48" customFormat="1" ht="18.75" customHeight="1">
      <c r="B82" s="48" t="s">
        <v>93</v>
      </c>
      <c r="C82" s="64">
        <f>+Input!H36</f>
        <v>10.75</v>
      </c>
      <c r="D82" s="64">
        <f aca="true" t="shared" si="20" ref="D82:I86">C82</f>
        <v>10.75</v>
      </c>
      <c r="E82" s="64">
        <f t="shared" si="20"/>
        <v>10.75</v>
      </c>
      <c r="F82" s="64">
        <f t="shared" si="20"/>
        <v>10.75</v>
      </c>
      <c r="G82" s="64">
        <f t="shared" si="20"/>
        <v>10.75</v>
      </c>
      <c r="H82" s="64">
        <f t="shared" si="20"/>
        <v>10.75</v>
      </c>
      <c r="I82" s="64">
        <f t="shared" si="20"/>
        <v>10.75</v>
      </c>
      <c r="J82" s="64">
        <f aca="true" t="shared" si="21" ref="J82:L84">I82</f>
        <v>10.75</v>
      </c>
      <c r="K82" s="64">
        <f t="shared" si="21"/>
        <v>10.75</v>
      </c>
      <c r="L82" s="64">
        <f t="shared" si="21"/>
        <v>10.75</v>
      </c>
      <c r="M82" s="67"/>
    </row>
    <row r="83" spans="1:13" s="48" customFormat="1" ht="18.75" customHeight="1">
      <c r="A83" s="33">
        <v>976</v>
      </c>
      <c r="B83" s="70" t="str">
        <f>"Energy - "&amp;A83&amp;" kWh @ $"&amp;Input!H37</f>
        <v>Energy - 976 kWh @ $0.08082</v>
      </c>
      <c r="C83" s="64">
        <f>$A$83*Input!H37</f>
        <v>78.88032</v>
      </c>
      <c r="D83" s="64">
        <f t="shared" si="20"/>
        <v>78.88032</v>
      </c>
      <c r="E83" s="64">
        <f t="shared" si="20"/>
        <v>78.88032</v>
      </c>
      <c r="F83" s="64">
        <f t="shared" si="20"/>
        <v>78.88032</v>
      </c>
      <c r="G83" s="64">
        <f t="shared" si="20"/>
        <v>78.88032</v>
      </c>
      <c r="H83" s="64">
        <f t="shared" si="20"/>
        <v>78.88032</v>
      </c>
      <c r="I83" s="64">
        <f t="shared" si="20"/>
        <v>78.88032</v>
      </c>
      <c r="J83" s="64">
        <f t="shared" si="21"/>
        <v>78.88032</v>
      </c>
      <c r="K83" s="64">
        <f t="shared" si="21"/>
        <v>78.88032</v>
      </c>
      <c r="L83" s="64">
        <f t="shared" si="21"/>
        <v>78.88032</v>
      </c>
      <c r="M83" s="67"/>
    </row>
    <row r="84" spans="2:13" s="48" customFormat="1" ht="18.75" customHeight="1">
      <c r="B84" s="48" t="str">
        <f>"FAC billings ("&amp;TEXT(LEFT(Input!$G$34,9),"mmm yy")&amp;" factor - $"&amp;Input!H38&amp;"/kWh)"</f>
        <v>FAC billings (Nov 15 factor - $-0.00271/kWh)</v>
      </c>
      <c r="C84" s="64">
        <f>A83*Input!H38</f>
        <v>-2.64496</v>
      </c>
      <c r="D84" s="64">
        <f t="shared" si="20"/>
        <v>-2.64496</v>
      </c>
      <c r="E84" s="64">
        <f t="shared" si="20"/>
        <v>-2.64496</v>
      </c>
      <c r="F84" s="64">
        <f t="shared" si="20"/>
        <v>-2.64496</v>
      </c>
      <c r="G84" s="64">
        <f t="shared" si="20"/>
        <v>-2.64496</v>
      </c>
      <c r="H84" s="64">
        <f t="shared" si="20"/>
        <v>-2.64496</v>
      </c>
      <c r="I84" s="64">
        <f t="shared" si="20"/>
        <v>-2.64496</v>
      </c>
      <c r="J84" s="64">
        <f t="shared" si="21"/>
        <v>-2.64496</v>
      </c>
      <c r="K84" s="64">
        <f t="shared" si="21"/>
        <v>-2.64496</v>
      </c>
      <c r="L84" s="64">
        <f t="shared" si="21"/>
        <v>-2.64496</v>
      </c>
      <c r="M84" s="67"/>
    </row>
    <row r="85" spans="2:12" s="48" customFormat="1" ht="18.75" customHeight="1">
      <c r="B85" s="48" t="str">
        <f>"DSM billings ("&amp;TEXT(LEFT(Input!$G$34,9),"mmm yy")&amp;" factor - $"&amp;Input!H39&amp;"/kWh)"</f>
        <v>DSM billings (Nov 15 factor - $0.00397/kWh)</v>
      </c>
      <c r="C85" s="64">
        <f>$A$83*Input!H39</f>
        <v>3.8747199999999995</v>
      </c>
      <c r="D85" s="64">
        <f t="shared" si="20"/>
        <v>3.8747199999999995</v>
      </c>
      <c r="E85" s="64">
        <f t="shared" si="20"/>
        <v>3.8747199999999995</v>
      </c>
      <c r="F85" s="64">
        <f t="shared" si="20"/>
        <v>3.8747199999999995</v>
      </c>
      <c r="G85" s="64">
        <f t="shared" si="20"/>
        <v>3.8747199999999995</v>
      </c>
      <c r="H85" s="64">
        <f t="shared" si="20"/>
        <v>3.8747199999999995</v>
      </c>
      <c r="I85" s="64">
        <f t="shared" si="20"/>
        <v>3.8747199999999995</v>
      </c>
      <c r="J85" s="64">
        <f aca="true" t="shared" si="22" ref="J85:L86">I85</f>
        <v>3.8747199999999995</v>
      </c>
      <c r="K85" s="64">
        <f t="shared" si="22"/>
        <v>3.8747199999999995</v>
      </c>
      <c r="L85" s="64">
        <f t="shared" si="22"/>
        <v>3.8747199999999995</v>
      </c>
    </row>
    <row r="86" spans="2:12" s="48" customFormat="1" ht="18.75" customHeight="1">
      <c r="B86" s="48" t="str">
        <f>"ECR billings ("&amp;TEXT(LEFT(Input!$G$34,9),"mmm yy")&amp;" factor:  "&amp;Input!H40*100&amp;"%)"</f>
        <v>ECR billings (Nov 15 factor:  9.73%)</v>
      </c>
      <c r="C86" s="64">
        <f>SUM(C82:C85)*Input!H40</f>
        <v>8.840685784</v>
      </c>
      <c r="D86" s="64">
        <f t="shared" si="20"/>
        <v>8.840685784</v>
      </c>
      <c r="E86" s="64">
        <f t="shared" si="20"/>
        <v>8.840685784</v>
      </c>
      <c r="F86" s="64">
        <f t="shared" si="20"/>
        <v>8.840685784</v>
      </c>
      <c r="G86" s="64">
        <f t="shared" si="20"/>
        <v>8.840685784</v>
      </c>
      <c r="H86" s="64">
        <f t="shared" si="20"/>
        <v>8.840685784</v>
      </c>
      <c r="I86" s="64">
        <f t="shared" si="20"/>
        <v>8.840685784</v>
      </c>
      <c r="J86" s="64">
        <f t="shared" si="22"/>
        <v>8.840685784</v>
      </c>
      <c r="K86" s="64">
        <f t="shared" si="22"/>
        <v>8.840685784</v>
      </c>
      <c r="L86" s="64">
        <f t="shared" si="22"/>
        <v>8.840685784</v>
      </c>
    </row>
    <row r="87" spans="2:12" s="48" customFormat="1" ht="18.75" customHeight="1">
      <c r="B87" s="69" t="s">
        <v>104</v>
      </c>
      <c r="C87" s="64">
        <f>SUM(C82:C85)*C79</f>
        <v>0.7250810416209682</v>
      </c>
      <c r="D87" s="64">
        <f aca="true" t="shared" si="23" ref="D87:I87">SUM(D82:D85)*D79</f>
        <v>1.2664162402173744</v>
      </c>
      <c r="E87" s="64">
        <f t="shared" si="23"/>
        <v>1.7862594021009375</v>
      </c>
      <c r="F87" s="64">
        <f t="shared" si="23"/>
        <v>2.145914935887579</v>
      </c>
      <c r="G87" s="64">
        <f t="shared" si="23"/>
        <v>2.2605256301828063</v>
      </c>
      <c r="H87" s="64">
        <f>SUM(H82:H85)*H79</f>
        <v>2.154288595624218</v>
      </c>
      <c r="I87" s="64">
        <f t="shared" si="23"/>
        <v>2.1036796510395077</v>
      </c>
      <c r="J87" s="64">
        <f>SUM(J82:J85)*J79</f>
        <v>2.0066139373176464</v>
      </c>
      <c r="K87" s="64">
        <f>SUM(K82:K85)*K79</f>
        <v>1.8963038783942112</v>
      </c>
      <c r="L87" s="64">
        <f>SUM(L82:L85)*L79</f>
        <v>1.7760314837907103</v>
      </c>
    </row>
    <row r="88" spans="4:8" s="48" customFormat="1" ht="18.75" customHeight="1">
      <c r="D88" s="109"/>
      <c r="H88" s="109"/>
    </row>
    <row r="89" s="48" customFormat="1" ht="18.75" customHeight="1">
      <c r="B89" s="69"/>
    </row>
    <row r="90" spans="3:12" s="48" customFormat="1" ht="18.75" customHeight="1">
      <c r="C90" s="48">
        <f>Input!B2</f>
        <v>2016</v>
      </c>
      <c r="D90" s="48">
        <f aca="true" t="shared" si="24" ref="D90:I90">C90+1</f>
        <v>2017</v>
      </c>
      <c r="E90" s="48">
        <f t="shared" si="24"/>
        <v>2018</v>
      </c>
      <c r="F90" s="48">
        <f t="shared" si="24"/>
        <v>2019</v>
      </c>
      <c r="G90" s="48">
        <f t="shared" si="24"/>
        <v>2020</v>
      </c>
      <c r="H90" s="48">
        <f t="shared" si="24"/>
        <v>2021</v>
      </c>
      <c r="I90" s="48">
        <f t="shared" si="24"/>
        <v>2022</v>
      </c>
      <c r="J90" s="48">
        <f>I90+1</f>
        <v>2023</v>
      </c>
      <c r="K90" s="48">
        <f>J90+1</f>
        <v>2024</v>
      </c>
      <c r="L90" s="48">
        <f>K90+1</f>
        <v>2025</v>
      </c>
    </row>
    <row r="91" spans="1:12" s="48" customFormat="1" ht="18.75" customHeight="1">
      <c r="A91" s="48" t="str">
        <f>A5</f>
        <v>Project 28</v>
      </c>
      <c r="B91" s="3" t="str">
        <f aca="true" t="shared" si="25" ref="B91:L91">B7</f>
        <v>Eligible Plant</v>
      </c>
      <c r="C91" s="177">
        <f t="shared" si="25"/>
        <v>4928995.3</v>
      </c>
      <c r="D91" s="177">
        <f t="shared" si="25"/>
        <v>4928995.3</v>
      </c>
      <c r="E91" s="177">
        <f t="shared" si="25"/>
        <v>4928995.3</v>
      </c>
      <c r="F91" s="177">
        <f t="shared" si="25"/>
        <v>4928995.3</v>
      </c>
      <c r="G91" s="177">
        <f t="shared" si="25"/>
        <v>4928995.3</v>
      </c>
      <c r="H91" s="177">
        <f t="shared" si="25"/>
        <v>4928995.3</v>
      </c>
      <c r="I91" s="177">
        <f t="shared" si="25"/>
        <v>4928995.3</v>
      </c>
      <c r="J91" s="177">
        <f t="shared" si="25"/>
        <v>4928995.3</v>
      </c>
      <c r="K91" s="177">
        <f t="shared" si="25"/>
        <v>4928995.3</v>
      </c>
      <c r="L91" s="177">
        <f t="shared" si="25"/>
        <v>4928995.3</v>
      </c>
    </row>
    <row r="92" spans="1:12" s="48" customFormat="1" ht="18.75" customHeight="1">
      <c r="A92" s="48" t="str">
        <f>A25</f>
        <v>Project 29</v>
      </c>
      <c r="B92" s="48" t="str">
        <f aca="true" t="shared" si="26" ref="B92:L92">B27</f>
        <v>Eligible Plant</v>
      </c>
      <c r="C92" s="177">
        <f t="shared" si="26"/>
        <v>28601966.6</v>
      </c>
      <c r="D92" s="177">
        <f t="shared" si="26"/>
        <v>78656966.60000001</v>
      </c>
      <c r="E92" s="177">
        <f t="shared" si="26"/>
        <v>152014966.6</v>
      </c>
      <c r="F92" s="177">
        <f t="shared" si="26"/>
        <v>166333966.60000002</v>
      </c>
      <c r="G92" s="177">
        <f t="shared" si="26"/>
        <v>193707966.6</v>
      </c>
      <c r="H92" s="177">
        <f t="shared" si="26"/>
        <v>193707966.6</v>
      </c>
      <c r="I92" s="177">
        <f t="shared" si="26"/>
        <v>193707966.6</v>
      </c>
      <c r="J92" s="177">
        <f t="shared" si="26"/>
        <v>193707966.6</v>
      </c>
      <c r="K92" s="177">
        <f t="shared" si="26"/>
        <v>193707966.6</v>
      </c>
      <c r="L92" s="177">
        <f t="shared" si="26"/>
        <v>193707966.6</v>
      </c>
    </row>
    <row r="93" spans="1:12" s="48" customFormat="1" ht="18.75" customHeight="1">
      <c r="A93" s="48" t="str">
        <f>A45</f>
        <v>Project 30</v>
      </c>
      <c r="B93" s="48" t="str">
        <f aca="true" t="shared" si="27" ref="B93:L93">B47</f>
        <v>Eligible Plant</v>
      </c>
      <c r="C93" s="177">
        <f t="shared" si="27"/>
        <v>0</v>
      </c>
      <c r="D93" s="177">
        <f t="shared" si="27"/>
        <v>22829898</v>
      </c>
      <c r="E93" s="177">
        <f t="shared" si="27"/>
        <v>51302238</v>
      </c>
      <c r="F93" s="177">
        <f t="shared" si="27"/>
        <v>63829428</v>
      </c>
      <c r="G93" s="177">
        <f t="shared" si="27"/>
        <v>78060528</v>
      </c>
      <c r="H93" s="177">
        <f t="shared" si="27"/>
        <v>86039928</v>
      </c>
      <c r="I93" s="177">
        <f t="shared" si="27"/>
        <v>98939178</v>
      </c>
      <c r="J93" s="177">
        <f t="shared" si="27"/>
        <v>110435208</v>
      </c>
      <c r="K93" s="177">
        <f t="shared" si="27"/>
        <v>110435208</v>
      </c>
      <c r="L93" s="177">
        <f t="shared" si="27"/>
        <v>110435208</v>
      </c>
    </row>
    <row r="94" spans="2:12" s="48" customFormat="1" ht="18.75" customHeight="1">
      <c r="B94" s="48" t="s">
        <v>101</v>
      </c>
      <c r="C94" s="177">
        <f aca="true" t="shared" si="28" ref="C94:L94">SUM(C91:C93)</f>
        <v>33530961.900000002</v>
      </c>
      <c r="D94" s="177">
        <f t="shared" si="28"/>
        <v>106415859.9</v>
      </c>
      <c r="E94" s="177">
        <f t="shared" si="28"/>
        <v>208246199.9</v>
      </c>
      <c r="F94" s="177">
        <f t="shared" si="28"/>
        <v>235092389.90000004</v>
      </c>
      <c r="G94" s="177">
        <f t="shared" si="28"/>
        <v>276697489.9</v>
      </c>
      <c r="H94" s="177">
        <f t="shared" si="28"/>
        <v>284676889.9</v>
      </c>
      <c r="I94" s="177">
        <f t="shared" si="28"/>
        <v>297576139.9</v>
      </c>
      <c r="J94" s="177">
        <f t="shared" si="28"/>
        <v>309072169.9</v>
      </c>
      <c r="K94" s="177">
        <f t="shared" si="28"/>
        <v>309072169.9</v>
      </c>
      <c r="L94" s="177">
        <f t="shared" si="28"/>
        <v>309072169.9</v>
      </c>
    </row>
    <row r="95" s="48" customFormat="1" ht="18.75" customHeight="1"/>
    <row r="96" spans="3:12" s="48" customFormat="1" ht="18.75" customHeight="1"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3:12" s="48" customFormat="1" ht="18.75" customHeight="1">
      <c r="C97" s="142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2:12" s="48" customFormat="1" ht="18.75" customHeight="1">
      <c r="B98" s="65"/>
      <c r="C98" s="142"/>
      <c r="D98" s="142"/>
      <c r="E98" s="142"/>
      <c r="F98" s="142"/>
      <c r="G98" s="142"/>
      <c r="H98" s="142"/>
      <c r="I98" s="142"/>
      <c r="J98" s="142"/>
      <c r="K98" s="142"/>
      <c r="L98" s="142"/>
    </row>
    <row r="99" s="48" customFormat="1" ht="18.75" customHeight="1"/>
    <row r="100" s="48" customFormat="1" ht="18.75" customHeight="1"/>
    <row r="101" s="48" customFormat="1" ht="18.75" customHeight="1"/>
    <row r="102" s="48" customFormat="1" ht="18.75" customHeight="1"/>
    <row r="103" s="48" customFormat="1" ht="18.75" customHeight="1"/>
    <row r="104" s="48" customFormat="1" ht="18.75" customHeight="1"/>
    <row r="105" s="48" customFormat="1" ht="18.75" customHeight="1"/>
    <row r="106" s="48" customFormat="1" ht="18.75" customHeight="1"/>
    <row r="107" s="48" customFormat="1" ht="18.75" customHeight="1"/>
    <row r="108" s="48" customFormat="1" ht="18.75" customHeight="1"/>
    <row r="109" s="48" customFormat="1" ht="18.75" customHeight="1"/>
    <row r="110" s="48" customFormat="1" ht="18.75" customHeight="1"/>
    <row r="111" s="48" customFormat="1" ht="18.75" customHeight="1"/>
    <row r="112" s="48" customFormat="1" ht="18.75" customHeight="1"/>
    <row r="113" s="48" customFormat="1" ht="18.75" customHeight="1"/>
    <row r="114" s="48" customFormat="1" ht="18.75" customHeight="1"/>
    <row r="115" s="48" customFormat="1" ht="18.75" customHeight="1"/>
    <row r="116" s="48" customFormat="1" ht="18.75" customHeight="1"/>
    <row r="117" s="48" customFormat="1" ht="18.75" customHeight="1"/>
    <row r="118" s="48" customFormat="1" ht="18.75" customHeight="1"/>
    <row r="119" s="48" customFormat="1" ht="18.75" customHeight="1"/>
    <row r="120" s="48" customFormat="1" ht="18.75" customHeight="1"/>
    <row r="121" s="48" customFormat="1" ht="18.75" customHeight="1"/>
    <row r="122" s="48" customFormat="1" ht="18.75" customHeight="1"/>
    <row r="123" s="48" customFormat="1" ht="18.75" customHeight="1"/>
    <row r="124" s="48" customFormat="1" ht="18.75" customHeight="1"/>
    <row r="125" s="48" customFormat="1" ht="18.75" customHeight="1"/>
    <row r="126" s="48" customFormat="1" ht="18.75" customHeight="1"/>
    <row r="127" s="48" customFormat="1" ht="18.75" customHeight="1"/>
    <row r="128" s="48" customFormat="1" ht="18.75" customHeight="1"/>
    <row r="129" s="48" customFormat="1" ht="18.75" customHeight="1"/>
    <row r="130" s="48" customFormat="1" ht="18.75" customHeight="1"/>
    <row r="131" s="48" customFormat="1" ht="18.75" customHeight="1"/>
    <row r="132" s="48" customFormat="1" ht="18.75" customHeight="1"/>
    <row r="133" s="48" customFormat="1" ht="18.75" customHeight="1"/>
    <row r="134" s="48" customFormat="1" ht="18.75" customHeight="1"/>
    <row r="135" s="48" customFormat="1" ht="18.75" customHeight="1"/>
    <row r="136" s="48" customFormat="1" ht="18.75" customHeight="1"/>
    <row r="137" s="48" customFormat="1" ht="18.75" customHeight="1"/>
    <row r="138" s="48" customFormat="1" ht="18.75" customHeight="1"/>
    <row r="139" s="48" customFormat="1" ht="18.75" customHeight="1"/>
    <row r="140" s="48" customFormat="1" ht="18.75" customHeight="1"/>
    <row r="141" s="48" customFormat="1" ht="18.75" customHeight="1"/>
    <row r="142" s="48" customFormat="1" ht="18.75" customHeight="1"/>
    <row r="143" s="48" customFormat="1" ht="18.75" customHeight="1"/>
    <row r="144" s="48" customFormat="1" ht="18.75" customHeight="1"/>
    <row r="145" s="48" customFormat="1" ht="18.75" customHeight="1"/>
    <row r="146" s="48" customFormat="1" ht="18.75" customHeight="1"/>
    <row r="147" s="48" customFormat="1" ht="18.75" customHeight="1"/>
    <row r="148" s="48" customFormat="1" ht="18.75" customHeight="1"/>
    <row r="149" s="48" customFormat="1" ht="18.75" customHeight="1"/>
    <row r="150" s="48" customFormat="1" ht="18.75" customHeight="1"/>
    <row r="151" s="48" customFormat="1" ht="18.75" customHeight="1"/>
    <row r="152" s="48" customFormat="1" ht="18.75" customHeight="1"/>
    <row r="153" s="48" customFormat="1" ht="18.75" customHeight="1"/>
    <row r="154" s="48" customFormat="1" ht="18.75" customHeight="1"/>
    <row r="155" s="48" customFormat="1" ht="18.75" customHeight="1"/>
    <row r="156" s="48" customFormat="1" ht="18.75" customHeight="1"/>
    <row r="157" s="48" customFormat="1" ht="18.75" customHeight="1"/>
    <row r="158" s="48" customFormat="1" ht="18.75" customHeight="1"/>
    <row r="159" s="48" customFormat="1" ht="18.75" customHeight="1"/>
    <row r="160" s="48" customFormat="1" ht="18.75" customHeight="1"/>
    <row r="161" s="48" customFormat="1" ht="18.75" customHeight="1"/>
    <row r="162" s="48" customFormat="1" ht="18.75" customHeight="1"/>
    <row r="163" s="48" customFormat="1" ht="18.75" customHeight="1"/>
    <row r="164" s="48" customFormat="1" ht="18.75" customHeight="1"/>
    <row r="165" s="48" customFormat="1" ht="18.75" customHeight="1"/>
    <row r="166" s="48" customFormat="1" ht="18.75" customHeight="1"/>
    <row r="167" s="48" customFormat="1" ht="18.75" customHeight="1"/>
    <row r="168" s="48" customFormat="1" ht="18.75" customHeight="1"/>
    <row r="169" s="48" customFormat="1" ht="18.75" customHeight="1"/>
    <row r="170" s="48" customFormat="1" ht="18.75" customHeight="1"/>
    <row r="171" s="48" customFormat="1" ht="18.75" customHeight="1"/>
    <row r="172" s="48" customFormat="1" ht="18.75" customHeight="1"/>
    <row r="173" s="48" customFormat="1" ht="18.75" customHeight="1"/>
    <row r="174" s="48" customFormat="1" ht="18.75" customHeight="1"/>
    <row r="175" s="48" customFormat="1" ht="18.75" customHeight="1"/>
    <row r="176" s="48" customFormat="1" ht="18.75" customHeight="1"/>
    <row r="177" s="48" customFormat="1" ht="18.75" customHeight="1"/>
    <row r="178" s="48" customFormat="1" ht="18.75" customHeight="1"/>
    <row r="179" s="48" customFormat="1" ht="18.75" customHeight="1"/>
    <row r="180" s="48" customFormat="1" ht="18.75" customHeight="1"/>
    <row r="181" s="48" customFormat="1" ht="18.75" customHeight="1"/>
    <row r="182" s="48" customFormat="1" ht="18.75" customHeight="1"/>
    <row r="183" s="48" customFormat="1" ht="18.75" customHeight="1"/>
    <row r="184" s="48" customFormat="1" ht="18.75" customHeight="1"/>
    <row r="185" s="48" customFormat="1" ht="18.75" customHeight="1"/>
    <row r="186" s="48" customFormat="1" ht="18.75" customHeight="1"/>
    <row r="187" s="48" customFormat="1" ht="18.75" customHeight="1"/>
    <row r="188" s="48" customFormat="1" ht="18.75" customHeight="1"/>
    <row r="189" s="48" customFormat="1" ht="18.75" customHeight="1"/>
    <row r="190" s="48" customFormat="1" ht="18.75" customHeight="1"/>
    <row r="191" s="48" customFormat="1" ht="18.75" customHeight="1"/>
    <row r="192" s="48" customFormat="1" ht="18.75" customHeight="1"/>
    <row r="193" s="48" customFormat="1" ht="18.75" customHeight="1"/>
    <row r="194" s="48" customFormat="1" ht="18.75" customHeight="1"/>
    <row r="195" s="48" customFormat="1" ht="18.75" customHeight="1"/>
    <row r="196" s="48" customFormat="1" ht="18.75" customHeight="1"/>
    <row r="197" s="48" customFormat="1" ht="18.75" customHeight="1"/>
    <row r="198" s="48" customFormat="1" ht="18.75" customHeight="1"/>
    <row r="199" s="48" customFormat="1" ht="18.75" customHeight="1"/>
    <row r="200" s="48" customFormat="1" ht="18.75" customHeight="1"/>
    <row r="201" s="48" customFormat="1" ht="18.75" customHeight="1"/>
    <row r="202" s="48" customFormat="1" ht="18.75" customHeight="1"/>
    <row r="203" s="48" customFormat="1" ht="18.75" customHeight="1"/>
    <row r="204" s="48" customFormat="1" ht="18.75" customHeight="1"/>
    <row r="205" s="48" customFormat="1" ht="18.75" customHeight="1"/>
    <row r="206" s="48" customFormat="1" ht="18.75" customHeight="1"/>
    <row r="207" s="48" customFormat="1" ht="18.75" customHeight="1"/>
    <row r="208" s="48" customFormat="1" ht="18.75" customHeight="1"/>
    <row r="209" s="48" customFormat="1" ht="18.75" customHeight="1"/>
    <row r="210" s="48" customFormat="1" ht="18.75" customHeight="1"/>
    <row r="211" s="48" customFormat="1" ht="18.75" customHeight="1"/>
    <row r="212" s="48" customFormat="1" ht="18.75" customHeight="1"/>
    <row r="213" s="48" customFormat="1" ht="18.75" customHeight="1"/>
    <row r="214" s="48" customFormat="1" ht="18.75" customHeight="1"/>
    <row r="215" s="48" customFormat="1" ht="18.75" customHeight="1"/>
    <row r="216" s="48" customFormat="1" ht="18.75" customHeight="1"/>
    <row r="217" s="48" customFormat="1" ht="18.75" customHeight="1"/>
    <row r="218" s="48" customFormat="1" ht="18.75" customHeight="1"/>
    <row r="219" s="48" customFormat="1" ht="18.75" customHeight="1"/>
    <row r="220" s="48" customFormat="1" ht="18.75" customHeight="1"/>
    <row r="221" s="48" customFormat="1" ht="18.75" customHeight="1"/>
    <row r="222" s="48" customFormat="1" ht="18.75" customHeight="1"/>
    <row r="223" s="48" customFormat="1" ht="18.75" customHeight="1"/>
    <row r="224" s="48" customFormat="1" ht="18.75" customHeight="1"/>
    <row r="225" s="48" customFormat="1" ht="18.75" customHeight="1"/>
    <row r="226" s="48" customFormat="1" ht="18.75" customHeight="1"/>
    <row r="227" s="48" customFormat="1" ht="18.75" customHeight="1"/>
    <row r="228" s="48" customFormat="1" ht="18.75" customHeight="1"/>
    <row r="229" s="48" customFormat="1" ht="18.75" customHeight="1"/>
    <row r="230" s="48" customFormat="1" ht="18.75" customHeight="1"/>
    <row r="231" s="48" customFormat="1" ht="18.75" customHeight="1"/>
    <row r="232" s="48" customFormat="1" ht="18.75" customHeight="1"/>
    <row r="233" s="48" customFormat="1" ht="18.75" customHeight="1"/>
    <row r="234" s="48" customFormat="1" ht="18.75" customHeight="1"/>
    <row r="235" s="48" customFormat="1" ht="18.75" customHeight="1"/>
    <row r="236" s="48" customFormat="1" ht="18.75" customHeight="1"/>
    <row r="237" s="48" customFormat="1" ht="18.75" customHeight="1"/>
    <row r="238" s="48" customFormat="1" ht="18.75" customHeight="1"/>
    <row r="239" s="48" customFormat="1" ht="18.75" customHeight="1"/>
    <row r="240" s="48" customFormat="1" ht="18.75" customHeight="1"/>
    <row r="241" s="48" customFormat="1" ht="18.75" customHeight="1"/>
    <row r="242" s="48" customFormat="1" ht="18.75" customHeight="1"/>
    <row r="243" s="48" customFormat="1" ht="18.75" customHeight="1"/>
    <row r="244" s="48" customFormat="1" ht="18.75" customHeight="1"/>
    <row r="245" s="48" customFormat="1" ht="18.75" customHeight="1"/>
    <row r="246" s="48" customFormat="1" ht="18.75" customHeight="1"/>
    <row r="247" s="48" customFormat="1" ht="18.75" customHeight="1"/>
    <row r="248" s="48" customFormat="1" ht="18.75" customHeight="1"/>
    <row r="249" s="48" customFormat="1" ht="18.75" customHeight="1"/>
    <row r="250" s="48" customFormat="1" ht="18.75" customHeight="1"/>
    <row r="251" s="48" customFormat="1" ht="18.75" customHeight="1"/>
    <row r="252" s="48" customFormat="1" ht="18.75" customHeight="1"/>
    <row r="253" s="48" customFormat="1" ht="18.75" customHeight="1"/>
    <row r="254" s="48" customFormat="1" ht="18.75" customHeight="1"/>
    <row r="255" s="48" customFormat="1" ht="18.75" customHeight="1"/>
    <row r="256" s="48" customFormat="1" ht="18.75" customHeight="1"/>
    <row r="257" s="48" customFormat="1" ht="18.75" customHeight="1"/>
    <row r="258" s="48" customFormat="1" ht="18.75" customHeight="1"/>
    <row r="259" s="48" customFormat="1" ht="18.75" customHeight="1"/>
    <row r="260" s="48" customFormat="1" ht="18.75" customHeight="1"/>
    <row r="261" s="48" customFormat="1" ht="18.75" customHeight="1"/>
    <row r="262" s="48" customFormat="1" ht="18.75" customHeight="1"/>
    <row r="263" s="48" customFormat="1" ht="18.75" customHeight="1"/>
    <row r="264" s="48" customFormat="1" ht="18.75" customHeight="1"/>
    <row r="265" s="48" customFormat="1" ht="18.75" customHeight="1"/>
    <row r="266" s="48" customFormat="1" ht="18.75" customHeight="1"/>
    <row r="267" s="48" customFormat="1" ht="18.75" customHeight="1"/>
    <row r="268" s="48" customFormat="1" ht="18.75" customHeight="1"/>
    <row r="269" s="48" customFormat="1" ht="18.75" customHeight="1"/>
    <row r="270" s="48" customFormat="1" ht="18.75" customHeight="1"/>
    <row r="271" s="48" customFormat="1" ht="18.75" customHeight="1"/>
    <row r="272" s="48" customFormat="1" ht="18.75" customHeight="1"/>
    <row r="273" s="48" customFormat="1" ht="18.75" customHeight="1"/>
    <row r="274" s="48" customFormat="1" ht="18.75" customHeight="1"/>
    <row r="275" s="48" customFormat="1" ht="18.75" customHeight="1"/>
    <row r="276" s="48" customFormat="1" ht="18.75" customHeight="1"/>
    <row r="277" s="48" customFormat="1" ht="18.75" customHeight="1"/>
    <row r="278" s="48" customFormat="1" ht="18.75" customHeight="1"/>
    <row r="279" s="48" customFormat="1" ht="18.75" customHeight="1"/>
    <row r="280" s="48" customFormat="1" ht="18.75" customHeight="1"/>
    <row r="281" s="48" customFormat="1" ht="18.75" customHeight="1"/>
    <row r="282" s="48" customFormat="1" ht="18.75" customHeight="1"/>
    <row r="283" s="48" customFormat="1" ht="18.75" customHeight="1"/>
    <row r="284" s="48" customFormat="1" ht="18.75" customHeight="1"/>
    <row r="285" s="48" customFormat="1" ht="18.75" customHeight="1"/>
    <row r="286" s="48" customFormat="1" ht="18.75" customHeight="1"/>
    <row r="287" s="48" customFormat="1" ht="18.75" customHeight="1"/>
    <row r="288" s="48" customFormat="1" ht="18.75" customHeight="1"/>
    <row r="289" s="48" customFormat="1" ht="18.75" customHeight="1"/>
    <row r="290" s="48" customFormat="1" ht="18.75" customHeight="1"/>
    <row r="291" s="48" customFormat="1" ht="18.75" customHeight="1"/>
    <row r="292" s="48" customFormat="1" ht="18.75" customHeight="1"/>
    <row r="293" s="48" customFormat="1" ht="18.75" customHeight="1"/>
    <row r="294" s="48" customFormat="1" ht="18.75" customHeight="1"/>
    <row r="295" s="48" customFormat="1" ht="18.75" customHeight="1"/>
    <row r="296" s="48" customFormat="1" ht="18.75" customHeight="1"/>
    <row r="297" s="48" customFormat="1" ht="18.75" customHeight="1"/>
    <row r="298" s="48" customFormat="1" ht="18.75" customHeight="1"/>
    <row r="299" s="48" customFormat="1" ht="18.75" customHeight="1"/>
    <row r="300" s="48" customFormat="1" ht="18.75" customHeight="1"/>
    <row r="301" s="48" customFormat="1" ht="18.75" customHeight="1"/>
    <row r="302" s="48" customFormat="1" ht="18.75" customHeight="1"/>
    <row r="303" s="48" customFormat="1" ht="18.75" customHeight="1"/>
    <row r="304" s="48" customFormat="1" ht="18.75" customHeight="1"/>
    <row r="305" s="48" customFormat="1" ht="18.75" customHeight="1"/>
    <row r="306" s="48" customFormat="1" ht="18.75" customHeight="1"/>
    <row r="307" s="48" customFormat="1" ht="18.75" customHeight="1"/>
    <row r="308" s="48" customFormat="1" ht="18.75" customHeight="1"/>
    <row r="309" s="48" customFormat="1" ht="18.75" customHeight="1"/>
    <row r="310" s="48" customFormat="1" ht="18.75" customHeight="1"/>
    <row r="311" s="48" customFormat="1" ht="18.75" customHeight="1"/>
    <row r="312" s="48" customFormat="1" ht="18.75" customHeight="1"/>
    <row r="313" s="48" customFormat="1" ht="18.75" customHeight="1"/>
    <row r="314" s="48" customFormat="1" ht="18.75" customHeight="1"/>
    <row r="315" s="48" customFormat="1" ht="18.75" customHeight="1"/>
    <row r="316" s="48" customFormat="1" ht="18.75" customHeight="1"/>
    <row r="317" s="48" customFormat="1" ht="18.75" customHeight="1"/>
    <row r="318" s="48" customFormat="1" ht="18.75" customHeight="1"/>
    <row r="319" s="48" customFormat="1" ht="18.75" customHeight="1"/>
    <row r="320" s="48" customFormat="1" ht="18.75" customHeight="1"/>
    <row r="321" s="48" customFormat="1" ht="18.75" customHeight="1"/>
    <row r="322" s="48" customFormat="1" ht="18.75" customHeight="1"/>
    <row r="323" s="48" customFormat="1" ht="18.75" customHeight="1"/>
    <row r="324" s="48" customFormat="1" ht="18.75" customHeight="1"/>
    <row r="325" s="48" customFormat="1" ht="18.75" customHeight="1"/>
    <row r="326" s="48" customFormat="1" ht="18.75" customHeight="1"/>
    <row r="327" s="48" customFormat="1" ht="18.75" customHeight="1"/>
    <row r="328" s="48" customFormat="1" ht="18.75" customHeight="1"/>
    <row r="329" s="48" customFormat="1" ht="18.75" customHeight="1"/>
    <row r="330" s="48" customFormat="1" ht="18.75" customHeight="1"/>
    <row r="331" s="48" customFormat="1" ht="18.75" customHeight="1"/>
    <row r="332" s="48" customFormat="1" ht="18.75" customHeight="1"/>
    <row r="333" s="48" customFormat="1" ht="18.75" customHeight="1"/>
    <row r="334" s="48" customFormat="1" ht="18.75" customHeight="1"/>
    <row r="335" s="48" customFormat="1" ht="18.75" customHeight="1"/>
    <row r="336" s="48" customFormat="1" ht="18.75" customHeight="1"/>
    <row r="337" s="48" customFormat="1" ht="18.75" customHeight="1"/>
    <row r="338" s="48" customFormat="1" ht="18.75" customHeight="1"/>
    <row r="339" s="48" customFormat="1" ht="18.75" customHeight="1"/>
    <row r="340" s="48" customFormat="1" ht="18.75" customHeight="1"/>
    <row r="341" s="48" customFormat="1" ht="18.75" customHeight="1"/>
    <row r="342" s="48" customFormat="1" ht="18.75" customHeight="1"/>
    <row r="343" s="48" customFormat="1" ht="18.75" customHeight="1"/>
    <row r="344" s="48" customFormat="1" ht="18.75" customHeight="1"/>
    <row r="345" s="48" customFormat="1" ht="18.75" customHeight="1"/>
    <row r="346" s="48" customFormat="1" ht="18.75" customHeight="1"/>
    <row r="347" s="48" customFormat="1" ht="11.25"/>
    <row r="348" s="48" customFormat="1" ht="11.25"/>
    <row r="349" s="48" customFormat="1" ht="11.25"/>
    <row r="350" s="48" customFormat="1" ht="11.25"/>
    <row r="351" s="48" customFormat="1" ht="11.25"/>
    <row r="352" s="48" customFormat="1" ht="11.25"/>
    <row r="353" s="48" customFormat="1" ht="11.25"/>
    <row r="354" s="48" customFormat="1" ht="11.25"/>
    <row r="355" s="48" customFormat="1" ht="11.25"/>
    <row r="356" s="48" customFormat="1" ht="11.25"/>
    <row r="357" s="48" customFormat="1" ht="11.25"/>
    <row r="358" s="48" customFormat="1" ht="11.25"/>
    <row r="359" s="48" customFormat="1" ht="11.25"/>
    <row r="360" s="48" customFormat="1" ht="11.25"/>
    <row r="361" s="48" customFormat="1" ht="11.25"/>
    <row r="362" s="48" customFormat="1" ht="11.25"/>
    <row r="363" s="48" customFormat="1" ht="11.25"/>
    <row r="364" s="48" customFormat="1" ht="11.25"/>
    <row r="365" s="48" customFormat="1" ht="11.25"/>
    <row r="366" s="48" customFormat="1" ht="11.25"/>
    <row r="367" s="48" customFormat="1" ht="11.25"/>
    <row r="368" s="48" customFormat="1" ht="11.25"/>
    <row r="369" s="48" customFormat="1" ht="11.25"/>
    <row r="370" s="48" customFormat="1" ht="11.25"/>
    <row r="371" s="48" customFormat="1" ht="11.25"/>
    <row r="372" s="48" customFormat="1" ht="11.25"/>
    <row r="373" s="48" customFormat="1" ht="11.25"/>
    <row r="374" s="48" customFormat="1" ht="11.25"/>
    <row r="375" s="48" customFormat="1" ht="11.25"/>
    <row r="376" s="48" customFormat="1" ht="11.25"/>
    <row r="377" s="48" customFormat="1" ht="11.25"/>
    <row r="378" s="48" customFormat="1" ht="11.25"/>
    <row r="379" s="48" customFormat="1" ht="11.25"/>
    <row r="380" s="48" customFormat="1" ht="11.25"/>
    <row r="381" s="48" customFormat="1" ht="11.25"/>
    <row r="382" s="48" customFormat="1" ht="11.25"/>
    <row r="383" s="48" customFormat="1" ht="11.25"/>
    <row r="384" s="48" customFormat="1" ht="11.25"/>
    <row r="385" s="48" customFormat="1" ht="11.25"/>
    <row r="386" s="48" customFormat="1" ht="11.25"/>
    <row r="387" s="48" customFormat="1" ht="11.25"/>
    <row r="388" s="48" customFormat="1" ht="11.25"/>
    <row r="389" s="48" customFormat="1" ht="11.25"/>
    <row r="390" s="48" customFormat="1" ht="11.25"/>
    <row r="391" s="48" customFormat="1" ht="11.25"/>
    <row r="392" s="48" customFormat="1" ht="11.25"/>
    <row r="393" s="48" customFormat="1" ht="11.25"/>
    <row r="394" s="48" customFormat="1" ht="11.25"/>
    <row r="395" s="48" customFormat="1" ht="11.25"/>
    <row r="396" s="48" customFormat="1" ht="11.25"/>
    <row r="397" s="48" customFormat="1" ht="11.25"/>
    <row r="398" s="48" customFormat="1" ht="11.25"/>
    <row r="399" s="48" customFormat="1" ht="11.25"/>
    <row r="400" s="48" customFormat="1" ht="11.25"/>
    <row r="401" s="48" customFormat="1" ht="11.25"/>
    <row r="402" s="48" customFormat="1" ht="11.25"/>
    <row r="403" s="48" customFormat="1" ht="11.25"/>
    <row r="404" s="48" customFormat="1" ht="11.25"/>
    <row r="405" s="48" customFormat="1" ht="11.25"/>
    <row r="406" s="48" customFormat="1" ht="11.25"/>
    <row r="407" s="48" customFormat="1" ht="11.25"/>
    <row r="408" s="48" customFormat="1" ht="11.25"/>
    <row r="409" s="48" customFormat="1" ht="11.25"/>
    <row r="410" s="48" customFormat="1" ht="11.25"/>
    <row r="411" s="48" customFormat="1" ht="11.25"/>
    <row r="412" s="48" customFormat="1" ht="11.25"/>
    <row r="413" s="48" customFormat="1" ht="11.25"/>
    <row r="414" s="48" customFormat="1" ht="11.25"/>
    <row r="415" s="48" customFormat="1" ht="11.25"/>
    <row r="416" s="48" customFormat="1" ht="11.25"/>
  </sheetData>
  <sheetProtection/>
  <printOptions horizontalCentered="1"/>
  <pageMargins left="0.75" right="0.75" top="1" bottom="1" header="0.5" footer="0.5"/>
  <pageSetup fitToHeight="6" horizontalDpi="600" verticalDpi="600" orientation="landscape" scale="72" r:id="rId1"/>
  <rowBreaks count="3" manualBreakCount="3">
    <brk id="24" min="2" max="11" man="1"/>
    <brk id="44" min="2" max="11" man="1"/>
    <brk id="64" min="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workbookViewId="0" topLeftCell="A1">
      <selection activeCell="A1" sqref="A1"/>
    </sheetView>
  </sheetViews>
  <sheetFormatPr defaultColWidth="9.33203125" defaultRowHeight="11.25"/>
  <cols>
    <col min="1" max="1" width="12.66015625" style="2" bestFit="1" customWidth="1"/>
    <col min="2" max="2" width="66" style="2" customWidth="1"/>
    <col min="3" max="12" width="14.83203125" style="2" customWidth="1"/>
    <col min="13" max="13" width="9.33203125" style="2" customWidth="1"/>
    <col min="14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8.75" customHeight="1">
      <c r="B2" s="110" t="s">
        <v>303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8.75" customHeight="1">
      <c r="B3" s="11"/>
      <c r="C3" s="212" t="s">
        <v>262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52">
        <f>Input!B2</f>
        <v>2016</v>
      </c>
      <c r="D4" s="29">
        <f aca="true" t="shared" si="0" ref="D4:I5">C4+1</f>
        <v>2017</v>
      </c>
      <c r="E4" s="29">
        <f t="shared" si="0"/>
        <v>2018</v>
      </c>
      <c r="F4" s="29">
        <f t="shared" si="0"/>
        <v>2019</v>
      </c>
      <c r="G4" s="29">
        <f t="shared" si="0"/>
        <v>2020</v>
      </c>
      <c r="H4" s="29">
        <f t="shared" si="0"/>
        <v>2021</v>
      </c>
      <c r="I4" s="29">
        <f t="shared" si="0"/>
        <v>2022</v>
      </c>
      <c r="J4" s="29">
        <f aca="true" t="shared" si="1" ref="J4:L5">I4+1</f>
        <v>2023</v>
      </c>
      <c r="K4" s="29">
        <f t="shared" si="1"/>
        <v>2024</v>
      </c>
      <c r="L4" s="29">
        <f t="shared" si="1"/>
        <v>2025</v>
      </c>
    </row>
    <row r="5" spans="1:18" s="28" customFormat="1" ht="18.75" customHeight="1">
      <c r="A5" s="258">
        <v>2016</v>
      </c>
      <c r="B5" s="28" t="s">
        <v>43</v>
      </c>
      <c r="C5" s="209">
        <v>1</v>
      </c>
      <c r="D5" s="209">
        <f>C5+1</f>
        <v>2</v>
      </c>
      <c r="E5" s="209">
        <f>D5+1</f>
        <v>3</v>
      </c>
      <c r="F5" s="209">
        <f>E5+1</f>
        <v>4</v>
      </c>
      <c r="G5" s="209">
        <f t="shared" si="0"/>
        <v>5</v>
      </c>
      <c r="H5" s="209">
        <f t="shared" si="0"/>
        <v>6</v>
      </c>
      <c r="I5" s="209">
        <f t="shared" si="0"/>
        <v>7</v>
      </c>
      <c r="J5" s="209">
        <f t="shared" si="1"/>
        <v>8</v>
      </c>
      <c r="K5" s="209">
        <f t="shared" si="1"/>
        <v>9</v>
      </c>
      <c r="L5" s="209">
        <f t="shared" si="1"/>
        <v>10</v>
      </c>
      <c r="M5" s="28" t="s">
        <v>21</v>
      </c>
      <c r="Q5" s="28" t="s">
        <v>257</v>
      </c>
      <c r="R5" s="2">
        <v>1</v>
      </c>
    </row>
    <row r="6" spans="2:18" ht="18.75" customHeight="1">
      <c r="B6" s="211" t="s">
        <v>35</v>
      </c>
      <c r="C6" s="12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21" t="s">
        <v>102</v>
      </c>
      <c r="B7" s="72" t="s">
        <v>380</v>
      </c>
      <c r="C7" s="172">
        <f>VLOOKUP(C$4,'Cash Flows-LGE'!$B$28:$H$38,$A8)</f>
        <v>2619786.18</v>
      </c>
      <c r="D7" s="172">
        <f>VLOOKUP(D$4,'Cash Flows-LGE'!$B$28:$H$38,$A8)</f>
        <v>0</v>
      </c>
      <c r="E7" s="172">
        <f>VLOOKUP(E$4,'Cash Flows-LGE'!$B$28:$H$38,$A8)</f>
        <v>0</v>
      </c>
      <c r="F7" s="172">
        <f>VLOOKUP(F$4,'Cash Flows-LGE'!$B$28:$H$38,$A8)</f>
        <v>0</v>
      </c>
      <c r="G7" s="172">
        <f>VLOOKUP(G$4,'Cash Flows-LGE'!$B$28:$H$38,$A8)</f>
        <v>0</v>
      </c>
      <c r="H7" s="172">
        <f>VLOOKUP(H$4,'Cash Flows-LGE'!$B$28:$H$38,$A8)</f>
        <v>0</v>
      </c>
      <c r="I7" s="172">
        <f>VLOOKUP(I$4,'Cash Flows-LGE'!$B$28:$H$38,$A8)</f>
        <v>0</v>
      </c>
      <c r="J7" s="172">
        <f>VLOOKUP(J$4,'Cash Flows-LGE'!$B$28:$H$38,$A8)</f>
        <v>0</v>
      </c>
      <c r="K7" s="172">
        <f>VLOOKUP(K$4,'Cash Flows-LGE'!$B$28:$H$38,$A8)</f>
        <v>0</v>
      </c>
      <c r="L7" s="172">
        <f>VLOOKUP(L$4,'Cash Flows-LGE'!$B$28:$H$38,$A8)</f>
        <v>0</v>
      </c>
      <c r="M7" s="172"/>
      <c r="Q7" s="28" t="s">
        <v>259</v>
      </c>
      <c r="R7" s="2">
        <v>3</v>
      </c>
    </row>
    <row r="8" spans="1:18" ht="18.75" customHeight="1">
      <c r="A8" s="3">
        <v>2</v>
      </c>
      <c r="B8" s="40" t="s">
        <v>57</v>
      </c>
      <c r="C8" s="172">
        <f>SUM($C7:C7)</f>
        <v>2619786.18</v>
      </c>
      <c r="D8" s="172">
        <f>SUM($C7:D7)</f>
        <v>2619786.18</v>
      </c>
      <c r="E8" s="172">
        <f>SUM($C7:E7)</f>
        <v>2619786.18</v>
      </c>
      <c r="F8" s="172">
        <f>SUM($C7:F7)</f>
        <v>2619786.18</v>
      </c>
      <c r="G8" s="172">
        <f>SUM($C7:G7)</f>
        <v>2619786.18</v>
      </c>
      <c r="H8" s="172">
        <f>SUM($C7:H7)</f>
        <v>2619786.18</v>
      </c>
      <c r="I8" s="172">
        <f>SUM($C7:I7)</f>
        <v>2619786.18</v>
      </c>
      <c r="J8" s="172">
        <f>SUM($C7:J7)</f>
        <v>2619786.18</v>
      </c>
      <c r="K8" s="172">
        <f>SUM($C7:K7)</f>
        <v>2619786.18</v>
      </c>
      <c r="L8" s="172">
        <f>SUM($C7:L7)</f>
        <v>2619786.18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0.0284</v>
      </c>
      <c r="D9" s="6">
        <f>IF(D5="",0,VLOOKUP($B6,Depreciation!$D$2:$E$31,$A9,FALSE))</f>
        <v>0.0284</v>
      </c>
      <c r="E9" s="6">
        <f>IF(E5="",0,VLOOKUP($B6,Depreciation!$D$2:$E$31,$A9,FALSE))</f>
        <v>0.0284</v>
      </c>
      <c r="F9" s="6">
        <f>IF(F5="",0,VLOOKUP($B6,Depreciation!$D$2:$E$31,$A9,FALSE))</f>
        <v>0.0284</v>
      </c>
      <c r="G9" s="6">
        <f>IF(G5="",0,VLOOKUP($B6,Depreciation!$D$2:$E$31,$A9,FALSE))</f>
        <v>0.0284</v>
      </c>
      <c r="H9" s="6">
        <f>IF(H5="",0,VLOOKUP($B6,Depreciation!$D$2:$E$31,$A9,FALSE))</f>
        <v>0.0284</v>
      </c>
      <c r="I9" s="6">
        <f>IF(I5="",0,VLOOKUP($B6,Depreciation!$D$2:$E$31,$A9,FALSE))</f>
        <v>0.0284</v>
      </c>
      <c r="J9" s="6">
        <f>IF(J5="",0,VLOOKUP($B6,Depreciation!$D$2:$E$31,$A9,FALSE))</f>
        <v>0.0284</v>
      </c>
      <c r="K9" s="6">
        <f>IF(K5="",0,VLOOKUP($B6,Depreciation!$D$2:$E$31,$A9,FALSE))</f>
        <v>0.0284</v>
      </c>
      <c r="L9" s="6">
        <f>IF(L5="",0,VLOOKUP($B6,Depreciation!$D$2:$E$31,$A9,FALSE))</f>
        <v>0.0284</v>
      </c>
      <c r="Q9" s="28" t="s">
        <v>261</v>
      </c>
      <c r="R9" s="2">
        <v>5</v>
      </c>
    </row>
    <row r="10" spans="1:18" ht="18.75" customHeight="1">
      <c r="A10" s="3">
        <v>2</v>
      </c>
      <c r="B10" s="5" t="s">
        <v>1</v>
      </c>
      <c r="C10" s="6">
        <f>IF(C5="",0,VLOOKUP(C5,Depreciation!$A$2:$C$58,$A10,FALSE))</f>
        <v>0.0375</v>
      </c>
      <c r="D10" s="6">
        <f>IF(D5="",0,VLOOKUP(D5,Depreciation!$A$2:$C$58,$A10,FALSE))</f>
        <v>0.07219</v>
      </c>
      <c r="E10" s="6">
        <f>IF(E5="",0,VLOOKUP(E5,Depreciation!$A$2:$C$58,$A10,FALSE))</f>
        <v>0.06677</v>
      </c>
      <c r="F10" s="6">
        <f>IF(F5="",0,VLOOKUP(F5,Depreciation!$A$2:$C$58,$A10,FALSE))</f>
        <v>0.06177</v>
      </c>
      <c r="G10" s="6">
        <f>IF(G5="",0,VLOOKUP(G5,Depreciation!$A$2:$C$58,$A10,FALSE))</f>
        <v>0.05713</v>
      </c>
      <c r="H10" s="6">
        <f>IF(H5="",0,VLOOKUP(H5,Depreciation!$A$2:$C$58,$A10,FALSE))</f>
        <v>0.05285</v>
      </c>
      <c r="I10" s="6">
        <f>IF(I5="",0,VLOOKUP(I5,Depreciation!$A$2:$C$58,$A10,FALSE))</f>
        <v>0.04888</v>
      </c>
      <c r="J10" s="6">
        <f>IF(J5="",0,VLOOKUP(J5,Depreciation!$A$2:$C$58,$A10,FALSE))</f>
        <v>0.04522</v>
      </c>
      <c r="K10" s="6">
        <f>IF(K5="",0,VLOOKUP(K5,Depreciation!$A$2:$C$58,$A10,FALSE))</f>
        <v>0.04462</v>
      </c>
      <c r="L10" s="6">
        <f>IF(L5="",0,VLOOKUP(L5,Depreciation!$A$2:$C$58,$A10,FALSE))</f>
        <v>0.04461</v>
      </c>
      <c r="Q10" s="28" t="s">
        <v>262</v>
      </c>
      <c r="R10" s="2">
        <v>6</v>
      </c>
    </row>
    <row r="11" spans="2:18" s="30" customFormat="1" ht="18.75" customHeight="1"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2:18" ht="18.75" customHeight="1">
      <c r="B12" s="2" t="s">
        <v>3</v>
      </c>
      <c r="C12" s="170">
        <f>SUM($C23:C23)</f>
        <v>509893.58281140786</v>
      </c>
      <c r="D12" s="170">
        <f>SUM($C23:D23)</f>
        <v>517688.36021634884</v>
      </c>
      <c r="E12" s="170">
        <f>SUM($C23:E23)</f>
        <v>522737.99834027747</v>
      </c>
      <c r="F12" s="170">
        <f>SUM($C23:F23)</f>
        <v>525255.220153309</v>
      </c>
      <c r="G12" s="170">
        <f>SUM($C23:G23)</f>
        <v>525422.3596298283</v>
      </c>
      <c r="H12" s="170">
        <f>SUM($C23:H23)</f>
        <v>523421.75074421964</v>
      </c>
      <c r="I12" s="170">
        <f>SUM($C23:I23)</f>
        <v>519410.4033077588</v>
      </c>
      <c r="J12" s="170">
        <f>SUM($C23:J23)</f>
        <v>513545.32713172137</v>
      </c>
      <c r="K12" s="170">
        <f>SUM($C23:K23)</f>
        <v>507376.3609983763</v>
      </c>
      <c r="L12" s="170">
        <f>SUM($C23:L23)</f>
        <v>501202.3300324094</v>
      </c>
      <c r="Q12" s="28" t="s">
        <v>264</v>
      </c>
      <c r="R12" s="2">
        <v>8</v>
      </c>
    </row>
    <row r="13" spans="2:18" ht="18.75" customHeight="1">
      <c r="B13" s="2" t="s">
        <v>4</v>
      </c>
      <c r="C13" s="170">
        <f>SUM($C15:C15)</f>
        <v>40301.044069</v>
      </c>
      <c r="D13" s="170">
        <f>SUM($C15:D15)</f>
        <v>114702.97158100002</v>
      </c>
      <c r="E13" s="170">
        <f>SUM($C15:E15)</f>
        <v>189104.89909300004</v>
      </c>
      <c r="F13" s="170">
        <f>SUM($C15:F15)</f>
        <v>263506.82660500007</v>
      </c>
      <c r="G13" s="170">
        <f>SUM($C15:G15)</f>
        <v>337908.7541170001</v>
      </c>
      <c r="H13" s="170">
        <f>SUM($C15:H15)</f>
        <v>412310.6816290001</v>
      </c>
      <c r="I13" s="170">
        <f>SUM($C15:I15)</f>
        <v>486712.60914100014</v>
      </c>
      <c r="J13" s="170">
        <f>SUM($C15:J15)</f>
        <v>561114.5366530002</v>
      </c>
      <c r="K13" s="170">
        <f>SUM($C15:K15)</f>
        <v>635516.4641650001</v>
      </c>
      <c r="L13" s="170">
        <f>SUM($C15:L15)</f>
        <v>709918.3916770001</v>
      </c>
      <c r="Q13" s="28" t="s">
        <v>265</v>
      </c>
      <c r="R13" s="2">
        <v>9</v>
      </c>
    </row>
    <row r="14" spans="2:18" ht="18.75" customHeight="1">
      <c r="B14" s="11" t="s">
        <v>5</v>
      </c>
      <c r="C14" s="170">
        <f>C7</f>
        <v>2619786.18</v>
      </c>
      <c r="D14" s="170">
        <f>C14+D7</f>
        <v>2619786.18</v>
      </c>
      <c r="E14" s="170">
        <f aca="true" t="shared" si="2" ref="E14:L14">D14+E7</f>
        <v>2619786.18</v>
      </c>
      <c r="F14" s="170">
        <f t="shared" si="2"/>
        <v>2619786.18</v>
      </c>
      <c r="G14" s="170">
        <f t="shared" si="2"/>
        <v>2619786.18</v>
      </c>
      <c r="H14" s="170">
        <f t="shared" si="2"/>
        <v>2619786.18</v>
      </c>
      <c r="I14" s="170">
        <f t="shared" si="2"/>
        <v>2619786.18</v>
      </c>
      <c r="J14" s="170">
        <f t="shared" si="2"/>
        <v>2619786.18</v>
      </c>
      <c r="K14" s="170">
        <f t="shared" si="2"/>
        <v>2619786.18</v>
      </c>
      <c r="L14" s="170">
        <f t="shared" si="2"/>
        <v>2619786.18</v>
      </c>
      <c r="Q14" s="28" t="s">
        <v>266</v>
      </c>
      <c r="R14" s="2">
        <v>10</v>
      </c>
    </row>
    <row r="15" spans="1:18" ht="18.75" customHeight="1">
      <c r="A15" s="214" t="s">
        <v>359</v>
      </c>
      <c r="B15" s="11" t="s">
        <v>6</v>
      </c>
      <c r="C15" s="170">
        <f aca="true" t="shared" si="3" ref="C15:L15">IF(C5=1,(12.5-VLOOKUP(C3,$Q$5:$R$16,2,))*C9/12*C14,C14*C9)</f>
        <v>40301.044069</v>
      </c>
      <c r="D15" s="170">
        <f t="shared" si="3"/>
        <v>74401.92751200001</v>
      </c>
      <c r="E15" s="170">
        <f t="shared" si="3"/>
        <v>74401.92751200001</v>
      </c>
      <c r="F15" s="170">
        <f t="shared" si="3"/>
        <v>74401.92751200001</v>
      </c>
      <c r="G15" s="170">
        <f t="shared" si="3"/>
        <v>74401.92751200001</v>
      </c>
      <c r="H15" s="170">
        <f t="shared" si="3"/>
        <v>74401.92751200001</v>
      </c>
      <c r="I15" s="170">
        <f t="shared" si="3"/>
        <v>74401.92751200001</v>
      </c>
      <c r="J15" s="170">
        <f t="shared" si="3"/>
        <v>74401.92751200001</v>
      </c>
      <c r="K15" s="170">
        <f t="shared" si="3"/>
        <v>74401.92751200001</v>
      </c>
      <c r="L15" s="170">
        <f t="shared" si="3"/>
        <v>74401.92751200001</v>
      </c>
      <c r="Q15" s="28" t="s">
        <v>267</v>
      </c>
      <c r="R15" s="2">
        <v>11</v>
      </c>
    </row>
    <row r="16" spans="2:18" ht="18.75" customHeight="1">
      <c r="B16" s="5" t="s">
        <v>7</v>
      </c>
      <c r="C16" s="170">
        <f>C7</f>
        <v>2619786.18</v>
      </c>
      <c r="D16" s="170">
        <f aca="true" t="shared" si="4" ref="D16:L16">C16+D7</f>
        <v>2619786.18</v>
      </c>
      <c r="E16" s="170">
        <f t="shared" si="4"/>
        <v>2619786.18</v>
      </c>
      <c r="F16" s="170">
        <f t="shared" si="4"/>
        <v>2619786.18</v>
      </c>
      <c r="G16" s="170">
        <f t="shared" si="4"/>
        <v>2619786.18</v>
      </c>
      <c r="H16" s="170">
        <f t="shared" si="4"/>
        <v>2619786.18</v>
      </c>
      <c r="I16" s="170">
        <f t="shared" si="4"/>
        <v>2619786.18</v>
      </c>
      <c r="J16" s="170">
        <f t="shared" si="4"/>
        <v>2619786.18</v>
      </c>
      <c r="K16" s="170">
        <f t="shared" si="4"/>
        <v>2619786.18</v>
      </c>
      <c r="L16" s="170">
        <f t="shared" si="4"/>
        <v>2619786.18</v>
      </c>
      <c r="Q16" s="28" t="s">
        <v>268</v>
      </c>
      <c r="R16" s="2">
        <v>12</v>
      </c>
    </row>
    <row r="17" spans="2:12" ht="18.75" customHeight="1">
      <c r="B17" s="213" t="s">
        <v>361</v>
      </c>
      <c r="C17" s="170">
        <f>IF(C5=1,IF($A15="Bonus",SUM($C7:C7)*VLOOKUP(C4,Depreciation!$D$41:$E$50,2),0),0)</f>
        <v>1309893.09</v>
      </c>
      <c r="D17" s="170">
        <f>IF(D5=1,IF($A15="Bonus",SUM($C7:D7)*VLOOKUP(D4,Depreciation!$D$41:$E$50,2),0),0)</f>
        <v>0</v>
      </c>
      <c r="E17" s="170">
        <f>IF(E5=1,IF($A15="Bonus",SUM($C7:E7)*VLOOKUP(E4,Depreciation!$D$41:$E$50,2),0),0)</f>
        <v>0</v>
      </c>
      <c r="F17" s="170">
        <f>IF(F5=1,IF($A15="Bonus",SUM($C7:F7)*VLOOKUP(F4,Depreciation!$D$41:$E$50,2),0),0)</f>
        <v>0</v>
      </c>
      <c r="G17" s="170">
        <f>IF(G5=1,IF($A15="Bonus",SUM($C7:G7)*VLOOKUP(G4,Depreciation!$D$41:$E$50,2),0),0)</f>
        <v>0</v>
      </c>
      <c r="H17" s="170">
        <f>IF(H5=1,IF($A15="Bonus",SUM($C7:H7)*VLOOKUP(H4,Depreciation!$D$41:$E$50,2),0),0)</f>
        <v>0</v>
      </c>
      <c r="I17" s="170">
        <f>IF(I5=1,IF($A15="Bonus",SUM($C7:I7)*VLOOKUP(I4,Depreciation!$D$41:$E$50,2),0),0)</f>
        <v>0</v>
      </c>
      <c r="J17" s="170">
        <f>IF(J5=1,IF($A15="Bonus",SUM($C7:J7)*VLOOKUP(J4,Depreciation!$D$41:$E$50,2),0),0)</f>
        <v>0</v>
      </c>
      <c r="K17" s="170">
        <f>IF(K5=1,IF($A15="Bonus",SUM($C7:K7)*VLOOKUP(K4,Depreciation!$D$41:$E$50,2),0),0)</f>
        <v>0</v>
      </c>
      <c r="L17" s="170">
        <f>IF(L5=1,IF($A15="Bonus",SUM($C7:L7)*VLOOKUP(L4,Depreciation!$D$41:$E$50,2),0),0)</f>
        <v>0</v>
      </c>
    </row>
    <row r="18" spans="2:13" ht="18.75" customHeight="1">
      <c r="B18" s="5" t="s">
        <v>362</v>
      </c>
      <c r="C18" s="170">
        <f>IF(C5&gt;=1,IF($A15="Bonus",C8*(1-VLOOKUP($A5,Depreciation!$D$41:$N$50,C4-2014))*C10,C8*C10),C8*C10)</f>
        <v>49120.990875</v>
      </c>
      <c r="D18" s="170">
        <f>IF(D5&gt;=1,IF($A15="Bonus",D8*(1-VLOOKUP($A5,Depreciation!$D$41:$N$50,D4-2014))*D10,D8*D10),D8*D10)</f>
        <v>94561.1821671</v>
      </c>
      <c r="E18" s="170">
        <f>IF(E5&gt;=1,IF($A15="Bonus",E8*(1-VLOOKUP($A5,Depreciation!$D$41:$N$50,E4-2014))*E10,E8*E10),E8*E10)</f>
        <v>87461.5616193</v>
      </c>
      <c r="F18" s="170">
        <f>IF(F5&gt;=1,IF($A15="Bonus",F8*(1-VLOOKUP($A5,Depreciation!$D$41:$N$50,F4-2014))*F10,F8*F10),F8*F10)</f>
        <v>80912.0961693</v>
      </c>
      <c r="G18" s="170">
        <f>IF(G5&gt;=1,IF($A15="Bonus",G8*(1-VLOOKUP($A5,Depreciation!$D$41:$N$50,G4-2014))*G10,G8*G10),G8*G10)</f>
        <v>74834.1922317</v>
      </c>
      <c r="H18" s="170">
        <f>IF(H5&gt;=1,IF($A15="Bonus",H8*(1-VLOOKUP($A5,Depreciation!$D$41:$N$50,H4-2014))*H10,H8*H10),H8*H10)</f>
        <v>69227.8498065</v>
      </c>
      <c r="I18" s="170">
        <f>IF(I5&gt;=1,IF($A15="Bonus",I8*(1-VLOOKUP($A5,Depreciation!$D$41:$N$50,I4-2014))*I10,I8*I10),I8*I10)</f>
        <v>64027.5742392</v>
      </c>
      <c r="J18" s="170">
        <f>IF(J5&gt;=1,IF($A15="Bonus",J8*(1-VLOOKUP($A5,Depreciation!$D$41:$N$50,J4-2014))*J10,J8*J10),J8*J10)</f>
        <v>59233.36552980001</v>
      </c>
      <c r="K18" s="170">
        <f>IF(K5&gt;=1,IF($A15="Bonus",K8*(1-VLOOKUP($A5,Depreciation!$D$41:$N$50,K4-2014))*K10,K8*K10),K8*K10)</f>
        <v>58447.429675800005</v>
      </c>
      <c r="L18" s="170">
        <f>IF(L5&gt;=1,IF($A15="Bonus",L8*(1-VLOOKUP($A5,Depreciation!$D$41:$N$50,L4-2014))*L10,L8*L10),L8*L10)</f>
        <v>58434.3307449</v>
      </c>
      <c r="M18" s="257"/>
    </row>
    <row r="19" spans="2:12" ht="18.75" customHeight="1">
      <c r="B19" s="5" t="s">
        <v>17</v>
      </c>
      <c r="C19" s="7">
        <f>Input!I$19</f>
        <v>0.09991333016039017</v>
      </c>
      <c r="D19" s="7">
        <f>Input!J$19</f>
        <v>0.09991333016039017</v>
      </c>
      <c r="E19" s="7">
        <f>Input!K$19</f>
        <v>0.09991333016039017</v>
      </c>
      <c r="F19" s="7">
        <f>Input!L$19</f>
        <v>0.09991333016039017</v>
      </c>
      <c r="G19" s="7">
        <f>Input!M$19</f>
        <v>0.09991333016039017</v>
      </c>
      <c r="H19" s="7">
        <f>Input!N$19</f>
        <v>0.09991333016039017</v>
      </c>
      <c r="I19" s="7">
        <f>Input!O$19</f>
        <v>0.09991333016039017</v>
      </c>
      <c r="J19" s="7">
        <f>Input!P$19</f>
        <v>0.09991333016039017</v>
      </c>
      <c r="K19" s="7">
        <f>Input!Q$19</f>
        <v>0.09991333016039017</v>
      </c>
      <c r="L19" s="7">
        <f>Input!R$19</f>
        <v>0.09991333016039017</v>
      </c>
    </row>
    <row r="20" spans="2:12" ht="18.75" customHeight="1">
      <c r="B20" s="5" t="s">
        <v>8</v>
      </c>
      <c r="C20" s="171">
        <f>C15</f>
        <v>40301.044069</v>
      </c>
      <c r="D20" s="171">
        <f aca="true" t="shared" si="5" ref="D20:L20">D15</f>
        <v>74401.92751200001</v>
      </c>
      <c r="E20" s="171">
        <f t="shared" si="5"/>
        <v>74401.92751200001</v>
      </c>
      <c r="F20" s="171">
        <f t="shared" si="5"/>
        <v>74401.92751200001</v>
      </c>
      <c r="G20" s="171">
        <f t="shared" si="5"/>
        <v>74401.92751200001</v>
      </c>
      <c r="H20" s="171">
        <f t="shared" si="5"/>
        <v>74401.92751200001</v>
      </c>
      <c r="I20" s="171">
        <f t="shared" si="5"/>
        <v>74401.92751200001</v>
      </c>
      <c r="J20" s="171">
        <f t="shared" si="5"/>
        <v>74401.92751200001</v>
      </c>
      <c r="K20" s="171">
        <f t="shared" si="5"/>
        <v>74401.92751200001</v>
      </c>
      <c r="L20" s="171">
        <f t="shared" si="5"/>
        <v>74401.92751200001</v>
      </c>
    </row>
    <row r="21" spans="2:12" ht="18.75" customHeight="1">
      <c r="B21" s="11" t="s">
        <v>364</v>
      </c>
      <c r="C21" s="171">
        <f aca="true" t="shared" si="6" ref="C21:L21">SUM(C17,C18)</f>
        <v>1359014.080875</v>
      </c>
      <c r="D21" s="171">
        <f t="shared" si="6"/>
        <v>94561.1821671</v>
      </c>
      <c r="E21" s="171">
        <f t="shared" si="6"/>
        <v>87461.5616193</v>
      </c>
      <c r="F21" s="171">
        <f t="shared" si="6"/>
        <v>80912.0961693</v>
      </c>
      <c r="G21" s="171">
        <f t="shared" si="6"/>
        <v>74834.1922317</v>
      </c>
      <c r="H21" s="171">
        <f t="shared" si="6"/>
        <v>69227.8498065</v>
      </c>
      <c r="I21" s="171">
        <f t="shared" si="6"/>
        <v>64027.5742392</v>
      </c>
      <c r="J21" s="171">
        <f t="shared" si="6"/>
        <v>59233.36552980001</v>
      </c>
      <c r="K21" s="171">
        <f t="shared" si="6"/>
        <v>58447.429675800005</v>
      </c>
      <c r="L21" s="171">
        <f t="shared" si="6"/>
        <v>58434.3307449</v>
      </c>
    </row>
    <row r="22" spans="2:12" ht="18.75" customHeight="1">
      <c r="B22" s="2" t="s">
        <v>9</v>
      </c>
      <c r="C22" s="8">
        <f>Input!$B$6</f>
        <v>0.0015</v>
      </c>
      <c r="D22" s="8">
        <f aca="true" t="shared" si="7" ref="D22:I22">C22</f>
        <v>0.0015</v>
      </c>
      <c r="E22" s="8">
        <f t="shared" si="7"/>
        <v>0.0015</v>
      </c>
      <c r="F22" s="8">
        <f t="shared" si="7"/>
        <v>0.0015</v>
      </c>
      <c r="G22" s="8">
        <f t="shared" si="7"/>
        <v>0.0015</v>
      </c>
      <c r="H22" s="8">
        <f t="shared" si="7"/>
        <v>0.0015</v>
      </c>
      <c r="I22" s="8">
        <f t="shared" si="7"/>
        <v>0.0015</v>
      </c>
      <c r="J22" s="8">
        <f>I22</f>
        <v>0.0015</v>
      </c>
      <c r="K22" s="8">
        <f>J22</f>
        <v>0.0015</v>
      </c>
      <c r="L22" s="8">
        <f>K22</f>
        <v>0.0015</v>
      </c>
    </row>
    <row r="23" spans="2:12" ht="18.75" customHeight="1">
      <c r="B23" s="4" t="s">
        <v>363</v>
      </c>
      <c r="C23" s="171">
        <f aca="true" t="shared" si="8" ref="C23:L23">(C21-C20)*C11</f>
        <v>509893.58281140786</v>
      </c>
      <c r="D23" s="171">
        <f t="shared" si="8"/>
        <v>7794.7774049409645</v>
      </c>
      <c r="E23" s="171">
        <f t="shared" si="8"/>
        <v>5049.638123928615</v>
      </c>
      <c r="F23" s="171">
        <f t="shared" si="8"/>
        <v>2517.2218130316137</v>
      </c>
      <c r="G23" s="171">
        <f t="shared" si="8"/>
        <v>167.13947651919798</v>
      </c>
      <c r="H23" s="171">
        <f t="shared" si="8"/>
        <v>-2000.6088856086326</v>
      </c>
      <c r="I23" s="171">
        <f t="shared" si="8"/>
        <v>-4011.34743646085</v>
      </c>
      <c r="J23" s="171">
        <f t="shared" si="8"/>
        <v>-5865.076176037452</v>
      </c>
      <c r="K23" s="171">
        <f t="shared" si="8"/>
        <v>-6168.966133345092</v>
      </c>
      <c r="L23" s="171">
        <f t="shared" si="8"/>
        <v>-6174.030965966889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9" ref="C26:L26">C8</f>
        <v>2619786.18</v>
      </c>
      <c r="D26" s="169">
        <f t="shared" si="9"/>
        <v>2619786.18</v>
      </c>
      <c r="E26" s="169">
        <f t="shared" si="9"/>
        <v>2619786.18</v>
      </c>
      <c r="F26" s="169">
        <f t="shared" si="9"/>
        <v>2619786.18</v>
      </c>
      <c r="G26" s="169">
        <f t="shared" si="9"/>
        <v>2619786.18</v>
      </c>
      <c r="H26" s="169">
        <f t="shared" si="9"/>
        <v>2619786.18</v>
      </c>
      <c r="I26" s="169">
        <f t="shared" si="9"/>
        <v>2619786.18</v>
      </c>
      <c r="J26" s="169">
        <f t="shared" si="9"/>
        <v>2619786.18</v>
      </c>
      <c r="K26" s="169">
        <f t="shared" si="9"/>
        <v>2619786.18</v>
      </c>
      <c r="L26" s="169">
        <f t="shared" si="9"/>
        <v>2619786.18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10" ref="D27:I27">C27</f>
        <v>0</v>
      </c>
      <c r="E27" s="170">
        <f t="shared" si="10"/>
        <v>0</v>
      </c>
      <c r="F27" s="170">
        <f t="shared" si="10"/>
        <v>0</v>
      </c>
      <c r="G27" s="170">
        <f t="shared" si="10"/>
        <v>0</v>
      </c>
      <c r="H27" s="170">
        <f t="shared" si="10"/>
        <v>0</v>
      </c>
      <c r="I27" s="170">
        <f t="shared" si="10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2" ht="18.75" customHeight="1">
      <c r="B28" s="2" t="s">
        <v>10</v>
      </c>
      <c r="C28" s="170">
        <f aca="true" t="shared" si="11" ref="C28:L28">-C13</f>
        <v>-40301.044069</v>
      </c>
      <c r="D28" s="170">
        <f t="shared" si="11"/>
        <v>-114702.97158100002</v>
      </c>
      <c r="E28" s="170">
        <f t="shared" si="11"/>
        <v>-189104.89909300004</v>
      </c>
      <c r="F28" s="170">
        <f t="shared" si="11"/>
        <v>-263506.82660500007</v>
      </c>
      <c r="G28" s="170">
        <f t="shared" si="11"/>
        <v>-337908.7541170001</v>
      </c>
      <c r="H28" s="170">
        <f t="shared" si="11"/>
        <v>-412310.6816290001</v>
      </c>
      <c r="I28" s="170">
        <f t="shared" si="11"/>
        <v>-486712.60914100014</v>
      </c>
      <c r="J28" s="170">
        <f t="shared" si="11"/>
        <v>-561114.5366530002</v>
      </c>
      <c r="K28" s="170">
        <f t="shared" si="11"/>
        <v>-635516.4641650001</v>
      </c>
      <c r="L28" s="170">
        <f t="shared" si="11"/>
        <v>-709918.3916770001</v>
      </c>
    </row>
    <row r="29" spans="2:12" ht="18.75" customHeight="1">
      <c r="B29" s="2" t="s">
        <v>45</v>
      </c>
      <c r="C29" s="170">
        <v>0</v>
      </c>
      <c r="D29" s="170">
        <f aca="true" t="shared" si="12" ref="D29:I29">C29</f>
        <v>0</v>
      </c>
      <c r="E29" s="170">
        <f t="shared" si="12"/>
        <v>0</v>
      </c>
      <c r="F29" s="170">
        <f t="shared" si="12"/>
        <v>0</v>
      </c>
      <c r="G29" s="170">
        <f t="shared" si="12"/>
        <v>0</v>
      </c>
      <c r="H29" s="170">
        <f t="shared" si="12"/>
        <v>0</v>
      </c>
      <c r="I29" s="170">
        <f t="shared" si="12"/>
        <v>0</v>
      </c>
      <c r="J29" s="170">
        <f>I29</f>
        <v>0</v>
      </c>
      <c r="K29" s="170">
        <f>J29</f>
        <v>0</v>
      </c>
      <c r="L29" s="170">
        <f>K29</f>
        <v>0</v>
      </c>
    </row>
    <row r="30" spans="2:12" ht="18.75" customHeight="1">
      <c r="B30" s="2" t="s">
        <v>46</v>
      </c>
      <c r="C30" s="170">
        <f aca="true" t="shared" si="13" ref="C30:L30">-C12</f>
        <v>-509893.58281140786</v>
      </c>
      <c r="D30" s="170">
        <f t="shared" si="13"/>
        <v>-517688.36021634884</v>
      </c>
      <c r="E30" s="170">
        <f t="shared" si="13"/>
        <v>-522737.99834027747</v>
      </c>
      <c r="F30" s="170">
        <f t="shared" si="13"/>
        <v>-525255.220153309</v>
      </c>
      <c r="G30" s="170">
        <f t="shared" si="13"/>
        <v>-525422.3596298283</v>
      </c>
      <c r="H30" s="170">
        <f t="shared" si="13"/>
        <v>-523421.75074421964</v>
      </c>
      <c r="I30" s="170">
        <f t="shared" si="13"/>
        <v>-519410.4033077588</v>
      </c>
      <c r="J30" s="170">
        <f t="shared" si="13"/>
        <v>-513545.32713172137</v>
      </c>
      <c r="K30" s="170">
        <f t="shared" si="13"/>
        <v>-507376.3609983763</v>
      </c>
      <c r="L30" s="170">
        <f t="shared" si="13"/>
        <v>-501202.3300324094</v>
      </c>
    </row>
    <row r="31" spans="2:12" ht="18.75" customHeight="1">
      <c r="B31" s="2" t="s">
        <v>47</v>
      </c>
      <c r="C31" s="170">
        <v>0</v>
      </c>
      <c r="D31" s="170">
        <f aca="true" t="shared" si="14" ref="D31:I31">C31</f>
        <v>0</v>
      </c>
      <c r="E31" s="170">
        <f t="shared" si="14"/>
        <v>0</v>
      </c>
      <c r="F31" s="170">
        <f t="shared" si="14"/>
        <v>0</v>
      </c>
      <c r="G31" s="170">
        <f t="shared" si="14"/>
        <v>0</v>
      </c>
      <c r="H31" s="170">
        <f t="shared" si="14"/>
        <v>0</v>
      </c>
      <c r="I31" s="170">
        <f t="shared" si="14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>SUM(C26:C31)</f>
        <v>2069591.5531195924</v>
      </c>
      <c r="D32" s="170">
        <f aca="true" t="shared" si="15" ref="D32:I32">SUM(D26:D31)</f>
        <v>1987394.8482026514</v>
      </c>
      <c r="E32" s="170">
        <f t="shared" si="15"/>
        <v>1907943.2825667225</v>
      </c>
      <c r="F32" s="170">
        <f t="shared" si="15"/>
        <v>1831024.1332416912</v>
      </c>
      <c r="G32" s="170">
        <f>SUM(G26:G31)</f>
        <v>1756455.066253172</v>
      </c>
      <c r="H32" s="170">
        <f t="shared" si="15"/>
        <v>1684053.7476267803</v>
      </c>
      <c r="I32" s="170">
        <f t="shared" si="15"/>
        <v>1613663.1675512413</v>
      </c>
      <c r="J32" s="170">
        <f>SUM(J26:J31)</f>
        <v>1545126.3162152786</v>
      </c>
      <c r="K32" s="170">
        <f>SUM(K26:K31)</f>
        <v>1476893.3548366237</v>
      </c>
      <c r="L32" s="170">
        <f>SUM(L26:L31)</f>
        <v>1408665.4582905907</v>
      </c>
    </row>
    <row r="33" spans="2:12" ht="18.75" customHeight="1">
      <c r="B33" s="2" t="s">
        <v>12</v>
      </c>
      <c r="C33" s="7">
        <f>C19</f>
        <v>0.09991333016039017</v>
      </c>
      <c r="D33" s="7">
        <f aca="true" t="shared" si="16" ref="D33:I33">D19</f>
        <v>0.09991333016039017</v>
      </c>
      <c r="E33" s="7">
        <f t="shared" si="16"/>
        <v>0.09991333016039017</v>
      </c>
      <c r="F33" s="7">
        <f t="shared" si="16"/>
        <v>0.09991333016039017</v>
      </c>
      <c r="G33" s="7">
        <f t="shared" si="16"/>
        <v>0.09991333016039017</v>
      </c>
      <c r="H33" s="7">
        <f t="shared" si="16"/>
        <v>0.09991333016039017</v>
      </c>
      <c r="I33" s="7">
        <f t="shared" si="16"/>
        <v>0.09991333016039017</v>
      </c>
      <c r="J33" s="7">
        <f>J19</f>
        <v>0.09991333016039017</v>
      </c>
      <c r="K33" s="7">
        <f>K19</f>
        <v>0.09991333016039017</v>
      </c>
      <c r="L33" s="7">
        <f>L19</f>
        <v>0.09991333016039017</v>
      </c>
    </row>
    <row r="34" spans="2:12" ht="18.75" customHeight="1">
      <c r="B34" s="34" t="s">
        <v>58</v>
      </c>
      <c r="C34" s="174">
        <f>C32*C33</f>
        <v>206779.7841439925</v>
      </c>
      <c r="D34" s="174">
        <f aca="true" t="shared" si="17" ref="D34:I34">D32*D33</f>
        <v>198567.23762753</v>
      </c>
      <c r="E34" s="174">
        <f t="shared" si="17"/>
        <v>190628.96711838755</v>
      </c>
      <c r="F34" s="174">
        <f t="shared" si="17"/>
        <v>182943.7187562193</v>
      </c>
      <c r="G34" s="174">
        <f t="shared" si="17"/>
        <v>175493.27494644315</v>
      </c>
      <c r="H34" s="174">
        <f t="shared" si="17"/>
        <v>168259.4180944769</v>
      </c>
      <c r="I34" s="174">
        <f t="shared" si="17"/>
        <v>161226.46082720818</v>
      </c>
      <c r="J34" s="174">
        <f>J32*J33</f>
        <v>154378.71577152456</v>
      </c>
      <c r="K34" s="174">
        <f>K32*K33</f>
        <v>147561.33337347786</v>
      </c>
      <c r="L34" s="174">
        <f>L32*L33</f>
        <v>140744.45701972512</v>
      </c>
    </row>
    <row r="35" spans="2:12" s="3" customFormat="1" ht="18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8.75" customHeight="1">
      <c r="B36" s="1" t="s">
        <v>52</v>
      </c>
      <c r="C36" s="170">
        <v>0</v>
      </c>
      <c r="D36" s="170">
        <f>C36</f>
        <v>0</v>
      </c>
      <c r="E36" s="170">
        <f aca="true" t="shared" si="18" ref="E36:L36">D36</f>
        <v>0</v>
      </c>
      <c r="F36" s="170">
        <f t="shared" si="18"/>
        <v>0</v>
      </c>
      <c r="G36" s="170">
        <f t="shared" si="18"/>
        <v>0</v>
      </c>
      <c r="H36" s="170">
        <f t="shared" si="18"/>
        <v>0</v>
      </c>
      <c r="I36" s="170">
        <f t="shared" si="18"/>
        <v>0</v>
      </c>
      <c r="J36" s="170">
        <f t="shared" si="18"/>
        <v>0</v>
      </c>
      <c r="K36" s="170">
        <f t="shared" si="18"/>
        <v>0</v>
      </c>
      <c r="L36" s="170">
        <f t="shared" si="18"/>
        <v>0</v>
      </c>
    </row>
    <row r="37" spans="2:12" ht="18.75" customHeight="1">
      <c r="B37" s="2" t="s">
        <v>48</v>
      </c>
      <c r="C37" s="170">
        <f>C20</f>
        <v>40301.044069</v>
      </c>
      <c r="D37" s="170">
        <f aca="true" t="shared" si="19" ref="D37:I37">D20</f>
        <v>74401.92751200001</v>
      </c>
      <c r="E37" s="170">
        <f t="shared" si="19"/>
        <v>74401.92751200001</v>
      </c>
      <c r="F37" s="170">
        <f t="shared" si="19"/>
        <v>74401.92751200001</v>
      </c>
      <c r="G37" s="170">
        <f t="shared" si="19"/>
        <v>74401.92751200001</v>
      </c>
      <c r="H37" s="170">
        <f t="shared" si="19"/>
        <v>74401.92751200001</v>
      </c>
      <c r="I37" s="170">
        <f t="shared" si="19"/>
        <v>74401.92751200001</v>
      </c>
      <c r="J37" s="170">
        <f>J20</f>
        <v>74401.92751200001</v>
      </c>
      <c r="K37" s="170">
        <f>K20</f>
        <v>74401.92751200001</v>
      </c>
      <c r="L37" s="170">
        <f>L20</f>
        <v>74401.92751200001</v>
      </c>
    </row>
    <row r="38" spans="2:12" ht="18.75" customHeight="1">
      <c r="B38" s="2" t="s">
        <v>49</v>
      </c>
      <c r="C38" s="170">
        <v>0</v>
      </c>
      <c r="D38" s="170">
        <f aca="true" t="shared" si="20" ref="D38:I38">C38</f>
        <v>0</v>
      </c>
      <c r="E38" s="170">
        <f t="shared" si="20"/>
        <v>0</v>
      </c>
      <c r="F38" s="170">
        <f t="shared" si="20"/>
        <v>0</v>
      </c>
      <c r="G38" s="170">
        <f t="shared" si="20"/>
        <v>0</v>
      </c>
      <c r="H38" s="170">
        <f t="shared" si="20"/>
        <v>0</v>
      </c>
      <c r="I38" s="170">
        <f t="shared" si="20"/>
        <v>0</v>
      </c>
      <c r="J38" s="170">
        <f>I38</f>
        <v>0</v>
      </c>
      <c r="K38" s="170">
        <f>J38</f>
        <v>0</v>
      </c>
      <c r="L38" s="170">
        <f>K38</f>
        <v>0</v>
      </c>
    </row>
    <row r="39" spans="2:12" ht="18.75" customHeight="1">
      <c r="B39" s="2" t="s">
        <v>50</v>
      </c>
      <c r="C39" s="170">
        <v>0</v>
      </c>
      <c r="D39" s="170">
        <f aca="true" t="shared" si="21" ref="D39:I39">D22*(C26+C28)</f>
        <v>3869.2277038965003</v>
      </c>
      <c r="E39" s="170">
        <f t="shared" si="21"/>
        <v>3757.6248126285004</v>
      </c>
      <c r="F39" s="170">
        <f t="shared" si="21"/>
        <v>3646.0219213605</v>
      </c>
      <c r="G39" s="170">
        <f t="shared" si="21"/>
        <v>3534.4190300925</v>
      </c>
      <c r="H39" s="170">
        <f t="shared" si="21"/>
        <v>3422.8161388245003</v>
      </c>
      <c r="I39" s="170">
        <f t="shared" si="21"/>
        <v>3311.2132475565</v>
      </c>
      <c r="J39" s="170">
        <f>J22*(I26+I28)</f>
        <v>3199.6103562885</v>
      </c>
      <c r="K39" s="170">
        <f>K22*(J26+J28)</f>
        <v>3088.0074650205</v>
      </c>
      <c r="L39" s="170">
        <f>L22*(K26+K28)</f>
        <v>2976.4045737525</v>
      </c>
    </row>
    <row r="40" spans="2:12" ht="18.75" customHeight="1">
      <c r="B40" s="21" t="s">
        <v>51</v>
      </c>
      <c r="C40" s="174">
        <f aca="true" t="shared" si="22" ref="C40:I40">SUM(C36:C39)</f>
        <v>40301.044069</v>
      </c>
      <c r="D40" s="174">
        <f t="shared" si="22"/>
        <v>78271.1552158965</v>
      </c>
      <c r="E40" s="174">
        <f t="shared" si="22"/>
        <v>78159.55232462852</v>
      </c>
      <c r="F40" s="174">
        <f t="shared" si="22"/>
        <v>78047.94943336051</v>
      </c>
      <c r="G40" s="174">
        <f t="shared" si="22"/>
        <v>77936.3465420925</v>
      </c>
      <c r="H40" s="174">
        <f t="shared" si="22"/>
        <v>77824.74365082452</v>
      </c>
      <c r="I40" s="174">
        <f t="shared" si="22"/>
        <v>77713.14075955651</v>
      </c>
      <c r="J40" s="174">
        <f>SUM(J36:J39)</f>
        <v>77601.5378682885</v>
      </c>
      <c r="K40" s="174">
        <f>SUM(K36:K39)</f>
        <v>77489.93497702052</v>
      </c>
      <c r="L40" s="174">
        <f>SUM(L36:L39)</f>
        <v>77378.33208575251</v>
      </c>
    </row>
    <row r="41" spans="3:12" ht="18.75" customHeight="1">
      <c r="C41" s="34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2:12" ht="18.75" customHeight="1">
      <c r="B42" s="1" t="s">
        <v>59</v>
      </c>
      <c r="C42" s="170">
        <f>C34+C40</f>
        <v>247080.8282129925</v>
      </c>
      <c r="D42" s="170">
        <f aca="true" t="shared" si="23" ref="D42:I42">D34+D40</f>
        <v>276838.3928434265</v>
      </c>
      <c r="E42" s="170">
        <f t="shared" si="23"/>
        <v>268788.51944301603</v>
      </c>
      <c r="F42" s="170">
        <f t="shared" si="23"/>
        <v>260991.66818957982</v>
      </c>
      <c r="G42" s="170">
        <f t="shared" si="23"/>
        <v>253429.62148853566</v>
      </c>
      <c r="H42" s="170">
        <f t="shared" si="23"/>
        <v>246084.1617453014</v>
      </c>
      <c r="I42" s="170">
        <f t="shared" si="23"/>
        <v>238939.60158676468</v>
      </c>
      <c r="J42" s="170">
        <f>J34+J40</f>
        <v>231980.25363981305</v>
      </c>
      <c r="K42" s="170">
        <f>K34+K40</f>
        <v>225051.26835049837</v>
      </c>
      <c r="L42" s="170">
        <f>L34+L40</f>
        <v>218122.78910547763</v>
      </c>
    </row>
    <row r="43" spans="2:12" s="3" customFormat="1" ht="18.7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2" ht="18.75" customHeight="1"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8.75" customHeight="1">
      <c r="B45" s="11"/>
      <c r="C45" s="212" t="s">
        <v>262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8.75" customHeight="1">
      <c r="A46" s="28"/>
      <c r="B46" s="28"/>
      <c r="C46" s="52">
        <f>C4</f>
        <v>2016</v>
      </c>
      <c r="D46" s="29">
        <f aca="true" t="shared" si="24" ref="D46:L46">C46+1</f>
        <v>2017</v>
      </c>
      <c r="E46" s="29">
        <f t="shared" si="24"/>
        <v>2018</v>
      </c>
      <c r="F46" s="29">
        <f t="shared" si="24"/>
        <v>2019</v>
      </c>
      <c r="G46" s="29">
        <f t="shared" si="24"/>
        <v>2020</v>
      </c>
      <c r="H46" s="29">
        <f t="shared" si="24"/>
        <v>2021</v>
      </c>
      <c r="I46" s="29">
        <f t="shared" si="24"/>
        <v>2022</v>
      </c>
      <c r="J46" s="29">
        <f t="shared" si="24"/>
        <v>2023</v>
      </c>
      <c r="K46" s="29">
        <f t="shared" si="24"/>
        <v>2024</v>
      </c>
      <c r="L46" s="29">
        <f t="shared" si="24"/>
        <v>2025</v>
      </c>
    </row>
    <row r="47" spans="1:12" ht="18.75" customHeight="1">
      <c r="A47" s="258">
        <v>2016</v>
      </c>
      <c r="B47" s="28" t="s">
        <v>43</v>
      </c>
      <c r="C47" s="209">
        <v>1</v>
      </c>
      <c r="D47" s="209">
        <f aca="true" t="shared" si="25" ref="D47:L47">C47+1</f>
        <v>2</v>
      </c>
      <c r="E47" s="209">
        <f t="shared" si="25"/>
        <v>3</v>
      </c>
      <c r="F47" s="209">
        <f t="shared" si="25"/>
        <v>4</v>
      </c>
      <c r="G47" s="209">
        <f t="shared" si="25"/>
        <v>5</v>
      </c>
      <c r="H47" s="209">
        <f t="shared" si="25"/>
        <v>6</v>
      </c>
      <c r="I47" s="209">
        <f t="shared" si="25"/>
        <v>7</v>
      </c>
      <c r="J47" s="209">
        <f t="shared" si="25"/>
        <v>8</v>
      </c>
      <c r="K47" s="209">
        <f t="shared" si="25"/>
        <v>9</v>
      </c>
      <c r="L47" s="209">
        <f t="shared" si="25"/>
        <v>10</v>
      </c>
    </row>
    <row r="48" spans="2:12" ht="18.75" customHeight="1">
      <c r="B48" s="211" t="s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75" customHeight="1">
      <c r="A49" s="21" t="s">
        <v>102</v>
      </c>
      <c r="B49" s="72" t="s">
        <v>381</v>
      </c>
      <c r="C49" s="172">
        <f>VLOOKUP(C$4,'Cash Flows-LGE'!$B$28:$H$38,$A50)</f>
        <v>877486.82</v>
      </c>
      <c r="D49" s="172">
        <f>VLOOKUP(D$4,'Cash Flows-LGE'!$B$28:$H$38,$A50)</f>
        <v>0</v>
      </c>
      <c r="E49" s="172">
        <f>VLOOKUP(E$4,'Cash Flows-LGE'!$B$28:$H$38,$A50)</f>
        <v>0</v>
      </c>
      <c r="F49" s="172">
        <f>VLOOKUP(F$4,'Cash Flows-LGE'!$B$28:$H$38,$A50)</f>
        <v>0</v>
      </c>
      <c r="G49" s="172">
        <f>VLOOKUP(G$4,'Cash Flows-LGE'!$B$28:$H$38,$A50)</f>
        <v>0</v>
      </c>
      <c r="H49" s="172">
        <f>VLOOKUP(H$4,'Cash Flows-LGE'!$B$28:$H$38,$A50)</f>
        <v>0</v>
      </c>
      <c r="I49" s="172">
        <f>VLOOKUP(I$4,'Cash Flows-LGE'!$B$28:$H$38,$A50)</f>
        <v>0</v>
      </c>
      <c r="J49" s="172">
        <f>VLOOKUP(J$4,'Cash Flows-LGE'!$B$28:$H$38,$A50)</f>
        <v>0</v>
      </c>
      <c r="K49" s="172">
        <f>VLOOKUP(K$4,'Cash Flows-LGE'!$B$28:$H$38,$A50)</f>
        <v>0</v>
      </c>
      <c r="L49" s="172">
        <f>VLOOKUP(L$4,'Cash Flows-LGE'!$B$28:$H$38,$A50)</f>
        <v>0</v>
      </c>
    </row>
    <row r="50" spans="1:13" ht="18.75" customHeight="1">
      <c r="A50" s="3">
        <v>3</v>
      </c>
      <c r="B50" s="40" t="s">
        <v>57</v>
      </c>
      <c r="C50" s="172">
        <f>SUM($C49:C49)</f>
        <v>877486.82</v>
      </c>
      <c r="D50" s="172">
        <f>SUM($C49:D49)</f>
        <v>877486.82</v>
      </c>
      <c r="E50" s="172">
        <f>SUM($C49:E49)</f>
        <v>877486.82</v>
      </c>
      <c r="F50" s="172">
        <f>SUM($C49:F49)</f>
        <v>877486.82</v>
      </c>
      <c r="G50" s="172">
        <f>SUM($C49:G49)</f>
        <v>877486.82</v>
      </c>
      <c r="H50" s="172">
        <f>SUM($C49:H49)</f>
        <v>877486.82</v>
      </c>
      <c r="I50" s="172">
        <f>SUM($C49:I49)</f>
        <v>877486.82</v>
      </c>
      <c r="J50" s="172">
        <f>SUM($C49:J49)</f>
        <v>877486.82</v>
      </c>
      <c r="K50" s="172">
        <f>SUM($C49:K49)</f>
        <v>877486.82</v>
      </c>
      <c r="L50" s="172">
        <f>SUM($C49:L49)</f>
        <v>877486.82</v>
      </c>
      <c r="M50" s="18"/>
    </row>
    <row r="51" spans="1:12" ht="18.75" customHeight="1">
      <c r="A51" s="3">
        <v>2</v>
      </c>
      <c r="B51" s="5" t="s">
        <v>0</v>
      </c>
      <c r="C51" s="6">
        <f>IF(C47="",0,VLOOKUP($B48,Depreciation!$D$2:$E$31,$A51,FALSE))</f>
        <v>0.0264</v>
      </c>
      <c r="D51" s="6">
        <f>IF(D47="",0,VLOOKUP($B48,Depreciation!$D$2:$E$31,$A51,FALSE))</f>
        <v>0.0264</v>
      </c>
      <c r="E51" s="6">
        <f>IF(E47="",0,VLOOKUP($B48,Depreciation!$D$2:$E$31,$A51,FALSE))</f>
        <v>0.0264</v>
      </c>
      <c r="F51" s="6">
        <f>IF(F47="",0,VLOOKUP($B48,Depreciation!$D$2:$E$31,$A51,FALSE))</f>
        <v>0.0264</v>
      </c>
      <c r="G51" s="6">
        <f>IF(G47="",0,VLOOKUP($B48,Depreciation!$D$2:$E$31,$A51,FALSE))</f>
        <v>0.0264</v>
      </c>
      <c r="H51" s="6">
        <f>IF(H47="",0,VLOOKUP($B48,Depreciation!$D$2:$E$31,$A51,FALSE))</f>
        <v>0.0264</v>
      </c>
      <c r="I51" s="6">
        <f>IF(I47="",0,VLOOKUP($B48,Depreciation!$D$2:$E$31,$A51,FALSE))</f>
        <v>0.0264</v>
      </c>
      <c r="J51" s="6">
        <f>IF(J47="",0,VLOOKUP($B48,Depreciation!$D$2:$E$31,$A51,FALSE))</f>
        <v>0.0264</v>
      </c>
      <c r="K51" s="6">
        <f>IF(K47="",0,VLOOKUP($B48,Depreciation!$D$2:$E$31,$A51,FALSE))</f>
        <v>0.0264</v>
      </c>
      <c r="L51" s="6">
        <f>IF(L47="",0,VLOOKUP($B48,Depreciation!$D$2:$E$31,$A51,FALSE))</f>
        <v>0.0264</v>
      </c>
    </row>
    <row r="52" spans="1:12" ht="18.75" customHeight="1">
      <c r="A52" s="3">
        <v>2</v>
      </c>
      <c r="B52" s="5" t="s">
        <v>1</v>
      </c>
      <c r="C52" s="6">
        <f>IF(C47="",0,VLOOKUP(C47,Depreciation!$A$2:$C$58,$A52,FALSE))</f>
        <v>0.0375</v>
      </c>
      <c r="D52" s="6">
        <f>IF(D47="",0,VLOOKUP(D47,Depreciation!$A$2:$C$58,$A52,FALSE))</f>
        <v>0.07219</v>
      </c>
      <c r="E52" s="6">
        <f>IF(E47="",0,VLOOKUP(E47,Depreciation!$A$2:$C$58,$A52,FALSE))</f>
        <v>0.06677</v>
      </c>
      <c r="F52" s="6">
        <f>IF(F47="",0,VLOOKUP(F47,Depreciation!$A$2:$C$58,$A52,FALSE))</f>
        <v>0.06177</v>
      </c>
      <c r="G52" s="6">
        <f>IF(G47="",0,VLOOKUP(G47,Depreciation!$A$2:$C$58,$A52,FALSE))</f>
        <v>0.05713</v>
      </c>
      <c r="H52" s="6">
        <f>IF(H47="",0,VLOOKUP(H47,Depreciation!$A$2:$C$58,$A52,FALSE))</f>
        <v>0.05285</v>
      </c>
      <c r="I52" s="6">
        <f>IF(I47="",0,VLOOKUP(I47,Depreciation!$A$2:$C$58,$A52,FALSE))</f>
        <v>0.04888</v>
      </c>
      <c r="J52" s="6">
        <f>IF(J47="",0,VLOOKUP(J47,Depreciation!$A$2:$C$58,$A52,FALSE))</f>
        <v>0.04522</v>
      </c>
      <c r="K52" s="6">
        <f>IF(K47="",0,VLOOKUP(K47,Depreciation!$A$2:$C$58,$A52,FALSE))</f>
        <v>0.04462</v>
      </c>
      <c r="L52" s="6">
        <f>IF(L47="",0,VLOOKUP(L47,Depreciation!$A$2:$C$58,$A52,FALSE))</f>
        <v>0.04461</v>
      </c>
    </row>
    <row r="53" spans="1:12" ht="18.75" customHeight="1">
      <c r="A53" s="30"/>
      <c r="B53" s="31" t="s">
        <v>2</v>
      </c>
      <c r="C53" s="7">
        <f>Input!B$3</f>
        <v>0.38665999999999995</v>
      </c>
      <c r="D53" s="7">
        <f>Input!C$3</f>
        <v>0.38665999999999995</v>
      </c>
      <c r="E53" s="7">
        <f>Input!D$3</f>
        <v>0.38665999999999995</v>
      </c>
      <c r="F53" s="7">
        <f>Input!E$3</f>
        <v>0.38665999999999995</v>
      </c>
      <c r="G53" s="7">
        <f>Input!F$3</f>
        <v>0.38665999999999995</v>
      </c>
      <c r="H53" s="7">
        <f>Input!G$3</f>
        <v>0.38665999999999995</v>
      </c>
      <c r="I53" s="7">
        <f>Input!H$3</f>
        <v>0.38665999999999995</v>
      </c>
      <c r="J53" s="7">
        <f>Input!I$3</f>
        <v>0.38665999999999995</v>
      </c>
      <c r="K53" s="7">
        <f>Input!J$3</f>
        <v>0.38665999999999995</v>
      </c>
      <c r="L53" s="7">
        <f>Input!K$3</f>
        <v>0.38665999999999995</v>
      </c>
    </row>
    <row r="54" spans="2:12" ht="18.75" customHeight="1">
      <c r="B54" s="2" t="s">
        <v>3</v>
      </c>
      <c r="C54" s="170">
        <f>SUM($C65:C65)</f>
        <v>171154.36320010433</v>
      </c>
      <c r="D54" s="170">
        <f>SUM($C65:D65)</f>
        <v>174443.77057690086</v>
      </c>
      <c r="E54" s="170">
        <f>SUM($C65:E65)</f>
        <v>176813.70461784196</v>
      </c>
      <c r="F54" s="170">
        <f>SUM($C65:F65)</f>
        <v>178335.41602423004</v>
      </c>
      <c r="G54" s="170">
        <f>SUM($C65:G65)</f>
        <v>179069.97682575294</v>
      </c>
      <c r="H54" s="170">
        <f>SUM($C65:H65)</f>
        <v>179078.45905209848</v>
      </c>
      <c r="I54" s="170">
        <f>SUM($C65:I65)</f>
        <v>178413.45250660894</v>
      </c>
      <c r="J54" s="170">
        <f>SUM($C65:J65)</f>
        <v>177127.5469926266</v>
      </c>
      <c r="K54" s="170">
        <f>SUM($C65:K65)</f>
        <v>175739.85476249788</v>
      </c>
      <c r="L54" s="170">
        <f>SUM($C65:L65)</f>
        <v>174350.46608710007</v>
      </c>
    </row>
    <row r="55" spans="2:12" ht="18.75" customHeight="1">
      <c r="B55" s="2" t="s">
        <v>4</v>
      </c>
      <c r="C55" s="170">
        <f>SUM($C57:C57)</f>
        <v>12548.061526</v>
      </c>
      <c r="D55" s="170">
        <f>SUM($C57:D57)</f>
        <v>35713.713574</v>
      </c>
      <c r="E55" s="170">
        <f>SUM($C57:E57)</f>
        <v>58879.365622</v>
      </c>
      <c r="F55" s="170">
        <f>SUM($C57:F57)</f>
        <v>82045.01767</v>
      </c>
      <c r="G55" s="170">
        <f>SUM($C57:G57)</f>
        <v>105210.669718</v>
      </c>
      <c r="H55" s="170">
        <f>SUM($C57:H57)</f>
        <v>128376.32176600001</v>
      </c>
      <c r="I55" s="170">
        <f>SUM($C57:I57)</f>
        <v>151541.973814</v>
      </c>
      <c r="J55" s="170">
        <f>SUM($C57:J57)</f>
        <v>174707.625862</v>
      </c>
      <c r="K55" s="170">
        <f>SUM($C57:K57)</f>
        <v>197873.27790999998</v>
      </c>
      <c r="L55" s="170">
        <f>SUM($C57:L57)</f>
        <v>221038.92995799996</v>
      </c>
    </row>
    <row r="56" spans="2:12" ht="18.75" customHeight="1">
      <c r="B56" s="11" t="s">
        <v>5</v>
      </c>
      <c r="C56" s="170">
        <f>C49</f>
        <v>877486.82</v>
      </c>
      <c r="D56" s="170">
        <f>C56+D49</f>
        <v>877486.82</v>
      </c>
      <c r="E56" s="170">
        <f aca="true" t="shared" si="26" ref="E56:L56">D56+E49</f>
        <v>877486.82</v>
      </c>
      <c r="F56" s="170">
        <f t="shared" si="26"/>
        <v>877486.82</v>
      </c>
      <c r="G56" s="170">
        <f t="shared" si="26"/>
        <v>877486.82</v>
      </c>
      <c r="H56" s="170">
        <f t="shared" si="26"/>
        <v>877486.82</v>
      </c>
      <c r="I56" s="170">
        <f t="shared" si="26"/>
        <v>877486.82</v>
      </c>
      <c r="J56" s="170">
        <f t="shared" si="26"/>
        <v>877486.82</v>
      </c>
      <c r="K56" s="170">
        <f t="shared" si="26"/>
        <v>877486.82</v>
      </c>
      <c r="L56" s="170">
        <f t="shared" si="26"/>
        <v>877486.82</v>
      </c>
    </row>
    <row r="57" spans="1:12" ht="18.75" customHeight="1">
      <c r="A57" s="214" t="s">
        <v>359</v>
      </c>
      <c r="B57" s="11" t="s">
        <v>6</v>
      </c>
      <c r="C57" s="170">
        <f aca="true" t="shared" si="27" ref="C57:L57">IF(C47=1,(12.5-VLOOKUP(C45,$Q$5:$R$16,2,))*C51/12*C56,C56*C51)</f>
        <v>12548.061526</v>
      </c>
      <c r="D57" s="170">
        <f t="shared" si="27"/>
        <v>23165.652048</v>
      </c>
      <c r="E57" s="170">
        <f t="shared" si="27"/>
        <v>23165.652048</v>
      </c>
      <c r="F57" s="170">
        <f t="shared" si="27"/>
        <v>23165.652048</v>
      </c>
      <c r="G57" s="170">
        <f t="shared" si="27"/>
        <v>23165.652048</v>
      </c>
      <c r="H57" s="170">
        <f t="shared" si="27"/>
        <v>23165.652048</v>
      </c>
      <c r="I57" s="170">
        <f t="shared" si="27"/>
        <v>23165.652048</v>
      </c>
      <c r="J57" s="170">
        <f t="shared" si="27"/>
        <v>23165.652048</v>
      </c>
      <c r="K57" s="170">
        <f t="shared" si="27"/>
        <v>23165.652048</v>
      </c>
      <c r="L57" s="170">
        <f t="shared" si="27"/>
        <v>23165.652048</v>
      </c>
    </row>
    <row r="58" spans="1:12" ht="18.75" customHeight="1">
      <c r="A58" s="3"/>
      <c r="B58" s="5" t="s">
        <v>7</v>
      </c>
      <c r="C58" s="170">
        <f>C49</f>
        <v>877486.82</v>
      </c>
      <c r="D58" s="170">
        <f aca="true" t="shared" si="28" ref="D58:L58">C58+D49</f>
        <v>877486.82</v>
      </c>
      <c r="E58" s="170">
        <f t="shared" si="28"/>
        <v>877486.82</v>
      </c>
      <c r="F58" s="170">
        <f t="shared" si="28"/>
        <v>877486.82</v>
      </c>
      <c r="G58" s="170">
        <f t="shared" si="28"/>
        <v>877486.82</v>
      </c>
      <c r="H58" s="170">
        <f t="shared" si="28"/>
        <v>877486.82</v>
      </c>
      <c r="I58" s="170">
        <f t="shared" si="28"/>
        <v>877486.82</v>
      </c>
      <c r="J58" s="170">
        <f t="shared" si="28"/>
        <v>877486.82</v>
      </c>
      <c r="K58" s="170">
        <f t="shared" si="28"/>
        <v>877486.82</v>
      </c>
      <c r="L58" s="170">
        <f t="shared" si="28"/>
        <v>877486.82</v>
      </c>
    </row>
    <row r="59" spans="2:12" ht="18.75" customHeight="1">
      <c r="B59" s="213" t="s">
        <v>361</v>
      </c>
      <c r="C59" s="170">
        <f>IF(C47=1,IF($A57="Bonus",SUM($C49:C49)*VLOOKUP(C46,Depreciation!$D$41:$E$50,2),0),0)</f>
        <v>438743.41</v>
      </c>
      <c r="D59" s="170">
        <f>IF(D47=1,IF($A57="Bonus",SUM($C49:D49)*VLOOKUP(D46,Depreciation!$D$41:$E$50,2),0),0)</f>
        <v>0</v>
      </c>
      <c r="E59" s="170">
        <f>IF(E47=1,IF($A57="Bonus",SUM($C49:E49)*VLOOKUP(E46,Depreciation!$D$41:$E$50,2),0),0)</f>
        <v>0</v>
      </c>
      <c r="F59" s="170">
        <f>IF(F47=1,IF($A57="Bonus",SUM($C49:F49)*VLOOKUP(F46,Depreciation!$D$41:$E$50,2),0),0)</f>
        <v>0</v>
      </c>
      <c r="G59" s="170">
        <f>IF(G47=1,IF($A57="Bonus",SUM($C49:G49)*VLOOKUP(G46,Depreciation!$D$41:$E$50,2),0),0)</f>
        <v>0</v>
      </c>
      <c r="H59" s="170">
        <f>IF(H47=1,IF($A57="Bonus",SUM($C49:H49)*VLOOKUP(H46,Depreciation!$D$41:$E$50,2),0),0)</f>
        <v>0</v>
      </c>
      <c r="I59" s="170">
        <f>IF(I47=1,IF($A57="Bonus",SUM($C49:I49)*VLOOKUP(I46,Depreciation!$D$41:$E$50,2),0),0)</f>
        <v>0</v>
      </c>
      <c r="J59" s="170">
        <f>IF(J47=1,IF($A57="Bonus",SUM($C49:J49)*VLOOKUP(J46,Depreciation!$D$41:$E$50,2),0),0)</f>
        <v>0</v>
      </c>
      <c r="K59" s="170">
        <f>IF(K47=1,IF($A57="Bonus",SUM($C49:K49)*VLOOKUP(K46,Depreciation!$D$41:$E$50,2),0),0)</f>
        <v>0</v>
      </c>
      <c r="L59" s="170">
        <f>IF(L47=1,IF($A57="Bonus",SUM($C49:L49)*VLOOKUP(L46,Depreciation!$D$41:$E$50,2),0),0)</f>
        <v>0</v>
      </c>
    </row>
    <row r="60" spans="2:12" ht="18.75" customHeight="1">
      <c r="B60" s="5" t="s">
        <v>362</v>
      </c>
      <c r="C60" s="170">
        <f>IF(C47&gt;=1,IF($A57="Bonus",C50*(1-VLOOKUP($A47,Depreciation!$D$41:$N$50,C46-2014))*C52,C50*C52),C50*C52)</f>
        <v>16452.877875</v>
      </c>
      <c r="D60" s="170">
        <f>IF(D47&gt;=1,IF($A57="Bonus",D50*(1-VLOOKUP($A47,Depreciation!$D$41:$N$50,D46-2014))*D52,D50*D52),D50*D52)</f>
        <v>31672.8867679</v>
      </c>
      <c r="E60" s="170">
        <f>IF(E47&gt;=1,IF($A57="Bonus",E50*(1-VLOOKUP($A47,Depreciation!$D$41:$N$50,E46-2014))*E52,E50*E52),E50*E52)</f>
        <v>29294.897485699996</v>
      </c>
      <c r="F60" s="170">
        <f>IF(F47&gt;=1,IF($A57="Bonus",F50*(1-VLOOKUP($A47,Depreciation!$D$41:$N$50,F46-2014))*F52,F50*F52),F50*F52)</f>
        <v>27101.180435699996</v>
      </c>
      <c r="G60" s="170">
        <f>IF(G47&gt;=1,IF($A57="Bonus",G50*(1-VLOOKUP($A47,Depreciation!$D$41:$N$50,G46-2014))*G52,G50*G52),G50*G52)</f>
        <v>25065.4110133</v>
      </c>
      <c r="H60" s="170">
        <f>IF(H47&gt;=1,IF($A57="Bonus",H50*(1-VLOOKUP($A47,Depreciation!$D$41:$N$50,H46-2014))*H52,H50*H52),H50*H52)</f>
        <v>23187.589218499998</v>
      </c>
      <c r="I60" s="170">
        <f>IF(I47&gt;=1,IF($A57="Bonus",I50*(1-VLOOKUP($A47,Depreciation!$D$41:$N$50,I46-2014))*I52,I50*I52),I50*I52)</f>
        <v>21445.7778808</v>
      </c>
      <c r="J60" s="170">
        <f>IF(J47&gt;=1,IF($A57="Bonus",J50*(1-VLOOKUP($A47,Depreciation!$D$41:$N$50,J46-2014))*J52,J50*J52),J50*J52)</f>
        <v>19839.9770002</v>
      </c>
      <c r="K60" s="170">
        <f>IF(K47&gt;=1,IF($A57="Bonus",K50*(1-VLOOKUP($A47,Depreciation!$D$41:$N$50,K46-2014))*K52,K50*K52),K50*K52)</f>
        <v>19576.7309542</v>
      </c>
      <c r="L60" s="170">
        <f>IF(L47&gt;=1,IF($A57="Bonus",L50*(1-VLOOKUP($A47,Depreciation!$D$41:$N$50,L46-2014))*L52,L50*L52),L50*L52)</f>
        <v>19572.3435201</v>
      </c>
    </row>
    <row r="61" spans="2:12" ht="18.75" customHeight="1">
      <c r="B61" s="5" t="s">
        <v>17</v>
      </c>
      <c r="C61" s="7">
        <f>Input!I$19</f>
        <v>0.09991333016039017</v>
      </c>
      <c r="D61" s="7">
        <f>Input!J$19</f>
        <v>0.09991333016039017</v>
      </c>
      <c r="E61" s="7">
        <f>Input!K$19</f>
        <v>0.09991333016039017</v>
      </c>
      <c r="F61" s="7">
        <f>Input!L$19</f>
        <v>0.09991333016039017</v>
      </c>
      <c r="G61" s="7">
        <f>Input!M$19</f>
        <v>0.09991333016039017</v>
      </c>
      <c r="H61" s="7">
        <f>Input!N$19</f>
        <v>0.09991333016039017</v>
      </c>
      <c r="I61" s="7">
        <f>Input!O$19</f>
        <v>0.09991333016039017</v>
      </c>
      <c r="J61" s="7">
        <f>Input!P$19</f>
        <v>0.09991333016039017</v>
      </c>
      <c r="K61" s="7">
        <f>Input!Q$19</f>
        <v>0.09991333016039017</v>
      </c>
      <c r="L61" s="7">
        <f>Input!R$19</f>
        <v>0.09991333016039017</v>
      </c>
    </row>
    <row r="62" spans="2:12" ht="18.75" customHeight="1">
      <c r="B62" s="5" t="s">
        <v>8</v>
      </c>
      <c r="C62" s="171">
        <f>C57</f>
        <v>12548.061526</v>
      </c>
      <c r="D62" s="171">
        <f aca="true" t="shared" si="29" ref="D62:L62">D57</f>
        <v>23165.652048</v>
      </c>
      <c r="E62" s="171">
        <f t="shared" si="29"/>
        <v>23165.652048</v>
      </c>
      <c r="F62" s="171">
        <f t="shared" si="29"/>
        <v>23165.652048</v>
      </c>
      <c r="G62" s="171">
        <f t="shared" si="29"/>
        <v>23165.652048</v>
      </c>
      <c r="H62" s="171">
        <f t="shared" si="29"/>
        <v>23165.652048</v>
      </c>
      <c r="I62" s="171">
        <f t="shared" si="29"/>
        <v>23165.652048</v>
      </c>
      <c r="J62" s="171">
        <f t="shared" si="29"/>
        <v>23165.652048</v>
      </c>
      <c r="K62" s="171">
        <f t="shared" si="29"/>
        <v>23165.652048</v>
      </c>
      <c r="L62" s="171">
        <f t="shared" si="29"/>
        <v>23165.652048</v>
      </c>
    </row>
    <row r="63" spans="2:12" ht="18.75" customHeight="1">
      <c r="B63" s="11" t="s">
        <v>364</v>
      </c>
      <c r="C63" s="171">
        <f aca="true" t="shared" si="30" ref="C63:L63">SUM(C59,C60)</f>
        <v>455196.287875</v>
      </c>
      <c r="D63" s="171">
        <f t="shared" si="30"/>
        <v>31672.8867679</v>
      </c>
      <c r="E63" s="171">
        <f t="shared" si="30"/>
        <v>29294.897485699996</v>
      </c>
      <c r="F63" s="171">
        <f t="shared" si="30"/>
        <v>27101.180435699996</v>
      </c>
      <c r="G63" s="171">
        <f t="shared" si="30"/>
        <v>25065.4110133</v>
      </c>
      <c r="H63" s="171">
        <f t="shared" si="30"/>
        <v>23187.589218499998</v>
      </c>
      <c r="I63" s="171">
        <f t="shared" si="30"/>
        <v>21445.7778808</v>
      </c>
      <c r="J63" s="171">
        <f t="shared" si="30"/>
        <v>19839.9770002</v>
      </c>
      <c r="K63" s="171">
        <f t="shared" si="30"/>
        <v>19576.7309542</v>
      </c>
      <c r="L63" s="171">
        <f t="shared" si="30"/>
        <v>19572.3435201</v>
      </c>
    </row>
    <row r="64" spans="2:12" ht="18.75" customHeight="1">
      <c r="B64" s="2" t="s">
        <v>9</v>
      </c>
      <c r="C64" s="8">
        <f>Input!$B$6</f>
        <v>0.0015</v>
      </c>
      <c r="D64" s="8">
        <f aca="true" t="shared" si="31" ref="D64:L64">C64</f>
        <v>0.0015</v>
      </c>
      <c r="E64" s="8">
        <f t="shared" si="31"/>
        <v>0.0015</v>
      </c>
      <c r="F64" s="8">
        <f t="shared" si="31"/>
        <v>0.0015</v>
      </c>
      <c r="G64" s="8">
        <f t="shared" si="31"/>
        <v>0.0015</v>
      </c>
      <c r="H64" s="8">
        <f t="shared" si="31"/>
        <v>0.0015</v>
      </c>
      <c r="I64" s="8">
        <f t="shared" si="31"/>
        <v>0.0015</v>
      </c>
      <c r="J64" s="8">
        <f t="shared" si="31"/>
        <v>0.0015</v>
      </c>
      <c r="K64" s="8">
        <f t="shared" si="31"/>
        <v>0.0015</v>
      </c>
      <c r="L64" s="8">
        <f t="shared" si="31"/>
        <v>0.0015</v>
      </c>
    </row>
    <row r="65" spans="2:12" ht="18.75" customHeight="1">
      <c r="B65" s="4" t="s">
        <v>363</v>
      </c>
      <c r="C65" s="171">
        <f aca="true" t="shared" si="32" ref="C65:L65">(C63-C62)*C53</f>
        <v>171154.36320010433</v>
      </c>
      <c r="D65" s="171">
        <f t="shared" si="32"/>
        <v>3289.4073767965333</v>
      </c>
      <c r="E65" s="171">
        <f t="shared" si="32"/>
        <v>2369.93404094108</v>
      </c>
      <c r="F65" s="171">
        <f t="shared" si="32"/>
        <v>1521.7114063880804</v>
      </c>
      <c r="G65" s="171">
        <f t="shared" si="32"/>
        <v>734.5608015228977</v>
      </c>
      <c r="H65" s="171">
        <f t="shared" si="32"/>
        <v>8.482226345529067</v>
      </c>
      <c r="I65" s="171">
        <f t="shared" si="32"/>
        <v>-665.0065454895517</v>
      </c>
      <c r="J65" s="171">
        <f t="shared" si="32"/>
        <v>-1285.9055139823477</v>
      </c>
      <c r="K65" s="171">
        <f t="shared" si="32"/>
        <v>-1387.6922301287077</v>
      </c>
      <c r="L65" s="171">
        <f t="shared" si="32"/>
        <v>-1389.388675397814</v>
      </c>
    </row>
    <row r="66" spans="2:12" ht="18.75" customHeight="1">
      <c r="B66" s="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8.75" customHeight="1">
      <c r="B67" s="10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8.75" customHeight="1">
      <c r="B68" s="5" t="s">
        <v>16</v>
      </c>
      <c r="C68" s="169">
        <f>C50</f>
        <v>877486.82</v>
      </c>
      <c r="D68" s="169">
        <f aca="true" t="shared" si="33" ref="D68:I68">D50</f>
        <v>877486.82</v>
      </c>
      <c r="E68" s="169">
        <f t="shared" si="33"/>
        <v>877486.82</v>
      </c>
      <c r="F68" s="169">
        <f t="shared" si="33"/>
        <v>877486.82</v>
      </c>
      <c r="G68" s="169">
        <f t="shared" si="33"/>
        <v>877486.82</v>
      </c>
      <c r="H68" s="169">
        <f t="shared" si="33"/>
        <v>877486.82</v>
      </c>
      <c r="I68" s="169">
        <f t="shared" si="33"/>
        <v>877486.82</v>
      </c>
      <c r="J68" s="169">
        <f>J50</f>
        <v>877486.82</v>
      </c>
      <c r="K68" s="169">
        <f>K50</f>
        <v>877486.82</v>
      </c>
      <c r="L68" s="169">
        <f>L50</f>
        <v>877486.82</v>
      </c>
    </row>
    <row r="69" spans="1:12" ht="18.75" customHeight="1">
      <c r="A69" s="3"/>
      <c r="B69" s="4" t="s">
        <v>44</v>
      </c>
      <c r="C69" s="170">
        <v>0</v>
      </c>
      <c r="D69" s="170">
        <f aca="true" t="shared" si="34" ref="D69:L69">C69</f>
        <v>0</v>
      </c>
      <c r="E69" s="170">
        <f t="shared" si="34"/>
        <v>0</v>
      </c>
      <c r="F69" s="170">
        <f t="shared" si="34"/>
        <v>0</v>
      </c>
      <c r="G69" s="170">
        <f t="shared" si="34"/>
        <v>0</v>
      </c>
      <c r="H69" s="170">
        <f t="shared" si="34"/>
        <v>0</v>
      </c>
      <c r="I69" s="170">
        <f t="shared" si="34"/>
        <v>0</v>
      </c>
      <c r="J69" s="170">
        <f t="shared" si="34"/>
        <v>0</v>
      </c>
      <c r="K69" s="170">
        <f t="shared" si="34"/>
        <v>0</v>
      </c>
      <c r="L69" s="170">
        <f t="shared" si="34"/>
        <v>0</v>
      </c>
    </row>
    <row r="70" spans="2:12" ht="18.75" customHeight="1">
      <c r="B70" s="2" t="s">
        <v>10</v>
      </c>
      <c r="C70" s="170">
        <f>-C55</f>
        <v>-12548.061526</v>
      </c>
      <c r="D70" s="170">
        <f>-D55</f>
        <v>-35713.713574</v>
      </c>
      <c r="E70" s="170">
        <f>-E55</f>
        <v>-58879.365622</v>
      </c>
      <c r="F70" s="170">
        <f>-F55</f>
        <v>-82045.01767</v>
      </c>
      <c r="G70" s="170">
        <f aca="true" t="shared" si="35" ref="G70:L70">-G55</f>
        <v>-105210.669718</v>
      </c>
      <c r="H70" s="170">
        <f t="shared" si="35"/>
        <v>-128376.32176600001</v>
      </c>
      <c r="I70" s="170">
        <f t="shared" si="35"/>
        <v>-151541.973814</v>
      </c>
      <c r="J70" s="170">
        <f t="shared" si="35"/>
        <v>-174707.625862</v>
      </c>
      <c r="K70" s="170">
        <f t="shared" si="35"/>
        <v>-197873.27790999998</v>
      </c>
      <c r="L70" s="170">
        <f t="shared" si="35"/>
        <v>-221038.92995799996</v>
      </c>
    </row>
    <row r="71" spans="2:12" ht="18.75" customHeight="1">
      <c r="B71" s="2" t="s">
        <v>45</v>
      </c>
      <c r="C71" s="170">
        <v>0</v>
      </c>
      <c r="D71" s="170">
        <f aca="true" t="shared" si="36" ref="D71:L71">C71</f>
        <v>0</v>
      </c>
      <c r="E71" s="170">
        <f t="shared" si="36"/>
        <v>0</v>
      </c>
      <c r="F71" s="170">
        <f t="shared" si="36"/>
        <v>0</v>
      </c>
      <c r="G71" s="170">
        <f t="shared" si="36"/>
        <v>0</v>
      </c>
      <c r="H71" s="170">
        <f t="shared" si="36"/>
        <v>0</v>
      </c>
      <c r="I71" s="170">
        <f t="shared" si="36"/>
        <v>0</v>
      </c>
      <c r="J71" s="170">
        <f t="shared" si="36"/>
        <v>0</v>
      </c>
      <c r="K71" s="170">
        <f t="shared" si="36"/>
        <v>0</v>
      </c>
      <c r="L71" s="170">
        <f t="shared" si="36"/>
        <v>0</v>
      </c>
    </row>
    <row r="72" spans="2:12" ht="18.75" customHeight="1">
      <c r="B72" s="2" t="s">
        <v>46</v>
      </c>
      <c r="C72" s="170">
        <f>-C54</f>
        <v>-171154.36320010433</v>
      </c>
      <c r="D72" s="170">
        <f aca="true" t="shared" si="37" ref="D72:I72">-D54</f>
        <v>-174443.77057690086</v>
      </c>
      <c r="E72" s="170">
        <f t="shared" si="37"/>
        <v>-176813.70461784196</v>
      </c>
      <c r="F72" s="170">
        <f t="shared" si="37"/>
        <v>-178335.41602423004</v>
      </c>
      <c r="G72" s="170">
        <f t="shared" si="37"/>
        <v>-179069.97682575294</v>
      </c>
      <c r="H72" s="170">
        <f t="shared" si="37"/>
        <v>-179078.45905209848</v>
      </c>
      <c r="I72" s="170">
        <f t="shared" si="37"/>
        <v>-178413.45250660894</v>
      </c>
      <c r="J72" s="170">
        <f>-J54</f>
        <v>-177127.5469926266</v>
      </c>
      <c r="K72" s="170">
        <f>-K54</f>
        <v>-175739.85476249788</v>
      </c>
      <c r="L72" s="170">
        <f>-L54</f>
        <v>-174350.46608710007</v>
      </c>
    </row>
    <row r="73" spans="2:12" ht="18.75" customHeight="1">
      <c r="B73" s="2" t="s">
        <v>47</v>
      </c>
      <c r="C73" s="170">
        <v>0</v>
      </c>
      <c r="D73" s="170">
        <f aca="true" t="shared" si="38" ref="D73:L73">C73</f>
        <v>0</v>
      </c>
      <c r="E73" s="170">
        <f t="shared" si="38"/>
        <v>0</v>
      </c>
      <c r="F73" s="170">
        <f t="shared" si="38"/>
        <v>0</v>
      </c>
      <c r="G73" s="170">
        <f t="shared" si="38"/>
        <v>0</v>
      </c>
      <c r="H73" s="170">
        <f t="shared" si="38"/>
        <v>0</v>
      </c>
      <c r="I73" s="170">
        <f t="shared" si="38"/>
        <v>0</v>
      </c>
      <c r="J73" s="170">
        <f t="shared" si="38"/>
        <v>0</v>
      </c>
      <c r="K73" s="170">
        <f t="shared" si="38"/>
        <v>0</v>
      </c>
      <c r="L73" s="170">
        <f t="shared" si="38"/>
        <v>0</v>
      </c>
    </row>
    <row r="74" spans="2:12" ht="18.75" customHeight="1">
      <c r="B74" s="2" t="s">
        <v>11</v>
      </c>
      <c r="C74" s="170">
        <f>SUM(C68:C73)</f>
        <v>693784.3952738956</v>
      </c>
      <c r="D74" s="170">
        <f>SUM(D68:D73)</f>
        <v>667329.3358490991</v>
      </c>
      <c r="E74" s="170">
        <f>SUM(E68:E73)</f>
        <v>641793.749760158</v>
      </c>
      <c r="F74" s="170">
        <f>SUM(F68:F73)</f>
        <v>617106.3863057699</v>
      </c>
      <c r="G74" s="170">
        <f aca="true" t="shared" si="39" ref="G74:L74">SUM(G68:G73)</f>
        <v>593206.173456247</v>
      </c>
      <c r="H74" s="170">
        <f t="shared" si="39"/>
        <v>570032.0391819015</v>
      </c>
      <c r="I74" s="170">
        <f t="shared" si="39"/>
        <v>547531.393679391</v>
      </c>
      <c r="J74" s="170">
        <f t="shared" si="39"/>
        <v>525651.6471453734</v>
      </c>
      <c r="K74" s="170">
        <f t="shared" si="39"/>
        <v>503873.6873275021</v>
      </c>
      <c r="L74" s="170">
        <f t="shared" si="39"/>
        <v>482097.4239548999</v>
      </c>
    </row>
    <row r="75" spans="2:12" ht="18.75" customHeight="1">
      <c r="B75" s="2" t="s">
        <v>12</v>
      </c>
      <c r="C75" s="7">
        <f>C61</f>
        <v>0.09991333016039017</v>
      </c>
      <c r="D75" s="7">
        <f aca="true" t="shared" si="40" ref="D75:I75">D61</f>
        <v>0.09991333016039017</v>
      </c>
      <c r="E75" s="7">
        <f t="shared" si="40"/>
        <v>0.09991333016039017</v>
      </c>
      <c r="F75" s="7">
        <f t="shared" si="40"/>
        <v>0.09991333016039017</v>
      </c>
      <c r="G75" s="7">
        <f t="shared" si="40"/>
        <v>0.09991333016039017</v>
      </c>
      <c r="H75" s="7">
        <f t="shared" si="40"/>
        <v>0.09991333016039017</v>
      </c>
      <c r="I75" s="7">
        <f t="shared" si="40"/>
        <v>0.09991333016039017</v>
      </c>
      <c r="J75" s="7">
        <f>J61</f>
        <v>0.09991333016039017</v>
      </c>
      <c r="K75" s="7">
        <f>K61</f>
        <v>0.09991333016039017</v>
      </c>
      <c r="L75" s="7">
        <f>L61</f>
        <v>0.09991333016039017</v>
      </c>
    </row>
    <row r="76" spans="2:12" ht="18.75" customHeight="1">
      <c r="B76" s="34" t="s">
        <v>58</v>
      </c>
      <c r="C76" s="174">
        <f>C74*C75</f>
        <v>69318.30934512736</v>
      </c>
      <c r="D76" s="174">
        <f aca="true" t="shared" si="41" ref="D76:I76">D74*D75</f>
        <v>66675.09625840493</v>
      </c>
      <c r="E76" s="174">
        <f t="shared" si="41"/>
        <v>64123.75081466149</v>
      </c>
      <c r="F76" s="174">
        <f t="shared" si="41"/>
        <v>61657.15411905367</v>
      </c>
      <c r="G76" s="174">
        <f t="shared" si="41"/>
        <v>59269.204261715684</v>
      </c>
      <c r="H76" s="174">
        <f t="shared" si="41"/>
        <v>56953.79933278179</v>
      </c>
      <c r="I76" s="174">
        <f t="shared" si="41"/>
        <v>54705.68490986756</v>
      </c>
      <c r="J76" s="174">
        <f>J74*J75</f>
        <v>52519.60657058861</v>
      </c>
      <c r="K76" s="174">
        <f>K74*K75</f>
        <v>50343.698081085924</v>
      </c>
      <c r="L76" s="174">
        <f>L74*L75</f>
        <v>48167.95908907951</v>
      </c>
    </row>
    <row r="77" spans="1:12" ht="18.75" customHeight="1">
      <c r="A77" s="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8.75" customHeight="1">
      <c r="B78" s="1" t="s">
        <v>52</v>
      </c>
      <c r="C78" s="170">
        <v>0</v>
      </c>
      <c r="D78" s="170">
        <f>C78</f>
        <v>0</v>
      </c>
      <c r="E78" s="170">
        <f aca="true" t="shared" si="42" ref="E78:L78">D78</f>
        <v>0</v>
      </c>
      <c r="F78" s="170">
        <f t="shared" si="42"/>
        <v>0</v>
      </c>
      <c r="G78" s="170">
        <f t="shared" si="42"/>
        <v>0</v>
      </c>
      <c r="H78" s="170">
        <f t="shared" si="42"/>
        <v>0</v>
      </c>
      <c r="I78" s="170">
        <f t="shared" si="42"/>
        <v>0</v>
      </c>
      <c r="J78" s="170">
        <f t="shared" si="42"/>
        <v>0</v>
      </c>
      <c r="K78" s="170">
        <f t="shared" si="42"/>
        <v>0</v>
      </c>
      <c r="L78" s="170">
        <f t="shared" si="42"/>
        <v>0</v>
      </c>
    </row>
    <row r="79" spans="2:12" ht="18.75" customHeight="1">
      <c r="B79" s="2" t="s">
        <v>48</v>
      </c>
      <c r="C79" s="170">
        <f>C62</f>
        <v>12548.061526</v>
      </c>
      <c r="D79" s="170">
        <f aca="true" t="shared" si="43" ref="D79:I79">D62</f>
        <v>23165.652048</v>
      </c>
      <c r="E79" s="170">
        <f t="shared" si="43"/>
        <v>23165.652048</v>
      </c>
      <c r="F79" s="170">
        <f t="shared" si="43"/>
        <v>23165.652048</v>
      </c>
      <c r="G79" s="170">
        <f t="shared" si="43"/>
        <v>23165.652048</v>
      </c>
      <c r="H79" s="170">
        <f t="shared" si="43"/>
        <v>23165.652048</v>
      </c>
      <c r="I79" s="170">
        <f t="shared" si="43"/>
        <v>23165.652048</v>
      </c>
      <c r="J79" s="170">
        <f>J62</f>
        <v>23165.652048</v>
      </c>
      <c r="K79" s="170">
        <f>K62</f>
        <v>23165.652048</v>
      </c>
      <c r="L79" s="170">
        <f>L62</f>
        <v>23165.652048</v>
      </c>
    </row>
    <row r="80" spans="2:12" ht="18.75" customHeight="1">
      <c r="B80" s="2" t="s">
        <v>49</v>
      </c>
      <c r="C80" s="170">
        <v>0</v>
      </c>
      <c r="D80" s="170">
        <f aca="true" t="shared" si="44" ref="D80:L80">C80</f>
        <v>0</v>
      </c>
      <c r="E80" s="170">
        <f t="shared" si="44"/>
        <v>0</v>
      </c>
      <c r="F80" s="170">
        <f t="shared" si="44"/>
        <v>0</v>
      </c>
      <c r="G80" s="170">
        <f t="shared" si="44"/>
        <v>0</v>
      </c>
      <c r="H80" s="170">
        <f t="shared" si="44"/>
        <v>0</v>
      </c>
      <c r="I80" s="170">
        <f t="shared" si="44"/>
        <v>0</v>
      </c>
      <c r="J80" s="170">
        <f t="shared" si="44"/>
        <v>0</v>
      </c>
      <c r="K80" s="170">
        <f t="shared" si="44"/>
        <v>0</v>
      </c>
      <c r="L80" s="170">
        <f t="shared" si="44"/>
        <v>0</v>
      </c>
    </row>
    <row r="81" spans="2:12" ht="18.75" customHeight="1">
      <c r="B81" s="2" t="s">
        <v>50</v>
      </c>
      <c r="C81" s="170">
        <v>0</v>
      </c>
      <c r="D81" s="170">
        <f aca="true" t="shared" si="45" ref="D81:L81">D64*(C68+C70)</f>
        <v>1297.4081377109999</v>
      </c>
      <c r="E81" s="170">
        <f t="shared" si="45"/>
        <v>1262.659659639</v>
      </c>
      <c r="F81" s="170">
        <f t="shared" si="45"/>
        <v>1227.911181567</v>
      </c>
      <c r="G81" s="170">
        <f t="shared" si="45"/>
        <v>1193.162703495</v>
      </c>
      <c r="H81" s="170">
        <f t="shared" si="45"/>
        <v>1158.414225423</v>
      </c>
      <c r="I81" s="170">
        <f t="shared" si="45"/>
        <v>1123.665747351</v>
      </c>
      <c r="J81" s="170">
        <f t="shared" si="45"/>
        <v>1088.9172692789998</v>
      </c>
      <c r="K81" s="170">
        <f t="shared" si="45"/>
        <v>1054.1687912070001</v>
      </c>
      <c r="L81" s="170">
        <f t="shared" si="45"/>
        <v>1019.420313135</v>
      </c>
    </row>
    <row r="82" spans="2:12" ht="18.75" customHeight="1">
      <c r="B82" s="21" t="s">
        <v>51</v>
      </c>
      <c r="C82" s="174">
        <f aca="true" t="shared" si="46" ref="C82:I82">SUM(C78:C81)</f>
        <v>12548.061526</v>
      </c>
      <c r="D82" s="174">
        <f t="shared" si="46"/>
        <v>24463.060185711</v>
      </c>
      <c r="E82" s="174">
        <f t="shared" si="46"/>
        <v>24428.311707639</v>
      </c>
      <c r="F82" s="174">
        <f t="shared" si="46"/>
        <v>24393.563229567</v>
      </c>
      <c r="G82" s="174">
        <f t="shared" si="46"/>
        <v>24358.814751495</v>
      </c>
      <c r="H82" s="174">
        <f t="shared" si="46"/>
        <v>24324.066273423</v>
      </c>
      <c r="I82" s="174">
        <f t="shared" si="46"/>
        <v>24289.317795351</v>
      </c>
      <c r="J82" s="174">
        <f>SUM(J78:J81)</f>
        <v>24254.569317278998</v>
      </c>
      <c r="K82" s="174">
        <f>SUM(K78:K81)</f>
        <v>24219.820839207</v>
      </c>
      <c r="L82" s="174">
        <f>SUM(L78:L81)</f>
        <v>24185.072361135</v>
      </c>
    </row>
    <row r="83" spans="3:12" ht="18.75" customHeight="1">
      <c r="C83" s="34"/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t="18.75" customHeight="1">
      <c r="B84" s="1" t="s">
        <v>59</v>
      </c>
      <c r="C84" s="170">
        <f>C76+C82</f>
        <v>81866.37087112736</v>
      </c>
      <c r="D84" s="170">
        <f aca="true" t="shared" si="47" ref="D84:I84">D76+D82</f>
        <v>91138.15644411593</v>
      </c>
      <c r="E84" s="170">
        <f t="shared" si="47"/>
        <v>88552.06252230049</v>
      </c>
      <c r="F84" s="170">
        <f t="shared" si="47"/>
        <v>86050.71734862067</v>
      </c>
      <c r="G84" s="170">
        <f t="shared" si="47"/>
        <v>83628.01901321068</v>
      </c>
      <c r="H84" s="170">
        <f t="shared" si="47"/>
        <v>81277.86560620478</v>
      </c>
      <c r="I84" s="170">
        <f t="shared" si="47"/>
        <v>78995.00270521856</v>
      </c>
      <c r="J84" s="170">
        <f>J76+J82</f>
        <v>76774.1758878676</v>
      </c>
      <c r="K84" s="170">
        <f>K76+K82</f>
        <v>74563.51892029293</v>
      </c>
      <c r="L84" s="170">
        <f>L76+L82</f>
        <v>72353.0314502145</v>
      </c>
    </row>
    <row r="85" ht="18.75" customHeight="1"/>
    <row r="86" ht="18.75" customHeight="1"/>
    <row r="87" spans="2:12" ht="18.75" customHeight="1">
      <c r="B87" s="11"/>
      <c r="C87" s="212" t="s">
        <v>262</v>
      </c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8.75" customHeight="1">
      <c r="A88" s="28"/>
      <c r="B88" s="28"/>
      <c r="C88" s="52">
        <f>C4</f>
        <v>2016</v>
      </c>
      <c r="D88" s="29">
        <f aca="true" t="shared" si="48" ref="D88:L88">C88+1</f>
        <v>2017</v>
      </c>
      <c r="E88" s="29">
        <f t="shared" si="48"/>
        <v>2018</v>
      </c>
      <c r="F88" s="29">
        <f t="shared" si="48"/>
        <v>2019</v>
      </c>
      <c r="G88" s="29">
        <f t="shared" si="48"/>
        <v>2020</v>
      </c>
      <c r="H88" s="29">
        <f t="shared" si="48"/>
        <v>2021</v>
      </c>
      <c r="I88" s="29">
        <f t="shared" si="48"/>
        <v>2022</v>
      </c>
      <c r="J88" s="29">
        <f t="shared" si="48"/>
        <v>2023</v>
      </c>
      <c r="K88" s="29">
        <f t="shared" si="48"/>
        <v>2024</v>
      </c>
      <c r="L88" s="29">
        <f t="shared" si="48"/>
        <v>2025</v>
      </c>
    </row>
    <row r="89" spans="1:12" ht="18.75" customHeight="1">
      <c r="A89" s="258">
        <v>2016</v>
      </c>
      <c r="B89" s="28" t="s">
        <v>43</v>
      </c>
      <c r="C89" s="209">
        <v>1</v>
      </c>
      <c r="D89" s="209">
        <f aca="true" t="shared" si="49" ref="D89:L89">C89+1</f>
        <v>2</v>
      </c>
      <c r="E89" s="209">
        <f t="shared" si="49"/>
        <v>3</v>
      </c>
      <c r="F89" s="209">
        <f t="shared" si="49"/>
        <v>4</v>
      </c>
      <c r="G89" s="209">
        <f t="shared" si="49"/>
        <v>5</v>
      </c>
      <c r="H89" s="209">
        <f t="shared" si="49"/>
        <v>6</v>
      </c>
      <c r="I89" s="209">
        <f t="shared" si="49"/>
        <v>7</v>
      </c>
      <c r="J89" s="209">
        <f t="shared" si="49"/>
        <v>8</v>
      </c>
      <c r="K89" s="209">
        <f t="shared" si="49"/>
        <v>9</v>
      </c>
      <c r="L89" s="209">
        <f t="shared" si="49"/>
        <v>10</v>
      </c>
    </row>
    <row r="90" spans="2:12" ht="18.75" customHeight="1">
      <c r="B90" s="211" t="s">
        <v>38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8.75" customHeight="1">
      <c r="A91" s="21" t="s">
        <v>102</v>
      </c>
      <c r="B91" s="72" t="s">
        <v>382</v>
      </c>
      <c r="C91" s="172">
        <f>VLOOKUP(C$4,'Cash Flows-LGE'!$B$28:$H$38,$A92)</f>
        <v>877486.83</v>
      </c>
      <c r="D91" s="172">
        <f>VLOOKUP(D$4,'Cash Flows-LGE'!$B$28:$H$38,$A92)</f>
        <v>0</v>
      </c>
      <c r="E91" s="172">
        <f>VLOOKUP(E$4,'Cash Flows-LGE'!$B$28:$H$38,$A92)</f>
        <v>0</v>
      </c>
      <c r="F91" s="172">
        <f>VLOOKUP(F$4,'Cash Flows-LGE'!$B$28:$H$38,$A92)</f>
        <v>0</v>
      </c>
      <c r="G91" s="172">
        <f>VLOOKUP(G$4,'Cash Flows-LGE'!$B$28:$H$38,$A92)</f>
        <v>0</v>
      </c>
      <c r="H91" s="172">
        <f>VLOOKUP(H$4,'Cash Flows-LGE'!$B$28:$H$38,$A92)</f>
        <v>0</v>
      </c>
      <c r="I91" s="172">
        <f>VLOOKUP(I$4,'Cash Flows-LGE'!$B$28:$H$38,$A92)</f>
        <v>0</v>
      </c>
      <c r="J91" s="172">
        <f>VLOOKUP(J$4,'Cash Flows-LGE'!$B$28:$H$38,$A92)</f>
        <v>0</v>
      </c>
      <c r="K91" s="172">
        <f>VLOOKUP(K$4,'Cash Flows-LGE'!$B$28:$H$38,$A92)</f>
        <v>0</v>
      </c>
      <c r="L91" s="172">
        <f>VLOOKUP(L$4,'Cash Flows-LGE'!$B$28:$H$38,$A92)</f>
        <v>0</v>
      </c>
    </row>
    <row r="92" spans="1:13" ht="18.75" customHeight="1">
      <c r="A92" s="3">
        <v>4</v>
      </c>
      <c r="B92" s="40" t="s">
        <v>57</v>
      </c>
      <c r="C92" s="172">
        <f>SUM($C91:C91)</f>
        <v>877486.83</v>
      </c>
      <c r="D92" s="172">
        <f>SUM($C91:D91)</f>
        <v>877486.83</v>
      </c>
      <c r="E92" s="172">
        <f>SUM($C91:E91)</f>
        <v>877486.83</v>
      </c>
      <c r="F92" s="172">
        <f>SUM($C91:F91)</f>
        <v>877486.83</v>
      </c>
      <c r="G92" s="172">
        <f>SUM($C91:G91)</f>
        <v>877486.83</v>
      </c>
      <c r="H92" s="172">
        <f>SUM($C91:H91)</f>
        <v>877486.83</v>
      </c>
      <c r="I92" s="172">
        <f>SUM($C91:I91)</f>
        <v>877486.83</v>
      </c>
      <c r="J92" s="172">
        <f>SUM($C91:J91)</f>
        <v>877486.83</v>
      </c>
      <c r="K92" s="172">
        <f>SUM($C91:K91)</f>
        <v>877486.83</v>
      </c>
      <c r="L92" s="172">
        <f>SUM($C91:L91)</f>
        <v>877486.83</v>
      </c>
      <c r="M92" s="18"/>
    </row>
    <row r="93" spans="1:12" ht="18.75" customHeight="1">
      <c r="A93" s="3">
        <v>2</v>
      </c>
      <c r="B93" s="5" t="s">
        <v>0</v>
      </c>
      <c r="C93" s="6">
        <f>IF(C89="",0,VLOOKUP($B90,Depreciation!$D$2:$E$31,$A93,FALSE))</f>
        <v>0.0254</v>
      </c>
      <c r="D93" s="6">
        <f>IF(D89="",0,VLOOKUP($B90,Depreciation!$D$2:$E$31,$A93,FALSE))</f>
        <v>0.0254</v>
      </c>
      <c r="E93" s="6">
        <f>IF(E89="",0,VLOOKUP($B90,Depreciation!$D$2:$E$31,$A93,FALSE))</f>
        <v>0.0254</v>
      </c>
      <c r="F93" s="6">
        <f>IF(F89="",0,VLOOKUP($B90,Depreciation!$D$2:$E$31,$A93,FALSE))</f>
        <v>0.0254</v>
      </c>
      <c r="G93" s="6">
        <f>IF(G89="",0,VLOOKUP($B90,Depreciation!$D$2:$E$31,$A93,FALSE))</f>
        <v>0.0254</v>
      </c>
      <c r="H93" s="6">
        <f>IF(H89="",0,VLOOKUP($B90,Depreciation!$D$2:$E$31,$A93,FALSE))</f>
        <v>0.0254</v>
      </c>
      <c r="I93" s="6">
        <f>IF(I89="",0,VLOOKUP($B90,Depreciation!$D$2:$E$31,$A93,FALSE))</f>
        <v>0.0254</v>
      </c>
      <c r="J93" s="6">
        <f>IF(J89="",0,VLOOKUP($B90,Depreciation!$D$2:$E$31,$A93,FALSE))</f>
        <v>0.0254</v>
      </c>
      <c r="K93" s="6">
        <f>IF(K89="",0,VLOOKUP($B90,Depreciation!$D$2:$E$31,$A93,FALSE))</f>
        <v>0.0254</v>
      </c>
      <c r="L93" s="6">
        <f>IF(L89="",0,VLOOKUP($B90,Depreciation!$D$2:$E$31,$A93,FALSE))</f>
        <v>0.0254</v>
      </c>
    </row>
    <row r="94" spans="1:12" ht="18.75" customHeight="1">
      <c r="A94" s="3">
        <v>2</v>
      </c>
      <c r="B94" s="5" t="s">
        <v>1</v>
      </c>
      <c r="C94" s="6">
        <f>IF(C89="",0,VLOOKUP(C89,Depreciation!$A$2:$C$58,$A94,FALSE))</f>
        <v>0.0375</v>
      </c>
      <c r="D94" s="6">
        <f>IF(D89="",0,VLOOKUP(D89,Depreciation!$A$2:$C$58,$A94,FALSE))</f>
        <v>0.07219</v>
      </c>
      <c r="E94" s="6">
        <f>IF(E89="",0,VLOOKUP(E89,Depreciation!$A$2:$C$58,$A94,FALSE))</f>
        <v>0.06677</v>
      </c>
      <c r="F94" s="6">
        <f>IF(F89="",0,VLOOKUP(F89,Depreciation!$A$2:$C$58,$A94,FALSE))</f>
        <v>0.06177</v>
      </c>
      <c r="G94" s="6">
        <f>IF(G89="",0,VLOOKUP(G89,Depreciation!$A$2:$C$58,$A94,FALSE))</f>
        <v>0.05713</v>
      </c>
      <c r="H94" s="6">
        <f>IF(H89="",0,VLOOKUP(H89,Depreciation!$A$2:$C$58,$A94,FALSE))</f>
        <v>0.05285</v>
      </c>
      <c r="I94" s="6">
        <f>IF(I89="",0,VLOOKUP(I89,Depreciation!$A$2:$C$58,$A94,FALSE))</f>
        <v>0.04888</v>
      </c>
      <c r="J94" s="6">
        <f>IF(J89="",0,VLOOKUP(J89,Depreciation!$A$2:$C$58,$A94,FALSE))</f>
        <v>0.04522</v>
      </c>
      <c r="K94" s="6">
        <f>IF(K89="",0,VLOOKUP(K89,Depreciation!$A$2:$C$58,$A94,FALSE))</f>
        <v>0.04462</v>
      </c>
      <c r="L94" s="6">
        <f>IF(L89="",0,VLOOKUP(L89,Depreciation!$A$2:$C$58,$A94,FALSE))</f>
        <v>0.04461</v>
      </c>
    </row>
    <row r="95" spans="1:12" ht="18.75" customHeight="1">
      <c r="A95" s="30"/>
      <c r="B95" s="31" t="s">
        <v>2</v>
      </c>
      <c r="C95" s="7">
        <f>Input!B$3</f>
        <v>0.38665999999999995</v>
      </c>
      <c r="D95" s="7">
        <f>Input!C$3</f>
        <v>0.38665999999999995</v>
      </c>
      <c r="E95" s="7">
        <f>Input!D$3</f>
        <v>0.38665999999999995</v>
      </c>
      <c r="F95" s="7">
        <f>Input!E$3</f>
        <v>0.38665999999999995</v>
      </c>
      <c r="G95" s="7">
        <f>Input!F$3</f>
        <v>0.38665999999999995</v>
      </c>
      <c r="H95" s="7">
        <f>Input!G$3</f>
        <v>0.38665999999999995</v>
      </c>
      <c r="I95" s="7">
        <f>Input!H$3</f>
        <v>0.38665999999999995</v>
      </c>
      <c r="J95" s="7">
        <f>Input!I$3</f>
        <v>0.38665999999999995</v>
      </c>
      <c r="K95" s="7">
        <f>Input!J$3</f>
        <v>0.38665999999999995</v>
      </c>
      <c r="L95" s="7">
        <f>Input!K$3</f>
        <v>0.38665999999999995</v>
      </c>
    </row>
    <row r="96" spans="2:12" ht="18.75" customHeight="1">
      <c r="B96" s="2" t="s">
        <v>3</v>
      </c>
      <c r="C96" s="170">
        <f>SUM($C107:C107)</f>
        <v>171338.1467235249</v>
      </c>
      <c r="D96" s="170">
        <f>SUM($C107:D107)</f>
        <v>174966.84319549592</v>
      </c>
      <c r="E96" s="170">
        <f>SUM($C107:E107)</f>
        <v>177676.066321133</v>
      </c>
      <c r="F96" s="170">
        <f>SUM($C107:F107)</f>
        <v>179537.06680255057</v>
      </c>
      <c r="G96" s="170">
        <f>SUM($C107:G107)</f>
        <v>180610.91667013246</v>
      </c>
      <c r="H96" s="170">
        <f>SUM($C107:H107)</f>
        <v>180958.68795426245</v>
      </c>
      <c r="I96" s="170">
        <f>SUM($C107:I107)</f>
        <v>180632.97045888216</v>
      </c>
      <c r="J96" s="170">
        <f>SUM($C107:J107)</f>
        <v>179686.3539879332</v>
      </c>
      <c r="K96" s="170">
        <f>SUM($C107:K107)</f>
        <v>178637.9507996779</v>
      </c>
      <c r="L96" s="170">
        <f>SUM($C107:L107)</f>
        <v>177587.85116613415</v>
      </c>
    </row>
    <row r="97" spans="2:12" ht="18.75" customHeight="1">
      <c r="B97" s="2" t="s">
        <v>4</v>
      </c>
      <c r="C97" s="170">
        <f>SUM($C99:C99)</f>
        <v>12072.756302749998</v>
      </c>
      <c r="D97" s="170">
        <f>SUM($C99:D99)</f>
        <v>34360.92178475</v>
      </c>
      <c r="E97" s="170">
        <f>SUM($C99:E99)</f>
        <v>56649.08726674999</v>
      </c>
      <c r="F97" s="170">
        <f>SUM($C99:F99)</f>
        <v>78937.25274874999</v>
      </c>
      <c r="G97" s="170">
        <f>SUM($C99:G99)</f>
        <v>101225.41823074999</v>
      </c>
      <c r="H97" s="170">
        <f>SUM($C99:H99)</f>
        <v>123513.58371274998</v>
      </c>
      <c r="I97" s="170">
        <f>SUM($C99:I99)</f>
        <v>145801.74919474998</v>
      </c>
      <c r="J97" s="170">
        <f>SUM($C99:J99)</f>
        <v>168089.91467674996</v>
      </c>
      <c r="K97" s="170">
        <f>SUM($C99:K99)</f>
        <v>190378.08015874994</v>
      </c>
      <c r="L97" s="170">
        <f>SUM($C99:L99)</f>
        <v>212666.24564074993</v>
      </c>
    </row>
    <row r="98" spans="2:12" ht="18.75" customHeight="1">
      <c r="B98" s="11" t="s">
        <v>5</v>
      </c>
      <c r="C98" s="170">
        <f>C91</f>
        <v>877486.83</v>
      </c>
      <c r="D98" s="170">
        <f>C98+D91</f>
        <v>877486.83</v>
      </c>
      <c r="E98" s="170">
        <f aca="true" t="shared" si="50" ref="E98:L98">D98+E91</f>
        <v>877486.83</v>
      </c>
      <c r="F98" s="170">
        <f t="shared" si="50"/>
        <v>877486.83</v>
      </c>
      <c r="G98" s="170">
        <f t="shared" si="50"/>
        <v>877486.83</v>
      </c>
      <c r="H98" s="170">
        <f t="shared" si="50"/>
        <v>877486.83</v>
      </c>
      <c r="I98" s="170">
        <f t="shared" si="50"/>
        <v>877486.83</v>
      </c>
      <c r="J98" s="170">
        <f t="shared" si="50"/>
        <v>877486.83</v>
      </c>
      <c r="K98" s="170">
        <f t="shared" si="50"/>
        <v>877486.83</v>
      </c>
      <c r="L98" s="170">
        <f t="shared" si="50"/>
        <v>877486.83</v>
      </c>
    </row>
    <row r="99" spans="1:12" ht="18.75" customHeight="1">
      <c r="A99" s="214" t="s">
        <v>359</v>
      </c>
      <c r="B99" s="11" t="s">
        <v>6</v>
      </c>
      <c r="C99" s="170">
        <f aca="true" t="shared" si="51" ref="C99:L99">IF(C89=1,(12.5-VLOOKUP(C87,$Q$5:$R$16,2,))*C93/12*C98,C98*C93)</f>
        <v>12072.756302749998</v>
      </c>
      <c r="D99" s="170">
        <f t="shared" si="51"/>
        <v>22288.165481999997</v>
      </c>
      <c r="E99" s="170">
        <f t="shared" si="51"/>
        <v>22288.165481999997</v>
      </c>
      <c r="F99" s="170">
        <f t="shared" si="51"/>
        <v>22288.165481999997</v>
      </c>
      <c r="G99" s="170">
        <f t="shared" si="51"/>
        <v>22288.165481999997</v>
      </c>
      <c r="H99" s="170">
        <f t="shared" si="51"/>
        <v>22288.165481999997</v>
      </c>
      <c r="I99" s="170">
        <f t="shared" si="51"/>
        <v>22288.165481999997</v>
      </c>
      <c r="J99" s="170">
        <f t="shared" si="51"/>
        <v>22288.165481999997</v>
      </c>
      <c r="K99" s="170">
        <f t="shared" si="51"/>
        <v>22288.165481999997</v>
      </c>
      <c r="L99" s="170">
        <f t="shared" si="51"/>
        <v>22288.165481999997</v>
      </c>
    </row>
    <row r="100" spans="1:12" ht="18.75" customHeight="1">
      <c r="A100" s="3"/>
      <c r="B100" s="5" t="s">
        <v>7</v>
      </c>
      <c r="C100" s="170">
        <f>C91</f>
        <v>877486.83</v>
      </c>
      <c r="D100" s="170">
        <f aca="true" t="shared" si="52" ref="D100:L100">C100+D91</f>
        <v>877486.83</v>
      </c>
      <c r="E100" s="170">
        <f t="shared" si="52"/>
        <v>877486.83</v>
      </c>
      <c r="F100" s="170">
        <f t="shared" si="52"/>
        <v>877486.83</v>
      </c>
      <c r="G100" s="170">
        <f t="shared" si="52"/>
        <v>877486.83</v>
      </c>
      <c r="H100" s="170">
        <f t="shared" si="52"/>
        <v>877486.83</v>
      </c>
      <c r="I100" s="170">
        <f t="shared" si="52"/>
        <v>877486.83</v>
      </c>
      <c r="J100" s="170">
        <f t="shared" si="52"/>
        <v>877486.83</v>
      </c>
      <c r="K100" s="170">
        <f t="shared" si="52"/>
        <v>877486.83</v>
      </c>
      <c r="L100" s="170">
        <f t="shared" si="52"/>
        <v>877486.83</v>
      </c>
    </row>
    <row r="101" spans="2:12" ht="18.75" customHeight="1">
      <c r="B101" s="213" t="s">
        <v>361</v>
      </c>
      <c r="C101" s="170">
        <f>IF(C89=1,IF($A99="Bonus",SUM($C91:C91)*VLOOKUP(C88,Depreciation!$D$41:$E$50,2),0),0)</f>
        <v>438743.415</v>
      </c>
      <c r="D101" s="170">
        <f>IF(D89=1,IF($A99="Bonus",SUM($C91:D91)*VLOOKUP(D88,Depreciation!$D$41:$E$50,2),0),0)</f>
        <v>0</v>
      </c>
      <c r="E101" s="170">
        <f>IF(E89=1,IF($A99="Bonus",SUM($C91:E91)*VLOOKUP(E88,Depreciation!$D$41:$E$50,2),0),0)</f>
        <v>0</v>
      </c>
      <c r="F101" s="170">
        <f>IF(F89=1,IF($A99="Bonus",SUM($C91:F91)*VLOOKUP(F88,Depreciation!$D$41:$E$50,2),0),0)</f>
        <v>0</v>
      </c>
      <c r="G101" s="170">
        <f>IF(G89=1,IF($A99="Bonus",SUM($C91:G91)*VLOOKUP(G88,Depreciation!$D$41:$E$50,2),0),0)</f>
        <v>0</v>
      </c>
      <c r="H101" s="170">
        <f>IF(H89=1,IF($A99="Bonus",SUM($C91:H91)*VLOOKUP(H88,Depreciation!$D$41:$E$50,2),0),0)</f>
        <v>0</v>
      </c>
      <c r="I101" s="170">
        <f>IF(I89=1,IF($A99="Bonus",SUM($C91:I91)*VLOOKUP(I88,Depreciation!$D$41:$E$50,2),0),0)</f>
        <v>0</v>
      </c>
      <c r="J101" s="170">
        <f>IF(J89=1,IF($A99="Bonus",SUM($C91:J91)*VLOOKUP(J88,Depreciation!$D$41:$E$50,2),0),0)</f>
        <v>0</v>
      </c>
      <c r="K101" s="170">
        <f>IF(K89=1,IF($A99="Bonus",SUM($C91:K91)*VLOOKUP(K88,Depreciation!$D$41:$E$50,2),0),0)</f>
        <v>0</v>
      </c>
      <c r="L101" s="170">
        <f>IF(L89=1,IF($A99="Bonus",SUM($C91:L91)*VLOOKUP(L88,Depreciation!$D$41:$E$50,2),0),0)</f>
        <v>0</v>
      </c>
    </row>
    <row r="102" spans="2:12" ht="18.75" customHeight="1">
      <c r="B102" s="5" t="s">
        <v>362</v>
      </c>
      <c r="C102" s="170">
        <f>IF(C89&gt;=1,IF($A99="Bonus",C92*(1-VLOOKUP($A89,Depreciation!$D$41:$N$50,C88-2014))*C94,C92*C94),C92*C94)</f>
        <v>16452.8780625</v>
      </c>
      <c r="D102" s="170">
        <f>IF(D89&gt;=1,IF($A99="Bonus",D92*(1-VLOOKUP($A89,Depreciation!$D$41:$N$50,D88-2014))*D94,D92*D94),D92*D94)</f>
        <v>31672.88712885</v>
      </c>
      <c r="E102" s="170">
        <f>IF(E89&gt;=1,IF($A99="Bonus",E92*(1-VLOOKUP($A89,Depreciation!$D$41:$N$50,E88-2014))*E94,E92*E94),E92*E94)</f>
        <v>29294.89781955</v>
      </c>
      <c r="F102" s="170">
        <f>IF(F89&gt;=1,IF($A99="Bonus",F92*(1-VLOOKUP($A89,Depreciation!$D$41:$N$50,F88-2014))*F94,F92*F94),F92*F94)</f>
        <v>27101.180744549998</v>
      </c>
      <c r="G102" s="170">
        <f>IF(G89&gt;=1,IF($A99="Bonus",G92*(1-VLOOKUP($A89,Depreciation!$D$41:$N$50,G88-2014))*G94,G92*G94),G92*G94)</f>
        <v>25065.41129895</v>
      </c>
      <c r="H102" s="170">
        <f>IF(H89&gt;=1,IF($A99="Bonus",H92*(1-VLOOKUP($A89,Depreciation!$D$41:$N$50,H88-2014))*H94,H92*H94),H92*H94)</f>
        <v>23187.589482749998</v>
      </c>
      <c r="I102" s="170">
        <f>IF(I89&gt;=1,IF($A99="Bonus",I92*(1-VLOOKUP($A89,Depreciation!$D$41:$N$50,I88-2014))*I94,I92*I94),I92*I94)</f>
        <v>21445.7781252</v>
      </c>
      <c r="J102" s="170">
        <f>IF(J89&gt;=1,IF($A99="Bonus",J92*(1-VLOOKUP($A89,Depreciation!$D$41:$N$50,J88-2014))*J94,J92*J94),J92*J94)</f>
        <v>19839.9772263</v>
      </c>
      <c r="K102" s="170">
        <f>IF(K89&gt;=1,IF($A99="Bonus",K92*(1-VLOOKUP($A89,Depreciation!$D$41:$N$50,K88-2014))*K94,K92*K94),K92*K94)</f>
        <v>19576.7311773</v>
      </c>
      <c r="L102" s="170">
        <f>IF(L89&gt;=1,IF($A99="Bonus",L92*(1-VLOOKUP($A89,Depreciation!$D$41:$N$50,L88-2014))*L94,L92*L94),L92*L94)</f>
        <v>19572.34374315</v>
      </c>
    </row>
    <row r="103" spans="2:12" ht="18.75" customHeight="1">
      <c r="B103" s="5" t="s">
        <v>17</v>
      </c>
      <c r="C103" s="7">
        <f>Input!I$19</f>
        <v>0.09991333016039017</v>
      </c>
      <c r="D103" s="7">
        <f>Input!J$19</f>
        <v>0.09991333016039017</v>
      </c>
      <c r="E103" s="7">
        <f>Input!K$19</f>
        <v>0.09991333016039017</v>
      </c>
      <c r="F103" s="7">
        <f>Input!L$19</f>
        <v>0.09991333016039017</v>
      </c>
      <c r="G103" s="7">
        <f>Input!M$19</f>
        <v>0.09991333016039017</v>
      </c>
      <c r="H103" s="7">
        <f>Input!N$19</f>
        <v>0.09991333016039017</v>
      </c>
      <c r="I103" s="7">
        <f>Input!O$19</f>
        <v>0.09991333016039017</v>
      </c>
      <c r="J103" s="7">
        <f>Input!P$19</f>
        <v>0.09991333016039017</v>
      </c>
      <c r="K103" s="7">
        <f>Input!Q$19</f>
        <v>0.09991333016039017</v>
      </c>
      <c r="L103" s="7">
        <f>Input!R$19</f>
        <v>0.09991333016039017</v>
      </c>
    </row>
    <row r="104" spans="2:12" ht="18.75" customHeight="1">
      <c r="B104" s="5" t="s">
        <v>8</v>
      </c>
      <c r="C104" s="171">
        <f>C99</f>
        <v>12072.756302749998</v>
      </c>
      <c r="D104" s="171">
        <f aca="true" t="shared" si="53" ref="D104:L104">D99</f>
        <v>22288.165481999997</v>
      </c>
      <c r="E104" s="171">
        <f t="shared" si="53"/>
        <v>22288.165481999997</v>
      </c>
      <c r="F104" s="171">
        <f t="shared" si="53"/>
        <v>22288.165481999997</v>
      </c>
      <c r="G104" s="171">
        <f t="shared" si="53"/>
        <v>22288.165481999997</v>
      </c>
      <c r="H104" s="171">
        <f t="shared" si="53"/>
        <v>22288.165481999997</v>
      </c>
      <c r="I104" s="171">
        <f t="shared" si="53"/>
        <v>22288.165481999997</v>
      </c>
      <c r="J104" s="171">
        <f t="shared" si="53"/>
        <v>22288.165481999997</v>
      </c>
      <c r="K104" s="171">
        <f t="shared" si="53"/>
        <v>22288.165481999997</v>
      </c>
      <c r="L104" s="171">
        <f t="shared" si="53"/>
        <v>22288.165481999997</v>
      </c>
    </row>
    <row r="105" spans="2:12" ht="18.75" customHeight="1">
      <c r="B105" s="11" t="s">
        <v>364</v>
      </c>
      <c r="C105" s="171">
        <f aca="true" t="shared" si="54" ref="C105:L105">SUM(C101,C102)</f>
        <v>455196.29306249996</v>
      </c>
      <c r="D105" s="171">
        <f t="shared" si="54"/>
        <v>31672.88712885</v>
      </c>
      <c r="E105" s="171">
        <f t="shared" si="54"/>
        <v>29294.89781955</v>
      </c>
      <c r="F105" s="171">
        <f t="shared" si="54"/>
        <v>27101.180744549998</v>
      </c>
      <c r="G105" s="171">
        <f t="shared" si="54"/>
        <v>25065.41129895</v>
      </c>
      <c r="H105" s="171">
        <f t="shared" si="54"/>
        <v>23187.589482749998</v>
      </c>
      <c r="I105" s="171">
        <f t="shared" si="54"/>
        <v>21445.7781252</v>
      </c>
      <c r="J105" s="171">
        <f t="shared" si="54"/>
        <v>19839.9772263</v>
      </c>
      <c r="K105" s="171">
        <f t="shared" si="54"/>
        <v>19576.7311773</v>
      </c>
      <c r="L105" s="171">
        <f t="shared" si="54"/>
        <v>19572.34374315</v>
      </c>
    </row>
    <row r="106" spans="2:12" ht="18.75" customHeight="1">
      <c r="B106" s="2" t="s">
        <v>9</v>
      </c>
      <c r="C106" s="8">
        <f>Input!$B$6</f>
        <v>0.0015</v>
      </c>
      <c r="D106" s="8">
        <f aca="true" t="shared" si="55" ref="D106:L106">C106</f>
        <v>0.0015</v>
      </c>
      <c r="E106" s="8">
        <f t="shared" si="55"/>
        <v>0.0015</v>
      </c>
      <c r="F106" s="8">
        <f t="shared" si="55"/>
        <v>0.0015</v>
      </c>
      <c r="G106" s="8">
        <f t="shared" si="55"/>
        <v>0.0015</v>
      </c>
      <c r="H106" s="8">
        <f t="shared" si="55"/>
        <v>0.0015</v>
      </c>
      <c r="I106" s="8">
        <f t="shared" si="55"/>
        <v>0.0015</v>
      </c>
      <c r="J106" s="8">
        <f t="shared" si="55"/>
        <v>0.0015</v>
      </c>
      <c r="K106" s="8">
        <f t="shared" si="55"/>
        <v>0.0015</v>
      </c>
      <c r="L106" s="8">
        <f t="shared" si="55"/>
        <v>0.0015</v>
      </c>
    </row>
    <row r="107" spans="2:12" ht="18.75" customHeight="1">
      <c r="B107" s="4" t="s">
        <v>363</v>
      </c>
      <c r="C107" s="171">
        <f aca="true" t="shared" si="56" ref="C107:L107">(C105-C104)*C95</f>
        <v>171338.1467235249</v>
      </c>
      <c r="D107" s="171">
        <f t="shared" si="56"/>
        <v>3628.696471971022</v>
      </c>
      <c r="E107" s="171">
        <f t="shared" si="56"/>
        <v>2709.2231256370833</v>
      </c>
      <c r="F107" s="171">
        <f t="shared" si="56"/>
        <v>1861.0004814175834</v>
      </c>
      <c r="G107" s="171">
        <f t="shared" si="56"/>
        <v>1073.8498675818878</v>
      </c>
      <c r="H107" s="171">
        <f t="shared" si="56"/>
        <v>347.7712841299954</v>
      </c>
      <c r="I107" s="171">
        <f t="shared" si="56"/>
        <v>-325.71749538028723</v>
      </c>
      <c r="J107" s="171">
        <f t="shared" si="56"/>
        <v>-946.6164709489601</v>
      </c>
      <c r="K107" s="171">
        <f t="shared" si="56"/>
        <v>-1048.4031882553006</v>
      </c>
      <c r="L107" s="171">
        <f t="shared" si="56"/>
        <v>-1050.09963354374</v>
      </c>
    </row>
    <row r="108" spans="2:12" ht="18.75" customHeight="1"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8.75" customHeight="1">
      <c r="B109" s="10" t="s">
        <v>15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8.75" customHeight="1">
      <c r="B110" s="5" t="s">
        <v>16</v>
      </c>
      <c r="C110" s="169">
        <f>C92</f>
        <v>877486.83</v>
      </c>
      <c r="D110" s="169">
        <f aca="true" t="shared" si="57" ref="D110:I110">D92</f>
        <v>877486.83</v>
      </c>
      <c r="E110" s="169">
        <f t="shared" si="57"/>
        <v>877486.83</v>
      </c>
      <c r="F110" s="169">
        <f t="shared" si="57"/>
        <v>877486.83</v>
      </c>
      <c r="G110" s="169">
        <f t="shared" si="57"/>
        <v>877486.83</v>
      </c>
      <c r="H110" s="169">
        <f t="shared" si="57"/>
        <v>877486.83</v>
      </c>
      <c r="I110" s="169">
        <f t="shared" si="57"/>
        <v>877486.83</v>
      </c>
      <c r="J110" s="169">
        <f>J92</f>
        <v>877486.83</v>
      </c>
      <c r="K110" s="169">
        <f>K92</f>
        <v>877486.83</v>
      </c>
      <c r="L110" s="169">
        <f>L92</f>
        <v>877486.83</v>
      </c>
    </row>
    <row r="111" spans="1:12" ht="18.75" customHeight="1">
      <c r="A111" s="3"/>
      <c r="B111" s="4" t="s">
        <v>44</v>
      </c>
      <c r="C111" s="170">
        <v>0</v>
      </c>
      <c r="D111" s="170">
        <f aca="true" t="shared" si="58" ref="D111:L111">C111</f>
        <v>0</v>
      </c>
      <c r="E111" s="170">
        <f t="shared" si="58"/>
        <v>0</v>
      </c>
      <c r="F111" s="170">
        <f t="shared" si="58"/>
        <v>0</v>
      </c>
      <c r="G111" s="170">
        <f t="shared" si="58"/>
        <v>0</v>
      </c>
      <c r="H111" s="170">
        <f t="shared" si="58"/>
        <v>0</v>
      </c>
      <c r="I111" s="170">
        <f t="shared" si="58"/>
        <v>0</v>
      </c>
      <c r="J111" s="170">
        <f t="shared" si="58"/>
        <v>0</v>
      </c>
      <c r="K111" s="170">
        <f t="shared" si="58"/>
        <v>0</v>
      </c>
      <c r="L111" s="170">
        <f t="shared" si="58"/>
        <v>0</v>
      </c>
    </row>
    <row r="112" spans="2:12" ht="18.75" customHeight="1">
      <c r="B112" s="2" t="s">
        <v>10</v>
      </c>
      <c r="C112" s="170">
        <f>-C97</f>
        <v>-12072.756302749998</v>
      </c>
      <c r="D112" s="170">
        <f>-D97</f>
        <v>-34360.92178475</v>
      </c>
      <c r="E112" s="170">
        <f>-E97</f>
        <v>-56649.08726674999</v>
      </c>
      <c r="F112" s="170">
        <f>-F97</f>
        <v>-78937.25274874999</v>
      </c>
      <c r="G112" s="170">
        <f aca="true" t="shared" si="59" ref="G112:L112">-G97</f>
        <v>-101225.41823074999</v>
      </c>
      <c r="H112" s="170">
        <f t="shared" si="59"/>
        <v>-123513.58371274998</v>
      </c>
      <c r="I112" s="170">
        <f t="shared" si="59"/>
        <v>-145801.74919474998</v>
      </c>
      <c r="J112" s="170">
        <f t="shared" si="59"/>
        <v>-168089.91467674996</v>
      </c>
      <c r="K112" s="170">
        <f t="shared" si="59"/>
        <v>-190378.08015874994</v>
      </c>
      <c r="L112" s="170">
        <f t="shared" si="59"/>
        <v>-212666.24564074993</v>
      </c>
    </row>
    <row r="113" spans="2:12" ht="18.75" customHeight="1">
      <c r="B113" s="2" t="s">
        <v>45</v>
      </c>
      <c r="C113" s="170">
        <v>0</v>
      </c>
      <c r="D113" s="170">
        <f aca="true" t="shared" si="60" ref="D113:L113">C113</f>
        <v>0</v>
      </c>
      <c r="E113" s="170">
        <f t="shared" si="60"/>
        <v>0</v>
      </c>
      <c r="F113" s="170">
        <f t="shared" si="60"/>
        <v>0</v>
      </c>
      <c r="G113" s="170">
        <f t="shared" si="60"/>
        <v>0</v>
      </c>
      <c r="H113" s="170">
        <f t="shared" si="60"/>
        <v>0</v>
      </c>
      <c r="I113" s="170">
        <f t="shared" si="60"/>
        <v>0</v>
      </c>
      <c r="J113" s="170">
        <f t="shared" si="60"/>
        <v>0</v>
      </c>
      <c r="K113" s="170">
        <f t="shared" si="60"/>
        <v>0</v>
      </c>
      <c r="L113" s="170">
        <f t="shared" si="60"/>
        <v>0</v>
      </c>
    </row>
    <row r="114" spans="2:12" ht="18.75" customHeight="1">
      <c r="B114" s="2" t="s">
        <v>46</v>
      </c>
      <c r="C114" s="170">
        <f>-C96</f>
        <v>-171338.1467235249</v>
      </c>
      <c r="D114" s="170">
        <f aca="true" t="shared" si="61" ref="D114:I114">-D96</f>
        <v>-174966.84319549592</v>
      </c>
      <c r="E114" s="170">
        <f t="shared" si="61"/>
        <v>-177676.066321133</v>
      </c>
      <c r="F114" s="170">
        <f t="shared" si="61"/>
        <v>-179537.06680255057</v>
      </c>
      <c r="G114" s="170">
        <f t="shared" si="61"/>
        <v>-180610.91667013246</v>
      </c>
      <c r="H114" s="170">
        <f t="shared" si="61"/>
        <v>-180958.68795426245</v>
      </c>
      <c r="I114" s="170">
        <f t="shared" si="61"/>
        <v>-180632.97045888216</v>
      </c>
      <c r="J114" s="170">
        <f>-J96</f>
        <v>-179686.3539879332</v>
      </c>
      <c r="K114" s="170">
        <f>-K96</f>
        <v>-178637.9507996779</v>
      </c>
      <c r="L114" s="170">
        <f>-L96</f>
        <v>-177587.85116613415</v>
      </c>
    </row>
    <row r="115" spans="2:12" ht="18.75" customHeight="1">
      <c r="B115" s="2" t="s">
        <v>47</v>
      </c>
      <c r="C115" s="170">
        <v>0</v>
      </c>
      <c r="D115" s="170">
        <f aca="true" t="shared" si="62" ref="D115:L115">C115</f>
        <v>0</v>
      </c>
      <c r="E115" s="170">
        <f t="shared" si="62"/>
        <v>0</v>
      </c>
      <c r="F115" s="170">
        <f t="shared" si="62"/>
        <v>0</v>
      </c>
      <c r="G115" s="170">
        <f t="shared" si="62"/>
        <v>0</v>
      </c>
      <c r="H115" s="170">
        <f t="shared" si="62"/>
        <v>0</v>
      </c>
      <c r="I115" s="170">
        <f t="shared" si="62"/>
        <v>0</v>
      </c>
      <c r="J115" s="170">
        <f t="shared" si="62"/>
        <v>0</v>
      </c>
      <c r="K115" s="170">
        <f t="shared" si="62"/>
        <v>0</v>
      </c>
      <c r="L115" s="170">
        <f t="shared" si="62"/>
        <v>0</v>
      </c>
    </row>
    <row r="116" spans="2:12" ht="18.75" customHeight="1">
      <c r="B116" s="2" t="s">
        <v>11</v>
      </c>
      <c r="C116" s="170">
        <f>SUM(C110:C115)</f>
        <v>694075.9269737251</v>
      </c>
      <c r="D116" s="170">
        <f>SUM(D110:D115)</f>
        <v>668159.0650197541</v>
      </c>
      <c r="E116" s="170">
        <f>SUM(E110:E115)</f>
        <v>643161.676412117</v>
      </c>
      <c r="F116" s="170">
        <f>SUM(F110:F115)</f>
        <v>619012.5104486994</v>
      </c>
      <c r="G116" s="170">
        <f aca="true" t="shared" si="63" ref="G116:L116">SUM(G110:G115)</f>
        <v>595650.4950991175</v>
      </c>
      <c r="H116" s="170">
        <f t="shared" si="63"/>
        <v>573014.5583329875</v>
      </c>
      <c r="I116" s="170">
        <f t="shared" si="63"/>
        <v>551052.1103463678</v>
      </c>
      <c r="J116" s="170">
        <f t="shared" si="63"/>
        <v>529710.5613353169</v>
      </c>
      <c r="K116" s="170">
        <f t="shared" si="63"/>
        <v>508470.79904157214</v>
      </c>
      <c r="L116" s="170">
        <f t="shared" si="63"/>
        <v>487232.7331931159</v>
      </c>
    </row>
    <row r="117" spans="2:12" ht="18.75" customHeight="1">
      <c r="B117" s="2" t="s">
        <v>12</v>
      </c>
      <c r="C117" s="7">
        <f>C103</f>
        <v>0.09991333016039017</v>
      </c>
      <c r="D117" s="7">
        <f aca="true" t="shared" si="64" ref="D117:I117">D103</f>
        <v>0.09991333016039017</v>
      </c>
      <c r="E117" s="7">
        <f t="shared" si="64"/>
        <v>0.09991333016039017</v>
      </c>
      <c r="F117" s="7">
        <f t="shared" si="64"/>
        <v>0.09991333016039017</v>
      </c>
      <c r="G117" s="7">
        <f t="shared" si="64"/>
        <v>0.09991333016039017</v>
      </c>
      <c r="H117" s="7">
        <f t="shared" si="64"/>
        <v>0.09991333016039017</v>
      </c>
      <c r="I117" s="7">
        <f t="shared" si="64"/>
        <v>0.09991333016039017</v>
      </c>
      <c r="J117" s="7">
        <f>J103</f>
        <v>0.09991333016039017</v>
      </c>
      <c r="K117" s="7">
        <f>K103</f>
        <v>0.09991333016039017</v>
      </c>
      <c r="L117" s="7">
        <f>L103</f>
        <v>0.09991333016039017</v>
      </c>
    </row>
    <row r="118" spans="2:12" ht="18.75" customHeight="1">
      <c r="B118" s="34" t="s">
        <v>58</v>
      </c>
      <c r="C118" s="174">
        <f>C116*C117</f>
        <v>69347.43724810464</v>
      </c>
      <c r="D118" s="174">
        <f aca="true" t="shared" si="65" ref="D118:I118">D116*D117</f>
        <v>66757.99726297629</v>
      </c>
      <c r="E118" s="174">
        <f t="shared" si="65"/>
        <v>64260.42492187387</v>
      </c>
      <c r="F118" s="174">
        <f t="shared" si="65"/>
        <v>61847.601329872865</v>
      </c>
      <c r="G118" s="174">
        <f t="shared" si="65"/>
        <v>59513.42457703799</v>
      </c>
      <c r="H118" s="174">
        <f t="shared" si="65"/>
        <v>57251.79275343393</v>
      </c>
      <c r="I118" s="174">
        <f t="shared" si="65"/>
        <v>55057.4514366164</v>
      </c>
      <c r="J118" s="174">
        <f>J116*J117</f>
        <v>52925.14620414112</v>
      </c>
      <c r="K118" s="174">
        <f>K116*K117</f>
        <v>50803.010821558</v>
      </c>
      <c r="L118" s="174">
        <f>L116*L117</f>
        <v>48681.04493647308</v>
      </c>
    </row>
    <row r="119" spans="1:12" ht="18.75" customHeight="1">
      <c r="A119" s="3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ht="18.75" customHeight="1">
      <c r="B120" s="1" t="s">
        <v>52</v>
      </c>
      <c r="C120" s="170">
        <v>0</v>
      </c>
      <c r="D120" s="170">
        <f>C120</f>
        <v>0</v>
      </c>
      <c r="E120" s="170">
        <f aca="true" t="shared" si="66" ref="E120:L120">D120</f>
        <v>0</v>
      </c>
      <c r="F120" s="170">
        <f t="shared" si="66"/>
        <v>0</v>
      </c>
      <c r="G120" s="170">
        <f t="shared" si="66"/>
        <v>0</v>
      </c>
      <c r="H120" s="170">
        <f t="shared" si="66"/>
        <v>0</v>
      </c>
      <c r="I120" s="170">
        <f t="shared" si="66"/>
        <v>0</v>
      </c>
      <c r="J120" s="170">
        <f t="shared" si="66"/>
        <v>0</v>
      </c>
      <c r="K120" s="170">
        <f t="shared" si="66"/>
        <v>0</v>
      </c>
      <c r="L120" s="170">
        <f t="shared" si="66"/>
        <v>0</v>
      </c>
    </row>
    <row r="121" spans="2:12" ht="18.75" customHeight="1">
      <c r="B121" s="2" t="s">
        <v>48</v>
      </c>
      <c r="C121" s="170">
        <f>C104</f>
        <v>12072.756302749998</v>
      </c>
      <c r="D121" s="170">
        <f aca="true" t="shared" si="67" ref="D121:I121">D104</f>
        <v>22288.165481999997</v>
      </c>
      <c r="E121" s="170">
        <f t="shared" si="67"/>
        <v>22288.165481999997</v>
      </c>
      <c r="F121" s="170">
        <f t="shared" si="67"/>
        <v>22288.165481999997</v>
      </c>
      <c r="G121" s="170">
        <f t="shared" si="67"/>
        <v>22288.165481999997</v>
      </c>
      <c r="H121" s="170">
        <f t="shared" si="67"/>
        <v>22288.165481999997</v>
      </c>
      <c r="I121" s="170">
        <f t="shared" si="67"/>
        <v>22288.165481999997</v>
      </c>
      <c r="J121" s="170">
        <f>J104</f>
        <v>22288.165481999997</v>
      </c>
      <c r="K121" s="170">
        <f>K104</f>
        <v>22288.165481999997</v>
      </c>
      <c r="L121" s="170">
        <f>L104</f>
        <v>22288.165481999997</v>
      </c>
    </row>
    <row r="122" spans="2:12" ht="18.75" customHeight="1">
      <c r="B122" s="2" t="s">
        <v>49</v>
      </c>
      <c r="C122" s="170">
        <v>0</v>
      </c>
      <c r="D122" s="170">
        <f aca="true" t="shared" si="68" ref="D122:L122">C122</f>
        <v>0</v>
      </c>
      <c r="E122" s="170">
        <f t="shared" si="68"/>
        <v>0</v>
      </c>
      <c r="F122" s="170">
        <f t="shared" si="68"/>
        <v>0</v>
      </c>
      <c r="G122" s="170">
        <f t="shared" si="68"/>
        <v>0</v>
      </c>
      <c r="H122" s="170">
        <f t="shared" si="68"/>
        <v>0</v>
      </c>
      <c r="I122" s="170">
        <f t="shared" si="68"/>
        <v>0</v>
      </c>
      <c r="J122" s="170">
        <f t="shared" si="68"/>
        <v>0</v>
      </c>
      <c r="K122" s="170">
        <f t="shared" si="68"/>
        <v>0</v>
      </c>
      <c r="L122" s="170">
        <f t="shared" si="68"/>
        <v>0</v>
      </c>
    </row>
    <row r="123" spans="2:12" ht="18.75" customHeight="1">
      <c r="B123" s="2" t="s">
        <v>50</v>
      </c>
      <c r="C123" s="170">
        <v>0</v>
      </c>
      <c r="D123" s="170">
        <f aca="true" t="shared" si="69" ref="D123:L123">D106*(C110+C112)</f>
        <v>1298.121110545875</v>
      </c>
      <c r="E123" s="170">
        <f t="shared" si="69"/>
        <v>1264.6888623228751</v>
      </c>
      <c r="F123" s="170">
        <f t="shared" si="69"/>
        <v>1231.256614099875</v>
      </c>
      <c r="G123" s="170">
        <f t="shared" si="69"/>
        <v>1197.824365876875</v>
      </c>
      <c r="H123" s="170">
        <f t="shared" si="69"/>
        <v>1164.392117653875</v>
      </c>
      <c r="I123" s="170">
        <f t="shared" si="69"/>
        <v>1130.959869430875</v>
      </c>
      <c r="J123" s="170">
        <f t="shared" si="69"/>
        <v>1097.527621207875</v>
      </c>
      <c r="K123" s="170">
        <f t="shared" si="69"/>
        <v>1064.095372984875</v>
      </c>
      <c r="L123" s="170">
        <f t="shared" si="69"/>
        <v>1030.663124761875</v>
      </c>
    </row>
    <row r="124" spans="2:12" ht="18.75" customHeight="1">
      <c r="B124" s="21" t="s">
        <v>51</v>
      </c>
      <c r="C124" s="174">
        <f aca="true" t="shared" si="70" ref="C124:I124">SUM(C120:C123)</f>
        <v>12072.756302749998</v>
      </c>
      <c r="D124" s="174">
        <f t="shared" si="70"/>
        <v>23586.286592545872</v>
      </c>
      <c r="E124" s="174">
        <f t="shared" si="70"/>
        <v>23552.85434432287</v>
      </c>
      <c r="F124" s="174">
        <f t="shared" si="70"/>
        <v>23519.422096099872</v>
      </c>
      <c r="G124" s="174">
        <f t="shared" si="70"/>
        <v>23485.98984787687</v>
      </c>
      <c r="H124" s="174">
        <f t="shared" si="70"/>
        <v>23452.557599653872</v>
      </c>
      <c r="I124" s="174">
        <f t="shared" si="70"/>
        <v>23419.12535143087</v>
      </c>
      <c r="J124" s="174">
        <f>SUM(J120:J123)</f>
        <v>23385.693103207872</v>
      </c>
      <c r="K124" s="174">
        <f>SUM(K120:K123)</f>
        <v>23352.26085498487</v>
      </c>
      <c r="L124" s="174">
        <f>SUM(L120:L123)</f>
        <v>23318.828606761872</v>
      </c>
    </row>
    <row r="125" spans="3:12" ht="18.75" customHeight="1">
      <c r="C125" s="34"/>
      <c r="D125" s="268"/>
      <c r="E125" s="268"/>
      <c r="F125" s="268"/>
      <c r="G125" s="268"/>
      <c r="H125" s="268"/>
      <c r="I125" s="268"/>
      <c r="J125" s="268"/>
      <c r="K125" s="268"/>
      <c r="L125" s="268"/>
    </row>
    <row r="126" spans="2:12" ht="18.75" customHeight="1">
      <c r="B126" s="1" t="s">
        <v>59</v>
      </c>
      <c r="C126" s="170">
        <f>C118+C124</f>
        <v>81420.19355085464</v>
      </c>
      <c r="D126" s="170">
        <f aca="true" t="shared" si="71" ref="D126:I126">D118+D124</f>
        <v>90344.28385552217</v>
      </c>
      <c r="E126" s="170">
        <f t="shared" si="71"/>
        <v>87813.27926619674</v>
      </c>
      <c r="F126" s="170">
        <f t="shared" si="71"/>
        <v>85367.02342597273</v>
      </c>
      <c r="G126" s="170">
        <f t="shared" si="71"/>
        <v>82999.41442491487</v>
      </c>
      <c r="H126" s="170">
        <f t="shared" si="71"/>
        <v>80704.35035308781</v>
      </c>
      <c r="I126" s="170">
        <f t="shared" si="71"/>
        <v>78476.57678804727</v>
      </c>
      <c r="J126" s="170">
        <f>J118+J124</f>
        <v>76310.839307349</v>
      </c>
      <c r="K126" s="170">
        <f>K118+K124</f>
        <v>74155.27167654286</v>
      </c>
      <c r="L126" s="170">
        <f>L118+L124</f>
        <v>71999.87354323495</v>
      </c>
    </row>
    <row r="127" ht="18.75" customHeight="1"/>
    <row r="128" ht="18.75" customHeight="1"/>
    <row r="129" spans="2:12" ht="18.75" customHeight="1">
      <c r="B129" s="11"/>
      <c r="C129" s="212" t="s">
        <v>262</v>
      </c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8.75" customHeight="1">
      <c r="A130" s="28"/>
      <c r="B130" s="28"/>
      <c r="C130" s="52">
        <f>C4</f>
        <v>2016</v>
      </c>
      <c r="D130" s="29">
        <f aca="true" t="shared" si="72" ref="D130:L130">C130+1</f>
        <v>2017</v>
      </c>
      <c r="E130" s="29">
        <f t="shared" si="72"/>
        <v>2018</v>
      </c>
      <c r="F130" s="29">
        <f t="shared" si="72"/>
        <v>2019</v>
      </c>
      <c r="G130" s="29">
        <f t="shared" si="72"/>
        <v>2020</v>
      </c>
      <c r="H130" s="29">
        <f t="shared" si="72"/>
        <v>2021</v>
      </c>
      <c r="I130" s="29">
        <f t="shared" si="72"/>
        <v>2022</v>
      </c>
      <c r="J130" s="29">
        <f t="shared" si="72"/>
        <v>2023</v>
      </c>
      <c r="K130" s="29">
        <f t="shared" si="72"/>
        <v>2024</v>
      </c>
      <c r="L130" s="29">
        <f t="shared" si="72"/>
        <v>2025</v>
      </c>
    </row>
    <row r="131" spans="1:12" ht="18.75" customHeight="1">
      <c r="A131" s="258">
        <v>2016</v>
      </c>
      <c r="B131" s="28" t="s">
        <v>43</v>
      </c>
      <c r="C131" s="209">
        <v>1</v>
      </c>
      <c r="D131" s="209">
        <f aca="true" t="shared" si="73" ref="D131:L131">C131+1</f>
        <v>2</v>
      </c>
      <c r="E131" s="209">
        <f t="shared" si="73"/>
        <v>3</v>
      </c>
      <c r="F131" s="209">
        <f t="shared" si="73"/>
        <v>4</v>
      </c>
      <c r="G131" s="209">
        <f t="shared" si="73"/>
        <v>5</v>
      </c>
      <c r="H131" s="209">
        <f t="shared" si="73"/>
        <v>6</v>
      </c>
      <c r="I131" s="209">
        <f t="shared" si="73"/>
        <v>7</v>
      </c>
      <c r="J131" s="209">
        <f t="shared" si="73"/>
        <v>8</v>
      </c>
      <c r="K131" s="209">
        <f t="shared" si="73"/>
        <v>9</v>
      </c>
      <c r="L131" s="209">
        <f t="shared" si="73"/>
        <v>10</v>
      </c>
    </row>
    <row r="132" spans="2:12" ht="18.75" customHeight="1">
      <c r="B132" s="211" t="s">
        <v>368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8.75" customHeight="1">
      <c r="A133" s="21" t="s">
        <v>102</v>
      </c>
      <c r="B133" s="72" t="s">
        <v>383</v>
      </c>
      <c r="C133" s="172">
        <f>VLOOKUP(C$4,'Cash Flows-LGE'!$B$28:$H$38,$A134)</f>
        <v>554235.47</v>
      </c>
      <c r="D133" s="172">
        <f>VLOOKUP(D$4,'Cash Flows-LGE'!$B$28:$H$38,$A134)</f>
        <v>0</v>
      </c>
      <c r="E133" s="172">
        <f>VLOOKUP(E$4,'Cash Flows-LGE'!$B$28:$H$38,$A134)</f>
        <v>0</v>
      </c>
      <c r="F133" s="172">
        <f>VLOOKUP(F$4,'Cash Flows-LGE'!$B$28:$H$38,$A134)</f>
        <v>0</v>
      </c>
      <c r="G133" s="172">
        <f>VLOOKUP(G$4,'Cash Flows-LGE'!$B$28:$H$38,$A134)</f>
        <v>0</v>
      </c>
      <c r="H133" s="172">
        <f>VLOOKUP(H$4,'Cash Flows-LGE'!$B$28:$H$38,$A134)</f>
        <v>0</v>
      </c>
      <c r="I133" s="172">
        <f>VLOOKUP(I$4,'Cash Flows-LGE'!$B$28:$H$38,$A134)</f>
        <v>0</v>
      </c>
      <c r="J133" s="172">
        <f>VLOOKUP(J$4,'Cash Flows-LGE'!$B$28:$H$38,$A134)</f>
        <v>0</v>
      </c>
      <c r="K133" s="172">
        <f>VLOOKUP(K$4,'Cash Flows-LGE'!$B$28:$H$38,$A134)</f>
        <v>0</v>
      </c>
      <c r="L133" s="172">
        <f>VLOOKUP(L$4,'Cash Flows-LGE'!$B$28:$H$38,$A134)</f>
        <v>0</v>
      </c>
    </row>
    <row r="134" spans="1:13" ht="18.75" customHeight="1">
      <c r="A134" s="3">
        <v>5</v>
      </c>
      <c r="B134" s="40" t="s">
        <v>57</v>
      </c>
      <c r="C134" s="172">
        <f>SUM($C133:C133)</f>
        <v>554235.47</v>
      </c>
      <c r="D134" s="172">
        <f>SUM($C133:D133)</f>
        <v>554235.47</v>
      </c>
      <c r="E134" s="172">
        <f>SUM($C133:E133)</f>
        <v>554235.47</v>
      </c>
      <c r="F134" s="172">
        <f>SUM($C133:F133)</f>
        <v>554235.47</v>
      </c>
      <c r="G134" s="172">
        <f>SUM($C133:G133)</f>
        <v>554235.47</v>
      </c>
      <c r="H134" s="172">
        <f>SUM($C133:H133)</f>
        <v>554235.47</v>
      </c>
      <c r="I134" s="172">
        <f>SUM($C133:I133)</f>
        <v>554235.47</v>
      </c>
      <c r="J134" s="172">
        <f>SUM($C133:J133)</f>
        <v>554235.47</v>
      </c>
      <c r="K134" s="172">
        <f>SUM($C133:K133)</f>
        <v>554235.47</v>
      </c>
      <c r="L134" s="172">
        <f>SUM($C133:L133)</f>
        <v>554235.47</v>
      </c>
      <c r="M134" s="18"/>
    </row>
    <row r="135" spans="1:12" ht="18.75" customHeight="1">
      <c r="A135" s="3">
        <v>2</v>
      </c>
      <c r="B135" s="5" t="s">
        <v>0</v>
      </c>
      <c r="C135" s="6">
        <f>IF(C131="",0,VLOOKUP($B132,Depreciation!$D$2:$E$31,$A135,FALSE))</f>
        <v>0.0254</v>
      </c>
      <c r="D135" s="6">
        <f>IF(D131="",0,VLOOKUP($B132,Depreciation!$D$2:$E$31,$A135,FALSE))</f>
        <v>0.0254</v>
      </c>
      <c r="E135" s="6">
        <f>IF(E131="",0,VLOOKUP($B132,Depreciation!$D$2:$E$31,$A135,FALSE))</f>
        <v>0.0254</v>
      </c>
      <c r="F135" s="6">
        <f>IF(F131="",0,VLOOKUP($B132,Depreciation!$D$2:$E$31,$A135,FALSE))</f>
        <v>0.0254</v>
      </c>
      <c r="G135" s="6">
        <f>IF(G131="",0,VLOOKUP($B132,Depreciation!$D$2:$E$31,$A135,FALSE))</f>
        <v>0.0254</v>
      </c>
      <c r="H135" s="6">
        <f>IF(H131="",0,VLOOKUP($B132,Depreciation!$D$2:$E$31,$A135,FALSE))</f>
        <v>0.0254</v>
      </c>
      <c r="I135" s="6">
        <f>IF(I131="",0,VLOOKUP($B132,Depreciation!$D$2:$E$31,$A135,FALSE))</f>
        <v>0.0254</v>
      </c>
      <c r="J135" s="6">
        <f>IF(J131="",0,VLOOKUP($B132,Depreciation!$D$2:$E$31,$A135,FALSE))</f>
        <v>0.0254</v>
      </c>
      <c r="K135" s="6">
        <f>IF(K131="",0,VLOOKUP($B132,Depreciation!$D$2:$E$31,$A135,FALSE))</f>
        <v>0.0254</v>
      </c>
      <c r="L135" s="6">
        <f>IF(L131="",0,VLOOKUP($B132,Depreciation!$D$2:$E$31,$A135,FALSE))</f>
        <v>0.0254</v>
      </c>
    </row>
    <row r="136" spans="1:12" ht="18.75" customHeight="1">
      <c r="A136" s="3">
        <v>2</v>
      </c>
      <c r="B136" s="5" t="s">
        <v>1</v>
      </c>
      <c r="C136" s="6">
        <f>IF(C131="",0,VLOOKUP(C131,Depreciation!$A$2:$C$58,$A136,FALSE))</f>
        <v>0.0375</v>
      </c>
      <c r="D136" s="6">
        <f>IF(D131="",0,VLOOKUP(D131,Depreciation!$A$2:$C$58,$A136,FALSE))</f>
        <v>0.07219</v>
      </c>
      <c r="E136" s="6">
        <f>IF(E131="",0,VLOOKUP(E131,Depreciation!$A$2:$C$58,$A136,FALSE))</f>
        <v>0.06677</v>
      </c>
      <c r="F136" s="6">
        <f>IF(F131="",0,VLOOKUP(F131,Depreciation!$A$2:$C$58,$A136,FALSE))</f>
        <v>0.06177</v>
      </c>
      <c r="G136" s="6">
        <f>IF(G131="",0,VLOOKUP(G131,Depreciation!$A$2:$C$58,$A136,FALSE))</f>
        <v>0.05713</v>
      </c>
      <c r="H136" s="6">
        <f>IF(H131="",0,VLOOKUP(H131,Depreciation!$A$2:$C$58,$A136,FALSE))</f>
        <v>0.05285</v>
      </c>
      <c r="I136" s="6">
        <f>IF(I131="",0,VLOOKUP(I131,Depreciation!$A$2:$C$58,$A136,FALSE))</f>
        <v>0.04888</v>
      </c>
      <c r="J136" s="6">
        <f>IF(J131="",0,VLOOKUP(J131,Depreciation!$A$2:$C$58,$A136,FALSE))</f>
        <v>0.04522</v>
      </c>
      <c r="K136" s="6">
        <f>IF(K131="",0,VLOOKUP(K131,Depreciation!$A$2:$C$58,$A136,FALSE))</f>
        <v>0.04462</v>
      </c>
      <c r="L136" s="6">
        <f>IF(L131="",0,VLOOKUP(L131,Depreciation!$A$2:$C$58,$A136,FALSE))</f>
        <v>0.04461</v>
      </c>
    </row>
    <row r="137" spans="1:12" ht="18.75" customHeight="1">
      <c r="A137" s="30"/>
      <c r="B137" s="31" t="s">
        <v>2</v>
      </c>
      <c r="C137" s="7">
        <f>Input!B$3</f>
        <v>0.38665999999999995</v>
      </c>
      <c r="D137" s="7">
        <f>Input!C$3</f>
        <v>0.38665999999999995</v>
      </c>
      <c r="E137" s="7">
        <f>Input!D$3</f>
        <v>0.38665999999999995</v>
      </c>
      <c r="F137" s="7">
        <f>Input!E$3</f>
        <v>0.38665999999999995</v>
      </c>
      <c r="G137" s="7">
        <f>Input!F$3</f>
        <v>0.38665999999999995</v>
      </c>
      <c r="H137" s="7">
        <f>Input!G$3</f>
        <v>0.38665999999999995</v>
      </c>
      <c r="I137" s="7">
        <f>Input!H$3</f>
        <v>0.38665999999999995</v>
      </c>
      <c r="J137" s="7">
        <f>Input!I$3</f>
        <v>0.38665999999999995</v>
      </c>
      <c r="K137" s="7">
        <f>Input!J$3</f>
        <v>0.38665999999999995</v>
      </c>
      <c r="L137" s="7">
        <f>Input!K$3</f>
        <v>0.38665999999999995</v>
      </c>
    </row>
    <row r="138" spans="2:12" ht="18.75" customHeight="1">
      <c r="B138" s="2" t="s">
        <v>3</v>
      </c>
      <c r="C138" s="170">
        <f>SUM($C149:C149)</f>
        <v>108220.06101019405</v>
      </c>
      <c r="D138" s="170">
        <f>SUM($C149:D149)</f>
        <v>110512.00685584305</v>
      </c>
      <c r="E138" s="170">
        <f>SUM($C149:E149)</f>
        <v>112223.1978401822</v>
      </c>
      <c r="F138" s="170">
        <f>SUM($C149:F149)</f>
        <v>113398.63710744584</v>
      </c>
      <c r="G138" s="170">
        <f>SUM($C149:G149)</f>
        <v>114076.89878126343</v>
      </c>
      <c r="H138" s="170">
        <f>SUM($C149:H149)</f>
        <v>114296.55698526438</v>
      </c>
      <c r="I138" s="170">
        <f>SUM($C149:I149)</f>
        <v>114090.8283259074</v>
      </c>
      <c r="J138" s="170">
        <f>SUM($C149:J149)</f>
        <v>113492.92940965113</v>
      </c>
      <c r="K138" s="170">
        <f>SUM($C149:K149)</f>
        <v>112830.7402873458</v>
      </c>
      <c r="L138" s="170">
        <f>SUM($C149:L149)</f>
        <v>112167.47966160634</v>
      </c>
    </row>
    <row r="139" spans="2:12" ht="18.75" customHeight="1">
      <c r="B139" s="2" t="s">
        <v>4</v>
      </c>
      <c r="C139" s="170">
        <f>SUM($C141:C141)</f>
        <v>7625.356341416666</v>
      </c>
      <c r="D139" s="170">
        <f>SUM($C141:D141)</f>
        <v>21702.937279416663</v>
      </c>
      <c r="E139" s="170">
        <f>SUM($C141:E141)</f>
        <v>35780.51821741666</v>
      </c>
      <c r="F139" s="170">
        <f>SUM($C141:F141)</f>
        <v>49858.09915541666</v>
      </c>
      <c r="G139" s="170">
        <f>SUM($C141:G141)</f>
        <v>63935.68009341666</v>
      </c>
      <c r="H139" s="170">
        <f>SUM($C141:H141)</f>
        <v>78013.26103141665</v>
      </c>
      <c r="I139" s="170">
        <f>SUM($C141:I141)</f>
        <v>92090.84196941665</v>
      </c>
      <c r="J139" s="170">
        <f>SUM($C141:J141)</f>
        <v>106168.42290741665</v>
      </c>
      <c r="K139" s="170">
        <f>SUM($C141:K141)</f>
        <v>120246.00384541665</v>
      </c>
      <c r="L139" s="170">
        <f>SUM($C141:L141)</f>
        <v>134323.58478341665</v>
      </c>
    </row>
    <row r="140" spans="2:12" ht="18.75" customHeight="1">
      <c r="B140" s="11" t="s">
        <v>5</v>
      </c>
      <c r="C140" s="170">
        <f>C133</f>
        <v>554235.47</v>
      </c>
      <c r="D140" s="170">
        <f>C140+D133</f>
        <v>554235.47</v>
      </c>
      <c r="E140" s="170">
        <f aca="true" t="shared" si="74" ref="E140:L140">D140+E133</f>
        <v>554235.47</v>
      </c>
      <c r="F140" s="170">
        <f t="shared" si="74"/>
        <v>554235.47</v>
      </c>
      <c r="G140" s="170">
        <f t="shared" si="74"/>
        <v>554235.47</v>
      </c>
      <c r="H140" s="170">
        <f t="shared" si="74"/>
        <v>554235.47</v>
      </c>
      <c r="I140" s="170">
        <f t="shared" si="74"/>
        <v>554235.47</v>
      </c>
      <c r="J140" s="170">
        <f t="shared" si="74"/>
        <v>554235.47</v>
      </c>
      <c r="K140" s="170">
        <f t="shared" si="74"/>
        <v>554235.47</v>
      </c>
      <c r="L140" s="170">
        <f t="shared" si="74"/>
        <v>554235.47</v>
      </c>
    </row>
    <row r="141" spans="1:12" ht="18.75" customHeight="1">
      <c r="A141" s="214" t="s">
        <v>359</v>
      </c>
      <c r="B141" s="11" t="s">
        <v>6</v>
      </c>
      <c r="C141" s="170">
        <f aca="true" t="shared" si="75" ref="C141:L141">IF(C131=1,(12.5-VLOOKUP(C129,$Q$5:$R$16,2,))*C135/12*C140,C140*C135)</f>
        <v>7625.356341416666</v>
      </c>
      <c r="D141" s="170">
        <f t="shared" si="75"/>
        <v>14077.580938</v>
      </c>
      <c r="E141" s="170">
        <f t="shared" si="75"/>
        <v>14077.580938</v>
      </c>
      <c r="F141" s="170">
        <f t="shared" si="75"/>
        <v>14077.580938</v>
      </c>
      <c r="G141" s="170">
        <f t="shared" si="75"/>
        <v>14077.580938</v>
      </c>
      <c r="H141" s="170">
        <f t="shared" si="75"/>
        <v>14077.580938</v>
      </c>
      <c r="I141" s="170">
        <f t="shared" si="75"/>
        <v>14077.580938</v>
      </c>
      <c r="J141" s="170">
        <f t="shared" si="75"/>
        <v>14077.580938</v>
      </c>
      <c r="K141" s="170">
        <f t="shared" si="75"/>
        <v>14077.580938</v>
      </c>
      <c r="L141" s="170">
        <f t="shared" si="75"/>
        <v>14077.580938</v>
      </c>
    </row>
    <row r="142" spans="1:12" ht="18.75" customHeight="1">
      <c r="A142" s="3"/>
      <c r="B142" s="5" t="s">
        <v>7</v>
      </c>
      <c r="C142" s="170">
        <f>C133</f>
        <v>554235.47</v>
      </c>
      <c r="D142" s="170">
        <f aca="true" t="shared" si="76" ref="D142:L142">C142+D133</f>
        <v>554235.47</v>
      </c>
      <c r="E142" s="170">
        <f t="shared" si="76"/>
        <v>554235.47</v>
      </c>
      <c r="F142" s="170">
        <f t="shared" si="76"/>
        <v>554235.47</v>
      </c>
      <c r="G142" s="170">
        <f t="shared" si="76"/>
        <v>554235.47</v>
      </c>
      <c r="H142" s="170">
        <f t="shared" si="76"/>
        <v>554235.47</v>
      </c>
      <c r="I142" s="170">
        <f t="shared" si="76"/>
        <v>554235.47</v>
      </c>
      <c r="J142" s="170">
        <f t="shared" si="76"/>
        <v>554235.47</v>
      </c>
      <c r="K142" s="170">
        <f t="shared" si="76"/>
        <v>554235.47</v>
      </c>
      <c r="L142" s="170">
        <f t="shared" si="76"/>
        <v>554235.47</v>
      </c>
    </row>
    <row r="143" spans="2:12" ht="18.75" customHeight="1">
      <c r="B143" s="213" t="s">
        <v>361</v>
      </c>
      <c r="C143" s="170">
        <f>IF(C131=1,IF($A141="Bonus",SUM($C133:C133)*VLOOKUP(C130,Depreciation!$D$41:$E$50,2),0),0)</f>
        <v>277117.735</v>
      </c>
      <c r="D143" s="170">
        <f>IF(D131=1,IF($A141="Bonus",SUM($C133:D133)*VLOOKUP(D130,Depreciation!$D$41:$E$50,2),0),0)</f>
        <v>0</v>
      </c>
      <c r="E143" s="170">
        <f>IF(E131=1,IF($A141="Bonus",SUM($C133:E133)*VLOOKUP(E130,Depreciation!$D$41:$E$50,2),0),0)</f>
        <v>0</v>
      </c>
      <c r="F143" s="170">
        <f>IF(F131=1,IF($A141="Bonus",SUM($C133:F133)*VLOOKUP(F130,Depreciation!$D$41:$E$50,2),0),0)</f>
        <v>0</v>
      </c>
      <c r="G143" s="170">
        <f>IF(G131=1,IF($A141="Bonus",SUM($C133:G133)*VLOOKUP(G130,Depreciation!$D$41:$E$50,2),0),0)</f>
        <v>0</v>
      </c>
      <c r="H143" s="170">
        <f>IF(H131=1,IF($A141="Bonus",SUM($C133:H133)*VLOOKUP(H130,Depreciation!$D$41:$E$50,2),0),0)</f>
        <v>0</v>
      </c>
      <c r="I143" s="170">
        <f>IF(I131=1,IF($A141="Bonus",SUM($C133:I133)*VLOOKUP(I130,Depreciation!$D$41:$E$50,2),0),0)</f>
        <v>0</v>
      </c>
      <c r="J143" s="170">
        <f>IF(J131=1,IF($A141="Bonus",SUM($C133:J133)*VLOOKUP(J130,Depreciation!$D$41:$E$50,2),0),0)</f>
        <v>0</v>
      </c>
      <c r="K143" s="170">
        <f>IF(K131=1,IF($A141="Bonus",SUM($C133:K133)*VLOOKUP(K130,Depreciation!$D$41:$E$50,2),0),0)</f>
        <v>0</v>
      </c>
      <c r="L143" s="170">
        <f>IF(L131=1,IF($A141="Bonus",SUM($C133:L133)*VLOOKUP(L130,Depreciation!$D$41:$E$50,2),0),0)</f>
        <v>0</v>
      </c>
    </row>
    <row r="144" spans="2:12" ht="18.75" customHeight="1">
      <c r="B144" s="5" t="s">
        <v>362</v>
      </c>
      <c r="C144" s="170">
        <f>IF(C131&gt;=1,IF($A141="Bonus",C134*(1-VLOOKUP($A131,Depreciation!$D$41:$N$50,C130-2014))*C136,C134*C136),C134*C136)</f>
        <v>10391.915062499998</v>
      </c>
      <c r="D144" s="170">
        <f>IF(D131&gt;=1,IF($A141="Bonus",D134*(1-VLOOKUP($A131,Depreciation!$D$41:$N$50,D130-2014))*D136,D134*D136),D134*D136)</f>
        <v>20005.12928965</v>
      </c>
      <c r="E144" s="170">
        <f>IF(E131&gt;=1,IF($A141="Bonus",E134*(1-VLOOKUP($A131,Depreciation!$D$41:$N$50,E130-2014))*E136,E134*E136),E134*E136)</f>
        <v>18503.15116595</v>
      </c>
      <c r="F144" s="170">
        <f>IF(F131&gt;=1,IF($A141="Bonus",F134*(1-VLOOKUP($A131,Depreciation!$D$41:$N$50,F130-2014))*F136,F134*F136),F134*F136)</f>
        <v>17117.56249095</v>
      </c>
      <c r="G144" s="170">
        <f>IF(G131&gt;=1,IF($A141="Bonus",G134*(1-VLOOKUP($A131,Depreciation!$D$41:$N$50,G130-2014))*G136,G134*G136),G134*G136)</f>
        <v>15831.73620055</v>
      </c>
      <c r="H144" s="170">
        <f>IF(H131&gt;=1,IF($A141="Bonus",H134*(1-VLOOKUP($A131,Depreciation!$D$41:$N$50,H130-2014))*H136,H134*H136),H134*H136)</f>
        <v>14645.67229475</v>
      </c>
      <c r="I144" s="170">
        <f>IF(I131&gt;=1,IF($A141="Bonus",I134*(1-VLOOKUP($A131,Depreciation!$D$41:$N$50,I130-2014))*I136,I134*I136),I134*I136)</f>
        <v>13545.5148868</v>
      </c>
      <c r="J144" s="170">
        <f>IF(J131&gt;=1,IF($A141="Bonus",J134*(1-VLOOKUP($A131,Depreciation!$D$41:$N$50,J130-2014))*J136,J134*J136),J134*J136)</f>
        <v>12531.2639767</v>
      </c>
      <c r="K144" s="170">
        <f>IF(K131&gt;=1,IF($A141="Bonus",K134*(1-VLOOKUP($A131,Depreciation!$D$41:$N$50,K130-2014))*K136,K134*K136),K134*K136)</f>
        <v>12364.993335699999</v>
      </c>
      <c r="L144" s="170">
        <f>IF(L131&gt;=1,IF($A141="Bonus",L134*(1-VLOOKUP($A131,Depreciation!$D$41:$N$50,L130-2014))*L136,L134*L136),L134*L136)</f>
        <v>12362.222158349998</v>
      </c>
    </row>
    <row r="145" spans="2:12" ht="18.75" customHeight="1">
      <c r="B145" s="5" t="s">
        <v>17</v>
      </c>
      <c r="C145" s="7">
        <f>Input!I$19</f>
        <v>0.09991333016039017</v>
      </c>
      <c r="D145" s="7">
        <f>Input!J$19</f>
        <v>0.09991333016039017</v>
      </c>
      <c r="E145" s="7">
        <f>Input!K$19</f>
        <v>0.09991333016039017</v>
      </c>
      <c r="F145" s="7">
        <f>Input!L$19</f>
        <v>0.09991333016039017</v>
      </c>
      <c r="G145" s="7">
        <f>Input!M$19</f>
        <v>0.09991333016039017</v>
      </c>
      <c r="H145" s="7">
        <f>Input!N$19</f>
        <v>0.09991333016039017</v>
      </c>
      <c r="I145" s="7">
        <f>Input!O$19</f>
        <v>0.09991333016039017</v>
      </c>
      <c r="J145" s="7">
        <f>Input!P$19</f>
        <v>0.09991333016039017</v>
      </c>
      <c r="K145" s="7">
        <f>Input!Q$19</f>
        <v>0.09991333016039017</v>
      </c>
      <c r="L145" s="7">
        <f>Input!R$19</f>
        <v>0.09991333016039017</v>
      </c>
    </row>
    <row r="146" spans="2:12" ht="18.75" customHeight="1">
      <c r="B146" s="5" t="s">
        <v>8</v>
      </c>
      <c r="C146" s="171">
        <f>C141</f>
        <v>7625.356341416666</v>
      </c>
      <c r="D146" s="171">
        <f aca="true" t="shared" si="77" ref="D146:L146">D141</f>
        <v>14077.580938</v>
      </c>
      <c r="E146" s="171">
        <f t="shared" si="77"/>
        <v>14077.580938</v>
      </c>
      <c r="F146" s="171">
        <f t="shared" si="77"/>
        <v>14077.580938</v>
      </c>
      <c r="G146" s="171">
        <f t="shared" si="77"/>
        <v>14077.580938</v>
      </c>
      <c r="H146" s="171">
        <f t="shared" si="77"/>
        <v>14077.580938</v>
      </c>
      <c r="I146" s="171">
        <f t="shared" si="77"/>
        <v>14077.580938</v>
      </c>
      <c r="J146" s="171">
        <f t="shared" si="77"/>
        <v>14077.580938</v>
      </c>
      <c r="K146" s="171">
        <f t="shared" si="77"/>
        <v>14077.580938</v>
      </c>
      <c r="L146" s="171">
        <f t="shared" si="77"/>
        <v>14077.580938</v>
      </c>
    </row>
    <row r="147" spans="2:12" ht="18.75" customHeight="1">
      <c r="B147" s="11" t="s">
        <v>364</v>
      </c>
      <c r="C147" s="171">
        <f aca="true" t="shared" si="78" ref="C147:L147">SUM(C143,C144)</f>
        <v>287509.6500625</v>
      </c>
      <c r="D147" s="171">
        <f t="shared" si="78"/>
        <v>20005.12928965</v>
      </c>
      <c r="E147" s="171">
        <f t="shared" si="78"/>
        <v>18503.15116595</v>
      </c>
      <c r="F147" s="171">
        <f t="shared" si="78"/>
        <v>17117.56249095</v>
      </c>
      <c r="G147" s="171">
        <f t="shared" si="78"/>
        <v>15831.73620055</v>
      </c>
      <c r="H147" s="171">
        <f t="shared" si="78"/>
        <v>14645.67229475</v>
      </c>
      <c r="I147" s="171">
        <f t="shared" si="78"/>
        <v>13545.5148868</v>
      </c>
      <c r="J147" s="171">
        <f t="shared" si="78"/>
        <v>12531.2639767</v>
      </c>
      <c r="K147" s="171">
        <f t="shared" si="78"/>
        <v>12364.993335699999</v>
      </c>
      <c r="L147" s="171">
        <f t="shared" si="78"/>
        <v>12362.222158349998</v>
      </c>
    </row>
    <row r="148" spans="2:12" ht="18.75" customHeight="1">
      <c r="B148" s="2" t="s">
        <v>9</v>
      </c>
      <c r="C148" s="8">
        <f>Input!$B$6</f>
        <v>0.0015</v>
      </c>
      <c r="D148" s="8">
        <f aca="true" t="shared" si="79" ref="D148:L148">C148</f>
        <v>0.0015</v>
      </c>
      <c r="E148" s="8">
        <f t="shared" si="79"/>
        <v>0.0015</v>
      </c>
      <c r="F148" s="8">
        <f t="shared" si="79"/>
        <v>0.0015</v>
      </c>
      <c r="G148" s="8">
        <f t="shared" si="79"/>
        <v>0.0015</v>
      </c>
      <c r="H148" s="8">
        <f t="shared" si="79"/>
        <v>0.0015</v>
      </c>
      <c r="I148" s="8">
        <f t="shared" si="79"/>
        <v>0.0015</v>
      </c>
      <c r="J148" s="8">
        <f t="shared" si="79"/>
        <v>0.0015</v>
      </c>
      <c r="K148" s="8">
        <f t="shared" si="79"/>
        <v>0.0015</v>
      </c>
      <c r="L148" s="8">
        <f t="shared" si="79"/>
        <v>0.0015</v>
      </c>
    </row>
    <row r="149" spans="2:12" ht="18.75" customHeight="1">
      <c r="B149" s="4" t="s">
        <v>363</v>
      </c>
      <c r="C149" s="171">
        <f aca="true" t="shared" si="80" ref="C149:L149">(C147-C146)*C137</f>
        <v>108220.06101019405</v>
      </c>
      <c r="D149" s="171">
        <f t="shared" si="80"/>
        <v>2291.9458456489897</v>
      </c>
      <c r="E149" s="171">
        <f t="shared" si="80"/>
        <v>1711.1909843391468</v>
      </c>
      <c r="F149" s="171">
        <f t="shared" si="80"/>
        <v>1175.4392672636473</v>
      </c>
      <c r="G149" s="171">
        <f t="shared" si="80"/>
        <v>678.2616738175832</v>
      </c>
      <c r="H149" s="171">
        <f t="shared" si="80"/>
        <v>219.65820400095538</v>
      </c>
      <c r="I149" s="171">
        <f t="shared" si="80"/>
        <v>-205.72865935699178</v>
      </c>
      <c r="J149" s="171">
        <f t="shared" si="80"/>
        <v>-597.8989162562576</v>
      </c>
      <c r="K149" s="171">
        <f t="shared" si="80"/>
        <v>-662.1891223053179</v>
      </c>
      <c r="L149" s="171">
        <f t="shared" si="80"/>
        <v>-663.2606257394694</v>
      </c>
    </row>
    <row r="150" spans="2:12" ht="18.75" customHeight="1">
      <c r="B150" s="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8.75" customHeight="1">
      <c r="B151" s="10" t="s">
        <v>15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8.75" customHeight="1">
      <c r="B152" s="5" t="s">
        <v>16</v>
      </c>
      <c r="C152" s="169">
        <f>C134</f>
        <v>554235.47</v>
      </c>
      <c r="D152" s="169">
        <f aca="true" t="shared" si="81" ref="D152:I152">D134</f>
        <v>554235.47</v>
      </c>
      <c r="E152" s="169">
        <f t="shared" si="81"/>
        <v>554235.47</v>
      </c>
      <c r="F152" s="169">
        <f t="shared" si="81"/>
        <v>554235.47</v>
      </c>
      <c r="G152" s="169">
        <f t="shared" si="81"/>
        <v>554235.47</v>
      </c>
      <c r="H152" s="169">
        <f t="shared" si="81"/>
        <v>554235.47</v>
      </c>
      <c r="I152" s="169">
        <f t="shared" si="81"/>
        <v>554235.47</v>
      </c>
      <c r="J152" s="169">
        <f>J134</f>
        <v>554235.47</v>
      </c>
      <c r="K152" s="169">
        <f>K134</f>
        <v>554235.47</v>
      </c>
      <c r="L152" s="169">
        <f>L134</f>
        <v>554235.47</v>
      </c>
    </row>
    <row r="153" spans="1:12" ht="18.75" customHeight="1">
      <c r="A153" s="3"/>
      <c r="B153" s="4" t="s">
        <v>44</v>
      </c>
      <c r="C153" s="170">
        <v>0</v>
      </c>
      <c r="D153" s="170">
        <f aca="true" t="shared" si="82" ref="D153:L153">C153</f>
        <v>0</v>
      </c>
      <c r="E153" s="170">
        <f t="shared" si="82"/>
        <v>0</v>
      </c>
      <c r="F153" s="170">
        <f t="shared" si="82"/>
        <v>0</v>
      </c>
      <c r="G153" s="170">
        <f t="shared" si="82"/>
        <v>0</v>
      </c>
      <c r="H153" s="170">
        <f t="shared" si="82"/>
        <v>0</v>
      </c>
      <c r="I153" s="170">
        <f t="shared" si="82"/>
        <v>0</v>
      </c>
      <c r="J153" s="170">
        <f t="shared" si="82"/>
        <v>0</v>
      </c>
      <c r="K153" s="170">
        <f t="shared" si="82"/>
        <v>0</v>
      </c>
      <c r="L153" s="170">
        <f t="shared" si="82"/>
        <v>0</v>
      </c>
    </row>
    <row r="154" spans="2:12" ht="18.75" customHeight="1">
      <c r="B154" s="2" t="s">
        <v>10</v>
      </c>
      <c r="C154" s="170">
        <f>-C139</f>
        <v>-7625.356341416666</v>
      </c>
      <c r="D154" s="170">
        <f>-D139</f>
        <v>-21702.937279416663</v>
      </c>
      <c r="E154" s="170">
        <f>-E139</f>
        <v>-35780.51821741666</v>
      </c>
      <c r="F154" s="170">
        <f>-F139</f>
        <v>-49858.09915541666</v>
      </c>
      <c r="G154" s="170">
        <f aca="true" t="shared" si="83" ref="G154:L154">-G139</f>
        <v>-63935.68009341666</v>
      </c>
      <c r="H154" s="170">
        <f t="shared" si="83"/>
        <v>-78013.26103141665</v>
      </c>
      <c r="I154" s="170">
        <f t="shared" si="83"/>
        <v>-92090.84196941665</v>
      </c>
      <c r="J154" s="170">
        <f t="shared" si="83"/>
        <v>-106168.42290741665</v>
      </c>
      <c r="K154" s="170">
        <f t="shared" si="83"/>
        <v>-120246.00384541665</v>
      </c>
      <c r="L154" s="170">
        <f t="shared" si="83"/>
        <v>-134323.58478341665</v>
      </c>
    </row>
    <row r="155" spans="2:12" ht="18.75" customHeight="1">
      <c r="B155" s="2" t="s">
        <v>45</v>
      </c>
      <c r="C155" s="170">
        <v>0</v>
      </c>
      <c r="D155" s="170">
        <f aca="true" t="shared" si="84" ref="D155:L155">C155</f>
        <v>0</v>
      </c>
      <c r="E155" s="170">
        <f t="shared" si="84"/>
        <v>0</v>
      </c>
      <c r="F155" s="170">
        <f t="shared" si="84"/>
        <v>0</v>
      </c>
      <c r="G155" s="170">
        <f t="shared" si="84"/>
        <v>0</v>
      </c>
      <c r="H155" s="170">
        <f t="shared" si="84"/>
        <v>0</v>
      </c>
      <c r="I155" s="170">
        <f t="shared" si="84"/>
        <v>0</v>
      </c>
      <c r="J155" s="170">
        <f t="shared" si="84"/>
        <v>0</v>
      </c>
      <c r="K155" s="170">
        <f t="shared" si="84"/>
        <v>0</v>
      </c>
      <c r="L155" s="170">
        <f t="shared" si="84"/>
        <v>0</v>
      </c>
    </row>
    <row r="156" spans="2:12" ht="18.75" customHeight="1">
      <c r="B156" s="2" t="s">
        <v>46</v>
      </c>
      <c r="C156" s="170">
        <f>-C138</f>
        <v>-108220.06101019405</v>
      </c>
      <c r="D156" s="170">
        <f aca="true" t="shared" si="85" ref="D156:I156">-D138</f>
        <v>-110512.00685584305</v>
      </c>
      <c r="E156" s="170">
        <f t="shared" si="85"/>
        <v>-112223.1978401822</v>
      </c>
      <c r="F156" s="170">
        <f t="shared" si="85"/>
        <v>-113398.63710744584</v>
      </c>
      <c r="G156" s="170">
        <f t="shared" si="85"/>
        <v>-114076.89878126343</v>
      </c>
      <c r="H156" s="170">
        <f t="shared" si="85"/>
        <v>-114296.55698526438</v>
      </c>
      <c r="I156" s="170">
        <f t="shared" si="85"/>
        <v>-114090.8283259074</v>
      </c>
      <c r="J156" s="170">
        <f>-J138</f>
        <v>-113492.92940965113</v>
      </c>
      <c r="K156" s="170">
        <f>-K138</f>
        <v>-112830.7402873458</v>
      </c>
      <c r="L156" s="170">
        <f>-L138</f>
        <v>-112167.47966160634</v>
      </c>
    </row>
    <row r="157" spans="2:12" ht="18.75" customHeight="1">
      <c r="B157" s="2" t="s">
        <v>47</v>
      </c>
      <c r="C157" s="170">
        <v>0</v>
      </c>
      <c r="D157" s="170">
        <f aca="true" t="shared" si="86" ref="D157:L157">C157</f>
        <v>0</v>
      </c>
      <c r="E157" s="170">
        <f t="shared" si="86"/>
        <v>0</v>
      </c>
      <c r="F157" s="170">
        <f t="shared" si="86"/>
        <v>0</v>
      </c>
      <c r="G157" s="170">
        <f t="shared" si="86"/>
        <v>0</v>
      </c>
      <c r="H157" s="170">
        <f t="shared" si="86"/>
        <v>0</v>
      </c>
      <c r="I157" s="170">
        <f t="shared" si="86"/>
        <v>0</v>
      </c>
      <c r="J157" s="170">
        <f t="shared" si="86"/>
        <v>0</v>
      </c>
      <c r="K157" s="170">
        <f t="shared" si="86"/>
        <v>0</v>
      </c>
      <c r="L157" s="170">
        <f t="shared" si="86"/>
        <v>0</v>
      </c>
    </row>
    <row r="158" spans="2:12" ht="18.75" customHeight="1">
      <c r="B158" s="2" t="s">
        <v>11</v>
      </c>
      <c r="C158" s="170">
        <f>SUM(C152:C157)</f>
        <v>438390.0526483892</v>
      </c>
      <c r="D158" s="170">
        <f>SUM(D152:D157)</f>
        <v>422020.5258647402</v>
      </c>
      <c r="E158" s="170">
        <f>SUM(E152:E157)</f>
        <v>406231.75394240115</v>
      </c>
      <c r="F158" s="170">
        <f>SUM(F152:F157)</f>
        <v>390978.73373713746</v>
      </c>
      <c r="G158" s="170">
        <f aca="true" t="shared" si="87" ref="G158:L158">SUM(G152:G157)</f>
        <v>376222.8911253199</v>
      </c>
      <c r="H158" s="170">
        <f t="shared" si="87"/>
        <v>361925.65198331897</v>
      </c>
      <c r="I158" s="170">
        <f t="shared" si="87"/>
        <v>348053.7997046759</v>
      </c>
      <c r="J158" s="170">
        <f t="shared" si="87"/>
        <v>334574.1176829322</v>
      </c>
      <c r="K158" s="170">
        <f t="shared" si="87"/>
        <v>321158.72586723755</v>
      </c>
      <c r="L158" s="170">
        <f t="shared" si="87"/>
        <v>307744.405554977</v>
      </c>
    </row>
    <row r="159" spans="2:12" ht="18.75" customHeight="1">
      <c r="B159" s="2" t="s">
        <v>12</v>
      </c>
      <c r="C159" s="7">
        <f>C145</f>
        <v>0.09991333016039017</v>
      </c>
      <c r="D159" s="7">
        <f aca="true" t="shared" si="88" ref="D159:I159">D145</f>
        <v>0.09991333016039017</v>
      </c>
      <c r="E159" s="7">
        <f t="shared" si="88"/>
        <v>0.09991333016039017</v>
      </c>
      <c r="F159" s="7">
        <f t="shared" si="88"/>
        <v>0.09991333016039017</v>
      </c>
      <c r="G159" s="7">
        <f t="shared" si="88"/>
        <v>0.09991333016039017</v>
      </c>
      <c r="H159" s="7">
        <f t="shared" si="88"/>
        <v>0.09991333016039017</v>
      </c>
      <c r="I159" s="7">
        <f t="shared" si="88"/>
        <v>0.09991333016039017</v>
      </c>
      <c r="J159" s="7">
        <f>J145</f>
        <v>0.09991333016039017</v>
      </c>
      <c r="K159" s="7">
        <f>K145</f>
        <v>0.09991333016039017</v>
      </c>
      <c r="L159" s="7">
        <f>L145</f>
        <v>0.09991333016039017</v>
      </c>
    </row>
    <row r="160" spans="2:12" ht="18.75" customHeight="1">
      <c r="B160" s="34" t="s">
        <v>58</v>
      </c>
      <c r="C160" s="174">
        <f>C158*C159</f>
        <v>43801.01006928934</v>
      </c>
      <c r="D160" s="174">
        <f aca="true" t="shared" si="89" ref="D160:I160">D158*D159</f>
        <v>42165.476135185265</v>
      </c>
      <c r="E160" s="174">
        <f t="shared" si="89"/>
        <v>40587.96735328151</v>
      </c>
      <c r="F160" s="174">
        <f t="shared" si="89"/>
        <v>39063.98730956989</v>
      </c>
      <c r="G160" s="174">
        <f t="shared" si="89"/>
        <v>37589.68193490061</v>
      </c>
      <c r="H160" s="174">
        <f t="shared" si="89"/>
        <v>36161.19716012382</v>
      </c>
      <c r="I160" s="174">
        <f t="shared" si="89"/>
        <v>34775.214203471594</v>
      </c>
      <c r="J160" s="174">
        <f>J158*J159</f>
        <v>33428.41428317604</v>
      </c>
      <c r="K160" s="174">
        <f>K158*K159</f>
        <v>32088.037811463542</v>
      </c>
      <c r="L160" s="174">
        <f>L158*L159</f>
        <v>30747.768397227428</v>
      </c>
    </row>
    <row r="161" spans="1:12" ht="18.75" customHeight="1">
      <c r="A161" s="3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2:12" ht="18.75" customHeight="1">
      <c r="B162" s="1" t="s">
        <v>52</v>
      </c>
      <c r="C162" s="170">
        <v>0</v>
      </c>
      <c r="D162" s="170">
        <f>C162</f>
        <v>0</v>
      </c>
      <c r="E162" s="170">
        <f aca="true" t="shared" si="90" ref="E162:L162">D162</f>
        <v>0</v>
      </c>
      <c r="F162" s="170">
        <f t="shared" si="90"/>
        <v>0</v>
      </c>
      <c r="G162" s="170">
        <f t="shared" si="90"/>
        <v>0</v>
      </c>
      <c r="H162" s="170">
        <f t="shared" si="90"/>
        <v>0</v>
      </c>
      <c r="I162" s="170">
        <f t="shared" si="90"/>
        <v>0</v>
      </c>
      <c r="J162" s="170">
        <f t="shared" si="90"/>
        <v>0</v>
      </c>
      <c r="K162" s="170">
        <f t="shared" si="90"/>
        <v>0</v>
      </c>
      <c r="L162" s="170">
        <f t="shared" si="90"/>
        <v>0</v>
      </c>
    </row>
    <row r="163" spans="2:12" ht="18.75" customHeight="1">
      <c r="B163" s="2" t="s">
        <v>48</v>
      </c>
      <c r="C163" s="170">
        <f>C146</f>
        <v>7625.356341416666</v>
      </c>
      <c r="D163" s="170">
        <f aca="true" t="shared" si="91" ref="D163:I163">D146</f>
        <v>14077.580938</v>
      </c>
      <c r="E163" s="170">
        <f t="shared" si="91"/>
        <v>14077.580938</v>
      </c>
      <c r="F163" s="170">
        <f t="shared" si="91"/>
        <v>14077.580938</v>
      </c>
      <c r="G163" s="170">
        <f t="shared" si="91"/>
        <v>14077.580938</v>
      </c>
      <c r="H163" s="170">
        <f t="shared" si="91"/>
        <v>14077.580938</v>
      </c>
      <c r="I163" s="170">
        <f t="shared" si="91"/>
        <v>14077.580938</v>
      </c>
      <c r="J163" s="170">
        <f>J146</f>
        <v>14077.580938</v>
      </c>
      <c r="K163" s="170">
        <f>K146</f>
        <v>14077.580938</v>
      </c>
      <c r="L163" s="170">
        <f>L146</f>
        <v>14077.580938</v>
      </c>
    </row>
    <row r="164" spans="2:12" ht="18.75" customHeight="1">
      <c r="B164" s="2" t="s">
        <v>49</v>
      </c>
      <c r="C164" s="170">
        <v>0</v>
      </c>
      <c r="D164" s="170">
        <f aca="true" t="shared" si="92" ref="D164:L164">C164</f>
        <v>0</v>
      </c>
      <c r="E164" s="170">
        <f t="shared" si="92"/>
        <v>0</v>
      </c>
      <c r="F164" s="170">
        <f t="shared" si="92"/>
        <v>0</v>
      </c>
      <c r="G164" s="170">
        <f t="shared" si="92"/>
        <v>0</v>
      </c>
      <c r="H164" s="170">
        <f t="shared" si="92"/>
        <v>0</v>
      </c>
      <c r="I164" s="170">
        <f t="shared" si="92"/>
        <v>0</v>
      </c>
      <c r="J164" s="170">
        <f t="shared" si="92"/>
        <v>0</v>
      </c>
      <c r="K164" s="170">
        <f t="shared" si="92"/>
        <v>0</v>
      </c>
      <c r="L164" s="170">
        <f t="shared" si="92"/>
        <v>0</v>
      </c>
    </row>
    <row r="165" spans="2:12" ht="18.75" customHeight="1">
      <c r="B165" s="2" t="s">
        <v>50</v>
      </c>
      <c r="C165" s="170">
        <v>0</v>
      </c>
      <c r="D165" s="170">
        <f aca="true" t="shared" si="93" ref="D165:L165">D148*(C152+C154)</f>
        <v>819.9151704878749</v>
      </c>
      <c r="E165" s="170">
        <f t="shared" si="93"/>
        <v>798.7987990808749</v>
      </c>
      <c r="F165" s="170">
        <f t="shared" si="93"/>
        <v>777.6824276738749</v>
      </c>
      <c r="G165" s="170">
        <f t="shared" si="93"/>
        <v>756.566056266875</v>
      </c>
      <c r="H165" s="170">
        <f t="shared" si="93"/>
        <v>735.449684859875</v>
      </c>
      <c r="I165" s="170">
        <f t="shared" si="93"/>
        <v>714.333313452875</v>
      </c>
      <c r="J165" s="170">
        <f t="shared" si="93"/>
        <v>693.216942045875</v>
      </c>
      <c r="K165" s="170">
        <f t="shared" si="93"/>
        <v>672.100570638875</v>
      </c>
      <c r="L165" s="170">
        <f t="shared" si="93"/>
        <v>650.984199231875</v>
      </c>
    </row>
    <row r="166" spans="2:12" ht="18.75" customHeight="1">
      <c r="B166" s="21" t="s">
        <v>51</v>
      </c>
      <c r="C166" s="174">
        <f aca="true" t="shared" si="94" ref="C166:I166">SUM(C162:C165)</f>
        <v>7625.356341416666</v>
      </c>
      <c r="D166" s="174">
        <f t="shared" si="94"/>
        <v>14897.496108487874</v>
      </c>
      <c r="E166" s="174">
        <f t="shared" si="94"/>
        <v>14876.379737080873</v>
      </c>
      <c r="F166" s="174">
        <f t="shared" si="94"/>
        <v>14855.263365673874</v>
      </c>
      <c r="G166" s="174">
        <f t="shared" si="94"/>
        <v>14834.146994266874</v>
      </c>
      <c r="H166" s="174">
        <f t="shared" si="94"/>
        <v>14813.030622859875</v>
      </c>
      <c r="I166" s="174">
        <f t="shared" si="94"/>
        <v>14791.914251452874</v>
      </c>
      <c r="J166" s="174">
        <f>SUM(J162:J165)</f>
        <v>14770.797880045875</v>
      </c>
      <c r="K166" s="174">
        <f>SUM(K162:K165)</f>
        <v>14749.681508638874</v>
      </c>
      <c r="L166" s="174">
        <f>SUM(L162:L165)</f>
        <v>14728.565137231873</v>
      </c>
    </row>
    <row r="167" spans="3:12" ht="18.75" customHeight="1">
      <c r="C167" s="34"/>
      <c r="D167" s="268"/>
      <c r="E167" s="268"/>
      <c r="F167" s="268"/>
      <c r="G167" s="268"/>
      <c r="H167" s="268"/>
      <c r="I167" s="268"/>
      <c r="J167" s="268"/>
      <c r="K167" s="268"/>
      <c r="L167" s="268"/>
    </row>
    <row r="168" spans="2:12" ht="18.75" customHeight="1">
      <c r="B168" s="1" t="s">
        <v>59</v>
      </c>
      <c r="C168" s="170">
        <f>C160+C166</f>
        <v>51426.366410706</v>
      </c>
      <c r="D168" s="170">
        <f aca="true" t="shared" si="95" ref="D168:I168">D160+D166</f>
        <v>57062.97224367314</v>
      </c>
      <c r="E168" s="170">
        <f t="shared" si="95"/>
        <v>55464.34709036238</v>
      </c>
      <c r="F168" s="170">
        <f t="shared" si="95"/>
        <v>53919.25067524377</v>
      </c>
      <c r="G168" s="170">
        <f t="shared" si="95"/>
        <v>52423.82892916749</v>
      </c>
      <c r="H168" s="170">
        <f t="shared" si="95"/>
        <v>50974.2277829837</v>
      </c>
      <c r="I168" s="170">
        <f t="shared" si="95"/>
        <v>49567.12845492447</v>
      </c>
      <c r="J168" s="170">
        <f>J160+J166</f>
        <v>48199.21216322191</v>
      </c>
      <c r="K168" s="170">
        <f>K160+K166</f>
        <v>46837.71932010242</v>
      </c>
      <c r="L168" s="170">
        <f>L160+L166</f>
        <v>45476.3335344593</v>
      </c>
    </row>
  </sheetData>
  <sheetProtection/>
  <dataValidations count="1">
    <dataValidation type="list" allowBlank="1" showInputMessage="1" showErrorMessage="1" sqref="A15 A99 A141 A57">
      <formula1>"Bonus, No Bonus"</formula1>
    </dataValidation>
  </dataValidations>
  <printOptions horizontalCentered="1"/>
  <pageMargins left="0.75" right="0.75" top="1" bottom="0.5" header="0.5" footer="0.5"/>
  <pageSetup horizontalDpi="600" verticalDpi="600" orientation="landscape" scale="62" r:id="rId1"/>
  <rowBreaks count="3" manualBreakCount="3">
    <brk id="44" min="2" max="11" man="1"/>
    <brk id="86" min="2" max="11" man="1"/>
    <brk id="128" min="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52"/>
  <sheetViews>
    <sheetView zoomScale="75" zoomScaleNormal="75" workbookViewId="0" topLeftCell="A1">
      <selection activeCell="A1" sqref="A1"/>
    </sheetView>
  </sheetViews>
  <sheetFormatPr defaultColWidth="9.33203125" defaultRowHeight="18.75" customHeight="1"/>
  <cols>
    <col min="1" max="1" width="12.66015625" style="2" bestFit="1" customWidth="1"/>
    <col min="2" max="2" width="66" style="2" customWidth="1"/>
    <col min="3" max="12" width="14.83203125" style="2" customWidth="1"/>
    <col min="13" max="13" width="9.33203125" style="2" customWidth="1"/>
    <col min="14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8.75" customHeight="1">
      <c r="B2" s="110" t="s">
        <v>304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8.75" customHeight="1">
      <c r="B3" s="11"/>
      <c r="C3" s="212" t="s">
        <v>257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29">
        <f>Input!B$2</f>
        <v>2016</v>
      </c>
      <c r="D4" s="29">
        <f aca="true" t="shared" si="0" ref="D4:I5">C4+1</f>
        <v>2017</v>
      </c>
      <c r="E4" s="29">
        <f t="shared" si="0"/>
        <v>2018</v>
      </c>
      <c r="F4" s="29">
        <f t="shared" si="0"/>
        <v>2019</v>
      </c>
      <c r="G4" s="52">
        <f t="shared" si="0"/>
        <v>2020</v>
      </c>
      <c r="H4" s="29">
        <f t="shared" si="0"/>
        <v>2021</v>
      </c>
      <c r="I4" s="29">
        <f t="shared" si="0"/>
        <v>2022</v>
      </c>
      <c r="J4" s="29">
        <f aca="true" t="shared" si="1" ref="J4:L5">I4+1</f>
        <v>2023</v>
      </c>
      <c r="K4" s="29">
        <f t="shared" si="1"/>
        <v>2024</v>
      </c>
      <c r="L4" s="29">
        <f t="shared" si="1"/>
        <v>2025</v>
      </c>
    </row>
    <row r="5" spans="1:18" s="28" customFormat="1" ht="18.75" customHeight="1">
      <c r="A5" s="258">
        <v>2018</v>
      </c>
      <c r="B5" s="28" t="s">
        <v>43</v>
      </c>
      <c r="C5" s="209">
        <v>1</v>
      </c>
      <c r="D5" s="209">
        <f>C5+1</f>
        <v>2</v>
      </c>
      <c r="E5" s="209">
        <f t="shared" si="0"/>
        <v>3</v>
      </c>
      <c r="F5" s="209">
        <f t="shared" si="0"/>
        <v>4</v>
      </c>
      <c r="G5" s="209">
        <f t="shared" si="0"/>
        <v>5</v>
      </c>
      <c r="H5" s="209">
        <f t="shared" si="0"/>
        <v>6</v>
      </c>
      <c r="I5" s="209">
        <f t="shared" si="0"/>
        <v>7</v>
      </c>
      <c r="J5" s="209">
        <f t="shared" si="1"/>
        <v>8</v>
      </c>
      <c r="K5" s="209">
        <f t="shared" si="1"/>
        <v>9</v>
      </c>
      <c r="L5" s="209">
        <f t="shared" si="1"/>
        <v>10</v>
      </c>
      <c r="M5" s="28" t="s">
        <v>21</v>
      </c>
      <c r="Q5" s="28" t="s">
        <v>257</v>
      </c>
      <c r="R5" s="2">
        <v>1</v>
      </c>
    </row>
    <row r="6" spans="2:18" ht="18.75" customHeight="1">
      <c r="B6" s="211" t="s">
        <v>329</v>
      </c>
      <c r="C6" s="12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21" t="s">
        <v>103</v>
      </c>
      <c r="B7" s="10" t="s">
        <v>403</v>
      </c>
      <c r="C7" s="172">
        <f>VLOOKUP(C$4,'Cash Flows-LGE'!$B$44:$H$54,$A8)</f>
        <v>6703038.73262517</v>
      </c>
      <c r="D7" s="172">
        <f>VLOOKUP(D$4,'Cash Flows-LGE'!$B$44:$H$54,$A8)</f>
        <v>458000</v>
      </c>
      <c r="E7" s="172">
        <f>VLOOKUP(E$4,'Cash Flows-LGE'!$B$44:$H$54,$A8)</f>
        <v>127000</v>
      </c>
      <c r="F7" s="172">
        <f>VLOOKUP(F$4,'Cash Flows-LGE'!$B$44:$H$54,$A8)</f>
        <v>14319000</v>
      </c>
      <c r="G7" s="172">
        <f>VLOOKUP(G$4,'Cash Flows-LGE'!$B$44:$H$54,$A8)</f>
        <v>27374000</v>
      </c>
      <c r="H7" s="172">
        <f>VLOOKUP(H$4,'Cash Flows-LGE'!$B$44:$H$54,$A8)</f>
        <v>0</v>
      </c>
      <c r="I7" s="172">
        <f>VLOOKUP(I$4,'Cash Flows-LGE'!$B$44:$H$54,$A8)</f>
        <v>0</v>
      </c>
      <c r="J7" s="172">
        <f>VLOOKUP(J$4,'Cash Flows-LGE'!$B$44:$H$54,$A8)</f>
        <v>0</v>
      </c>
      <c r="K7" s="172">
        <f>VLOOKUP(K$4,'Cash Flows-LGE'!$B$44:$H$54,$A8)</f>
        <v>0</v>
      </c>
      <c r="L7" s="172">
        <f>VLOOKUP(L$4,'Cash Flows-LGE'!$B$44:$H$54,$A8)</f>
        <v>0</v>
      </c>
      <c r="M7" s="172"/>
      <c r="Q7" s="28" t="s">
        <v>259</v>
      </c>
      <c r="R7" s="2">
        <v>3</v>
      </c>
    </row>
    <row r="8" spans="1:18" ht="18.75" customHeight="1">
      <c r="A8" s="3">
        <v>2</v>
      </c>
      <c r="B8" s="40" t="s">
        <v>57</v>
      </c>
      <c r="C8" s="172">
        <f>SUM($C7:C7)</f>
        <v>6703038.73262517</v>
      </c>
      <c r="D8" s="172">
        <f>SUM($C7:D7)</f>
        <v>7161038.73262517</v>
      </c>
      <c r="E8" s="172">
        <f>SUM($C7:E7)</f>
        <v>7288038.73262517</v>
      </c>
      <c r="F8" s="172">
        <f>SUM($C7:F7)</f>
        <v>21607038.73262517</v>
      </c>
      <c r="G8" s="172">
        <f>SUM($C7:G7)</f>
        <v>48981038.73262517</v>
      </c>
      <c r="H8" s="172">
        <f>SUM($C7:H7)</f>
        <v>48981038.73262517</v>
      </c>
      <c r="I8" s="172">
        <f>SUM($C7:I7)</f>
        <v>48981038.73262517</v>
      </c>
      <c r="J8" s="172">
        <f>SUM($C7:J7)</f>
        <v>48981038.73262517</v>
      </c>
      <c r="K8" s="172">
        <f>SUM($C7:K7)</f>
        <v>48981038.73262517</v>
      </c>
      <c r="L8" s="172">
        <f>SUM($C7:L7)</f>
        <v>48981038.73262517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</v>
      </c>
      <c r="D9" s="6">
        <f>IF(D5="",0,VLOOKUP($B6,Depreciation!$D$2:$E$31,$A9,FALSE))</f>
        <v>0</v>
      </c>
      <c r="E9" s="6">
        <f>IF(E5="",0,VLOOKUP($B6,Depreciation!$D$2:$E$31,$A9,FALSE))</f>
        <v>0</v>
      </c>
      <c r="F9" s="6">
        <f>IF(F5="",0,VLOOKUP($B6,Depreciation!$D$2:$E$31,$A9,FALSE))</f>
        <v>0</v>
      </c>
      <c r="G9" s="6">
        <f>IF(G5="",0,VLOOKUP($B6,Depreciation!$D$2:$E$31,$A9,FALSE))</f>
        <v>0</v>
      </c>
      <c r="H9" s="6">
        <f>IF(H5="",0,VLOOKUP($B6,Depreciation!$D$2:$E$31,$A9,FALSE))</f>
        <v>0</v>
      </c>
      <c r="I9" s="6">
        <f>IF(I5="",0,VLOOKUP($B6,Depreciation!$D$2:$E$31,$A9,FALSE))</f>
        <v>0</v>
      </c>
      <c r="J9" s="6">
        <f>IF(J5="",0,VLOOKUP($B6,Depreciation!$D$2:$E$31,$A9,FALSE))</f>
        <v>0</v>
      </c>
      <c r="K9" s="6">
        <f>IF(K5="",0,VLOOKUP($B6,Depreciation!$D$2:$E$31,$A9,FALSE))</f>
        <v>0</v>
      </c>
      <c r="L9" s="6">
        <f>IF(L5="",0,VLOOKUP($B6,Depreciation!$D$2:$E$31,$A9,FALSE))</f>
        <v>0</v>
      </c>
      <c r="Q9" s="28" t="s">
        <v>261</v>
      </c>
      <c r="R9" s="2">
        <v>5</v>
      </c>
    </row>
    <row r="10" spans="1:18" ht="18.75" customHeight="1">
      <c r="A10" s="3">
        <v>3</v>
      </c>
      <c r="B10" s="5" t="s">
        <v>1</v>
      </c>
      <c r="C10" s="6">
        <f>IF(C5="",0,VLOOKUP(C5,Depreciation!$A$2:$C$58,$A10,FALSE))</f>
        <v>1</v>
      </c>
      <c r="D10" s="6">
        <f>IF(D5="",0,VLOOKUP(D5,Depreciation!$A$2:$C$58,$A10,FALSE))</f>
        <v>1</v>
      </c>
      <c r="E10" s="6">
        <f>IF(E5="",0,VLOOKUP(E5,Depreciation!$A$2:$C$58,$A10,FALSE))</f>
        <v>1</v>
      </c>
      <c r="F10" s="6">
        <f>IF(F5="",0,VLOOKUP(F5,Depreciation!$A$2:$C$58,$A10,FALSE))</f>
        <v>1</v>
      </c>
      <c r="G10" s="6">
        <f>IF(G5="",0,VLOOKUP(G5,Depreciation!$A$2:$C$58,$A10,FALSE))</f>
        <v>1</v>
      </c>
      <c r="H10" s="6">
        <f>IF(H5="",0,VLOOKUP(H5,Depreciation!$A$2:$C$58,$A10,FALSE))</f>
        <v>1</v>
      </c>
      <c r="I10" s="6">
        <f>IF(I5="",0,VLOOKUP(I5,Depreciation!$A$2:$C$58,$A10,FALSE))</f>
        <v>1</v>
      </c>
      <c r="J10" s="6">
        <f>IF(J5="",0,VLOOKUP(J5,Depreciation!$A$2:$C$58,$A10,FALSE))</f>
        <v>1</v>
      </c>
      <c r="K10" s="6">
        <f>IF(K5="",0,VLOOKUP(K5,Depreciation!$A$2:$C$58,$A10,FALSE))</f>
        <v>1</v>
      </c>
      <c r="L10" s="6">
        <f>IF(L5="",0,VLOOKUP(L5,Depreciation!$A$2:$C$58,$A10,FALSE))</f>
        <v>1</v>
      </c>
      <c r="Q10" s="28" t="s">
        <v>262</v>
      </c>
      <c r="R10" s="2">
        <v>6</v>
      </c>
    </row>
    <row r="11" spans="2:18" s="30" customFormat="1" ht="18.75" customHeight="1"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2:18" ht="18.75" customHeight="1">
      <c r="B12" s="2" t="s">
        <v>3</v>
      </c>
      <c r="C12" s="170">
        <f>SUM($C23:C23)</f>
        <v>1194041.4637894828</v>
      </c>
      <c r="D12" s="170">
        <f>SUM($C23:D23)</f>
        <v>-26623.748777882196</v>
      </c>
      <c r="E12" s="170">
        <f>SUM($C23:E23)</f>
        <v>-1375273.4213452472</v>
      </c>
      <c r="F12" s="170">
        <f>SUM($C23:F23)</f>
        <v>2763555.626087387</v>
      </c>
      <c r="G12" s="170">
        <f>SUM($C23:G23)</f>
        <v>11950230.973520022</v>
      </c>
      <c r="H12" s="170">
        <f>SUM($C23:H23)</f>
        <v>10552475.480952658</v>
      </c>
      <c r="I12" s="170">
        <f>SUM($C23:I23)</f>
        <v>9154719.988385294</v>
      </c>
      <c r="J12" s="170">
        <f>SUM($C23:J23)</f>
        <v>7756964.495817929</v>
      </c>
      <c r="K12" s="170">
        <f>SUM($C23:K23)</f>
        <v>6359209.0032505635</v>
      </c>
      <c r="L12" s="170">
        <f>SUM($C23:L23)</f>
        <v>4961453.510683198</v>
      </c>
      <c r="Q12" s="28" t="s">
        <v>264</v>
      </c>
      <c r="R12" s="2">
        <v>8</v>
      </c>
    </row>
    <row r="13" spans="2:18" ht="18.75" customHeight="1">
      <c r="B13" s="2" t="s">
        <v>4</v>
      </c>
      <c r="C13" s="169">
        <f>SUM($C15:C15)</f>
        <v>3614947.221247</v>
      </c>
      <c r="D13" s="169">
        <f>SUM($C15:D15)</f>
        <v>7229894.442494</v>
      </c>
      <c r="E13" s="169">
        <f>SUM($C15:E15)</f>
        <v>10844841.663741</v>
      </c>
      <c r="F13" s="169">
        <f>SUM($C15:F15)</f>
        <v>14459788.884988</v>
      </c>
      <c r="G13" s="169">
        <f>SUM($C15:G15)</f>
        <v>18074736.106235</v>
      </c>
      <c r="H13" s="169">
        <f>SUM($C15:H15)</f>
        <v>21689683.327482</v>
      </c>
      <c r="I13" s="169">
        <f>SUM($C15:I15)</f>
        <v>25304630.548729</v>
      </c>
      <c r="J13" s="169">
        <f>SUM($C15:J15)</f>
        <v>28919577.769975998</v>
      </c>
      <c r="K13" s="169">
        <f>SUM($C15:K15)</f>
        <v>32534524.991222996</v>
      </c>
      <c r="L13" s="169">
        <f>SUM($C15:L15)</f>
        <v>36149472.212469995</v>
      </c>
      <c r="Q13" s="28" t="s">
        <v>265</v>
      </c>
      <c r="R13" s="2">
        <v>9</v>
      </c>
    </row>
    <row r="14" spans="2:18" ht="18.75" customHeight="1">
      <c r="B14" s="11" t="s">
        <v>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Q14" s="28" t="s">
        <v>266</v>
      </c>
      <c r="R14" s="2">
        <v>10</v>
      </c>
    </row>
    <row r="15" spans="1:18" ht="18.75" customHeight="1">
      <c r="A15" s="214" t="s">
        <v>372</v>
      </c>
      <c r="B15" s="11" t="s">
        <v>6</v>
      </c>
      <c r="C15" s="169">
        <v>3614947.221247</v>
      </c>
      <c r="D15" s="169">
        <f>C15</f>
        <v>3614947.221247</v>
      </c>
      <c r="E15" s="169">
        <f aca="true" t="shared" si="2" ref="E15:L15">D15</f>
        <v>3614947.221247</v>
      </c>
      <c r="F15" s="169">
        <f t="shared" si="2"/>
        <v>3614947.221247</v>
      </c>
      <c r="G15" s="169">
        <f t="shared" si="2"/>
        <v>3614947.221247</v>
      </c>
      <c r="H15" s="169">
        <f t="shared" si="2"/>
        <v>3614947.221247</v>
      </c>
      <c r="I15" s="169">
        <f t="shared" si="2"/>
        <v>3614947.221247</v>
      </c>
      <c r="J15" s="169">
        <f t="shared" si="2"/>
        <v>3614947.221247</v>
      </c>
      <c r="K15" s="169">
        <f t="shared" si="2"/>
        <v>3614947.221247</v>
      </c>
      <c r="L15" s="169">
        <f t="shared" si="2"/>
        <v>3614947.221247</v>
      </c>
      <c r="Q15" s="28" t="s">
        <v>267</v>
      </c>
      <c r="R15" s="2">
        <v>11</v>
      </c>
    </row>
    <row r="16" spans="2:18" ht="18.75" customHeight="1">
      <c r="B16" s="5" t="s">
        <v>7</v>
      </c>
      <c r="C16" s="169">
        <f>C7</f>
        <v>6703038.73262517</v>
      </c>
      <c r="D16" s="169">
        <f aca="true" t="shared" si="3" ref="D16:L16">C16+D7</f>
        <v>7161038.73262517</v>
      </c>
      <c r="E16" s="169">
        <f t="shared" si="3"/>
        <v>7288038.73262517</v>
      </c>
      <c r="F16" s="169">
        <f t="shared" si="3"/>
        <v>21607038.73262517</v>
      </c>
      <c r="G16" s="169">
        <f t="shared" si="3"/>
        <v>48981038.73262517</v>
      </c>
      <c r="H16" s="169">
        <f t="shared" si="3"/>
        <v>48981038.73262517</v>
      </c>
      <c r="I16" s="169">
        <f t="shared" si="3"/>
        <v>48981038.73262517</v>
      </c>
      <c r="J16" s="169">
        <f t="shared" si="3"/>
        <v>48981038.73262517</v>
      </c>
      <c r="K16" s="169">
        <f t="shared" si="3"/>
        <v>48981038.73262517</v>
      </c>
      <c r="L16" s="169">
        <f t="shared" si="3"/>
        <v>48981038.73262517</v>
      </c>
      <c r="Q16" s="28" t="s">
        <v>268</v>
      </c>
      <c r="R16" s="2">
        <v>12</v>
      </c>
    </row>
    <row r="17" spans="2:12" ht="18.75" customHeight="1">
      <c r="B17" s="213" t="s">
        <v>361</v>
      </c>
      <c r="C17" s="169">
        <f>IF(C5=1,IF($A15="Bonus",SUM($C7:C7)*VLOOKUP(C4,Depreciation!$D$41:$E$50,2),0),0)</f>
        <v>0</v>
      </c>
      <c r="D17" s="169">
        <f>IF(D5=1,IF($A15="Bonus",SUM($C7:D7)*VLOOKUP(D4,Depreciation!$D$41:$E$50,2),0),0)</f>
        <v>0</v>
      </c>
      <c r="E17" s="169">
        <f>IF(E5=1,IF($A15="Bonus",SUM($C7:E7)*VLOOKUP(E4,Depreciation!$D$41:$E$50,2),0),0)</f>
        <v>0</v>
      </c>
      <c r="F17" s="169">
        <f>IF(F5=1,IF($A15="Bonus",SUM($C7:F7)*VLOOKUP(F4,Depreciation!$D$41:$E$50,2),0),0)</f>
        <v>0</v>
      </c>
      <c r="G17" s="169">
        <f>IF(G5=1,IF($A15="Bonus",SUM($C7:G7)*VLOOKUP(G4,Depreciation!$D$41:$E$50,2),0),0)</f>
        <v>0</v>
      </c>
      <c r="H17" s="169">
        <f>IF(H5=1,IF($A15="Bonus",SUM($C7:H7)*VLOOKUP(H4,Depreciation!$D$41:$E$50,2),0),0)</f>
        <v>0</v>
      </c>
      <c r="I17" s="169">
        <f>IF(I5=1,IF($A15="Bonus",SUM($C7:I7)*VLOOKUP(I4,Depreciation!$D$41:$E$50,2),0),0)</f>
        <v>0</v>
      </c>
      <c r="J17" s="169">
        <f>IF(J5=1,IF($A15="Bonus",SUM($C7:J7)*VLOOKUP(J4,Depreciation!$D$41:$E$50,2),0),0)</f>
        <v>0</v>
      </c>
      <c r="K17" s="169">
        <f>IF(K5=1,IF($A15="Bonus",SUM($C7:K7)*VLOOKUP(K4,Depreciation!$D$41:$E$50,2),0),0)</f>
        <v>0</v>
      </c>
      <c r="L17" s="169">
        <f>IF(L5=1,IF($A15="Bonus",SUM($C7:L7)*VLOOKUP(L4,Depreciation!$D$41:$E$50,2),0),0)</f>
        <v>0</v>
      </c>
    </row>
    <row r="18" spans="2:12" ht="18.75" customHeight="1">
      <c r="B18" s="5" t="s">
        <v>362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 ht="18.75" customHeight="1">
      <c r="B19" s="5" t="s">
        <v>17</v>
      </c>
      <c r="C19" s="34">
        <f>Input!I$19</f>
        <v>0.09991333016039017</v>
      </c>
      <c r="D19" s="34">
        <f>Input!J$19</f>
        <v>0.09991333016039017</v>
      </c>
      <c r="E19" s="34">
        <f>Input!K$19</f>
        <v>0.09991333016039017</v>
      </c>
      <c r="F19" s="34">
        <f>Input!L$19</f>
        <v>0.09991333016039017</v>
      </c>
      <c r="G19" s="34">
        <f>Input!M$19</f>
        <v>0.09991333016039017</v>
      </c>
      <c r="H19" s="34">
        <f>Input!N$19</f>
        <v>0.09991333016039017</v>
      </c>
      <c r="I19" s="34">
        <f>Input!O$19</f>
        <v>0.09991333016039017</v>
      </c>
      <c r="J19" s="34">
        <f>Input!P$19</f>
        <v>0.09991333016039017</v>
      </c>
      <c r="K19" s="34">
        <f>Input!Q$19</f>
        <v>0.09991333016039017</v>
      </c>
      <c r="L19" s="34">
        <f>Input!R$19</f>
        <v>0.09991333016039017</v>
      </c>
    </row>
    <row r="20" spans="2:12" ht="18.75" customHeight="1">
      <c r="B20" s="5" t="s">
        <v>8</v>
      </c>
      <c r="C20" s="181">
        <f>C15</f>
        <v>3614947.221247</v>
      </c>
      <c r="D20" s="181">
        <f>D15</f>
        <v>3614947.221247</v>
      </c>
      <c r="E20" s="181">
        <f aca="true" t="shared" si="4" ref="E20:L20">E15</f>
        <v>3614947.221247</v>
      </c>
      <c r="F20" s="181">
        <f t="shared" si="4"/>
        <v>3614947.221247</v>
      </c>
      <c r="G20" s="181">
        <f t="shared" si="4"/>
        <v>3614947.221247</v>
      </c>
      <c r="H20" s="181">
        <f t="shared" si="4"/>
        <v>3614947.221247</v>
      </c>
      <c r="I20" s="181">
        <f t="shared" si="4"/>
        <v>3614947.221247</v>
      </c>
      <c r="J20" s="181">
        <f t="shared" si="4"/>
        <v>3614947.221247</v>
      </c>
      <c r="K20" s="181">
        <f t="shared" si="4"/>
        <v>3614947.221247</v>
      </c>
      <c r="L20" s="181">
        <f t="shared" si="4"/>
        <v>3614947.221247</v>
      </c>
    </row>
    <row r="21" spans="2:12" ht="18.75" customHeight="1">
      <c r="B21" s="11" t="s">
        <v>364</v>
      </c>
      <c r="C21" s="181">
        <f>C7*C10</f>
        <v>6703038.73262517</v>
      </c>
      <c r="D21" s="181">
        <f aca="true" t="shared" si="5" ref="D21:L21">D7*D10</f>
        <v>458000</v>
      </c>
      <c r="E21" s="181">
        <f t="shared" si="5"/>
        <v>127000</v>
      </c>
      <c r="F21" s="181">
        <f t="shared" si="5"/>
        <v>14319000</v>
      </c>
      <c r="G21" s="181">
        <f t="shared" si="5"/>
        <v>27374000</v>
      </c>
      <c r="H21" s="181">
        <f t="shared" si="5"/>
        <v>0</v>
      </c>
      <c r="I21" s="181">
        <f t="shared" si="5"/>
        <v>0</v>
      </c>
      <c r="J21" s="181">
        <f t="shared" si="5"/>
        <v>0</v>
      </c>
      <c r="K21" s="181">
        <f t="shared" si="5"/>
        <v>0</v>
      </c>
      <c r="L21" s="181">
        <f t="shared" si="5"/>
        <v>0</v>
      </c>
    </row>
    <row r="22" spans="2:12" ht="18.75" customHeight="1">
      <c r="B22" s="3" t="s">
        <v>9</v>
      </c>
      <c r="C22" s="8">
        <f>Input!$B$6</f>
        <v>0.0015</v>
      </c>
      <c r="D22" s="8">
        <f aca="true" t="shared" si="6" ref="D22:I22">C22</f>
        <v>0.0015</v>
      </c>
      <c r="E22" s="8">
        <f t="shared" si="6"/>
        <v>0.0015</v>
      </c>
      <c r="F22" s="8">
        <f t="shared" si="6"/>
        <v>0.0015</v>
      </c>
      <c r="G22" s="8">
        <f t="shared" si="6"/>
        <v>0.0015</v>
      </c>
      <c r="H22" s="8">
        <f t="shared" si="6"/>
        <v>0.0015</v>
      </c>
      <c r="I22" s="8">
        <f t="shared" si="6"/>
        <v>0.0015</v>
      </c>
      <c r="J22" s="8">
        <f>I22</f>
        <v>0.0015</v>
      </c>
      <c r="K22" s="8">
        <f>J22</f>
        <v>0.0015</v>
      </c>
      <c r="L22" s="8">
        <f>K22</f>
        <v>0.0015</v>
      </c>
    </row>
    <row r="23" spans="2:12" ht="18.75" customHeight="1">
      <c r="B23" s="102" t="s">
        <v>363</v>
      </c>
      <c r="C23" s="171">
        <f aca="true" t="shared" si="7" ref="C23:L23">(C21-C20)*C11</f>
        <v>1194041.4637894828</v>
      </c>
      <c r="D23" s="171">
        <f t="shared" si="7"/>
        <v>-1220665.212567365</v>
      </c>
      <c r="E23" s="171">
        <f t="shared" si="7"/>
        <v>-1348649.672567365</v>
      </c>
      <c r="F23" s="171">
        <f t="shared" si="7"/>
        <v>4138829.047432634</v>
      </c>
      <c r="G23" s="171">
        <f t="shared" si="7"/>
        <v>9186675.347432634</v>
      </c>
      <c r="H23" s="171">
        <f t="shared" si="7"/>
        <v>-1397755.4925673648</v>
      </c>
      <c r="I23" s="171">
        <f t="shared" si="7"/>
        <v>-1397755.4925673648</v>
      </c>
      <c r="J23" s="171">
        <f t="shared" si="7"/>
        <v>-1397755.4925673648</v>
      </c>
      <c r="K23" s="171">
        <f t="shared" si="7"/>
        <v>-1397755.4925673648</v>
      </c>
      <c r="L23" s="171">
        <f t="shared" si="7"/>
        <v>-1397755.4925673648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8" ref="C26:L26">C8</f>
        <v>6703038.73262517</v>
      </c>
      <c r="D26" s="169">
        <f t="shared" si="8"/>
        <v>7161038.73262517</v>
      </c>
      <c r="E26" s="169">
        <f t="shared" si="8"/>
        <v>7288038.73262517</v>
      </c>
      <c r="F26" s="169">
        <f t="shared" si="8"/>
        <v>21607038.73262517</v>
      </c>
      <c r="G26" s="169">
        <f t="shared" si="8"/>
        <v>48981038.73262517</v>
      </c>
      <c r="H26" s="169">
        <f t="shared" si="8"/>
        <v>48981038.73262517</v>
      </c>
      <c r="I26" s="169">
        <f t="shared" si="8"/>
        <v>48981038.73262517</v>
      </c>
      <c r="J26" s="169">
        <f t="shared" si="8"/>
        <v>48981038.73262517</v>
      </c>
      <c r="K26" s="169">
        <f t="shared" si="8"/>
        <v>48981038.73262517</v>
      </c>
      <c r="L26" s="169">
        <f t="shared" si="8"/>
        <v>48981038.73262517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9" ref="D27:I27">C27</f>
        <v>0</v>
      </c>
      <c r="E27" s="170">
        <f t="shared" si="9"/>
        <v>0</v>
      </c>
      <c r="F27" s="170">
        <f t="shared" si="9"/>
        <v>0</v>
      </c>
      <c r="G27" s="170">
        <f t="shared" si="9"/>
        <v>0</v>
      </c>
      <c r="H27" s="170">
        <f t="shared" si="9"/>
        <v>0</v>
      </c>
      <c r="I27" s="170">
        <f t="shared" si="9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2" ht="18.75" customHeight="1">
      <c r="B28" s="2" t="s">
        <v>10</v>
      </c>
      <c r="C28" s="170">
        <f aca="true" t="shared" si="10" ref="C28:L28">-C13</f>
        <v>-3614947.221247</v>
      </c>
      <c r="D28" s="170">
        <f t="shared" si="10"/>
        <v>-7229894.442494</v>
      </c>
      <c r="E28" s="170">
        <f t="shared" si="10"/>
        <v>-10844841.663741</v>
      </c>
      <c r="F28" s="170">
        <f t="shared" si="10"/>
        <v>-14459788.884988</v>
      </c>
      <c r="G28" s="170">
        <f t="shared" si="10"/>
        <v>-18074736.106235</v>
      </c>
      <c r="H28" s="170">
        <f t="shared" si="10"/>
        <v>-21689683.327482</v>
      </c>
      <c r="I28" s="170">
        <f t="shared" si="10"/>
        <v>-25304630.548729</v>
      </c>
      <c r="J28" s="170">
        <f t="shared" si="10"/>
        <v>-28919577.769975998</v>
      </c>
      <c r="K28" s="170">
        <f t="shared" si="10"/>
        <v>-32534524.991222996</v>
      </c>
      <c r="L28" s="170">
        <f t="shared" si="10"/>
        <v>-36149472.212469995</v>
      </c>
    </row>
    <row r="29" spans="2:12" ht="18.75" customHeight="1">
      <c r="B29" s="2" t="s">
        <v>45</v>
      </c>
      <c r="C29" s="170">
        <v>0</v>
      </c>
      <c r="D29" s="170">
        <f>C29</f>
        <v>0</v>
      </c>
      <c r="E29" s="170">
        <f>D29</f>
        <v>0</v>
      </c>
      <c r="F29" s="170">
        <f>E29</f>
        <v>0</v>
      </c>
      <c r="G29" s="170">
        <f aca="true" t="shared" si="11" ref="G29:L29">F29</f>
        <v>0</v>
      </c>
      <c r="H29" s="170">
        <f t="shared" si="11"/>
        <v>0</v>
      </c>
      <c r="I29" s="170">
        <f t="shared" si="11"/>
        <v>0</v>
      </c>
      <c r="J29" s="170">
        <f t="shared" si="11"/>
        <v>0</v>
      </c>
      <c r="K29" s="170">
        <f t="shared" si="11"/>
        <v>0</v>
      </c>
      <c r="L29" s="170">
        <f t="shared" si="11"/>
        <v>0</v>
      </c>
    </row>
    <row r="30" spans="2:12" ht="18.75" customHeight="1">
      <c r="B30" s="2" t="s">
        <v>46</v>
      </c>
      <c r="C30" s="170">
        <f aca="true" t="shared" si="12" ref="C30:L30">-C12</f>
        <v>-1194041.4637894828</v>
      </c>
      <c r="D30" s="170">
        <f t="shared" si="12"/>
        <v>26623.748777882196</v>
      </c>
      <c r="E30" s="170">
        <f t="shared" si="12"/>
        <v>1375273.4213452472</v>
      </c>
      <c r="F30" s="170">
        <f t="shared" si="12"/>
        <v>-2763555.626087387</v>
      </c>
      <c r="G30" s="170">
        <f t="shared" si="12"/>
        <v>-11950230.973520022</v>
      </c>
      <c r="H30" s="170">
        <f t="shared" si="12"/>
        <v>-10552475.480952658</v>
      </c>
      <c r="I30" s="170">
        <f t="shared" si="12"/>
        <v>-9154719.988385294</v>
      </c>
      <c r="J30" s="170">
        <f t="shared" si="12"/>
        <v>-7756964.495817929</v>
      </c>
      <c r="K30" s="170">
        <f t="shared" si="12"/>
        <v>-6359209.0032505635</v>
      </c>
      <c r="L30" s="170">
        <f t="shared" si="12"/>
        <v>-4961453.510683198</v>
      </c>
    </row>
    <row r="31" spans="2:12" ht="18.75" customHeight="1">
      <c r="B31" s="2" t="s">
        <v>47</v>
      </c>
      <c r="C31" s="170">
        <v>0</v>
      </c>
      <c r="D31" s="170">
        <f aca="true" t="shared" si="13" ref="D31:I31">C31</f>
        <v>0</v>
      </c>
      <c r="E31" s="170">
        <f t="shared" si="13"/>
        <v>0</v>
      </c>
      <c r="F31" s="170">
        <f t="shared" si="13"/>
        <v>0</v>
      </c>
      <c r="G31" s="170">
        <f t="shared" si="13"/>
        <v>0</v>
      </c>
      <c r="H31" s="170">
        <f t="shared" si="13"/>
        <v>0</v>
      </c>
      <c r="I31" s="170">
        <f t="shared" si="13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 aca="true" t="shared" si="14" ref="C32:I32">SUM(C26:C31)</f>
        <v>1894050.0475886867</v>
      </c>
      <c r="D32" s="170">
        <f t="shared" si="14"/>
        <v>-42231.96109094843</v>
      </c>
      <c r="E32" s="170">
        <f t="shared" si="14"/>
        <v>-2181529.5097705834</v>
      </c>
      <c r="F32" s="170">
        <f t="shared" si="14"/>
        <v>4383694.221549784</v>
      </c>
      <c r="G32" s="170">
        <f t="shared" si="14"/>
        <v>18956071.65287015</v>
      </c>
      <c r="H32" s="170">
        <f t="shared" si="14"/>
        <v>16738879.924190514</v>
      </c>
      <c r="I32" s="170">
        <f t="shared" si="14"/>
        <v>14521688.19551088</v>
      </c>
      <c r="J32" s="170">
        <f>SUM(J26:J31)</f>
        <v>12304496.466831245</v>
      </c>
      <c r="K32" s="170">
        <f>SUM(K26:K31)</f>
        <v>10087304.738151612</v>
      </c>
      <c r="L32" s="170">
        <f>SUM(L26:L31)</f>
        <v>7870113.009471978</v>
      </c>
    </row>
    <row r="33" spans="2:12" ht="18.75" customHeight="1">
      <c r="B33" s="2" t="s">
        <v>12</v>
      </c>
      <c r="C33" s="7">
        <f aca="true" t="shared" si="15" ref="C33:I33">C19</f>
        <v>0.09991333016039017</v>
      </c>
      <c r="D33" s="7">
        <f t="shared" si="15"/>
        <v>0.09991333016039017</v>
      </c>
      <c r="E33" s="7">
        <f t="shared" si="15"/>
        <v>0.09991333016039017</v>
      </c>
      <c r="F33" s="7">
        <f t="shared" si="15"/>
        <v>0.09991333016039017</v>
      </c>
      <c r="G33" s="7">
        <f t="shared" si="15"/>
        <v>0.09991333016039017</v>
      </c>
      <c r="H33" s="7">
        <f t="shared" si="15"/>
        <v>0.09991333016039017</v>
      </c>
      <c r="I33" s="7">
        <f t="shared" si="15"/>
        <v>0.09991333016039017</v>
      </c>
      <c r="J33" s="7">
        <f>J19</f>
        <v>0.09991333016039017</v>
      </c>
      <c r="K33" s="7">
        <f>K19</f>
        <v>0.09991333016039017</v>
      </c>
      <c r="L33" s="7">
        <f>L19</f>
        <v>0.09991333016039017</v>
      </c>
    </row>
    <row r="34" spans="2:12" ht="18.75" customHeight="1">
      <c r="B34" s="34"/>
      <c r="C34" s="174">
        <f aca="true" t="shared" si="16" ref="C34:I34">C32*C33</f>
        <v>189240.84774503118</v>
      </c>
      <c r="D34" s="174">
        <f t="shared" si="16"/>
        <v>-4219.535871800682</v>
      </c>
      <c r="E34" s="174">
        <f t="shared" si="16"/>
        <v>-217963.8781643424</v>
      </c>
      <c r="F34" s="174">
        <f t="shared" si="16"/>
        <v>437989.4880798981</v>
      </c>
      <c r="G34" s="174">
        <f t="shared" si="16"/>
        <v>1893964.2455972282</v>
      </c>
      <c r="H34" s="174">
        <f t="shared" si="16"/>
        <v>1672437.2363807736</v>
      </c>
      <c r="I34" s="174">
        <f t="shared" si="16"/>
        <v>1450910.227164319</v>
      </c>
      <c r="J34" s="174">
        <f>J32*J33</f>
        <v>1229383.2179478644</v>
      </c>
      <c r="K34" s="174">
        <f>K32*K33</f>
        <v>1007856.2087314101</v>
      </c>
      <c r="L34" s="174">
        <f>L32*L33</f>
        <v>786329.1995149556</v>
      </c>
    </row>
    <row r="35" spans="2:12" s="3" customFormat="1" ht="18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8.75" customHeight="1">
      <c r="B36" s="1" t="s">
        <v>52</v>
      </c>
      <c r="C36" s="170">
        <v>0</v>
      </c>
      <c r="D36" s="170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</row>
    <row r="37" spans="2:12" ht="18.75" customHeight="1">
      <c r="B37" s="2" t="s">
        <v>48</v>
      </c>
      <c r="C37" s="170">
        <v>0</v>
      </c>
      <c r="D37" s="170">
        <f>C37</f>
        <v>0</v>
      </c>
      <c r="E37" s="170">
        <f aca="true" t="shared" si="17" ref="E37:L37">D37</f>
        <v>0</v>
      </c>
      <c r="F37" s="170">
        <f t="shared" si="17"/>
        <v>0</v>
      </c>
      <c r="G37" s="170">
        <f t="shared" si="17"/>
        <v>0</v>
      </c>
      <c r="H37" s="170">
        <f t="shared" si="17"/>
        <v>0</v>
      </c>
      <c r="I37" s="170">
        <f t="shared" si="17"/>
        <v>0</v>
      </c>
      <c r="J37" s="170">
        <f t="shared" si="17"/>
        <v>0</v>
      </c>
      <c r="K37" s="170">
        <f t="shared" si="17"/>
        <v>0</v>
      </c>
      <c r="L37" s="170">
        <f t="shared" si="17"/>
        <v>0</v>
      </c>
    </row>
    <row r="38" spans="2:12" ht="18.75" customHeight="1">
      <c r="B38" s="2" t="s">
        <v>434</v>
      </c>
      <c r="C38" s="170">
        <f>C15</f>
        <v>3614947.221247</v>
      </c>
      <c r="D38" s="170">
        <f aca="true" t="shared" si="18" ref="D38:L38">D15</f>
        <v>3614947.221247</v>
      </c>
      <c r="E38" s="170">
        <f t="shared" si="18"/>
        <v>3614947.221247</v>
      </c>
      <c r="F38" s="170">
        <f t="shared" si="18"/>
        <v>3614947.221247</v>
      </c>
      <c r="G38" s="170">
        <f t="shared" si="18"/>
        <v>3614947.221247</v>
      </c>
      <c r="H38" s="170">
        <f t="shared" si="18"/>
        <v>3614947.221247</v>
      </c>
      <c r="I38" s="170">
        <f t="shared" si="18"/>
        <v>3614947.221247</v>
      </c>
      <c r="J38" s="170">
        <f t="shared" si="18"/>
        <v>3614947.221247</v>
      </c>
      <c r="K38" s="170">
        <f t="shared" si="18"/>
        <v>3614947.221247</v>
      </c>
      <c r="L38" s="170">
        <f t="shared" si="18"/>
        <v>3614947.221247</v>
      </c>
    </row>
    <row r="39" spans="2:12" ht="18.75" customHeight="1">
      <c r="B39" s="2" t="s">
        <v>50</v>
      </c>
      <c r="C39" s="170">
        <v>0</v>
      </c>
      <c r="D39" s="170">
        <f aca="true" t="shared" si="19" ref="D39:I39">D22*(C26+C28)</f>
        <v>4632.1372670672545</v>
      </c>
      <c r="E39" s="170">
        <f t="shared" si="19"/>
        <v>-103.28356480324595</v>
      </c>
      <c r="F39" s="170">
        <f t="shared" si="19"/>
        <v>-5335.204396673746</v>
      </c>
      <c r="G39" s="170">
        <f t="shared" si="19"/>
        <v>10720.874771455756</v>
      </c>
      <c r="H39" s="170">
        <f t="shared" si="19"/>
        <v>46359.453939585255</v>
      </c>
      <c r="I39" s="170">
        <f t="shared" si="19"/>
        <v>40937.03310771476</v>
      </c>
      <c r="J39" s="170">
        <f>J22*(I26+I28)</f>
        <v>35514.61227584426</v>
      </c>
      <c r="K39" s="170">
        <f>K22*(J26+J28)</f>
        <v>30092.191443973763</v>
      </c>
      <c r="L39" s="170">
        <f>L22*(K26+K28)</f>
        <v>24669.770612103264</v>
      </c>
    </row>
    <row r="40" spans="2:12" ht="18.75" customHeight="1">
      <c r="B40" s="21" t="s">
        <v>51</v>
      </c>
      <c r="C40" s="174">
        <f aca="true" t="shared" si="20" ref="C40:I40">SUM(C36:C39)</f>
        <v>3614947.221247</v>
      </c>
      <c r="D40" s="174">
        <f t="shared" si="20"/>
        <v>3619579.3585140673</v>
      </c>
      <c r="E40" s="174">
        <f t="shared" si="20"/>
        <v>3614843.937682197</v>
      </c>
      <c r="F40" s="174">
        <f t="shared" si="20"/>
        <v>3609612.016850326</v>
      </c>
      <c r="G40" s="174">
        <f t="shared" si="20"/>
        <v>3625668.096018456</v>
      </c>
      <c r="H40" s="174">
        <f t="shared" si="20"/>
        <v>3661306.6751865856</v>
      </c>
      <c r="I40" s="174">
        <f t="shared" si="20"/>
        <v>3655884.254354715</v>
      </c>
      <c r="J40" s="174">
        <f>SUM(J36:J39)</f>
        <v>3650461.8335228446</v>
      </c>
      <c r="K40" s="174">
        <f>SUM(K36:K39)</f>
        <v>3645039.412690974</v>
      </c>
      <c r="L40" s="174">
        <f>SUM(L36:L39)</f>
        <v>3639616.9918591036</v>
      </c>
    </row>
    <row r="41" spans="3:12" ht="18.75" customHeight="1">
      <c r="C41" s="34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2:12" ht="18.75" customHeight="1">
      <c r="B42" s="1" t="s">
        <v>59</v>
      </c>
      <c r="C42" s="170">
        <f aca="true" t="shared" si="21" ref="C42:I42">C34+C40</f>
        <v>3804188.0689920313</v>
      </c>
      <c r="D42" s="170">
        <f t="shared" si="21"/>
        <v>3615359.8226422668</v>
      </c>
      <c r="E42" s="170">
        <f t="shared" si="21"/>
        <v>3396880.0595178544</v>
      </c>
      <c r="F42" s="170">
        <f t="shared" si="21"/>
        <v>4047601.5049302243</v>
      </c>
      <c r="G42" s="170">
        <f t="shared" si="21"/>
        <v>5519632.341615684</v>
      </c>
      <c r="H42" s="170">
        <f t="shared" si="21"/>
        <v>5333743.911567359</v>
      </c>
      <c r="I42" s="170">
        <f t="shared" si="21"/>
        <v>5106794.481519034</v>
      </c>
      <c r="J42" s="170">
        <f>J34+J40</f>
        <v>4879845.051470709</v>
      </c>
      <c r="K42" s="170">
        <f>K34+K40</f>
        <v>4652895.621422384</v>
      </c>
      <c r="L42" s="170">
        <f>L34+L40</f>
        <v>4425946.191374059</v>
      </c>
    </row>
    <row r="43" spans="2:12" ht="18.75" customHeight="1">
      <c r="B43" s="32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8.75" customHeight="1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8.75" customHeight="1">
      <c r="A45" s="28"/>
      <c r="B45" s="28"/>
      <c r="C45" s="212" t="s">
        <v>257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8.75" customHeight="1">
      <c r="A46" s="28"/>
      <c r="B46" s="28"/>
      <c r="C46" s="29">
        <f>Input!B$2</f>
        <v>2016</v>
      </c>
      <c r="D46" s="29">
        <f aca="true" t="shared" si="22" ref="D46:L47">C46+1</f>
        <v>2017</v>
      </c>
      <c r="E46" s="29">
        <f t="shared" si="22"/>
        <v>2018</v>
      </c>
      <c r="F46" s="29">
        <f t="shared" si="22"/>
        <v>2019</v>
      </c>
      <c r="G46" s="29">
        <f t="shared" si="22"/>
        <v>2020</v>
      </c>
      <c r="H46" s="29">
        <f t="shared" si="22"/>
        <v>2021</v>
      </c>
      <c r="I46" s="29">
        <f t="shared" si="22"/>
        <v>2022</v>
      </c>
      <c r="J46" s="29">
        <f t="shared" si="22"/>
        <v>2023</v>
      </c>
      <c r="K46" s="29">
        <f t="shared" si="22"/>
        <v>2024</v>
      </c>
      <c r="L46" s="29">
        <f t="shared" si="22"/>
        <v>2025</v>
      </c>
    </row>
    <row r="47" spans="1:12" ht="18.75" customHeight="1">
      <c r="A47" s="258">
        <v>2017</v>
      </c>
      <c r="B47" s="28" t="s">
        <v>43</v>
      </c>
      <c r="C47" s="209">
        <v>1</v>
      </c>
      <c r="D47" s="209">
        <f>C47+1</f>
        <v>2</v>
      </c>
      <c r="E47" s="209">
        <f t="shared" si="22"/>
        <v>3</v>
      </c>
      <c r="F47" s="209">
        <f t="shared" si="22"/>
        <v>4</v>
      </c>
      <c r="G47" s="209">
        <f t="shared" si="22"/>
        <v>5</v>
      </c>
      <c r="H47" s="209">
        <f t="shared" si="22"/>
        <v>6</v>
      </c>
      <c r="I47" s="209">
        <f t="shared" si="22"/>
        <v>7</v>
      </c>
      <c r="J47" s="209">
        <f t="shared" si="22"/>
        <v>8</v>
      </c>
      <c r="K47" s="209">
        <f t="shared" si="22"/>
        <v>9</v>
      </c>
      <c r="L47" s="209">
        <f t="shared" si="22"/>
        <v>10</v>
      </c>
    </row>
    <row r="48" spans="2:12" ht="18.75" customHeight="1">
      <c r="B48" s="211" t="s">
        <v>329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75" customHeight="1">
      <c r="A49" s="21" t="s">
        <v>103</v>
      </c>
      <c r="B49" s="10" t="s">
        <v>404</v>
      </c>
      <c r="C49" s="172">
        <f>VLOOKUP(C$4,'Cash Flows-LGE'!$B$44:$H$54,$A50)</f>
        <v>601020.8408948013</v>
      </c>
      <c r="D49" s="172">
        <f>VLOOKUP(D$4,'Cash Flows-LGE'!$B$44:$H$54,$A50)</f>
        <v>4734000</v>
      </c>
      <c r="E49" s="172">
        <f>VLOOKUP(E$4,'Cash Flows-LGE'!$B$44:$H$54,$A50)</f>
        <v>0</v>
      </c>
      <c r="F49" s="172">
        <f>VLOOKUP(F$4,'Cash Flows-LGE'!$B$44:$H$54,$A50)</f>
        <v>0</v>
      </c>
      <c r="G49" s="172">
        <f>VLOOKUP(G$4,'Cash Flows-LGE'!$B$44:$H$54,$A50)</f>
        <v>0</v>
      </c>
      <c r="H49" s="172">
        <f>VLOOKUP(H$4,'Cash Flows-LGE'!$B$44:$H$54,$A50)</f>
        <v>0</v>
      </c>
      <c r="I49" s="172">
        <f>VLOOKUP(I$4,'Cash Flows-LGE'!$B$44:$H$54,$A50)</f>
        <v>0</v>
      </c>
      <c r="J49" s="172">
        <f>VLOOKUP(J$4,'Cash Flows-LGE'!$B$44:$H$54,$A50)</f>
        <v>0</v>
      </c>
      <c r="K49" s="172">
        <f>VLOOKUP(K$4,'Cash Flows-LGE'!$B$44:$H$54,$A50)</f>
        <v>0</v>
      </c>
      <c r="L49" s="172">
        <f>VLOOKUP(L$4,'Cash Flows-LGE'!$B$44:$H$54,$A50)</f>
        <v>0</v>
      </c>
    </row>
    <row r="50" spans="1:13" ht="18.75" customHeight="1">
      <c r="A50" s="3">
        <v>3</v>
      </c>
      <c r="B50" s="40" t="s">
        <v>57</v>
      </c>
      <c r="C50" s="172">
        <f>SUM($C49:C49)</f>
        <v>601020.8408948013</v>
      </c>
      <c r="D50" s="172">
        <f>SUM($C49:D49)</f>
        <v>5335020.840894802</v>
      </c>
      <c r="E50" s="172">
        <f>SUM($C49:E49)</f>
        <v>5335020.840894802</v>
      </c>
      <c r="F50" s="172">
        <f>SUM($C49:F49)</f>
        <v>5335020.840894802</v>
      </c>
      <c r="G50" s="172">
        <f>SUM($C49:G49)</f>
        <v>5335020.840894802</v>
      </c>
      <c r="H50" s="172">
        <f>SUM($C49:H49)</f>
        <v>5335020.840894802</v>
      </c>
      <c r="I50" s="172">
        <f>SUM($C49:I49)</f>
        <v>5335020.840894802</v>
      </c>
      <c r="J50" s="172">
        <f>SUM($C49:J49)</f>
        <v>5335020.840894802</v>
      </c>
      <c r="K50" s="172">
        <f>SUM($C49:K49)</f>
        <v>5335020.840894802</v>
      </c>
      <c r="L50" s="172">
        <f>SUM($C49:L49)</f>
        <v>5335020.840894802</v>
      </c>
      <c r="M50" s="18"/>
    </row>
    <row r="51" spans="1:12" ht="18.75" customHeight="1">
      <c r="A51" s="3">
        <v>2</v>
      </c>
      <c r="B51" s="5" t="s">
        <v>0</v>
      </c>
      <c r="C51" s="6">
        <f>IF(C47="",0,VLOOKUP($B48,Depreciation!$D$2:$E$31,$A51,FALSE))</f>
        <v>0</v>
      </c>
      <c r="D51" s="6">
        <f>IF(D47="",0,VLOOKUP($B48,Depreciation!$D$2:$E$31,$A51,FALSE))</f>
        <v>0</v>
      </c>
      <c r="E51" s="6">
        <f>IF(E47="",0,VLOOKUP($B48,Depreciation!$D$2:$E$31,$A51,FALSE))</f>
        <v>0</v>
      </c>
      <c r="F51" s="6">
        <f>IF(F47="",0,VLOOKUP($B48,Depreciation!$D$2:$E$31,$A51,FALSE))</f>
        <v>0</v>
      </c>
      <c r="G51" s="6">
        <f>IF(G47="",0,VLOOKUP($B48,Depreciation!$D$2:$E$31,$A51,FALSE))</f>
        <v>0</v>
      </c>
      <c r="H51" s="6">
        <f>IF(H47="",0,VLOOKUP($B48,Depreciation!$D$2:$E$31,$A51,FALSE))</f>
        <v>0</v>
      </c>
      <c r="I51" s="6">
        <f>IF(I47="",0,VLOOKUP($B48,Depreciation!$D$2:$E$31,$A51,FALSE))</f>
        <v>0</v>
      </c>
      <c r="J51" s="6">
        <f>IF(J47="",0,VLOOKUP($B48,Depreciation!$D$2:$E$31,$A51,FALSE))</f>
        <v>0</v>
      </c>
      <c r="K51" s="6">
        <f>IF(K47="",0,VLOOKUP($B48,Depreciation!$D$2:$E$31,$A51,FALSE))</f>
        <v>0</v>
      </c>
      <c r="L51" s="6">
        <f>IF(L47="",0,VLOOKUP($B48,Depreciation!$D$2:$E$31,$A51,FALSE))</f>
        <v>0</v>
      </c>
    </row>
    <row r="52" spans="1:12" ht="18.75" customHeight="1">
      <c r="A52" s="3">
        <v>3</v>
      </c>
      <c r="B52" s="5" t="s">
        <v>1</v>
      </c>
      <c r="C52" s="6">
        <f>IF(C47="",0,VLOOKUP(C47,Depreciation!$A$2:$C$58,$A52,FALSE))</f>
        <v>1</v>
      </c>
      <c r="D52" s="6">
        <f>IF(D47="",0,VLOOKUP(D47,Depreciation!$A$2:$C$58,$A52,FALSE))</f>
        <v>1</v>
      </c>
      <c r="E52" s="6">
        <f>IF(E47="",0,VLOOKUP(E47,Depreciation!$A$2:$C$58,$A52,FALSE))</f>
        <v>1</v>
      </c>
      <c r="F52" s="6">
        <f>IF(F47="",0,VLOOKUP(F47,Depreciation!$A$2:$C$58,$A52,FALSE))</f>
        <v>1</v>
      </c>
      <c r="G52" s="6">
        <f>IF(G47="",0,VLOOKUP(G47,Depreciation!$A$2:$C$58,$A52,FALSE))</f>
        <v>1</v>
      </c>
      <c r="H52" s="6">
        <f>IF(H47="",0,VLOOKUP(H47,Depreciation!$A$2:$C$58,$A52,FALSE))</f>
        <v>1</v>
      </c>
      <c r="I52" s="6">
        <f>IF(I47="",0,VLOOKUP(I47,Depreciation!$A$2:$C$58,$A52,FALSE))</f>
        <v>1</v>
      </c>
      <c r="J52" s="6">
        <f>IF(J47="",0,VLOOKUP(J47,Depreciation!$A$2:$C$58,$A52,FALSE))</f>
        <v>1</v>
      </c>
      <c r="K52" s="6">
        <f>IF(K47="",0,VLOOKUP(K47,Depreciation!$A$2:$C$58,$A52,FALSE))</f>
        <v>1</v>
      </c>
      <c r="L52" s="6">
        <f>IF(L47="",0,VLOOKUP(L47,Depreciation!$A$2:$C$58,$A52,FALSE))</f>
        <v>1</v>
      </c>
    </row>
    <row r="53" spans="1:12" ht="18.75" customHeight="1">
      <c r="A53" s="30"/>
      <c r="B53" s="31" t="s">
        <v>2</v>
      </c>
      <c r="C53" s="7">
        <f>Input!B$3</f>
        <v>0.38665999999999995</v>
      </c>
      <c r="D53" s="7">
        <f>Input!C$3</f>
        <v>0.38665999999999995</v>
      </c>
      <c r="E53" s="7">
        <f>Input!D$3</f>
        <v>0.38665999999999995</v>
      </c>
      <c r="F53" s="7">
        <f>Input!E$3</f>
        <v>0.38665999999999995</v>
      </c>
      <c r="G53" s="7">
        <f>Input!F$3</f>
        <v>0.38665999999999995</v>
      </c>
      <c r="H53" s="7">
        <f>Input!G$3</f>
        <v>0.38665999999999995</v>
      </c>
      <c r="I53" s="7">
        <f>Input!H$3</f>
        <v>0.38665999999999995</v>
      </c>
      <c r="J53" s="7">
        <f>Input!I$3</f>
        <v>0.38665999999999995</v>
      </c>
      <c r="K53" s="7">
        <f>Input!J$3</f>
        <v>0.38665999999999995</v>
      </c>
      <c r="L53" s="7">
        <f>Input!K$3</f>
        <v>0.38665999999999995</v>
      </c>
    </row>
    <row r="54" spans="2:12" ht="18.75" customHeight="1">
      <c r="B54" s="2" t="s">
        <v>3</v>
      </c>
      <c r="C54" s="170">
        <f>SUM($C65:C65)</f>
        <v>232390.71834038384</v>
      </c>
      <c r="D54" s="170">
        <f>SUM($C65:D65)</f>
        <v>2062839.1583403836</v>
      </c>
      <c r="E54" s="170">
        <f>SUM($C65:E65)</f>
        <v>2062839.1583403836</v>
      </c>
      <c r="F54" s="170">
        <f>SUM($C65:F65)</f>
        <v>2062839.1583403836</v>
      </c>
      <c r="G54" s="170">
        <f>SUM($C65:G65)</f>
        <v>2062839.1583403836</v>
      </c>
      <c r="H54" s="170">
        <f>SUM($C65:H65)</f>
        <v>2062839.1583403836</v>
      </c>
      <c r="I54" s="170">
        <f>SUM($C65:I65)</f>
        <v>2062839.1583403836</v>
      </c>
      <c r="J54" s="170">
        <f>SUM($C65:J65)</f>
        <v>2062839.1583403836</v>
      </c>
      <c r="K54" s="170">
        <f>SUM($C65:K65)</f>
        <v>2062839.1583403836</v>
      </c>
      <c r="L54" s="170">
        <f>SUM($C65:L65)</f>
        <v>2062839.1583403836</v>
      </c>
    </row>
    <row r="55" spans="2:12" ht="18.75" customHeight="1">
      <c r="B55" s="2" t="s">
        <v>4</v>
      </c>
      <c r="C55" s="170">
        <f>SUM($C57:C57)</f>
        <v>0</v>
      </c>
      <c r="D55" s="170">
        <f>SUM($C57:D57)</f>
        <v>0</v>
      </c>
      <c r="E55" s="170">
        <f>SUM($C57:E57)</f>
        <v>0</v>
      </c>
      <c r="F55" s="170">
        <f>SUM($C57:F57)</f>
        <v>0</v>
      </c>
      <c r="G55" s="170">
        <f>SUM($C57:G57)</f>
        <v>0</v>
      </c>
      <c r="H55" s="170">
        <f>SUM($C57:H57)</f>
        <v>0</v>
      </c>
      <c r="I55" s="170">
        <f>SUM($C57:I57)</f>
        <v>0</v>
      </c>
      <c r="J55" s="170">
        <f>SUM($C57:J57)</f>
        <v>0</v>
      </c>
      <c r="K55" s="170">
        <f>SUM($C57:K57)</f>
        <v>0</v>
      </c>
      <c r="L55" s="170">
        <f>SUM($C57:L57)</f>
        <v>0</v>
      </c>
    </row>
    <row r="56" spans="2:12" ht="18.75" customHeight="1">
      <c r="B56" s="11" t="s">
        <v>5</v>
      </c>
      <c r="C56" s="170">
        <f>C49</f>
        <v>601020.8408948013</v>
      </c>
      <c r="D56" s="170">
        <f>C56+D49</f>
        <v>5335020.840894802</v>
      </c>
      <c r="E56" s="170">
        <f aca="true" t="shared" si="23" ref="E56:L56">D56+E49</f>
        <v>5335020.840894802</v>
      </c>
      <c r="F56" s="170">
        <f t="shared" si="23"/>
        <v>5335020.840894802</v>
      </c>
      <c r="G56" s="170">
        <f t="shared" si="23"/>
        <v>5335020.840894802</v>
      </c>
      <c r="H56" s="170">
        <f t="shared" si="23"/>
        <v>5335020.840894802</v>
      </c>
      <c r="I56" s="170">
        <f t="shared" si="23"/>
        <v>5335020.840894802</v>
      </c>
      <c r="J56" s="170">
        <f t="shared" si="23"/>
        <v>5335020.840894802</v>
      </c>
      <c r="K56" s="170">
        <f t="shared" si="23"/>
        <v>5335020.840894802</v>
      </c>
      <c r="L56" s="170">
        <f t="shared" si="23"/>
        <v>5335020.840894802</v>
      </c>
    </row>
    <row r="57" spans="1:12" ht="18.75" customHeight="1">
      <c r="A57" s="214" t="s">
        <v>372</v>
      </c>
      <c r="B57" s="11" t="s">
        <v>6</v>
      </c>
      <c r="C57" s="170">
        <f aca="true" t="shared" si="24" ref="C57:L57">IF(C47=1,(12.5-VLOOKUP(C45,$Q$5:$R$16,2,))*C51/12*C56,C56*C51)</f>
        <v>0</v>
      </c>
      <c r="D57" s="170">
        <f t="shared" si="24"/>
        <v>0</v>
      </c>
      <c r="E57" s="170">
        <f t="shared" si="24"/>
        <v>0</v>
      </c>
      <c r="F57" s="170">
        <f t="shared" si="24"/>
        <v>0</v>
      </c>
      <c r="G57" s="170">
        <f t="shared" si="24"/>
        <v>0</v>
      </c>
      <c r="H57" s="170">
        <f t="shared" si="24"/>
        <v>0</v>
      </c>
      <c r="I57" s="170">
        <f t="shared" si="24"/>
        <v>0</v>
      </c>
      <c r="J57" s="170">
        <f t="shared" si="24"/>
        <v>0</v>
      </c>
      <c r="K57" s="170">
        <f t="shared" si="24"/>
        <v>0</v>
      </c>
      <c r="L57" s="170">
        <f t="shared" si="24"/>
        <v>0</v>
      </c>
    </row>
    <row r="58" spans="1:12" ht="18.75" customHeight="1">
      <c r="A58" s="3"/>
      <c r="B58" s="5" t="s">
        <v>7</v>
      </c>
      <c r="C58" s="170">
        <f>C49</f>
        <v>601020.8408948013</v>
      </c>
      <c r="D58" s="170">
        <f aca="true" t="shared" si="25" ref="D58:L58">C58+D49</f>
        <v>5335020.840894802</v>
      </c>
      <c r="E58" s="170">
        <f t="shared" si="25"/>
        <v>5335020.840894802</v>
      </c>
      <c r="F58" s="170">
        <f t="shared" si="25"/>
        <v>5335020.840894802</v>
      </c>
      <c r="G58" s="170">
        <f t="shared" si="25"/>
        <v>5335020.840894802</v>
      </c>
      <c r="H58" s="170">
        <f t="shared" si="25"/>
        <v>5335020.840894802</v>
      </c>
      <c r="I58" s="170">
        <f t="shared" si="25"/>
        <v>5335020.840894802</v>
      </c>
      <c r="J58" s="170">
        <f t="shared" si="25"/>
        <v>5335020.840894802</v>
      </c>
      <c r="K58" s="170">
        <f t="shared" si="25"/>
        <v>5335020.840894802</v>
      </c>
      <c r="L58" s="170">
        <f t="shared" si="25"/>
        <v>5335020.840894802</v>
      </c>
    </row>
    <row r="59" spans="2:12" ht="18.75" customHeight="1">
      <c r="B59" s="213" t="s">
        <v>361</v>
      </c>
      <c r="C59" s="170">
        <f>IF(C47=1,IF($A57="Bonus",SUM($C49:C49)*VLOOKUP(C46,Depreciation!$D$41:$E$50,2),0),0)</f>
        <v>0</v>
      </c>
      <c r="D59" s="170">
        <f>IF(D47=1,IF($A57="Bonus",SUM($C49:D49)*VLOOKUP(D46,Depreciation!$D$41:$E$50,2),0),0)</f>
        <v>0</v>
      </c>
      <c r="E59" s="170">
        <f>IF(E47=1,IF($A57="Bonus",SUM($C49:E49)*VLOOKUP(E46,Depreciation!$D$41:$E$50,2),0),0)</f>
        <v>0</v>
      </c>
      <c r="F59" s="170">
        <f>IF(F47=1,IF($A57="Bonus",SUM($C49:F49)*VLOOKUP(F46,Depreciation!$D$41:$E$50,2),0),0)</f>
        <v>0</v>
      </c>
      <c r="G59" s="170">
        <f>IF(G47=1,IF($A57="Bonus",SUM($C49:G49)*VLOOKUP(G46,Depreciation!$D$41:$E$50,2),0),0)</f>
        <v>0</v>
      </c>
      <c r="H59" s="170">
        <f>IF(H47=1,IF($A57="Bonus",SUM($C49:H49)*VLOOKUP(H46,Depreciation!$D$41:$E$50,2),0),0)</f>
        <v>0</v>
      </c>
      <c r="I59" s="170">
        <f>IF(I47=1,IF($A57="Bonus",SUM($C49:I49)*VLOOKUP(I46,Depreciation!$D$41:$E$50,2),0),0)</f>
        <v>0</v>
      </c>
      <c r="J59" s="170">
        <f>IF(J47=1,IF($A57="Bonus",SUM($C49:J49)*VLOOKUP(J46,Depreciation!$D$41:$E$50,2),0),0)</f>
        <v>0</v>
      </c>
      <c r="K59" s="170">
        <f>IF(K47=1,IF($A57="Bonus",SUM($C49:K49)*VLOOKUP(K46,Depreciation!$D$41:$E$50,2),0),0)</f>
        <v>0</v>
      </c>
      <c r="L59" s="170">
        <f>IF(L47=1,IF($A57="Bonus",SUM($C49:L49)*VLOOKUP(L46,Depreciation!$D$41:$E$50,2),0),0)</f>
        <v>0</v>
      </c>
    </row>
    <row r="60" spans="2:12" ht="18.75" customHeight="1">
      <c r="B60" s="5" t="s">
        <v>362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2:12" ht="18.75" customHeight="1">
      <c r="B61" s="5" t="s">
        <v>17</v>
      </c>
      <c r="C61" s="34">
        <f>Input!I$19</f>
        <v>0.09991333016039017</v>
      </c>
      <c r="D61" s="34">
        <f>Input!J$19</f>
        <v>0.09991333016039017</v>
      </c>
      <c r="E61" s="34">
        <f>Input!K$19</f>
        <v>0.09991333016039017</v>
      </c>
      <c r="F61" s="34">
        <f>Input!L$19</f>
        <v>0.09991333016039017</v>
      </c>
      <c r="G61" s="34">
        <f>Input!M$19</f>
        <v>0.09991333016039017</v>
      </c>
      <c r="H61" s="34">
        <f>Input!N$19</f>
        <v>0.09991333016039017</v>
      </c>
      <c r="I61" s="34">
        <f>Input!O$19</f>
        <v>0.09991333016039017</v>
      </c>
      <c r="J61" s="34">
        <f>Input!P$19</f>
        <v>0.09991333016039017</v>
      </c>
      <c r="K61" s="34">
        <f>Input!Q$19</f>
        <v>0.09991333016039017</v>
      </c>
      <c r="L61" s="34">
        <f>Input!R$19</f>
        <v>0.09991333016039017</v>
      </c>
    </row>
    <row r="62" spans="2:12" ht="18.75" customHeight="1">
      <c r="B62" s="5" t="s">
        <v>8</v>
      </c>
      <c r="C62" s="181">
        <f aca="true" t="shared" si="26" ref="C62:L62">C57</f>
        <v>0</v>
      </c>
      <c r="D62" s="181">
        <f t="shared" si="26"/>
        <v>0</v>
      </c>
      <c r="E62" s="181">
        <f t="shared" si="26"/>
        <v>0</v>
      </c>
      <c r="F62" s="181">
        <f t="shared" si="26"/>
        <v>0</v>
      </c>
      <c r="G62" s="181">
        <f t="shared" si="26"/>
        <v>0</v>
      </c>
      <c r="H62" s="181">
        <f t="shared" si="26"/>
        <v>0</v>
      </c>
      <c r="I62" s="181">
        <f t="shared" si="26"/>
        <v>0</v>
      </c>
      <c r="J62" s="181">
        <f t="shared" si="26"/>
        <v>0</v>
      </c>
      <c r="K62" s="181">
        <f t="shared" si="26"/>
        <v>0</v>
      </c>
      <c r="L62" s="181">
        <f t="shared" si="26"/>
        <v>0</v>
      </c>
    </row>
    <row r="63" spans="2:12" ht="18.75" customHeight="1">
      <c r="B63" s="11" t="s">
        <v>364</v>
      </c>
      <c r="C63" s="181">
        <f>C49*C52</f>
        <v>601020.8408948013</v>
      </c>
      <c r="D63" s="181">
        <f aca="true" t="shared" si="27" ref="D63:L63">D49*D52</f>
        <v>4734000</v>
      </c>
      <c r="E63" s="181">
        <f t="shared" si="27"/>
        <v>0</v>
      </c>
      <c r="F63" s="181">
        <f t="shared" si="27"/>
        <v>0</v>
      </c>
      <c r="G63" s="181">
        <f t="shared" si="27"/>
        <v>0</v>
      </c>
      <c r="H63" s="181">
        <f t="shared" si="27"/>
        <v>0</v>
      </c>
      <c r="I63" s="181">
        <f t="shared" si="27"/>
        <v>0</v>
      </c>
      <c r="J63" s="181">
        <f t="shared" si="27"/>
        <v>0</v>
      </c>
      <c r="K63" s="181">
        <f t="shared" si="27"/>
        <v>0</v>
      </c>
      <c r="L63" s="181">
        <f t="shared" si="27"/>
        <v>0</v>
      </c>
    </row>
    <row r="64" spans="2:12" ht="18.75" customHeight="1">
      <c r="B64" s="3" t="s">
        <v>9</v>
      </c>
      <c r="C64" s="8">
        <f>Input!$B$6</f>
        <v>0.0015</v>
      </c>
      <c r="D64" s="8">
        <f aca="true" t="shared" si="28" ref="D64:L64">C64</f>
        <v>0.0015</v>
      </c>
      <c r="E64" s="8">
        <f t="shared" si="28"/>
        <v>0.0015</v>
      </c>
      <c r="F64" s="8">
        <f t="shared" si="28"/>
        <v>0.0015</v>
      </c>
      <c r="G64" s="8">
        <f t="shared" si="28"/>
        <v>0.0015</v>
      </c>
      <c r="H64" s="8">
        <f t="shared" si="28"/>
        <v>0.0015</v>
      </c>
      <c r="I64" s="8">
        <f t="shared" si="28"/>
        <v>0.0015</v>
      </c>
      <c r="J64" s="8">
        <f t="shared" si="28"/>
        <v>0.0015</v>
      </c>
      <c r="K64" s="8">
        <f t="shared" si="28"/>
        <v>0.0015</v>
      </c>
      <c r="L64" s="8">
        <f t="shared" si="28"/>
        <v>0.0015</v>
      </c>
    </row>
    <row r="65" spans="2:12" ht="18.75" customHeight="1">
      <c r="B65" s="102" t="s">
        <v>363</v>
      </c>
      <c r="C65" s="171">
        <f aca="true" t="shared" si="29" ref="C65:L65">(C63-C62)*C53</f>
        <v>232390.71834038384</v>
      </c>
      <c r="D65" s="171">
        <f t="shared" si="29"/>
        <v>1830448.4399999997</v>
      </c>
      <c r="E65" s="171">
        <f t="shared" si="29"/>
        <v>0</v>
      </c>
      <c r="F65" s="171">
        <f t="shared" si="29"/>
        <v>0</v>
      </c>
      <c r="G65" s="171">
        <f t="shared" si="29"/>
        <v>0</v>
      </c>
      <c r="H65" s="171">
        <f t="shared" si="29"/>
        <v>0</v>
      </c>
      <c r="I65" s="171">
        <f t="shared" si="29"/>
        <v>0</v>
      </c>
      <c r="J65" s="171">
        <f t="shared" si="29"/>
        <v>0</v>
      </c>
      <c r="K65" s="171">
        <f t="shared" si="29"/>
        <v>0</v>
      </c>
      <c r="L65" s="171">
        <f t="shared" si="29"/>
        <v>0</v>
      </c>
    </row>
    <row r="66" spans="2:12" ht="18.75" customHeight="1">
      <c r="B66" s="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8.75" customHeight="1">
      <c r="B67" s="10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8.75" customHeight="1">
      <c r="B68" s="5" t="s">
        <v>16</v>
      </c>
      <c r="C68" s="169">
        <f>C50</f>
        <v>601020.8408948013</v>
      </c>
      <c r="D68" s="169">
        <f aca="true" t="shared" si="30" ref="D68:I68">D50</f>
        <v>5335020.840894802</v>
      </c>
      <c r="E68" s="169">
        <f t="shared" si="30"/>
        <v>5335020.840894802</v>
      </c>
      <c r="F68" s="169">
        <f t="shared" si="30"/>
        <v>5335020.840894802</v>
      </c>
      <c r="G68" s="169">
        <f t="shared" si="30"/>
        <v>5335020.840894802</v>
      </c>
      <c r="H68" s="169">
        <f t="shared" si="30"/>
        <v>5335020.840894802</v>
      </c>
      <c r="I68" s="169">
        <f t="shared" si="30"/>
        <v>5335020.840894802</v>
      </c>
      <c r="J68" s="169">
        <f>J50</f>
        <v>5335020.840894802</v>
      </c>
      <c r="K68" s="169">
        <f>K50</f>
        <v>5335020.840894802</v>
      </c>
      <c r="L68" s="169">
        <f>L50</f>
        <v>5335020.840894802</v>
      </c>
    </row>
    <row r="69" spans="1:12" ht="18.75" customHeight="1">
      <c r="A69" s="3"/>
      <c r="B69" s="4" t="s">
        <v>44</v>
      </c>
      <c r="C69" s="170">
        <v>0</v>
      </c>
      <c r="D69" s="170">
        <f aca="true" t="shared" si="31" ref="D69:L69">C69</f>
        <v>0</v>
      </c>
      <c r="E69" s="170">
        <f t="shared" si="31"/>
        <v>0</v>
      </c>
      <c r="F69" s="170">
        <f t="shared" si="31"/>
        <v>0</v>
      </c>
      <c r="G69" s="170">
        <f t="shared" si="31"/>
        <v>0</v>
      </c>
      <c r="H69" s="170">
        <f t="shared" si="31"/>
        <v>0</v>
      </c>
      <c r="I69" s="170">
        <f t="shared" si="31"/>
        <v>0</v>
      </c>
      <c r="J69" s="170">
        <f t="shared" si="31"/>
        <v>0</v>
      </c>
      <c r="K69" s="170">
        <f t="shared" si="31"/>
        <v>0</v>
      </c>
      <c r="L69" s="170">
        <f t="shared" si="31"/>
        <v>0</v>
      </c>
    </row>
    <row r="70" spans="2:12" ht="18.75" customHeight="1">
      <c r="B70" s="2" t="s">
        <v>10</v>
      </c>
      <c r="C70" s="170">
        <f>-C55</f>
        <v>0</v>
      </c>
      <c r="D70" s="170">
        <f aca="true" t="shared" si="32" ref="D70:I70">-D55</f>
        <v>0</v>
      </c>
      <c r="E70" s="170">
        <f t="shared" si="32"/>
        <v>0</v>
      </c>
      <c r="F70" s="170">
        <f t="shared" si="32"/>
        <v>0</v>
      </c>
      <c r="G70" s="170">
        <f t="shared" si="32"/>
        <v>0</v>
      </c>
      <c r="H70" s="170">
        <f t="shared" si="32"/>
        <v>0</v>
      </c>
      <c r="I70" s="170">
        <f t="shared" si="32"/>
        <v>0</v>
      </c>
      <c r="J70" s="170">
        <f>-J55</f>
        <v>0</v>
      </c>
      <c r="K70" s="170">
        <f>-K55</f>
        <v>0</v>
      </c>
      <c r="L70" s="170">
        <f>-L55</f>
        <v>0</v>
      </c>
    </row>
    <row r="71" spans="2:12" ht="18.75" customHeight="1">
      <c r="B71" s="2" t="s">
        <v>45</v>
      </c>
      <c r="C71" s="170">
        <v>0</v>
      </c>
      <c r="D71" s="170">
        <f aca="true" t="shared" si="33" ref="D71:L71">C71</f>
        <v>0</v>
      </c>
      <c r="E71" s="170">
        <f t="shared" si="33"/>
        <v>0</v>
      </c>
      <c r="F71" s="170">
        <f t="shared" si="33"/>
        <v>0</v>
      </c>
      <c r="G71" s="170">
        <f t="shared" si="33"/>
        <v>0</v>
      </c>
      <c r="H71" s="170">
        <f t="shared" si="33"/>
        <v>0</v>
      </c>
      <c r="I71" s="170">
        <f t="shared" si="33"/>
        <v>0</v>
      </c>
      <c r="J71" s="170">
        <f t="shared" si="33"/>
        <v>0</v>
      </c>
      <c r="K71" s="170">
        <f t="shared" si="33"/>
        <v>0</v>
      </c>
      <c r="L71" s="170">
        <f t="shared" si="33"/>
        <v>0</v>
      </c>
    </row>
    <row r="72" spans="2:12" ht="18.75" customHeight="1">
      <c r="B72" s="2" t="s">
        <v>46</v>
      </c>
      <c r="C72" s="170">
        <f>-C54</f>
        <v>-232390.71834038384</v>
      </c>
      <c r="D72" s="170">
        <f aca="true" t="shared" si="34" ref="D72:I72">-D54</f>
        <v>-2062839.1583403836</v>
      </c>
      <c r="E72" s="170">
        <f t="shared" si="34"/>
        <v>-2062839.1583403836</v>
      </c>
      <c r="F72" s="170">
        <f t="shared" si="34"/>
        <v>-2062839.1583403836</v>
      </c>
      <c r="G72" s="170">
        <f t="shared" si="34"/>
        <v>-2062839.1583403836</v>
      </c>
      <c r="H72" s="170">
        <f t="shared" si="34"/>
        <v>-2062839.1583403836</v>
      </c>
      <c r="I72" s="170">
        <f t="shared" si="34"/>
        <v>-2062839.1583403836</v>
      </c>
      <c r="J72" s="170">
        <f>-J54</f>
        <v>-2062839.1583403836</v>
      </c>
      <c r="K72" s="170">
        <f>-K54</f>
        <v>-2062839.1583403836</v>
      </c>
      <c r="L72" s="170">
        <f>-L54</f>
        <v>-2062839.1583403836</v>
      </c>
    </row>
    <row r="73" spans="2:12" ht="18.75" customHeight="1">
      <c r="B73" s="2" t="s">
        <v>47</v>
      </c>
      <c r="C73" s="170">
        <v>0</v>
      </c>
      <c r="D73" s="170">
        <f aca="true" t="shared" si="35" ref="D73:L73">C73</f>
        <v>0</v>
      </c>
      <c r="E73" s="170">
        <f t="shared" si="35"/>
        <v>0</v>
      </c>
      <c r="F73" s="170">
        <f t="shared" si="35"/>
        <v>0</v>
      </c>
      <c r="G73" s="170">
        <f t="shared" si="35"/>
        <v>0</v>
      </c>
      <c r="H73" s="170">
        <f t="shared" si="35"/>
        <v>0</v>
      </c>
      <c r="I73" s="170">
        <f t="shared" si="35"/>
        <v>0</v>
      </c>
      <c r="J73" s="170">
        <f t="shared" si="35"/>
        <v>0</v>
      </c>
      <c r="K73" s="170">
        <f t="shared" si="35"/>
        <v>0</v>
      </c>
      <c r="L73" s="170">
        <f t="shared" si="35"/>
        <v>0</v>
      </c>
    </row>
    <row r="74" spans="2:12" ht="18.75" customHeight="1">
      <c r="B74" s="2" t="s">
        <v>11</v>
      </c>
      <c r="C74" s="170">
        <f>SUM(C68:C73)</f>
        <v>368630.12255441747</v>
      </c>
      <c r="D74" s="170">
        <f aca="true" t="shared" si="36" ref="D74:I74">SUM(D68:D73)</f>
        <v>3272181.682554418</v>
      </c>
      <c r="E74" s="170">
        <f t="shared" si="36"/>
        <v>3272181.682554418</v>
      </c>
      <c r="F74" s="170">
        <f t="shared" si="36"/>
        <v>3272181.682554418</v>
      </c>
      <c r="G74" s="170">
        <f t="shared" si="36"/>
        <v>3272181.682554418</v>
      </c>
      <c r="H74" s="170">
        <f t="shared" si="36"/>
        <v>3272181.682554418</v>
      </c>
      <c r="I74" s="170">
        <f t="shared" si="36"/>
        <v>3272181.682554418</v>
      </c>
      <c r="J74" s="170">
        <f>SUM(J68:J73)</f>
        <v>3272181.682554418</v>
      </c>
      <c r="K74" s="170">
        <f>SUM(K68:K73)</f>
        <v>3272181.682554418</v>
      </c>
      <c r="L74" s="170">
        <f>SUM(L68:L73)</f>
        <v>3272181.682554418</v>
      </c>
    </row>
    <row r="75" spans="2:12" ht="18.75" customHeight="1">
      <c r="B75" s="2" t="s">
        <v>12</v>
      </c>
      <c r="C75" s="7">
        <f aca="true" t="shared" si="37" ref="C75:I75">C61</f>
        <v>0.09991333016039017</v>
      </c>
      <c r="D75" s="7">
        <f t="shared" si="37"/>
        <v>0.09991333016039017</v>
      </c>
      <c r="E75" s="7">
        <f t="shared" si="37"/>
        <v>0.09991333016039017</v>
      </c>
      <c r="F75" s="7">
        <f t="shared" si="37"/>
        <v>0.09991333016039017</v>
      </c>
      <c r="G75" s="7">
        <f t="shared" si="37"/>
        <v>0.09991333016039017</v>
      </c>
      <c r="H75" s="7">
        <f t="shared" si="37"/>
        <v>0.09991333016039017</v>
      </c>
      <c r="I75" s="7">
        <f t="shared" si="37"/>
        <v>0.09991333016039017</v>
      </c>
      <c r="J75" s="7">
        <f>J61</f>
        <v>0.09991333016039017</v>
      </c>
      <c r="K75" s="7">
        <f>K61</f>
        <v>0.09991333016039017</v>
      </c>
      <c r="L75" s="7">
        <f>L61</f>
        <v>0.09991333016039017</v>
      </c>
    </row>
    <row r="76" spans="2:12" ht="18.75" customHeight="1">
      <c r="B76" s="34"/>
      <c r="C76" s="174">
        <f>C74*C75</f>
        <v>36831.0631418446</v>
      </c>
      <c r="D76" s="174">
        <f aca="true" t="shared" si="38" ref="D76:I76">D74*D75</f>
        <v>326934.5687938406</v>
      </c>
      <c r="E76" s="174">
        <f t="shared" si="38"/>
        <v>326934.5687938406</v>
      </c>
      <c r="F76" s="174">
        <f t="shared" si="38"/>
        <v>326934.5687938406</v>
      </c>
      <c r="G76" s="174">
        <f t="shared" si="38"/>
        <v>326934.5687938406</v>
      </c>
      <c r="H76" s="174">
        <f t="shared" si="38"/>
        <v>326934.5687938406</v>
      </c>
      <c r="I76" s="174">
        <f t="shared" si="38"/>
        <v>326934.5687938406</v>
      </c>
      <c r="J76" s="174">
        <f>J74*J75</f>
        <v>326934.5687938406</v>
      </c>
      <c r="K76" s="174">
        <f>K74*K75</f>
        <v>326934.5687938406</v>
      </c>
      <c r="L76" s="174">
        <f>L74*L75</f>
        <v>326934.5687938406</v>
      </c>
    </row>
    <row r="77" spans="1:12" ht="18.75" customHeight="1">
      <c r="A77" s="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8.75" customHeight="1">
      <c r="B78" s="1" t="s">
        <v>52</v>
      </c>
      <c r="C78" s="170">
        <v>0</v>
      </c>
      <c r="D78" s="170">
        <f>C78</f>
        <v>0</v>
      </c>
      <c r="E78" s="170">
        <f aca="true" t="shared" si="39" ref="E78:L78">D78</f>
        <v>0</v>
      </c>
      <c r="F78" s="170">
        <f t="shared" si="39"/>
        <v>0</v>
      </c>
      <c r="G78" s="170">
        <f t="shared" si="39"/>
        <v>0</v>
      </c>
      <c r="H78" s="170">
        <f t="shared" si="39"/>
        <v>0</v>
      </c>
      <c r="I78" s="170">
        <f t="shared" si="39"/>
        <v>0</v>
      </c>
      <c r="J78" s="170">
        <f t="shared" si="39"/>
        <v>0</v>
      </c>
      <c r="K78" s="170">
        <f t="shared" si="39"/>
        <v>0</v>
      </c>
      <c r="L78" s="170">
        <f t="shared" si="39"/>
        <v>0</v>
      </c>
    </row>
    <row r="79" spans="2:12" ht="18.75" customHeight="1">
      <c r="B79" s="2" t="s">
        <v>48</v>
      </c>
      <c r="C79" s="170">
        <f>C62</f>
        <v>0</v>
      </c>
      <c r="D79" s="170">
        <f aca="true" t="shared" si="40" ref="D79:I79">D62</f>
        <v>0</v>
      </c>
      <c r="E79" s="170">
        <f t="shared" si="40"/>
        <v>0</v>
      </c>
      <c r="F79" s="170">
        <f t="shared" si="40"/>
        <v>0</v>
      </c>
      <c r="G79" s="170">
        <f t="shared" si="40"/>
        <v>0</v>
      </c>
      <c r="H79" s="170">
        <f t="shared" si="40"/>
        <v>0</v>
      </c>
      <c r="I79" s="170">
        <f t="shared" si="40"/>
        <v>0</v>
      </c>
      <c r="J79" s="170">
        <f>J62</f>
        <v>0</v>
      </c>
      <c r="K79" s="170">
        <f>K62</f>
        <v>0</v>
      </c>
      <c r="L79" s="170">
        <f>L62</f>
        <v>0</v>
      </c>
    </row>
    <row r="80" spans="2:12" ht="18.75" customHeight="1">
      <c r="B80" s="2" t="s">
        <v>434</v>
      </c>
      <c r="C80" s="170">
        <v>0</v>
      </c>
      <c r="D80" s="170">
        <f aca="true" t="shared" si="41" ref="D80:L80">C80</f>
        <v>0</v>
      </c>
      <c r="E80" s="170">
        <f t="shared" si="41"/>
        <v>0</v>
      </c>
      <c r="F80" s="170">
        <f t="shared" si="41"/>
        <v>0</v>
      </c>
      <c r="G80" s="170">
        <f t="shared" si="41"/>
        <v>0</v>
      </c>
      <c r="H80" s="170">
        <f t="shared" si="41"/>
        <v>0</v>
      </c>
      <c r="I80" s="170">
        <f t="shared" si="41"/>
        <v>0</v>
      </c>
      <c r="J80" s="170">
        <f t="shared" si="41"/>
        <v>0</v>
      </c>
      <c r="K80" s="170">
        <f t="shared" si="41"/>
        <v>0</v>
      </c>
      <c r="L80" s="170">
        <f t="shared" si="41"/>
        <v>0</v>
      </c>
    </row>
    <row r="81" spans="2:12" ht="18.75" customHeight="1">
      <c r="B81" s="2" t="s">
        <v>50</v>
      </c>
      <c r="C81" s="170">
        <v>0</v>
      </c>
      <c r="D81" s="170">
        <f aca="true" t="shared" si="42" ref="D81:L81">D64*(C68+C70)</f>
        <v>901.531261342202</v>
      </c>
      <c r="E81" s="170">
        <f t="shared" si="42"/>
        <v>8002.531261342203</v>
      </c>
      <c r="F81" s="170">
        <f t="shared" si="42"/>
        <v>8002.531261342203</v>
      </c>
      <c r="G81" s="170">
        <f t="shared" si="42"/>
        <v>8002.531261342203</v>
      </c>
      <c r="H81" s="170">
        <f t="shared" si="42"/>
        <v>8002.531261342203</v>
      </c>
      <c r="I81" s="170">
        <f t="shared" si="42"/>
        <v>8002.531261342203</v>
      </c>
      <c r="J81" s="170">
        <f t="shared" si="42"/>
        <v>8002.531261342203</v>
      </c>
      <c r="K81" s="170">
        <f t="shared" si="42"/>
        <v>8002.531261342203</v>
      </c>
      <c r="L81" s="170">
        <f t="shared" si="42"/>
        <v>8002.531261342203</v>
      </c>
    </row>
    <row r="82" spans="2:12" ht="18.75" customHeight="1">
      <c r="B82" s="21" t="s">
        <v>51</v>
      </c>
      <c r="C82" s="174">
        <f aca="true" t="shared" si="43" ref="C82:I82">SUM(C78:C81)</f>
        <v>0</v>
      </c>
      <c r="D82" s="174">
        <f t="shared" si="43"/>
        <v>901.531261342202</v>
      </c>
      <c r="E82" s="174">
        <f t="shared" si="43"/>
        <v>8002.531261342203</v>
      </c>
      <c r="F82" s="174">
        <f t="shared" si="43"/>
        <v>8002.531261342203</v>
      </c>
      <c r="G82" s="174">
        <f t="shared" si="43"/>
        <v>8002.531261342203</v>
      </c>
      <c r="H82" s="174">
        <f t="shared" si="43"/>
        <v>8002.531261342203</v>
      </c>
      <c r="I82" s="174">
        <f t="shared" si="43"/>
        <v>8002.531261342203</v>
      </c>
      <c r="J82" s="174">
        <f>SUM(J78:J81)</f>
        <v>8002.531261342203</v>
      </c>
      <c r="K82" s="174">
        <f>SUM(K78:K81)</f>
        <v>8002.531261342203</v>
      </c>
      <c r="L82" s="174">
        <f>SUM(L78:L81)</f>
        <v>8002.531261342203</v>
      </c>
    </row>
    <row r="83" spans="3:12" ht="18.75" customHeight="1">
      <c r="C83" s="34"/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t="18.75" customHeight="1">
      <c r="B84" s="1" t="s">
        <v>59</v>
      </c>
      <c r="C84" s="170">
        <f>C76+C82</f>
        <v>36831.0631418446</v>
      </c>
      <c r="D84" s="170">
        <f aca="true" t="shared" si="44" ref="D84:I84">D76+D82</f>
        <v>327836.1000551828</v>
      </c>
      <c r="E84" s="170">
        <f t="shared" si="44"/>
        <v>334937.1000551828</v>
      </c>
      <c r="F84" s="170">
        <f t="shared" si="44"/>
        <v>334937.1000551828</v>
      </c>
      <c r="G84" s="170">
        <f t="shared" si="44"/>
        <v>334937.1000551828</v>
      </c>
      <c r="H84" s="170">
        <f t="shared" si="44"/>
        <v>334937.1000551828</v>
      </c>
      <c r="I84" s="170">
        <f t="shared" si="44"/>
        <v>334937.1000551828</v>
      </c>
      <c r="J84" s="170">
        <f>J76+J82</f>
        <v>334937.1000551828</v>
      </c>
      <c r="K84" s="170">
        <f>K76+K82</f>
        <v>334937.1000551828</v>
      </c>
      <c r="L84" s="170">
        <f>L76+L82</f>
        <v>334937.1000551828</v>
      </c>
    </row>
    <row r="87" spans="1:12" ht="18.75" customHeight="1">
      <c r="A87" s="28"/>
      <c r="B87" s="28"/>
      <c r="C87" s="13" t="s">
        <v>257</v>
      </c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8.75" customHeight="1">
      <c r="A88" s="28"/>
      <c r="B88" s="28"/>
      <c r="C88" s="29">
        <f>Input!B$2</f>
        <v>2016</v>
      </c>
      <c r="D88" s="29">
        <f aca="true" t="shared" si="45" ref="D88:L89">C88+1</f>
        <v>2017</v>
      </c>
      <c r="E88" s="29">
        <f t="shared" si="45"/>
        <v>2018</v>
      </c>
      <c r="F88" s="29">
        <f t="shared" si="45"/>
        <v>2019</v>
      </c>
      <c r="G88" s="29">
        <f t="shared" si="45"/>
        <v>2020</v>
      </c>
      <c r="H88" s="29">
        <f t="shared" si="45"/>
        <v>2021</v>
      </c>
      <c r="I88" s="29">
        <f t="shared" si="45"/>
        <v>2022</v>
      </c>
      <c r="J88" s="29">
        <f t="shared" si="45"/>
        <v>2023</v>
      </c>
      <c r="K88" s="29">
        <f t="shared" si="45"/>
        <v>2024</v>
      </c>
      <c r="L88" s="29">
        <f t="shared" si="45"/>
        <v>2025</v>
      </c>
    </row>
    <row r="89" spans="1:12" ht="18.75" customHeight="1">
      <c r="A89" s="258">
        <v>2018</v>
      </c>
      <c r="B89" s="28" t="s">
        <v>43</v>
      </c>
      <c r="C89" s="209">
        <v>1</v>
      </c>
      <c r="D89" s="209">
        <f>C89+1</f>
        <v>2</v>
      </c>
      <c r="E89" s="209">
        <f t="shared" si="45"/>
        <v>3</v>
      </c>
      <c r="F89" s="209">
        <f t="shared" si="45"/>
        <v>4</v>
      </c>
      <c r="G89" s="209">
        <f t="shared" si="45"/>
        <v>5</v>
      </c>
      <c r="H89" s="209">
        <f t="shared" si="45"/>
        <v>6</v>
      </c>
      <c r="I89" s="209">
        <f t="shared" si="45"/>
        <v>7</v>
      </c>
      <c r="J89" s="209">
        <f t="shared" si="45"/>
        <v>8</v>
      </c>
      <c r="K89" s="209">
        <f t="shared" si="45"/>
        <v>9</v>
      </c>
      <c r="L89" s="209">
        <f t="shared" si="45"/>
        <v>10</v>
      </c>
    </row>
    <row r="90" spans="2:12" ht="18.75" customHeight="1">
      <c r="B90" s="211" t="s">
        <v>329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8.75" customHeight="1">
      <c r="A91" s="21" t="s">
        <v>103</v>
      </c>
      <c r="B91" s="10" t="s">
        <v>405</v>
      </c>
      <c r="C91" s="172">
        <f>VLOOKUP(C$4,'Cash Flows-LGE'!$B$44:$H$54,$A92)</f>
        <v>499746.46298024425</v>
      </c>
      <c r="D91" s="172">
        <f>VLOOKUP(D$4,'Cash Flows-LGE'!$B$44:$H$54,$A92)</f>
        <v>263000</v>
      </c>
      <c r="E91" s="172">
        <f>VLOOKUP(E$4,'Cash Flows-LGE'!$B$44:$H$54,$A92)</f>
        <v>6492000</v>
      </c>
      <c r="F91" s="172">
        <f>VLOOKUP(F$4,'Cash Flows-LGE'!$B$44:$H$54,$A92)</f>
        <v>0</v>
      </c>
      <c r="G91" s="172">
        <f>VLOOKUP(G$4,'Cash Flows-LGE'!$B$44:$H$54,$A92)</f>
        <v>0</v>
      </c>
      <c r="H91" s="172">
        <f>VLOOKUP(H$4,'Cash Flows-LGE'!$B$44:$H$54,$A92)</f>
        <v>0</v>
      </c>
      <c r="I91" s="172">
        <f>VLOOKUP(I$4,'Cash Flows-LGE'!$B$44:$H$54,$A92)</f>
        <v>0</v>
      </c>
      <c r="J91" s="172">
        <f>VLOOKUP(J$4,'Cash Flows-LGE'!$B$44:$H$54,$A92)</f>
        <v>0</v>
      </c>
      <c r="K91" s="172">
        <f>VLOOKUP(K$4,'Cash Flows-LGE'!$B$44:$H$54,$A92)</f>
        <v>0</v>
      </c>
      <c r="L91" s="172">
        <f>VLOOKUP(L$4,'Cash Flows-LGE'!$B$44:$H$54,$A92)</f>
        <v>0</v>
      </c>
    </row>
    <row r="92" spans="1:13" ht="18.75" customHeight="1">
      <c r="A92" s="3">
        <v>4</v>
      </c>
      <c r="B92" s="40" t="s">
        <v>57</v>
      </c>
      <c r="C92" s="172">
        <f>SUM($C91:C91)</f>
        <v>499746.46298024425</v>
      </c>
      <c r="D92" s="172">
        <f>SUM($C91:D91)</f>
        <v>762746.4629802443</v>
      </c>
      <c r="E92" s="172">
        <f>SUM($C91:E91)</f>
        <v>7254746.462980244</v>
      </c>
      <c r="F92" s="172">
        <f>SUM($C91:F91)</f>
        <v>7254746.462980244</v>
      </c>
      <c r="G92" s="172">
        <f>SUM($C91:G91)</f>
        <v>7254746.462980244</v>
      </c>
      <c r="H92" s="172">
        <f>SUM($C91:H91)</f>
        <v>7254746.462980244</v>
      </c>
      <c r="I92" s="172">
        <f>SUM($C91:I91)</f>
        <v>7254746.462980244</v>
      </c>
      <c r="J92" s="172">
        <f>SUM($C91:J91)</f>
        <v>7254746.462980244</v>
      </c>
      <c r="K92" s="172">
        <f>SUM($C91:K91)</f>
        <v>7254746.462980244</v>
      </c>
      <c r="L92" s="172">
        <f>SUM($C91:L91)</f>
        <v>7254746.462980244</v>
      </c>
      <c r="M92" s="18"/>
    </row>
    <row r="93" spans="1:12" ht="18.75" customHeight="1">
      <c r="A93" s="3">
        <v>2</v>
      </c>
      <c r="B93" s="5" t="s">
        <v>0</v>
      </c>
      <c r="C93" s="6">
        <f>IF(C89="",0,VLOOKUP($B90,Depreciation!$D$2:$E$31,$A93,FALSE))</f>
        <v>0</v>
      </c>
      <c r="D93" s="6">
        <f>IF(D89="",0,VLOOKUP($B90,Depreciation!$D$2:$E$31,$A93,FALSE))</f>
        <v>0</v>
      </c>
      <c r="E93" s="6">
        <f>IF(E89="",0,VLOOKUP($B90,Depreciation!$D$2:$E$31,$A93,FALSE))</f>
        <v>0</v>
      </c>
      <c r="F93" s="6">
        <f>IF(F89="",0,VLOOKUP($B90,Depreciation!$D$2:$E$31,$A93,FALSE))</f>
        <v>0</v>
      </c>
      <c r="G93" s="6">
        <f>IF(G89="",0,VLOOKUP($B90,Depreciation!$D$2:$E$31,$A93,FALSE))</f>
        <v>0</v>
      </c>
      <c r="H93" s="6">
        <f>IF(H89="",0,VLOOKUP($B90,Depreciation!$D$2:$E$31,$A93,FALSE))</f>
        <v>0</v>
      </c>
      <c r="I93" s="6">
        <f>IF(I89="",0,VLOOKUP($B90,Depreciation!$D$2:$E$31,$A93,FALSE))</f>
        <v>0</v>
      </c>
      <c r="J93" s="6">
        <f>IF(J89="",0,VLOOKUP($B90,Depreciation!$D$2:$E$31,$A93,FALSE))</f>
        <v>0</v>
      </c>
      <c r="K93" s="6">
        <f>IF(K89="",0,VLOOKUP($B90,Depreciation!$D$2:$E$31,$A93,FALSE))</f>
        <v>0</v>
      </c>
      <c r="L93" s="6">
        <f>IF(L89="",0,VLOOKUP($B90,Depreciation!$D$2:$E$31,$A93,FALSE))</f>
        <v>0</v>
      </c>
    </row>
    <row r="94" spans="1:12" ht="18.75" customHeight="1">
      <c r="A94" s="3">
        <v>3</v>
      </c>
      <c r="B94" s="5" t="s">
        <v>1</v>
      </c>
      <c r="C94" s="6">
        <f>IF(C89="",0,VLOOKUP(C89,Depreciation!$A$2:$C$58,$A94,FALSE))</f>
        <v>1</v>
      </c>
      <c r="D94" s="6">
        <f>IF(D89="",0,VLOOKUP(D89,Depreciation!$A$2:$C$58,$A94,FALSE))</f>
        <v>1</v>
      </c>
      <c r="E94" s="6">
        <f>IF(E89="",0,VLOOKUP(E89,Depreciation!$A$2:$C$58,$A94,FALSE))</f>
        <v>1</v>
      </c>
      <c r="F94" s="6">
        <f>IF(F89="",0,VLOOKUP(F89,Depreciation!$A$2:$C$58,$A94,FALSE))</f>
        <v>1</v>
      </c>
      <c r="G94" s="6">
        <f>IF(G89="",0,VLOOKUP(G89,Depreciation!$A$2:$C$58,$A94,FALSE))</f>
        <v>1</v>
      </c>
      <c r="H94" s="6">
        <f>IF(H89="",0,VLOOKUP(H89,Depreciation!$A$2:$C$58,$A94,FALSE))</f>
        <v>1</v>
      </c>
      <c r="I94" s="6">
        <f>IF(I89="",0,VLOOKUP(I89,Depreciation!$A$2:$C$58,$A94,FALSE))</f>
        <v>1</v>
      </c>
      <c r="J94" s="6">
        <f>IF(J89="",0,VLOOKUP(J89,Depreciation!$A$2:$C$58,$A94,FALSE))</f>
        <v>1</v>
      </c>
      <c r="K94" s="6">
        <f>IF(K89="",0,VLOOKUP(K89,Depreciation!$A$2:$C$58,$A94,FALSE))</f>
        <v>1</v>
      </c>
      <c r="L94" s="6">
        <f>IF(L89="",0,VLOOKUP(L89,Depreciation!$A$2:$C$58,$A94,FALSE))</f>
        <v>1</v>
      </c>
    </row>
    <row r="95" spans="1:12" ht="18.75" customHeight="1">
      <c r="A95" s="30"/>
      <c r="B95" s="31" t="s">
        <v>2</v>
      </c>
      <c r="C95" s="7">
        <f>Input!B$3</f>
        <v>0.38665999999999995</v>
      </c>
      <c r="D95" s="7">
        <f>Input!C$3</f>
        <v>0.38665999999999995</v>
      </c>
      <c r="E95" s="7">
        <f>Input!D$3</f>
        <v>0.38665999999999995</v>
      </c>
      <c r="F95" s="7">
        <f>Input!E$3</f>
        <v>0.38665999999999995</v>
      </c>
      <c r="G95" s="7">
        <f>Input!F$3</f>
        <v>0.38665999999999995</v>
      </c>
      <c r="H95" s="7">
        <f>Input!G$3</f>
        <v>0.38665999999999995</v>
      </c>
      <c r="I95" s="7">
        <f>Input!H$3</f>
        <v>0.38665999999999995</v>
      </c>
      <c r="J95" s="7">
        <f>Input!I$3</f>
        <v>0.38665999999999995</v>
      </c>
      <c r="K95" s="7">
        <f>Input!J$3</f>
        <v>0.38665999999999995</v>
      </c>
      <c r="L95" s="7">
        <f>Input!K$3</f>
        <v>0.38665999999999995</v>
      </c>
    </row>
    <row r="96" spans="2:12" ht="18.75" customHeight="1">
      <c r="B96" s="2" t="s">
        <v>3</v>
      </c>
      <c r="C96" s="170">
        <f>SUM($C107:C107)</f>
        <v>193231.96737594123</v>
      </c>
      <c r="D96" s="170">
        <f>SUM($C107:D107)</f>
        <v>294923.5473759412</v>
      </c>
      <c r="E96" s="170">
        <f>SUM($C107:E107)</f>
        <v>2805120.267375941</v>
      </c>
      <c r="F96" s="170">
        <f>SUM($C107:F107)</f>
        <v>2805120.267375941</v>
      </c>
      <c r="G96" s="170">
        <f>SUM($C107:G107)</f>
        <v>2805120.267375941</v>
      </c>
      <c r="H96" s="170">
        <f>SUM($C107:H107)</f>
        <v>2805120.267375941</v>
      </c>
      <c r="I96" s="170">
        <f>SUM($C107:I107)</f>
        <v>2805120.267375941</v>
      </c>
      <c r="J96" s="170">
        <f>SUM($C107:J107)</f>
        <v>2805120.267375941</v>
      </c>
      <c r="K96" s="170">
        <f>SUM($C107:K107)</f>
        <v>2805120.267375941</v>
      </c>
      <c r="L96" s="170">
        <f>SUM($C107:L107)</f>
        <v>2805120.267375941</v>
      </c>
    </row>
    <row r="97" spans="2:12" ht="18.75" customHeight="1">
      <c r="B97" s="2" t="s">
        <v>4</v>
      </c>
      <c r="C97" s="170">
        <f>SUM($C99:C99)</f>
        <v>0</v>
      </c>
      <c r="D97" s="170">
        <f>SUM($C99:D99)</f>
        <v>0</v>
      </c>
      <c r="E97" s="170">
        <f>SUM($C99:E99)</f>
        <v>0</v>
      </c>
      <c r="F97" s="170">
        <f>SUM($C99:F99)</f>
        <v>0</v>
      </c>
      <c r="G97" s="170">
        <f>SUM($C99:G99)</f>
        <v>0</v>
      </c>
      <c r="H97" s="170">
        <f>SUM($C99:H99)</f>
        <v>0</v>
      </c>
      <c r="I97" s="170">
        <f>SUM($C99:I99)</f>
        <v>0</v>
      </c>
      <c r="J97" s="170">
        <f>SUM($C99:J99)</f>
        <v>0</v>
      </c>
      <c r="K97" s="170">
        <f>SUM($C99:K99)</f>
        <v>0</v>
      </c>
      <c r="L97" s="170">
        <f>SUM($C99:L99)</f>
        <v>0</v>
      </c>
    </row>
    <row r="98" spans="2:12" ht="18.75" customHeight="1">
      <c r="B98" s="11" t="s">
        <v>5</v>
      </c>
      <c r="C98" s="170">
        <f>C91</f>
        <v>499746.46298024425</v>
      </c>
      <c r="D98" s="170">
        <f>C98+D91</f>
        <v>762746.4629802443</v>
      </c>
      <c r="E98" s="170">
        <f aca="true" t="shared" si="46" ref="E98:L98">D98+E91</f>
        <v>7254746.462980244</v>
      </c>
      <c r="F98" s="170">
        <f t="shared" si="46"/>
        <v>7254746.462980244</v>
      </c>
      <c r="G98" s="170">
        <f t="shared" si="46"/>
        <v>7254746.462980244</v>
      </c>
      <c r="H98" s="170">
        <f t="shared" si="46"/>
        <v>7254746.462980244</v>
      </c>
      <c r="I98" s="170">
        <f t="shared" si="46"/>
        <v>7254746.462980244</v>
      </c>
      <c r="J98" s="170">
        <f t="shared" si="46"/>
        <v>7254746.462980244</v>
      </c>
      <c r="K98" s="170">
        <f t="shared" si="46"/>
        <v>7254746.462980244</v>
      </c>
      <c r="L98" s="170">
        <f t="shared" si="46"/>
        <v>7254746.462980244</v>
      </c>
    </row>
    <row r="99" spans="1:12" ht="18.75" customHeight="1">
      <c r="A99" s="214" t="s">
        <v>372</v>
      </c>
      <c r="B99" s="11" t="s">
        <v>6</v>
      </c>
      <c r="C99" s="170">
        <f aca="true" t="shared" si="47" ref="C99:L99">IF(C89=1,(12.5-VLOOKUP(C87,$Q$5:$R$16,2,))*C93/12*C98,C98*C93)</f>
        <v>0</v>
      </c>
      <c r="D99" s="170">
        <f t="shared" si="47"/>
        <v>0</v>
      </c>
      <c r="E99" s="170">
        <f t="shared" si="47"/>
        <v>0</v>
      </c>
      <c r="F99" s="170">
        <f t="shared" si="47"/>
        <v>0</v>
      </c>
      <c r="G99" s="170">
        <f t="shared" si="47"/>
        <v>0</v>
      </c>
      <c r="H99" s="170">
        <f t="shared" si="47"/>
        <v>0</v>
      </c>
      <c r="I99" s="170">
        <f t="shared" si="47"/>
        <v>0</v>
      </c>
      <c r="J99" s="170">
        <f t="shared" si="47"/>
        <v>0</v>
      </c>
      <c r="K99" s="170">
        <f t="shared" si="47"/>
        <v>0</v>
      </c>
      <c r="L99" s="170">
        <f t="shared" si="47"/>
        <v>0</v>
      </c>
    </row>
    <row r="100" spans="1:12" ht="18.75" customHeight="1">
      <c r="A100" s="3"/>
      <c r="B100" s="5" t="s">
        <v>7</v>
      </c>
      <c r="C100" s="170">
        <f>C91</f>
        <v>499746.46298024425</v>
      </c>
      <c r="D100" s="170">
        <f aca="true" t="shared" si="48" ref="D100:L100">C100+D91</f>
        <v>762746.4629802443</v>
      </c>
      <c r="E100" s="170">
        <f t="shared" si="48"/>
        <v>7254746.462980244</v>
      </c>
      <c r="F100" s="170">
        <f t="shared" si="48"/>
        <v>7254746.462980244</v>
      </c>
      <c r="G100" s="170">
        <f t="shared" si="48"/>
        <v>7254746.462980244</v>
      </c>
      <c r="H100" s="170">
        <f t="shared" si="48"/>
        <v>7254746.462980244</v>
      </c>
      <c r="I100" s="170">
        <f t="shared" si="48"/>
        <v>7254746.462980244</v>
      </c>
      <c r="J100" s="170">
        <f t="shared" si="48"/>
        <v>7254746.462980244</v>
      </c>
      <c r="K100" s="170">
        <f t="shared" si="48"/>
        <v>7254746.462980244</v>
      </c>
      <c r="L100" s="170">
        <f t="shared" si="48"/>
        <v>7254746.462980244</v>
      </c>
    </row>
    <row r="101" spans="2:12" ht="18.75" customHeight="1">
      <c r="B101" s="213" t="s">
        <v>361</v>
      </c>
      <c r="C101" s="170">
        <f>IF(C89=1,IF($A99="Bonus",SUM($C91:C91)*VLOOKUP(C88,Depreciation!$D$41:$E$50,2),0),0)</f>
        <v>0</v>
      </c>
      <c r="D101" s="170">
        <f>IF(D89=1,IF($A99="Bonus",SUM($C91:D91)*VLOOKUP(D88,Depreciation!$D$41:$E$50,2),0),0)</f>
        <v>0</v>
      </c>
      <c r="E101" s="170">
        <f>IF(E89=1,IF($A99="Bonus",SUM($C91:E91)*VLOOKUP(E88,Depreciation!$D$41:$E$50,2),0),0)</f>
        <v>0</v>
      </c>
      <c r="F101" s="170">
        <f>IF(F89=1,IF($A99="Bonus",SUM($C91:F91)*VLOOKUP(F88,Depreciation!$D$41:$E$50,2),0),0)</f>
        <v>0</v>
      </c>
      <c r="G101" s="170">
        <f>IF(G89=1,IF($A99="Bonus",SUM($C91:G91)*VLOOKUP(G88,Depreciation!$D$41:$E$50,2),0),0)</f>
        <v>0</v>
      </c>
      <c r="H101" s="170">
        <f>IF(H89=1,IF($A99="Bonus",SUM($C91:H91)*VLOOKUP(H88,Depreciation!$D$41:$E$50,2),0),0)</f>
        <v>0</v>
      </c>
      <c r="I101" s="170">
        <f>IF(I89=1,IF($A99="Bonus",SUM($C91:I91)*VLOOKUP(I88,Depreciation!$D$41:$E$50,2),0),0)</f>
        <v>0</v>
      </c>
      <c r="J101" s="170">
        <f>IF(J89=1,IF($A99="Bonus",SUM($C91:J91)*VLOOKUP(J88,Depreciation!$D$41:$E$50,2),0),0)</f>
        <v>0</v>
      </c>
      <c r="K101" s="170">
        <f>IF(K89=1,IF($A99="Bonus",SUM($C91:K91)*VLOOKUP(K88,Depreciation!$D$41:$E$50,2),0),0)</f>
        <v>0</v>
      </c>
      <c r="L101" s="170">
        <f>IF(L89=1,IF($A99="Bonus",SUM($C91:L91)*VLOOKUP(L88,Depreciation!$D$41:$E$50,2),0),0)</f>
        <v>0</v>
      </c>
    </row>
    <row r="102" spans="2:12" ht="18.75" customHeight="1">
      <c r="B102" s="5" t="s">
        <v>362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</row>
    <row r="103" spans="2:12" ht="18.75" customHeight="1">
      <c r="B103" s="5" t="s">
        <v>17</v>
      </c>
      <c r="C103" s="34">
        <f>Input!I$19</f>
        <v>0.09991333016039017</v>
      </c>
      <c r="D103" s="34">
        <f>Input!J$19</f>
        <v>0.09991333016039017</v>
      </c>
      <c r="E103" s="34">
        <f>Input!K$19</f>
        <v>0.09991333016039017</v>
      </c>
      <c r="F103" s="34">
        <f>Input!L$19</f>
        <v>0.09991333016039017</v>
      </c>
      <c r="G103" s="34">
        <f>Input!M$19</f>
        <v>0.09991333016039017</v>
      </c>
      <c r="H103" s="34">
        <f>Input!N$19</f>
        <v>0.09991333016039017</v>
      </c>
      <c r="I103" s="34">
        <f>Input!O$19</f>
        <v>0.09991333016039017</v>
      </c>
      <c r="J103" s="34">
        <f>Input!P$19</f>
        <v>0.09991333016039017</v>
      </c>
      <c r="K103" s="34">
        <f>Input!Q$19</f>
        <v>0.09991333016039017</v>
      </c>
      <c r="L103" s="34">
        <f>Input!R$19</f>
        <v>0.09991333016039017</v>
      </c>
    </row>
    <row r="104" spans="2:12" ht="18.75" customHeight="1">
      <c r="B104" s="5" t="s">
        <v>8</v>
      </c>
      <c r="C104" s="181">
        <f aca="true" t="shared" si="49" ref="C104:L104">C99</f>
        <v>0</v>
      </c>
      <c r="D104" s="181">
        <f t="shared" si="49"/>
        <v>0</v>
      </c>
      <c r="E104" s="181">
        <f t="shared" si="49"/>
        <v>0</v>
      </c>
      <c r="F104" s="181">
        <f t="shared" si="49"/>
        <v>0</v>
      </c>
      <c r="G104" s="181">
        <f t="shared" si="49"/>
        <v>0</v>
      </c>
      <c r="H104" s="181">
        <f t="shared" si="49"/>
        <v>0</v>
      </c>
      <c r="I104" s="181">
        <f t="shared" si="49"/>
        <v>0</v>
      </c>
      <c r="J104" s="181">
        <f t="shared" si="49"/>
        <v>0</v>
      </c>
      <c r="K104" s="181">
        <f t="shared" si="49"/>
        <v>0</v>
      </c>
      <c r="L104" s="181">
        <f t="shared" si="49"/>
        <v>0</v>
      </c>
    </row>
    <row r="105" spans="2:12" ht="18.75" customHeight="1">
      <c r="B105" s="11" t="s">
        <v>364</v>
      </c>
      <c r="C105" s="181">
        <f>C91*C94</f>
        <v>499746.46298024425</v>
      </c>
      <c r="D105" s="181">
        <f aca="true" t="shared" si="50" ref="D105:L105">D91*D94</f>
        <v>263000</v>
      </c>
      <c r="E105" s="181">
        <f t="shared" si="50"/>
        <v>6492000</v>
      </c>
      <c r="F105" s="181">
        <f t="shared" si="50"/>
        <v>0</v>
      </c>
      <c r="G105" s="181">
        <f t="shared" si="50"/>
        <v>0</v>
      </c>
      <c r="H105" s="181">
        <f t="shared" si="50"/>
        <v>0</v>
      </c>
      <c r="I105" s="181">
        <f t="shared" si="50"/>
        <v>0</v>
      </c>
      <c r="J105" s="181">
        <f t="shared" si="50"/>
        <v>0</v>
      </c>
      <c r="K105" s="181">
        <f t="shared" si="50"/>
        <v>0</v>
      </c>
      <c r="L105" s="181">
        <f t="shared" si="50"/>
        <v>0</v>
      </c>
    </row>
    <row r="106" spans="2:12" ht="18.75" customHeight="1">
      <c r="B106" s="3" t="s">
        <v>9</v>
      </c>
      <c r="C106" s="8">
        <f>Input!$B$6</f>
        <v>0.0015</v>
      </c>
      <c r="D106" s="8">
        <f aca="true" t="shared" si="51" ref="D106:L106">C106</f>
        <v>0.0015</v>
      </c>
      <c r="E106" s="8">
        <f t="shared" si="51"/>
        <v>0.0015</v>
      </c>
      <c r="F106" s="8">
        <f t="shared" si="51"/>
        <v>0.0015</v>
      </c>
      <c r="G106" s="8">
        <f t="shared" si="51"/>
        <v>0.0015</v>
      </c>
      <c r="H106" s="8">
        <f t="shared" si="51"/>
        <v>0.0015</v>
      </c>
      <c r="I106" s="8">
        <f t="shared" si="51"/>
        <v>0.0015</v>
      </c>
      <c r="J106" s="8">
        <f t="shared" si="51"/>
        <v>0.0015</v>
      </c>
      <c r="K106" s="8">
        <f t="shared" si="51"/>
        <v>0.0015</v>
      </c>
      <c r="L106" s="8">
        <f t="shared" si="51"/>
        <v>0.0015</v>
      </c>
    </row>
    <row r="107" spans="2:12" ht="18.75" customHeight="1">
      <c r="B107" s="102" t="s">
        <v>363</v>
      </c>
      <c r="C107" s="171">
        <f aca="true" t="shared" si="52" ref="C107:L107">(C105-C104)*C95</f>
        <v>193231.96737594123</v>
      </c>
      <c r="D107" s="171">
        <f t="shared" si="52"/>
        <v>101691.57999999999</v>
      </c>
      <c r="E107" s="171">
        <f t="shared" si="52"/>
        <v>2510196.7199999997</v>
      </c>
      <c r="F107" s="171">
        <f t="shared" si="52"/>
        <v>0</v>
      </c>
      <c r="G107" s="171">
        <f t="shared" si="52"/>
        <v>0</v>
      </c>
      <c r="H107" s="171">
        <f t="shared" si="52"/>
        <v>0</v>
      </c>
      <c r="I107" s="171">
        <f t="shared" si="52"/>
        <v>0</v>
      </c>
      <c r="J107" s="171">
        <f t="shared" si="52"/>
        <v>0</v>
      </c>
      <c r="K107" s="171">
        <f t="shared" si="52"/>
        <v>0</v>
      </c>
      <c r="L107" s="171">
        <f t="shared" si="52"/>
        <v>0</v>
      </c>
    </row>
    <row r="108" spans="2:12" ht="18.75" customHeight="1"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8.75" customHeight="1">
      <c r="B109" s="10" t="s">
        <v>15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8.75" customHeight="1">
      <c r="B110" s="5" t="s">
        <v>16</v>
      </c>
      <c r="C110" s="169">
        <f>C92</f>
        <v>499746.46298024425</v>
      </c>
      <c r="D110" s="169">
        <f aca="true" t="shared" si="53" ref="D110:I110">D92</f>
        <v>762746.4629802443</v>
      </c>
      <c r="E110" s="169">
        <f t="shared" si="53"/>
        <v>7254746.462980244</v>
      </c>
      <c r="F110" s="169">
        <f t="shared" si="53"/>
        <v>7254746.462980244</v>
      </c>
      <c r="G110" s="169">
        <f t="shared" si="53"/>
        <v>7254746.462980244</v>
      </c>
      <c r="H110" s="169">
        <f t="shared" si="53"/>
        <v>7254746.462980244</v>
      </c>
      <c r="I110" s="169">
        <f t="shared" si="53"/>
        <v>7254746.462980244</v>
      </c>
      <c r="J110" s="169">
        <f>J92</f>
        <v>7254746.462980244</v>
      </c>
      <c r="K110" s="169">
        <f>K92</f>
        <v>7254746.462980244</v>
      </c>
      <c r="L110" s="169">
        <f>L92</f>
        <v>7254746.462980244</v>
      </c>
    </row>
    <row r="111" spans="1:12" ht="18.75" customHeight="1">
      <c r="A111" s="3"/>
      <c r="B111" s="4" t="s">
        <v>44</v>
      </c>
      <c r="C111" s="170">
        <v>0</v>
      </c>
      <c r="D111" s="170">
        <f aca="true" t="shared" si="54" ref="D111:L111">C111</f>
        <v>0</v>
      </c>
      <c r="E111" s="170">
        <f t="shared" si="54"/>
        <v>0</v>
      </c>
      <c r="F111" s="170">
        <f t="shared" si="54"/>
        <v>0</v>
      </c>
      <c r="G111" s="170">
        <f t="shared" si="54"/>
        <v>0</v>
      </c>
      <c r="H111" s="170">
        <f t="shared" si="54"/>
        <v>0</v>
      </c>
      <c r="I111" s="170">
        <f t="shared" si="54"/>
        <v>0</v>
      </c>
      <c r="J111" s="170">
        <f t="shared" si="54"/>
        <v>0</v>
      </c>
      <c r="K111" s="170">
        <f t="shared" si="54"/>
        <v>0</v>
      </c>
      <c r="L111" s="170">
        <f t="shared" si="54"/>
        <v>0</v>
      </c>
    </row>
    <row r="112" spans="2:12" ht="18.75" customHeight="1">
      <c r="B112" s="2" t="s">
        <v>10</v>
      </c>
      <c r="C112" s="170">
        <f>-C97</f>
        <v>0</v>
      </c>
      <c r="D112" s="170">
        <f aca="true" t="shared" si="55" ref="D112:I112">-D97</f>
        <v>0</v>
      </c>
      <c r="E112" s="170">
        <f t="shared" si="55"/>
        <v>0</v>
      </c>
      <c r="F112" s="170">
        <f t="shared" si="55"/>
        <v>0</v>
      </c>
      <c r="G112" s="170">
        <f t="shared" si="55"/>
        <v>0</v>
      </c>
      <c r="H112" s="170">
        <f t="shared" si="55"/>
        <v>0</v>
      </c>
      <c r="I112" s="170">
        <f t="shared" si="55"/>
        <v>0</v>
      </c>
      <c r="J112" s="170">
        <f>-J97</f>
        <v>0</v>
      </c>
      <c r="K112" s="170">
        <f>-K97</f>
        <v>0</v>
      </c>
      <c r="L112" s="170">
        <f>-L97</f>
        <v>0</v>
      </c>
    </row>
    <row r="113" spans="2:12" ht="18.75" customHeight="1">
      <c r="B113" s="2" t="s">
        <v>45</v>
      </c>
      <c r="C113" s="170">
        <v>0</v>
      </c>
      <c r="D113" s="170">
        <f aca="true" t="shared" si="56" ref="D113:L113">C113</f>
        <v>0</v>
      </c>
      <c r="E113" s="170">
        <f t="shared" si="56"/>
        <v>0</v>
      </c>
      <c r="F113" s="170">
        <f t="shared" si="56"/>
        <v>0</v>
      </c>
      <c r="G113" s="170">
        <f t="shared" si="56"/>
        <v>0</v>
      </c>
      <c r="H113" s="170">
        <f t="shared" si="56"/>
        <v>0</v>
      </c>
      <c r="I113" s="170">
        <f t="shared" si="56"/>
        <v>0</v>
      </c>
      <c r="J113" s="170">
        <f t="shared" si="56"/>
        <v>0</v>
      </c>
      <c r="K113" s="170">
        <f t="shared" si="56"/>
        <v>0</v>
      </c>
      <c r="L113" s="170">
        <f t="shared" si="56"/>
        <v>0</v>
      </c>
    </row>
    <row r="114" spans="2:12" ht="18.75" customHeight="1">
      <c r="B114" s="2" t="s">
        <v>46</v>
      </c>
      <c r="C114" s="170">
        <f>-C96</f>
        <v>-193231.96737594123</v>
      </c>
      <c r="D114" s="170">
        <f aca="true" t="shared" si="57" ref="D114:I114">-D96</f>
        <v>-294923.5473759412</v>
      </c>
      <c r="E114" s="170">
        <f t="shared" si="57"/>
        <v>-2805120.267375941</v>
      </c>
      <c r="F114" s="170">
        <f t="shared" si="57"/>
        <v>-2805120.267375941</v>
      </c>
      <c r="G114" s="170">
        <f t="shared" si="57"/>
        <v>-2805120.267375941</v>
      </c>
      <c r="H114" s="170">
        <f t="shared" si="57"/>
        <v>-2805120.267375941</v>
      </c>
      <c r="I114" s="170">
        <f t="shared" si="57"/>
        <v>-2805120.267375941</v>
      </c>
      <c r="J114" s="170">
        <f>-J96</f>
        <v>-2805120.267375941</v>
      </c>
      <c r="K114" s="170">
        <f>-K96</f>
        <v>-2805120.267375941</v>
      </c>
      <c r="L114" s="170">
        <f>-L96</f>
        <v>-2805120.267375941</v>
      </c>
    </row>
    <row r="115" spans="2:12" ht="18.75" customHeight="1">
      <c r="B115" s="2" t="s">
        <v>47</v>
      </c>
      <c r="C115" s="170">
        <v>0</v>
      </c>
      <c r="D115" s="170">
        <f aca="true" t="shared" si="58" ref="D115:L115">C115</f>
        <v>0</v>
      </c>
      <c r="E115" s="170">
        <f t="shared" si="58"/>
        <v>0</v>
      </c>
      <c r="F115" s="170">
        <f t="shared" si="58"/>
        <v>0</v>
      </c>
      <c r="G115" s="170">
        <f t="shared" si="58"/>
        <v>0</v>
      </c>
      <c r="H115" s="170">
        <f t="shared" si="58"/>
        <v>0</v>
      </c>
      <c r="I115" s="170">
        <f t="shared" si="58"/>
        <v>0</v>
      </c>
      <c r="J115" s="170">
        <f t="shared" si="58"/>
        <v>0</v>
      </c>
      <c r="K115" s="170">
        <f t="shared" si="58"/>
        <v>0</v>
      </c>
      <c r="L115" s="170">
        <f t="shared" si="58"/>
        <v>0</v>
      </c>
    </row>
    <row r="116" spans="2:12" ht="18.75" customHeight="1">
      <c r="B116" s="2" t="s">
        <v>11</v>
      </c>
      <c r="C116" s="170">
        <f>SUM(C110:C115)</f>
        <v>306514.495604303</v>
      </c>
      <c r="D116" s="170">
        <f aca="true" t="shared" si="59" ref="D116:I116">SUM(D110:D115)</f>
        <v>467822.9156043031</v>
      </c>
      <c r="E116" s="170">
        <f t="shared" si="59"/>
        <v>4449626.195604304</v>
      </c>
      <c r="F116" s="170">
        <f t="shared" si="59"/>
        <v>4449626.195604304</v>
      </c>
      <c r="G116" s="170">
        <f t="shared" si="59"/>
        <v>4449626.195604304</v>
      </c>
      <c r="H116" s="170">
        <f t="shared" si="59"/>
        <v>4449626.195604304</v>
      </c>
      <c r="I116" s="170">
        <f t="shared" si="59"/>
        <v>4449626.195604304</v>
      </c>
      <c r="J116" s="170">
        <f>SUM(J110:J115)</f>
        <v>4449626.195604304</v>
      </c>
      <c r="K116" s="170">
        <f>SUM(K110:K115)</f>
        <v>4449626.195604304</v>
      </c>
      <c r="L116" s="170">
        <f>SUM(L110:L115)</f>
        <v>4449626.195604304</v>
      </c>
    </row>
    <row r="117" spans="2:12" ht="18.75" customHeight="1">
      <c r="B117" s="2" t="s">
        <v>12</v>
      </c>
      <c r="C117" s="7">
        <f aca="true" t="shared" si="60" ref="C117:I117">C103</f>
        <v>0.09991333016039017</v>
      </c>
      <c r="D117" s="7">
        <f t="shared" si="60"/>
        <v>0.09991333016039017</v>
      </c>
      <c r="E117" s="7">
        <f t="shared" si="60"/>
        <v>0.09991333016039017</v>
      </c>
      <c r="F117" s="7">
        <f t="shared" si="60"/>
        <v>0.09991333016039017</v>
      </c>
      <c r="G117" s="7">
        <f t="shared" si="60"/>
        <v>0.09991333016039017</v>
      </c>
      <c r="H117" s="7">
        <f t="shared" si="60"/>
        <v>0.09991333016039017</v>
      </c>
      <c r="I117" s="7">
        <f t="shared" si="60"/>
        <v>0.09991333016039017</v>
      </c>
      <c r="J117" s="7">
        <f>J103</f>
        <v>0.09991333016039017</v>
      </c>
      <c r="K117" s="7">
        <f>K103</f>
        <v>0.09991333016039017</v>
      </c>
      <c r="L117" s="7">
        <f>L103</f>
        <v>0.09991333016039017</v>
      </c>
    </row>
    <row r="118" spans="2:12" ht="18.75" customHeight="1">
      <c r="B118" s="34"/>
      <c r="C118" s="174">
        <f>C116*C117</f>
        <v>30624.88399825819</v>
      </c>
      <c r="D118" s="174">
        <f aca="true" t="shared" si="61" ref="D118:I118">D116*D117</f>
        <v>46741.74542336908</v>
      </c>
      <c r="E118" s="174">
        <f t="shared" si="61"/>
        <v>444576.97117173363</v>
      </c>
      <c r="F118" s="174">
        <f t="shared" si="61"/>
        <v>444576.97117173363</v>
      </c>
      <c r="G118" s="174">
        <f t="shared" si="61"/>
        <v>444576.97117173363</v>
      </c>
      <c r="H118" s="174">
        <f t="shared" si="61"/>
        <v>444576.97117173363</v>
      </c>
      <c r="I118" s="174">
        <f t="shared" si="61"/>
        <v>444576.97117173363</v>
      </c>
      <c r="J118" s="174">
        <f>J116*J117</f>
        <v>444576.97117173363</v>
      </c>
      <c r="K118" s="174">
        <f>K116*K117</f>
        <v>444576.97117173363</v>
      </c>
      <c r="L118" s="174">
        <f>L116*L117</f>
        <v>444576.97117173363</v>
      </c>
    </row>
    <row r="119" spans="1:12" ht="18.75" customHeight="1">
      <c r="A119" s="3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ht="18.75" customHeight="1">
      <c r="B120" s="1" t="s">
        <v>52</v>
      </c>
      <c r="C120" s="170">
        <v>0</v>
      </c>
      <c r="D120" s="170">
        <f>C120</f>
        <v>0</v>
      </c>
      <c r="E120" s="170">
        <f aca="true" t="shared" si="62" ref="E120:L120">D120</f>
        <v>0</v>
      </c>
      <c r="F120" s="170">
        <f t="shared" si="62"/>
        <v>0</v>
      </c>
      <c r="G120" s="170">
        <f t="shared" si="62"/>
        <v>0</v>
      </c>
      <c r="H120" s="170">
        <f t="shared" si="62"/>
        <v>0</v>
      </c>
      <c r="I120" s="170">
        <f t="shared" si="62"/>
        <v>0</v>
      </c>
      <c r="J120" s="170">
        <f t="shared" si="62"/>
        <v>0</v>
      </c>
      <c r="K120" s="170">
        <f t="shared" si="62"/>
        <v>0</v>
      </c>
      <c r="L120" s="170">
        <f t="shared" si="62"/>
        <v>0</v>
      </c>
    </row>
    <row r="121" spans="2:12" ht="18.75" customHeight="1">
      <c r="B121" s="2" t="s">
        <v>48</v>
      </c>
      <c r="C121" s="170">
        <f>C104</f>
        <v>0</v>
      </c>
      <c r="D121" s="170">
        <f aca="true" t="shared" si="63" ref="D121:I121">D104</f>
        <v>0</v>
      </c>
      <c r="E121" s="170">
        <f t="shared" si="63"/>
        <v>0</v>
      </c>
      <c r="F121" s="170">
        <f t="shared" si="63"/>
        <v>0</v>
      </c>
      <c r="G121" s="170">
        <f t="shared" si="63"/>
        <v>0</v>
      </c>
      <c r="H121" s="170">
        <f t="shared" si="63"/>
        <v>0</v>
      </c>
      <c r="I121" s="170">
        <f t="shared" si="63"/>
        <v>0</v>
      </c>
      <c r="J121" s="170">
        <f>J104</f>
        <v>0</v>
      </c>
      <c r="K121" s="170">
        <f>K104</f>
        <v>0</v>
      </c>
      <c r="L121" s="170">
        <f>L104</f>
        <v>0</v>
      </c>
    </row>
    <row r="122" spans="2:12" ht="18.75" customHeight="1">
      <c r="B122" s="2" t="s">
        <v>434</v>
      </c>
      <c r="C122" s="170">
        <v>0</v>
      </c>
      <c r="D122" s="170">
        <f aca="true" t="shared" si="64" ref="D122:L122">C122</f>
        <v>0</v>
      </c>
      <c r="E122" s="170">
        <f t="shared" si="64"/>
        <v>0</v>
      </c>
      <c r="F122" s="170">
        <f t="shared" si="64"/>
        <v>0</v>
      </c>
      <c r="G122" s="170">
        <f t="shared" si="64"/>
        <v>0</v>
      </c>
      <c r="H122" s="170">
        <f t="shared" si="64"/>
        <v>0</v>
      </c>
      <c r="I122" s="170">
        <f t="shared" si="64"/>
        <v>0</v>
      </c>
      <c r="J122" s="170">
        <f t="shared" si="64"/>
        <v>0</v>
      </c>
      <c r="K122" s="170">
        <f t="shared" si="64"/>
        <v>0</v>
      </c>
      <c r="L122" s="170">
        <f t="shared" si="64"/>
        <v>0</v>
      </c>
    </row>
    <row r="123" spans="2:12" ht="18.75" customHeight="1">
      <c r="B123" s="2" t="s">
        <v>50</v>
      </c>
      <c r="C123" s="170">
        <v>0</v>
      </c>
      <c r="D123" s="170">
        <f aca="true" t="shared" si="65" ref="D123:L123">D106*(C110+C112)</f>
        <v>749.6196944703664</v>
      </c>
      <c r="E123" s="170">
        <f t="shared" si="65"/>
        <v>1144.1196944703665</v>
      </c>
      <c r="F123" s="170">
        <f t="shared" si="65"/>
        <v>10882.119694470366</v>
      </c>
      <c r="G123" s="170">
        <f t="shared" si="65"/>
        <v>10882.119694470366</v>
      </c>
      <c r="H123" s="170">
        <f t="shared" si="65"/>
        <v>10882.119694470366</v>
      </c>
      <c r="I123" s="170">
        <f t="shared" si="65"/>
        <v>10882.119694470366</v>
      </c>
      <c r="J123" s="170">
        <f t="shared" si="65"/>
        <v>10882.119694470366</v>
      </c>
      <c r="K123" s="170">
        <f t="shared" si="65"/>
        <v>10882.119694470366</v>
      </c>
      <c r="L123" s="170">
        <f t="shared" si="65"/>
        <v>10882.119694470366</v>
      </c>
    </row>
    <row r="124" spans="2:12" ht="18.75" customHeight="1">
      <c r="B124" s="21" t="s">
        <v>51</v>
      </c>
      <c r="C124" s="174">
        <f aca="true" t="shared" si="66" ref="C124:I124">SUM(C120:C123)</f>
        <v>0</v>
      </c>
      <c r="D124" s="174">
        <f t="shared" si="66"/>
        <v>749.6196944703664</v>
      </c>
      <c r="E124" s="174">
        <f t="shared" si="66"/>
        <v>1144.1196944703665</v>
      </c>
      <c r="F124" s="174">
        <f t="shared" si="66"/>
        <v>10882.119694470366</v>
      </c>
      <c r="G124" s="174">
        <f t="shared" si="66"/>
        <v>10882.119694470366</v>
      </c>
      <c r="H124" s="174">
        <f t="shared" si="66"/>
        <v>10882.119694470366</v>
      </c>
      <c r="I124" s="174">
        <f t="shared" si="66"/>
        <v>10882.119694470366</v>
      </c>
      <c r="J124" s="174">
        <f>SUM(J120:J123)</f>
        <v>10882.119694470366</v>
      </c>
      <c r="K124" s="174">
        <f>SUM(K120:K123)</f>
        <v>10882.119694470366</v>
      </c>
      <c r="L124" s="174">
        <f>SUM(L120:L123)</f>
        <v>10882.119694470366</v>
      </c>
    </row>
    <row r="125" spans="3:12" ht="18.75" customHeight="1">
      <c r="C125" s="34"/>
      <c r="D125" s="268"/>
      <c r="E125" s="268"/>
      <c r="F125" s="268"/>
      <c r="G125" s="268"/>
      <c r="H125" s="268"/>
      <c r="I125" s="268"/>
      <c r="J125" s="268"/>
      <c r="K125" s="268"/>
      <c r="L125" s="268"/>
    </row>
    <row r="126" spans="2:12" ht="18.75" customHeight="1">
      <c r="B126" s="1" t="s">
        <v>59</v>
      </c>
      <c r="C126" s="170">
        <f>C118+C124</f>
        <v>30624.88399825819</v>
      </c>
      <c r="D126" s="170">
        <f aca="true" t="shared" si="67" ref="D126:I126">D118+D124</f>
        <v>47491.36511783945</v>
      </c>
      <c r="E126" s="170">
        <f t="shared" si="67"/>
        <v>445721.090866204</v>
      </c>
      <c r="F126" s="170">
        <f t="shared" si="67"/>
        <v>455459.090866204</v>
      </c>
      <c r="G126" s="170">
        <f t="shared" si="67"/>
        <v>455459.090866204</v>
      </c>
      <c r="H126" s="170">
        <f t="shared" si="67"/>
        <v>455459.090866204</v>
      </c>
      <c r="I126" s="170">
        <f t="shared" si="67"/>
        <v>455459.090866204</v>
      </c>
      <c r="J126" s="170">
        <f>J118+J124</f>
        <v>455459.090866204</v>
      </c>
      <c r="K126" s="170">
        <f>K118+K124</f>
        <v>455459.090866204</v>
      </c>
      <c r="L126" s="170">
        <f>L118+L124</f>
        <v>455459.090866204</v>
      </c>
    </row>
    <row r="129" spans="1:12" ht="18.75" customHeight="1">
      <c r="A129" s="28"/>
      <c r="B129" s="28"/>
      <c r="C129" s="212" t="s">
        <v>257</v>
      </c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8.75" customHeight="1">
      <c r="A130" s="28"/>
      <c r="B130" s="28"/>
      <c r="C130" s="29">
        <f>Input!B$2</f>
        <v>2016</v>
      </c>
      <c r="D130" s="29">
        <f aca="true" t="shared" si="68" ref="D130:L131">C130+1</f>
        <v>2017</v>
      </c>
      <c r="E130" s="29">
        <f t="shared" si="68"/>
        <v>2018</v>
      </c>
      <c r="F130" s="29">
        <f t="shared" si="68"/>
        <v>2019</v>
      </c>
      <c r="G130" s="29">
        <f t="shared" si="68"/>
        <v>2020</v>
      </c>
      <c r="H130" s="29">
        <f t="shared" si="68"/>
        <v>2021</v>
      </c>
      <c r="I130" s="29">
        <f t="shared" si="68"/>
        <v>2022</v>
      </c>
      <c r="J130" s="29">
        <f t="shared" si="68"/>
        <v>2023</v>
      </c>
      <c r="K130" s="29">
        <f t="shared" si="68"/>
        <v>2024</v>
      </c>
      <c r="L130" s="29">
        <f t="shared" si="68"/>
        <v>2025</v>
      </c>
    </row>
    <row r="131" spans="1:12" ht="18.75" customHeight="1">
      <c r="A131" s="258">
        <v>2017</v>
      </c>
      <c r="B131" s="28" t="s">
        <v>43</v>
      </c>
      <c r="C131" s="209">
        <v>1</v>
      </c>
      <c r="D131" s="209">
        <f>C131+1</f>
        <v>2</v>
      </c>
      <c r="E131" s="209">
        <f t="shared" si="68"/>
        <v>3</v>
      </c>
      <c r="F131" s="209">
        <f t="shared" si="68"/>
        <v>4</v>
      </c>
      <c r="G131" s="209">
        <f t="shared" si="68"/>
        <v>5</v>
      </c>
      <c r="H131" s="209">
        <f t="shared" si="68"/>
        <v>6</v>
      </c>
      <c r="I131" s="209">
        <f t="shared" si="68"/>
        <v>7</v>
      </c>
      <c r="J131" s="209">
        <f t="shared" si="68"/>
        <v>8</v>
      </c>
      <c r="K131" s="209">
        <f t="shared" si="68"/>
        <v>9</v>
      </c>
      <c r="L131" s="209">
        <f t="shared" si="68"/>
        <v>10</v>
      </c>
    </row>
    <row r="132" spans="2:12" ht="18.75" customHeight="1">
      <c r="B132" s="211" t="s">
        <v>329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8.75" customHeight="1">
      <c r="A133" s="21" t="s">
        <v>103</v>
      </c>
      <c r="B133" s="10" t="s">
        <v>406</v>
      </c>
      <c r="C133" s="172">
        <f>VLOOKUP(C$4,'Cash Flows-LGE'!$B$44:$H$54,$A134)</f>
        <v>662542.6592541117</v>
      </c>
      <c r="D133" s="172">
        <f>VLOOKUP(D$4,'Cash Flows-LGE'!$B$44:$H$54,$A134)</f>
        <v>5733000</v>
      </c>
      <c r="E133" s="172">
        <f>VLOOKUP(E$4,'Cash Flows-LGE'!$B$44:$H$54,$A134)</f>
        <v>0</v>
      </c>
      <c r="F133" s="172">
        <f>VLOOKUP(F$4,'Cash Flows-LGE'!$B$44:$H$54,$A134)</f>
        <v>0</v>
      </c>
      <c r="G133" s="172">
        <f>VLOOKUP(G$4,'Cash Flows-LGE'!$B$44:$H$54,$A134)</f>
        <v>0</v>
      </c>
      <c r="H133" s="172">
        <f>VLOOKUP(H$4,'Cash Flows-LGE'!$B$44:$H$54,$A134)</f>
        <v>0</v>
      </c>
      <c r="I133" s="172">
        <f>VLOOKUP(I$4,'Cash Flows-LGE'!$B$44:$H$54,$A134)</f>
        <v>0</v>
      </c>
      <c r="J133" s="172">
        <f>VLOOKUP(J$4,'Cash Flows-LGE'!$B$44:$H$54,$A134)</f>
        <v>0</v>
      </c>
      <c r="K133" s="172">
        <f>VLOOKUP(K$4,'Cash Flows-LGE'!$B$44:$H$54,$A134)</f>
        <v>0</v>
      </c>
      <c r="L133" s="172">
        <f>VLOOKUP(L$4,'Cash Flows-LGE'!$B$44:$H$54,$A134)</f>
        <v>0</v>
      </c>
    </row>
    <row r="134" spans="1:13" ht="18.75" customHeight="1">
      <c r="A134" s="3">
        <v>5</v>
      </c>
      <c r="B134" s="40" t="s">
        <v>57</v>
      </c>
      <c r="C134" s="172">
        <f>SUM($C133:C133)</f>
        <v>662542.6592541117</v>
      </c>
      <c r="D134" s="172">
        <f>SUM($C133:D133)</f>
        <v>6395542.659254111</v>
      </c>
      <c r="E134" s="172">
        <f>SUM($C133:E133)</f>
        <v>6395542.659254111</v>
      </c>
      <c r="F134" s="172">
        <f>SUM($C133:F133)</f>
        <v>6395542.659254111</v>
      </c>
      <c r="G134" s="172">
        <f>SUM($C133:G133)</f>
        <v>6395542.659254111</v>
      </c>
      <c r="H134" s="172">
        <f>SUM($C133:H133)</f>
        <v>6395542.659254111</v>
      </c>
      <c r="I134" s="172">
        <f>SUM($C133:I133)</f>
        <v>6395542.659254111</v>
      </c>
      <c r="J134" s="172">
        <f>SUM($C133:J133)</f>
        <v>6395542.659254111</v>
      </c>
      <c r="K134" s="172">
        <f>SUM($C133:K133)</f>
        <v>6395542.659254111</v>
      </c>
      <c r="L134" s="172">
        <f>SUM($C133:L133)</f>
        <v>6395542.659254111</v>
      </c>
      <c r="M134" s="18"/>
    </row>
    <row r="135" spans="1:12" ht="18.75" customHeight="1">
      <c r="A135" s="3">
        <v>2</v>
      </c>
      <c r="B135" s="5" t="s">
        <v>0</v>
      </c>
      <c r="C135" s="6">
        <f>IF(C131="",0,VLOOKUP($B132,Depreciation!$D$2:$E$31,$A135,FALSE))</f>
        <v>0</v>
      </c>
      <c r="D135" s="6">
        <f>IF(D131="",0,VLOOKUP($B132,Depreciation!$D$2:$E$31,$A135,FALSE))</f>
        <v>0</v>
      </c>
      <c r="E135" s="6">
        <f>IF(E131="",0,VLOOKUP($B132,Depreciation!$D$2:$E$31,$A135,FALSE))</f>
        <v>0</v>
      </c>
      <c r="F135" s="6">
        <f>IF(F131="",0,VLOOKUP($B132,Depreciation!$D$2:$E$31,$A135,FALSE))</f>
        <v>0</v>
      </c>
      <c r="G135" s="6">
        <f>IF(G131="",0,VLOOKUP($B132,Depreciation!$D$2:$E$31,$A135,FALSE))</f>
        <v>0</v>
      </c>
      <c r="H135" s="6">
        <f>IF(H131="",0,VLOOKUP($B132,Depreciation!$D$2:$E$31,$A135,FALSE))</f>
        <v>0</v>
      </c>
      <c r="I135" s="6">
        <f>IF(I131="",0,VLOOKUP($B132,Depreciation!$D$2:$E$31,$A135,FALSE))</f>
        <v>0</v>
      </c>
      <c r="J135" s="6">
        <f>IF(J131="",0,VLOOKUP($B132,Depreciation!$D$2:$E$31,$A135,FALSE))</f>
        <v>0</v>
      </c>
      <c r="K135" s="6">
        <f>IF(K131="",0,VLOOKUP($B132,Depreciation!$D$2:$E$31,$A135,FALSE))</f>
        <v>0</v>
      </c>
      <c r="L135" s="6">
        <f>IF(L131="",0,VLOOKUP($B132,Depreciation!$D$2:$E$31,$A135,FALSE))</f>
        <v>0</v>
      </c>
    </row>
    <row r="136" spans="1:12" ht="18.75" customHeight="1">
      <c r="A136" s="3">
        <v>3</v>
      </c>
      <c r="B136" s="5" t="s">
        <v>1</v>
      </c>
      <c r="C136" s="6">
        <f>IF(C131="",0,VLOOKUP(C131,Depreciation!$A$2:$C$58,$A136,FALSE))</f>
        <v>1</v>
      </c>
      <c r="D136" s="6">
        <f>IF(D131="",0,VLOOKUP(D131,Depreciation!$A$2:$C$58,$A136,FALSE))</f>
        <v>1</v>
      </c>
      <c r="E136" s="6">
        <f>IF(E131="",0,VLOOKUP(E131,Depreciation!$A$2:$C$58,$A136,FALSE))</f>
        <v>1</v>
      </c>
      <c r="F136" s="6">
        <f>IF(F131="",0,VLOOKUP(F131,Depreciation!$A$2:$C$58,$A136,FALSE))</f>
        <v>1</v>
      </c>
      <c r="G136" s="6">
        <f>IF(G131="",0,VLOOKUP(G131,Depreciation!$A$2:$C$58,$A136,FALSE))</f>
        <v>1</v>
      </c>
      <c r="H136" s="6">
        <f>IF(H131="",0,VLOOKUP(H131,Depreciation!$A$2:$C$58,$A136,FALSE))</f>
        <v>1</v>
      </c>
      <c r="I136" s="6">
        <f>IF(I131="",0,VLOOKUP(I131,Depreciation!$A$2:$C$58,$A136,FALSE))</f>
        <v>1</v>
      </c>
      <c r="J136" s="6">
        <f>IF(J131="",0,VLOOKUP(J131,Depreciation!$A$2:$C$58,$A136,FALSE))</f>
        <v>1</v>
      </c>
      <c r="K136" s="6">
        <f>IF(K131="",0,VLOOKUP(K131,Depreciation!$A$2:$C$58,$A136,FALSE))</f>
        <v>1</v>
      </c>
      <c r="L136" s="6">
        <f>IF(L131="",0,VLOOKUP(L131,Depreciation!$A$2:$C$58,$A136,FALSE))</f>
        <v>1</v>
      </c>
    </row>
    <row r="137" spans="1:12" ht="18.75" customHeight="1">
      <c r="A137" s="30"/>
      <c r="B137" s="31" t="s">
        <v>2</v>
      </c>
      <c r="C137" s="7">
        <f>Input!B$3</f>
        <v>0.38665999999999995</v>
      </c>
      <c r="D137" s="7">
        <f>Input!C$3</f>
        <v>0.38665999999999995</v>
      </c>
      <c r="E137" s="7">
        <f>Input!D$3</f>
        <v>0.38665999999999995</v>
      </c>
      <c r="F137" s="7">
        <f>Input!E$3</f>
        <v>0.38665999999999995</v>
      </c>
      <c r="G137" s="7">
        <f>Input!F$3</f>
        <v>0.38665999999999995</v>
      </c>
      <c r="H137" s="7">
        <f>Input!G$3</f>
        <v>0.38665999999999995</v>
      </c>
      <c r="I137" s="7">
        <f>Input!H$3</f>
        <v>0.38665999999999995</v>
      </c>
      <c r="J137" s="7">
        <f>Input!I$3</f>
        <v>0.38665999999999995</v>
      </c>
      <c r="K137" s="7">
        <f>Input!J$3</f>
        <v>0.38665999999999995</v>
      </c>
      <c r="L137" s="7">
        <f>Input!K$3</f>
        <v>0.38665999999999995</v>
      </c>
    </row>
    <row r="138" spans="2:12" ht="18.75" customHeight="1">
      <c r="B138" s="2" t="s">
        <v>3</v>
      </c>
      <c r="C138" s="170">
        <f>SUM($C149:C149)</f>
        <v>256178.7446271948</v>
      </c>
      <c r="D138" s="170">
        <f>SUM($C149:D149)</f>
        <v>2472900.5246271947</v>
      </c>
      <c r="E138" s="170">
        <f>SUM($C149:E149)</f>
        <v>2472900.5246271947</v>
      </c>
      <c r="F138" s="170">
        <f>SUM($C149:F149)</f>
        <v>2472900.5246271947</v>
      </c>
      <c r="G138" s="170">
        <f>SUM($C149:G149)</f>
        <v>2472900.5246271947</v>
      </c>
      <c r="H138" s="170">
        <f>SUM($C149:H149)</f>
        <v>2472900.5246271947</v>
      </c>
      <c r="I138" s="170">
        <f>SUM($C149:I149)</f>
        <v>2472900.5246271947</v>
      </c>
      <c r="J138" s="170">
        <f>SUM($C149:J149)</f>
        <v>2472900.5246271947</v>
      </c>
      <c r="K138" s="170">
        <f>SUM($C149:K149)</f>
        <v>2472900.5246271947</v>
      </c>
      <c r="L138" s="170">
        <f>SUM($C149:L149)</f>
        <v>2472900.5246271947</v>
      </c>
    </row>
    <row r="139" spans="2:12" ht="18.75" customHeight="1">
      <c r="B139" s="2" t="s">
        <v>4</v>
      </c>
      <c r="C139" s="170">
        <f>SUM($C141:C141)</f>
        <v>0</v>
      </c>
      <c r="D139" s="170">
        <f>SUM($C141:D141)</f>
        <v>0</v>
      </c>
      <c r="E139" s="170">
        <f>SUM($C141:E141)</f>
        <v>0</v>
      </c>
      <c r="F139" s="170">
        <f>SUM($C141:F141)</f>
        <v>0</v>
      </c>
      <c r="G139" s="170">
        <f>SUM($C141:G141)</f>
        <v>0</v>
      </c>
      <c r="H139" s="170">
        <f>SUM($C141:H141)</f>
        <v>0</v>
      </c>
      <c r="I139" s="170">
        <f>SUM($C141:I141)</f>
        <v>0</v>
      </c>
      <c r="J139" s="170">
        <f>SUM($C141:J141)</f>
        <v>0</v>
      </c>
      <c r="K139" s="170">
        <f>SUM($C141:K141)</f>
        <v>0</v>
      </c>
      <c r="L139" s="170">
        <f>SUM($C141:L141)</f>
        <v>0</v>
      </c>
    </row>
    <row r="140" spans="2:12" ht="18.75" customHeight="1">
      <c r="B140" s="11" t="s">
        <v>5</v>
      </c>
      <c r="C140" s="170">
        <f>C133</f>
        <v>662542.6592541117</v>
      </c>
      <c r="D140" s="170">
        <f>C140+D133</f>
        <v>6395542.659254111</v>
      </c>
      <c r="E140" s="170">
        <f aca="true" t="shared" si="69" ref="E140:L140">D140+E133</f>
        <v>6395542.659254111</v>
      </c>
      <c r="F140" s="170">
        <f t="shared" si="69"/>
        <v>6395542.659254111</v>
      </c>
      <c r="G140" s="170">
        <f t="shared" si="69"/>
        <v>6395542.659254111</v>
      </c>
      <c r="H140" s="170">
        <f t="shared" si="69"/>
        <v>6395542.659254111</v>
      </c>
      <c r="I140" s="170">
        <f t="shared" si="69"/>
        <v>6395542.659254111</v>
      </c>
      <c r="J140" s="170">
        <f t="shared" si="69"/>
        <v>6395542.659254111</v>
      </c>
      <c r="K140" s="170">
        <f t="shared" si="69"/>
        <v>6395542.659254111</v>
      </c>
      <c r="L140" s="170">
        <f t="shared" si="69"/>
        <v>6395542.659254111</v>
      </c>
    </row>
    <row r="141" spans="1:12" ht="18.75" customHeight="1">
      <c r="A141" s="214" t="s">
        <v>372</v>
      </c>
      <c r="B141" s="11" t="s">
        <v>6</v>
      </c>
      <c r="C141" s="170">
        <f aca="true" t="shared" si="70" ref="C141:L141">IF(C131=1,(12.5-VLOOKUP(C129,$Q$5:$R$16,2,))*C135/12*C140,C140*C135)</f>
        <v>0</v>
      </c>
      <c r="D141" s="170">
        <f t="shared" si="70"/>
        <v>0</v>
      </c>
      <c r="E141" s="170">
        <f t="shared" si="70"/>
        <v>0</v>
      </c>
      <c r="F141" s="170">
        <f t="shared" si="70"/>
        <v>0</v>
      </c>
      <c r="G141" s="170">
        <f t="shared" si="70"/>
        <v>0</v>
      </c>
      <c r="H141" s="170">
        <f t="shared" si="70"/>
        <v>0</v>
      </c>
      <c r="I141" s="170">
        <f t="shared" si="70"/>
        <v>0</v>
      </c>
      <c r="J141" s="170">
        <f t="shared" si="70"/>
        <v>0</v>
      </c>
      <c r="K141" s="170">
        <f t="shared" si="70"/>
        <v>0</v>
      </c>
      <c r="L141" s="170">
        <f t="shared" si="70"/>
        <v>0</v>
      </c>
    </row>
    <row r="142" spans="1:12" ht="18.75" customHeight="1">
      <c r="A142" s="3"/>
      <c r="B142" s="5" t="s">
        <v>7</v>
      </c>
      <c r="C142" s="170">
        <f>C133</f>
        <v>662542.6592541117</v>
      </c>
      <c r="D142" s="170">
        <f aca="true" t="shared" si="71" ref="D142:L142">C142+D133</f>
        <v>6395542.659254111</v>
      </c>
      <c r="E142" s="170">
        <f t="shared" si="71"/>
        <v>6395542.659254111</v>
      </c>
      <c r="F142" s="170">
        <f t="shared" si="71"/>
        <v>6395542.659254111</v>
      </c>
      <c r="G142" s="170">
        <f t="shared" si="71"/>
        <v>6395542.659254111</v>
      </c>
      <c r="H142" s="170">
        <f t="shared" si="71"/>
        <v>6395542.659254111</v>
      </c>
      <c r="I142" s="170">
        <f t="shared" si="71"/>
        <v>6395542.659254111</v>
      </c>
      <c r="J142" s="170">
        <f t="shared" si="71"/>
        <v>6395542.659254111</v>
      </c>
      <c r="K142" s="170">
        <f t="shared" si="71"/>
        <v>6395542.659254111</v>
      </c>
      <c r="L142" s="170">
        <f t="shared" si="71"/>
        <v>6395542.659254111</v>
      </c>
    </row>
    <row r="143" spans="2:12" ht="18.75" customHeight="1">
      <c r="B143" s="213" t="s">
        <v>361</v>
      </c>
      <c r="C143" s="170">
        <f>IF(C131=1,IF($A141="Bonus",SUM($C133:C133)*VLOOKUP(C130,Depreciation!$D$41:$E$50,2),0),0)</f>
        <v>0</v>
      </c>
      <c r="D143" s="170">
        <f>IF(D131=1,IF($A141="Bonus",SUM($C133:D133)*VLOOKUP(D130,Depreciation!$D$41:$E$50,2),0),0)</f>
        <v>0</v>
      </c>
      <c r="E143" s="170">
        <f>IF(E131=1,IF($A141="Bonus",SUM($C133:E133)*VLOOKUP(E130,Depreciation!$D$41:$E$50,2),0),0)</f>
        <v>0</v>
      </c>
      <c r="F143" s="170">
        <f>IF(F131=1,IF($A141="Bonus",SUM($C133:F133)*VLOOKUP(F130,Depreciation!$D$41:$E$50,2),0),0)</f>
        <v>0</v>
      </c>
      <c r="G143" s="170">
        <f>IF(G131=1,IF($A141="Bonus",SUM($C133:G133)*VLOOKUP(G130,Depreciation!$D$41:$E$50,2),0),0)</f>
        <v>0</v>
      </c>
      <c r="H143" s="170">
        <f>IF(H131=1,IF($A141="Bonus",SUM($C133:H133)*VLOOKUP(H130,Depreciation!$D$41:$E$50,2),0),0)</f>
        <v>0</v>
      </c>
      <c r="I143" s="170">
        <f>IF(I131=1,IF($A141="Bonus",SUM($C133:I133)*VLOOKUP(I130,Depreciation!$D$41:$E$50,2),0),0)</f>
        <v>0</v>
      </c>
      <c r="J143" s="170">
        <f>IF(J131=1,IF($A141="Bonus",SUM($C133:J133)*VLOOKUP(J130,Depreciation!$D$41:$E$50,2),0),0)</f>
        <v>0</v>
      </c>
      <c r="K143" s="170">
        <f>IF(K131=1,IF($A141="Bonus",SUM($C133:K133)*VLOOKUP(K130,Depreciation!$D$41:$E$50,2),0),0)</f>
        <v>0</v>
      </c>
      <c r="L143" s="170">
        <f>IF(L131=1,IF($A141="Bonus",SUM($C133:L133)*VLOOKUP(L130,Depreciation!$D$41:$E$50,2),0),0)</f>
        <v>0</v>
      </c>
    </row>
    <row r="144" spans="2:12" ht="18.75" customHeight="1">
      <c r="B144" s="5" t="s">
        <v>362</v>
      </c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</row>
    <row r="145" spans="2:12" ht="18.75" customHeight="1">
      <c r="B145" s="5" t="s">
        <v>17</v>
      </c>
      <c r="C145" s="34">
        <f>Input!I$19</f>
        <v>0.09991333016039017</v>
      </c>
      <c r="D145" s="34">
        <f>Input!J$19</f>
        <v>0.09991333016039017</v>
      </c>
      <c r="E145" s="34">
        <f>Input!K$19</f>
        <v>0.09991333016039017</v>
      </c>
      <c r="F145" s="34">
        <f>Input!L$19</f>
        <v>0.09991333016039017</v>
      </c>
      <c r="G145" s="34">
        <f>Input!M$19</f>
        <v>0.09991333016039017</v>
      </c>
      <c r="H145" s="34">
        <f>Input!N$19</f>
        <v>0.09991333016039017</v>
      </c>
      <c r="I145" s="34">
        <f>Input!O$19</f>
        <v>0.09991333016039017</v>
      </c>
      <c r="J145" s="34">
        <f>Input!P$19</f>
        <v>0.09991333016039017</v>
      </c>
      <c r="K145" s="34">
        <f>Input!Q$19</f>
        <v>0.09991333016039017</v>
      </c>
      <c r="L145" s="34">
        <f>Input!R$19</f>
        <v>0.09991333016039017</v>
      </c>
    </row>
    <row r="146" spans="2:12" ht="18.75" customHeight="1">
      <c r="B146" s="5" t="s">
        <v>8</v>
      </c>
      <c r="C146" s="181">
        <f aca="true" t="shared" si="72" ref="C146:L146">C141</f>
        <v>0</v>
      </c>
      <c r="D146" s="181">
        <f t="shared" si="72"/>
        <v>0</v>
      </c>
      <c r="E146" s="181">
        <f t="shared" si="72"/>
        <v>0</v>
      </c>
      <c r="F146" s="181">
        <f t="shared" si="72"/>
        <v>0</v>
      </c>
      <c r="G146" s="181">
        <f t="shared" si="72"/>
        <v>0</v>
      </c>
      <c r="H146" s="181">
        <f t="shared" si="72"/>
        <v>0</v>
      </c>
      <c r="I146" s="181">
        <f t="shared" si="72"/>
        <v>0</v>
      </c>
      <c r="J146" s="181">
        <f t="shared" si="72"/>
        <v>0</v>
      </c>
      <c r="K146" s="181">
        <f t="shared" si="72"/>
        <v>0</v>
      </c>
      <c r="L146" s="181">
        <f t="shared" si="72"/>
        <v>0</v>
      </c>
    </row>
    <row r="147" spans="2:12" ht="18.75" customHeight="1">
      <c r="B147" s="11" t="s">
        <v>364</v>
      </c>
      <c r="C147" s="181">
        <f>C133*C136</f>
        <v>662542.6592541117</v>
      </c>
      <c r="D147" s="181">
        <f aca="true" t="shared" si="73" ref="D147:L147">D133*D136</f>
        <v>5733000</v>
      </c>
      <c r="E147" s="181">
        <f t="shared" si="73"/>
        <v>0</v>
      </c>
      <c r="F147" s="181">
        <f t="shared" si="73"/>
        <v>0</v>
      </c>
      <c r="G147" s="181">
        <f t="shared" si="73"/>
        <v>0</v>
      </c>
      <c r="H147" s="181">
        <f t="shared" si="73"/>
        <v>0</v>
      </c>
      <c r="I147" s="181">
        <f t="shared" si="73"/>
        <v>0</v>
      </c>
      <c r="J147" s="181">
        <f t="shared" si="73"/>
        <v>0</v>
      </c>
      <c r="K147" s="181">
        <f t="shared" si="73"/>
        <v>0</v>
      </c>
      <c r="L147" s="181">
        <f t="shared" si="73"/>
        <v>0</v>
      </c>
    </row>
    <row r="148" spans="2:12" ht="18.75" customHeight="1">
      <c r="B148" s="3" t="s">
        <v>9</v>
      </c>
      <c r="C148" s="8">
        <f>Input!$B$6</f>
        <v>0.0015</v>
      </c>
      <c r="D148" s="8">
        <f aca="true" t="shared" si="74" ref="D148:L148">C148</f>
        <v>0.0015</v>
      </c>
      <c r="E148" s="8">
        <f t="shared" si="74"/>
        <v>0.0015</v>
      </c>
      <c r="F148" s="8">
        <f t="shared" si="74"/>
        <v>0.0015</v>
      </c>
      <c r="G148" s="8">
        <f t="shared" si="74"/>
        <v>0.0015</v>
      </c>
      <c r="H148" s="8">
        <f t="shared" si="74"/>
        <v>0.0015</v>
      </c>
      <c r="I148" s="8">
        <f t="shared" si="74"/>
        <v>0.0015</v>
      </c>
      <c r="J148" s="8">
        <f t="shared" si="74"/>
        <v>0.0015</v>
      </c>
      <c r="K148" s="8">
        <f t="shared" si="74"/>
        <v>0.0015</v>
      </c>
      <c r="L148" s="8">
        <f t="shared" si="74"/>
        <v>0.0015</v>
      </c>
    </row>
    <row r="149" spans="2:12" ht="18.75" customHeight="1">
      <c r="B149" s="102" t="s">
        <v>363</v>
      </c>
      <c r="C149" s="171">
        <f aca="true" t="shared" si="75" ref="C149:L149">(C147-C146)*C137</f>
        <v>256178.7446271948</v>
      </c>
      <c r="D149" s="171">
        <f t="shared" si="75"/>
        <v>2216721.78</v>
      </c>
      <c r="E149" s="171">
        <f t="shared" si="75"/>
        <v>0</v>
      </c>
      <c r="F149" s="171">
        <f t="shared" si="75"/>
        <v>0</v>
      </c>
      <c r="G149" s="171">
        <f t="shared" si="75"/>
        <v>0</v>
      </c>
      <c r="H149" s="171">
        <f t="shared" si="75"/>
        <v>0</v>
      </c>
      <c r="I149" s="171">
        <f t="shared" si="75"/>
        <v>0</v>
      </c>
      <c r="J149" s="171">
        <f t="shared" si="75"/>
        <v>0</v>
      </c>
      <c r="K149" s="171">
        <f t="shared" si="75"/>
        <v>0</v>
      </c>
      <c r="L149" s="171">
        <f t="shared" si="75"/>
        <v>0</v>
      </c>
    </row>
    <row r="150" spans="2:12" ht="18.75" customHeight="1">
      <c r="B150" s="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8.75" customHeight="1">
      <c r="B151" s="10" t="s">
        <v>15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8.75" customHeight="1">
      <c r="B152" s="5" t="s">
        <v>16</v>
      </c>
      <c r="C152" s="169">
        <f>C134</f>
        <v>662542.6592541117</v>
      </c>
      <c r="D152" s="169">
        <f aca="true" t="shared" si="76" ref="D152:I152">D134</f>
        <v>6395542.659254111</v>
      </c>
      <c r="E152" s="169">
        <f t="shared" si="76"/>
        <v>6395542.659254111</v>
      </c>
      <c r="F152" s="169">
        <f t="shared" si="76"/>
        <v>6395542.659254111</v>
      </c>
      <c r="G152" s="169">
        <f t="shared" si="76"/>
        <v>6395542.659254111</v>
      </c>
      <c r="H152" s="169">
        <f t="shared" si="76"/>
        <v>6395542.659254111</v>
      </c>
      <c r="I152" s="169">
        <f t="shared" si="76"/>
        <v>6395542.659254111</v>
      </c>
      <c r="J152" s="169">
        <f>J134</f>
        <v>6395542.659254111</v>
      </c>
      <c r="K152" s="169">
        <f>K134</f>
        <v>6395542.659254111</v>
      </c>
      <c r="L152" s="169">
        <f>L134</f>
        <v>6395542.659254111</v>
      </c>
    </row>
    <row r="153" spans="1:12" ht="18.75" customHeight="1">
      <c r="A153" s="3"/>
      <c r="B153" s="4" t="s">
        <v>44</v>
      </c>
      <c r="C153" s="170">
        <v>0</v>
      </c>
      <c r="D153" s="170">
        <f aca="true" t="shared" si="77" ref="D153:L153">C153</f>
        <v>0</v>
      </c>
      <c r="E153" s="170">
        <f t="shared" si="77"/>
        <v>0</v>
      </c>
      <c r="F153" s="170">
        <f t="shared" si="77"/>
        <v>0</v>
      </c>
      <c r="G153" s="170">
        <f t="shared" si="77"/>
        <v>0</v>
      </c>
      <c r="H153" s="170">
        <f t="shared" si="77"/>
        <v>0</v>
      </c>
      <c r="I153" s="170">
        <f t="shared" si="77"/>
        <v>0</v>
      </c>
      <c r="J153" s="170">
        <f t="shared" si="77"/>
        <v>0</v>
      </c>
      <c r="K153" s="170">
        <f t="shared" si="77"/>
        <v>0</v>
      </c>
      <c r="L153" s="170">
        <f t="shared" si="77"/>
        <v>0</v>
      </c>
    </row>
    <row r="154" spans="2:12" ht="18.75" customHeight="1">
      <c r="B154" s="2" t="s">
        <v>10</v>
      </c>
      <c r="C154" s="170">
        <f>-C139</f>
        <v>0</v>
      </c>
      <c r="D154" s="170">
        <f aca="true" t="shared" si="78" ref="D154:I154">-D139</f>
        <v>0</v>
      </c>
      <c r="E154" s="170">
        <f t="shared" si="78"/>
        <v>0</v>
      </c>
      <c r="F154" s="170">
        <f t="shared" si="78"/>
        <v>0</v>
      </c>
      <c r="G154" s="170">
        <f t="shared" si="78"/>
        <v>0</v>
      </c>
      <c r="H154" s="170">
        <f t="shared" si="78"/>
        <v>0</v>
      </c>
      <c r="I154" s="170">
        <f t="shared" si="78"/>
        <v>0</v>
      </c>
      <c r="J154" s="170">
        <f>-J139</f>
        <v>0</v>
      </c>
      <c r="K154" s="170">
        <f>-K139</f>
        <v>0</v>
      </c>
      <c r="L154" s="170">
        <f>-L139</f>
        <v>0</v>
      </c>
    </row>
    <row r="155" spans="2:12" ht="18.75" customHeight="1">
      <c r="B155" s="2" t="s">
        <v>45</v>
      </c>
      <c r="C155" s="170">
        <v>0</v>
      </c>
      <c r="D155" s="170">
        <f aca="true" t="shared" si="79" ref="D155:L155">C155</f>
        <v>0</v>
      </c>
      <c r="E155" s="170">
        <f t="shared" si="79"/>
        <v>0</v>
      </c>
      <c r="F155" s="170">
        <f t="shared" si="79"/>
        <v>0</v>
      </c>
      <c r="G155" s="170">
        <f t="shared" si="79"/>
        <v>0</v>
      </c>
      <c r="H155" s="170">
        <f t="shared" si="79"/>
        <v>0</v>
      </c>
      <c r="I155" s="170">
        <f t="shared" si="79"/>
        <v>0</v>
      </c>
      <c r="J155" s="170">
        <f t="shared" si="79"/>
        <v>0</v>
      </c>
      <c r="K155" s="170">
        <f t="shared" si="79"/>
        <v>0</v>
      </c>
      <c r="L155" s="170">
        <f t="shared" si="79"/>
        <v>0</v>
      </c>
    </row>
    <row r="156" spans="2:12" ht="18.75" customHeight="1">
      <c r="B156" s="2" t="s">
        <v>46</v>
      </c>
      <c r="C156" s="170">
        <f>-C138</f>
        <v>-256178.7446271948</v>
      </c>
      <c r="D156" s="170">
        <f aca="true" t="shared" si="80" ref="D156:I156">-D138</f>
        <v>-2472900.5246271947</v>
      </c>
      <c r="E156" s="170">
        <f t="shared" si="80"/>
        <v>-2472900.5246271947</v>
      </c>
      <c r="F156" s="170">
        <f t="shared" si="80"/>
        <v>-2472900.5246271947</v>
      </c>
      <c r="G156" s="170">
        <f t="shared" si="80"/>
        <v>-2472900.5246271947</v>
      </c>
      <c r="H156" s="170">
        <f t="shared" si="80"/>
        <v>-2472900.5246271947</v>
      </c>
      <c r="I156" s="170">
        <f t="shared" si="80"/>
        <v>-2472900.5246271947</v>
      </c>
      <c r="J156" s="170">
        <f>-J138</f>
        <v>-2472900.5246271947</v>
      </c>
      <c r="K156" s="170">
        <f>-K138</f>
        <v>-2472900.5246271947</v>
      </c>
      <c r="L156" s="170">
        <f>-L138</f>
        <v>-2472900.5246271947</v>
      </c>
    </row>
    <row r="157" spans="2:12" ht="18.75" customHeight="1">
      <c r="B157" s="2" t="s">
        <v>47</v>
      </c>
      <c r="C157" s="170">
        <v>0</v>
      </c>
      <c r="D157" s="170">
        <f aca="true" t="shared" si="81" ref="D157:L157">C157</f>
        <v>0</v>
      </c>
      <c r="E157" s="170">
        <f t="shared" si="81"/>
        <v>0</v>
      </c>
      <c r="F157" s="170">
        <f t="shared" si="81"/>
        <v>0</v>
      </c>
      <c r="G157" s="170">
        <f t="shared" si="81"/>
        <v>0</v>
      </c>
      <c r="H157" s="170">
        <f t="shared" si="81"/>
        <v>0</v>
      </c>
      <c r="I157" s="170">
        <f t="shared" si="81"/>
        <v>0</v>
      </c>
      <c r="J157" s="170">
        <f t="shared" si="81"/>
        <v>0</v>
      </c>
      <c r="K157" s="170">
        <f t="shared" si="81"/>
        <v>0</v>
      </c>
      <c r="L157" s="170">
        <f t="shared" si="81"/>
        <v>0</v>
      </c>
    </row>
    <row r="158" spans="2:12" ht="18.75" customHeight="1">
      <c r="B158" s="2" t="s">
        <v>11</v>
      </c>
      <c r="C158" s="170">
        <f>SUM(C152:C157)</f>
        <v>406363.91462691687</v>
      </c>
      <c r="D158" s="170">
        <f aca="true" t="shared" si="82" ref="D158:I158">SUM(D152:D157)</f>
        <v>3922642.1346269166</v>
      </c>
      <c r="E158" s="170">
        <f t="shared" si="82"/>
        <v>3922642.1346269166</v>
      </c>
      <c r="F158" s="170">
        <f t="shared" si="82"/>
        <v>3922642.1346269166</v>
      </c>
      <c r="G158" s="170">
        <f t="shared" si="82"/>
        <v>3922642.1346269166</v>
      </c>
      <c r="H158" s="170">
        <f t="shared" si="82"/>
        <v>3922642.1346269166</v>
      </c>
      <c r="I158" s="170">
        <f t="shared" si="82"/>
        <v>3922642.1346269166</v>
      </c>
      <c r="J158" s="170">
        <f>SUM(J152:J157)</f>
        <v>3922642.1346269166</v>
      </c>
      <c r="K158" s="170">
        <f>SUM(K152:K157)</f>
        <v>3922642.1346269166</v>
      </c>
      <c r="L158" s="170">
        <f>SUM(L152:L157)</f>
        <v>3922642.1346269166</v>
      </c>
    </row>
    <row r="159" spans="2:12" ht="18.75" customHeight="1">
      <c r="B159" s="2" t="s">
        <v>12</v>
      </c>
      <c r="C159" s="7">
        <f aca="true" t="shared" si="83" ref="C159:I159">C145</f>
        <v>0.09991333016039017</v>
      </c>
      <c r="D159" s="7">
        <f t="shared" si="83"/>
        <v>0.09991333016039017</v>
      </c>
      <c r="E159" s="7">
        <f t="shared" si="83"/>
        <v>0.09991333016039017</v>
      </c>
      <c r="F159" s="7">
        <f t="shared" si="83"/>
        <v>0.09991333016039017</v>
      </c>
      <c r="G159" s="7">
        <f t="shared" si="83"/>
        <v>0.09991333016039017</v>
      </c>
      <c r="H159" s="7">
        <f t="shared" si="83"/>
        <v>0.09991333016039017</v>
      </c>
      <c r="I159" s="7">
        <f t="shared" si="83"/>
        <v>0.09991333016039017</v>
      </c>
      <c r="J159" s="7">
        <f>J145</f>
        <v>0.09991333016039017</v>
      </c>
      <c r="K159" s="7">
        <f>K145</f>
        <v>0.09991333016039017</v>
      </c>
      <c r="L159" s="7">
        <f>L145</f>
        <v>0.09991333016039017</v>
      </c>
    </row>
    <row r="160" spans="2:12" ht="18.75" customHeight="1">
      <c r="B160" s="34"/>
      <c r="C160" s="174">
        <f>C158*C159</f>
        <v>40601.171967387745</v>
      </c>
      <c r="D160" s="174">
        <f aca="true" t="shared" si="84" ref="D160:I160">D158*D159</f>
        <v>391924.23869803676</v>
      </c>
      <c r="E160" s="174">
        <f t="shared" si="84"/>
        <v>391924.23869803676</v>
      </c>
      <c r="F160" s="174">
        <f t="shared" si="84"/>
        <v>391924.23869803676</v>
      </c>
      <c r="G160" s="174">
        <f t="shared" si="84"/>
        <v>391924.23869803676</v>
      </c>
      <c r="H160" s="174">
        <f t="shared" si="84"/>
        <v>391924.23869803676</v>
      </c>
      <c r="I160" s="174">
        <f t="shared" si="84"/>
        <v>391924.23869803676</v>
      </c>
      <c r="J160" s="174">
        <f>J158*J159</f>
        <v>391924.23869803676</v>
      </c>
      <c r="K160" s="174">
        <f>K158*K159</f>
        <v>391924.23869803676</v>
      </c>
      <c r="L160" s="174">
        <f>L158*L159</f>
        <v>391924.23869803676</v>
      </c>
    </row>
    <row r="161" spans="1:12" ht="18.75" customHeight="1">
      <c r="A161" s="3"/>
      <c r="B161" s="32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2:12" ht="18.75" customHeight="1">
      <c r="B162" s="1" t="s">
        <v>52</v>
      </c>
      <c r="C162" s="170">
        <v>0</v>
      </c>
      <c r="D162" s="170">
        <f>C162</f>
        <v>0</v>
      </c>
      <c r="E162" s="170">
        <f aca="true" t="shared" si="85" ref="E162:L162">D162</f>
        <v>0</v>
      </c>
      <c r="F162" s="170">
        <f t="shared" si="85"/>
        <v>0</v>
      </c>
      <c r="G162" s="170">
        <f t="shared" si="85"/>
        <v>0</v>
      </c>
      <c r="H162" s="170">
        <f t="shared" si="85"/>
        <v>0</v>
      </c>
      <c r="I162" s="170">
        <f t="shared" si="85"/>
        <v>0</v>
      </c>
      <c r="J162" s="170">
        <f t="shared" si="85"/>
        <v>0</v>
      </c>
      <c r="K162" s="170">
        <f t="shared" si="85"/>
        <v>0</v>
      </c>
      <c r="L162" s="170">
        <f t="shared" si="85"/>
        <v>0</v>
      </c>
    </row>
    <row r="163" spans="2:12" ht="18.75" customHeight="1">
      <c r="B163" s="2" t="s">
        <v>48</v>
      </c>
      <c r="C163" s="170">
        <f>C146</f>
        <v>0</v>
      </c>
      <c r="D163" s="170">
        <f aca="true" t="shared" si="86" ref="D163:I163">D146</f>
        <v>0</v>
      </c>
      <c r="E163" s="170">
        <f t="shared" si="86"/>
        <v>0</v>
      </c>
      <c r="F163" s="170">
        <f t="shared" si="86"/>
        <v>0</v>
      </c>
      <c r="G163" s="170">
        <f t="shared" si="86"/>
        <v>0</v>
      </c>
      <c r="H163" s="170">
        <f t="shared" si="86"/>
        <v>0</v>
      </c>
      <c r="I163" s="170">
        <f t="shared" si="86"/>
        <v>0</v>
      </c>
      <c r="J163" s="170">
        <f>J146</f>
        <v>0</v>
      </c>
      <c r="K163" s="170">
        <f>K146</f>
        <v>0</v>
      </c>
      <c r="L163" s="170">
        <f>L146</f>
        <v>0</v>
      </c>
    </row>
    <row r="164" spans="2:12" ht="18.75" customHeight="1">
      <c r="B164" s="2" t="s">
        <v>434</v>
      </c>
      <c r="C164" s="170">
        <v>0</v>
      </c>
      <c r="D164" s="170">
        <f aca="true" t="shared" si="87" ref="D164:L164">C164</f>
        <v>0</v>
      </c>
      <c r="E164" s="170">
        <f t="shared" si="87"/>
        <v>0</v>
      </c>
      <c r="F164" s="170">
        <f t="shared" si="87"/>
        <v>0</v>
      </c>
      <c r="G164" s="170">
        <f t="shared" si="87"/>
        <v>0</v>
      </c>
      <c r="H164" s="170">
        <f t="shared" si="87"/>
        <v>0</v>
      </c>
      <c r="I164" s="170">
        <f t="shared" si="87"/>
        <v>0</v>
      </c>
      <c r="J164" s="170">
        <f t="shared" si="87"/>
        <v>0</v>
      </c>
      <c r="K164" s="170">
        <f t="shared" si="87"/>
        <v>0</v>
      </c>
      <c r="L164" s="170">
        <f t="shared" si="87"/>
        <v>0</v>
      </c>
    </row>
    <row r="165" spans="2:12" ht="18.75" customHeight="1">
      <c r="B165" s="2" t="s">
        <v>50</v>
      </c>
      <c r="C165" s="170">
        <v>0</v>
      </c>
      <c r="D165" s="170">
        <f aca="true" t="shared" si="88" ref="D165:L165">D148*(C152+C154)</f>
        <v>993.8139888811676</v>
      </c>
      <c r="E165" s="170">
        <f t="shared" si="88"/>
        <v>9593.313988881167</v>
      </c>
      <c r="F165" s="170">
        <f t="shared" si="88"/>
        <v>9593.313988881167</v>
      </c>
      <c r="G165" s="170">
        <f t="shared" si="88"/>
        <v>9593.313988881167</v>
      </c>
      <c r="H165" s="170">
        <f t="shared" si="88"/>
        <v>9593.313988881167</v>
      </c>
      <c r="I165" s="170">
        <f t="shared" si="88"/>
        <v>9593.313988881167</v>
      </c>
      <c r="J165" s="170">
        <f t="shared" si="88"/>
        <v>9593.313988881167</v>
      </c>
      <c r="K165" s="170">
        <f t="shared" si="88"/>
        <v>9593.313988881167</v>
      </c>
      <c r="L165" s="170">
        <f t="shared" si="88"/>
        <v>9593.313988881167</v>
      </c>
    </row>
    <row r="166" spans="2:12" ht="18.75" customHeight="1">
      <c r="B166" s="21" t="s">
        <v>51</v>
      </c>
      <c r="C166" s="174">
        <f aca="true" t="shared" si="89" ref="C166:I166">SUM(C162:C165)</f>
        <v>0</v>
      </c>
      <c r="D166" s="174">
        <f t="shared" si="89"/>
        <v>993.8139888811676</v>
      </c>
      <c r="E166" s="174">
        <f t="shared" si="89"/>
        <v>9593.313988881167</v>
      </c>
      <c r="F166" s="174">
        <f t="shared" si="89"/>
        <v>9593.313988881167</v>
      </c>
      <c r="G166" s="174">
        <f t="shared" si="89"/>
        <v>9593.313988881167</v>
      </c>
      <c r="H166" s="174">
        <f t="shared" si="89"/>
        <v>9593.313988881167</v>
      </c>
      <c r="I166" s="174">
        <f t="shared" si="89"/>
        <v>9593.313988881167</v>
      </c>
      <c r="J166" s="174">
        <f>SUM(J162:J165)</f>
        <v>9593.313988881167</v>
      </c>
      <c r="K166" s="174">
        <f>SUM(K162:K165)</f>
        <v>9593.313988881167</v>
      </c>
      <c r="L166" s="174">
        <f>SUM(L162:L165)</f>
        <v>9593.313988881167</v>
      </c>
    </row>
    <row r="167" spans="3:12" ht="18.75" customHeight="1">
      <c r="C167" s="34"/>
      <c r="D167" s="268"/>
      <c r="E167" s="268"/>
      <c r="F167" s="268"/>
      <c r="G167" s="268"/>
      <c r="H167" s="268"/>
      <c r="I167" s="268"/>
      <c r="J167" s="268"/>
      <c r="K167" s="268"/>
      <c r="L167" s="268"/>
    </row>
    <row r="168" spans="2:12" ht="18.75" customHeight="1">
      <c r="B168" s="1" t="s">
        <v>59</v>
      </c>
      <c r="C168" s="170">
        <f>C160+C166</f>
        <v>40601.171967387745</v>
      </c>
      <c r="D168" s="170">
        <f aca="true" t="shared" si="90" ref="D168:I168">D160+D166</f>
        <v>392918.05268691794</v>
      </c>
      <c r="E168" s="170">
        <f t="shared" si="90"/>
        <v>401517.55268691794</v>
      </c>
      <c r="F168" s="170">
        <f t="shared" si="90"/>
        <v>401517.55268691794</v>
      </c>
      <c r="G168" s="170">
        <f t="shared" si="90"/>
        <v>401517.55268691794</v>
      </c>
      <c r="H168" s="170">
        <f t="shared" si="90"/>
        <v>401517.55268691794</v>
      </c>
      <c r="I168" s="170">
        <f t="shared" si="90"/>
        <v>401517.55268691794</v>
      </c>
      <c r="J168" s="170">
        <f>J160+J166</f>
        <v>401517.55268691794</v>
      </c>
      <c r="K168" s="170">
        <f>K160+K166</f>
        <v>401517.55268691794</v>
      </c>
      <c r="L168" s="170">
        <f>L160+L166</f>
        <v>401517.55268691794</v>
      </c>
    </row>
    <row r="171" spans="1:12" ht="18.75" customHeight="1">
      <c r="A171" s="28"/>
      <c r="B171" s="28"/>
      <c r="C171" s="212" t="s">
        <v>257</v>
      </c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8.75" customHeight="1">
      <c r="A172" s="28"/>
      <c r="B172" s="28"/>
      <c r="C172" s="29">
        <f>Input!B$2</f>
        <v>2016</v>
      </c>
      <c r="D172" s="29">
        <f aca="true" t="shared" si="91" ref="D172:L173">C172+1</f>
        <v>2017</v>
      </c>
      <c r="E172" s="29">
        <f t="shared" si="91"/>
        <v>2018</v>
      </c>
      <c r="F172" s="29">
        <f t="shared" si="91"/>
        <v>2019</v>
      </c>
      <c r="G172" s="29">
        <f t="shared" si="91"/>
        <v>2020</v>
      </c>
      <c r="H172" s="29">
        <f t="shared" si="91"/>
        <v>2021</v>
      </c>
      <c r="I172" s="29">
        <f t="shared" si="91"/>
        <v>2022</v>
      </c>
      <c r="J172" s="29">
        <f t="shared" si="91"/>
        <v>2023</v>
      </c>
      <c r="K172" s="29">
        <f t="shared" si="91"/>
        <v>2024</v>
      </c>
      <c r="L172" s="29">
        <f t="shared" si="91"/>
        <v>2025</v>
      </c>
    </row>
    <row r="173" spans="1:12" ht="18.75" customHeight="1">
      <c r="A173" s="258">
        <v>2018</v>
      </c>
      <c r="B173" s="28" t="s">
        <v>43</v>
      </c>
      <c r="C173" s="209">
        <v>1</v>
      </c>
      <c r="D173" s="209">
        <f>C173+1</f>
        <v>2</v>
      </c>
      <c r="E173" s="209">
        <f t="shared" si="91"/>
        <v>3</v>
      </c>
      <c r="F173" s="209">
        <f t="shared" si="91"/>
        <v>4</v>
      </c>
      <c r="G173" s="209">
        <f t="shared" si="91"/>
        <v>5</v>
      </c>
      <c r="H173" s="209">
        <f t="shared" si="91"/>
        <v>6</v>
      </c>
      <c r="I173" s="209">
        <f t="shared" si="91"/>
        <v>7</v>
      </c>
      <c r="J173" s="209">
        <f t="shared" si="91"/>
        <v>8</v>
      </c>
      <c r="K173" s="209">
        <f t="shared" si="91"/>
        <v>9</v>
      </c>
      <c r="L173" s="209">
        <f t="shared" si="91"/>
        <v>10</v>
      </c>
    </row>
    <row r="174" spans="2:12" ht="18.75" customHeight="1">
      <c r="B174" s="211" t="s">
        <v>329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8.75" customHeight="1">
      <c r="A175" s="21" t="s">
        <v>103</v>
      </c>
      <c r="B175" s="10" t="s">
        <v>407</v>
      </c>
      <c r="C175" s="172">
        <f>VLOOKUP(C$4,'Cash Flows-LGE'!$B$44:$H$54,$A176)</f>
        <v>499746.46298024425</v>
      </c>
      <c r="D175" s="172">
        <f>VLOOKUP(D$4,'Cash Flows-LGE'!$B$44:$H$54,$A176)</f>
        <v>263000</v>
      </c>
      <c r="E175" s="172">
        <f>VLOOKUP(E$4,'Cash Flows-LGE'!$B$44:$H$54,$A176)</f>
        <v>4728000</v>
      </c>
      <c r="F175" s="172">
        <f>VLOOKUP(F$4,'Cash Flows-LGE'!$B$44:$H$54,$A176)</f>
        <v>0</v>
      </c>
      <c r="G175" s="172">
        <f>VLOOKUP(G$4,'Cash Flows-LGE'!$B$44:$H$54,$A176)</f>
        <v>0</v>
      </c>
      <c r="H175" s="172">
        <f>VLOOKUP(H$4,'Cash Flows-LGE'!$B$44:$H$54,$A176)</f>
        <v>0</v>
      </c>
      <c r="I175" s="172">
        <f>VLOOKUP(I$4,'Cash Flows-LGE'!$B$44:$H$54,$A176)</f>
        <v>0</v>
      </c>
      <c r="J175" s="172">
        <f>VLOOKUP(J$4,'Cash Flows-LGE'!$B$44:$H$54,$A176)</f>
        <v>0</v>
      </c>
      <c r="K175" s="172">
        <f>VLOOKUP(K$4,'Cash Flows-LGE'!$B$44:$H$54,$A176)</f>
        <v>0</v>
      </c>
      <c r="L175" s="172">
        <f>VLOOKUP(L$4,'Cash Flows-LGE'!$B$44:$H$54,$A176)</f>
        <v>0</v>
      </c>
    </row>
    <row r="176" spans="1:13" ht="18.75" customHeight="1">
      <c r="A176" s="3">
        <v>6</v>
      </c>
      <c r="B176" s="40" t="s">
        <v>57</v>
      </c>
      <c r="C176" s="172">
        <f>SUM($C175:C175)</f>
        <v>499746.46298024425</v>
      </c>
      <c r="D176" s="172">
        <f>SUM($C175:D175)</f>
        <v>762746.4629802443</v>
      </c>
      <c r="E176" s="172">
        <f>SUM($C175:E175)</f>
        <v>5490746.462980244</v>
      </c>
      <c r="F176" s="172">
        <f>SUM($C175:F175)</f>
        <v>5490746.462980244</v>
      </c>
      <c r="G176" s="172">
        <f>SUM($C175:G175)</f>
        <v>5490746.462980244</v>
      </c>
      <c r="H176" s="172">
        <f>SUM($C175:H175)</f>
        <v>5490746.462980244</v>
      </c>
      <c r="I176" s="172">
        <f>SUM($C175:I175)</f>
        <v>5490746.462980244</v>
      </c>
      <c r="J176" s="172">
        <f>SUM($C175:J175)</f>
        <v>5490746.462980244</v>
      </c>
      <c r="K176" s="172">
        <f>SUM($C175:K175)</f>
        <v>5490746.462980244</v>
      </c>
      <c r="L176" s="172">
        <f>SUM($C175:L175)</f>
        <v>5490746.462980244</v>
      </c>
      <c r="M176" s="18"/>
    </row>
    <row r="177" spans="1:12" ht="18.75" customHeight="1">
      <c r="A177" s="3">
        <v>2</v>
      </c>
      <c r="B177" s="5" t="s">
        <v>0</v>
      </c>
      <c r="C177" s="6">
        <f>IF(C173="",0,VLOOKUP($B174,Depreciation!$D$2:$E$31,$A177,FALSE))</f>
        <v>0</v>
      </c>
      <c r="D177" s="6">
        <f>IF(D173="",0,VLOOKUP($B174,Depreciation!$D$2:$E$31,$A177,FALSE))</f>
        <v>0</v>
      </c>
      <c r="E177" s="6">
        <f>IF(E173="",0,VLOOKUP($B174,Depreciation!$D$2:$E$31,$A177,FALSE))</f>
        <v>0</v>
      </c>
      <c r="F177" s="6">
        <f>IF(F173="",0,VLOOKUP($B174,Depreciation!$D$2:$E$31,$A177,FALSE))</f>
        <v>0</v>
      </c>
      <c r="G177" s="6">
        <f>IF(G173="",0,VLOOKUP($B174,Depreciation!$D$2:$E$31,$A177,FALSE))</f>
        <v>0</v>
      </c>
      <c r="H177" s="6">
        <f>IF(H173="",0,VLOOKUP($B174,Depreciation!$D$2:$E$31,$A177,FALSE))</f>
        <v>0</v>
      </c>
      <c r="I177" s="6">
        <f>IF(I173="",0,VLOOKUP($B174,Depreciation!$D$2:$E$31,$A177,FALSE))</f>
        <v>0</v>
      </c>
      <c r="J177" s="6">
        <f>IF(J173="",0,VLOOKUP($B174,Depreciation!$D$2:$E$31,$A177,FALSE))</f>
        <v>0</v>
      </c>
      <c r="K177" s="6">
        <f>IF(K173="",0,VLOOKUP($B174,Depreciation!$D$2:$E$31,$A177,FALSE))</f>
        <v>0</v>
      </c>
      <c r="L177" s="6">
        <f>IF(L173="",0,VLOOKUP($B174,Depreciation!$D$2:$E$31,$A177,FALSE))</f>
        <v>0</v>
      </c>
    </row>
    <row r="178" spans="1:12" ht="18.75" customHeight="1">
      <c r="A178" s="3">
        <v>3</v>
      </c>
      <c r="B178" s="5" t="s">
        <v>1</v>
      </c>
      <c r="C178" s="6">
        <f>IF(C173="",0,VLOOKUP(C173,Depreciation!$A$2:$C$58,$A178,FALSE))</f>
        <v>1</v>
      </c>
      <c r="D178" s="6">
        <f>IF(D173="",0,VLOOKUP(D173,Depreciation!$A$2:$C$58,$A178,FALSE))</f>
        <v>1</v>
      </c>
      <c r="E178" s="6">
        <f>IF(E173="",0,VLOOKUP(E173,Depreciation!$A$2:$C$58,$A178,FALSE))</f>
        <v>1</v>
      </c>
      <c r="F178" s="6">
        <f>IF(F173="",0,VLOOKUP(F173,Depreciation!$A$2:$C$58,$A178,FALSE))</f>
        <v>1</v>
      </c>
      <c r="G178" s="6">
        <f>IF(G173="",0,VLOOKUP(G173,Depreciation!$A$2:$C$58,$A178,FALSE))</f>
        <v>1</v>
      </c>
      <c r="H178" s="6">
        <f>IF(H173="",0,VLOOKUP(H173,Depreciation!$A$2:$C$58,$A178,FALSE))</f>
        <v>1</v>
      </c>
      <c r="I178" s="6">
        <f>IF(I173="",0,VLOOKUP(I173,Depreciation!$A$2:$C$58,$A178,FALSE))</f>
        <v>1</v>
      </c>
      <c r="J178" s="6">
        <f>IF(J173="",0,VLOOKUP(J173,Depreciation!$A$2:$C$58,$A178,FALSE))</f>
        <v>1</v>
      </c>
      <c r="K178" s="6">
        <f>IF(K173="",0,VLOOKUP(K173,Depreciation!$A$2:$C$58,$A178,FALSE))</f>
        <v>1</v>
      </c>
      <c r="L178" s="6">
        <f>IF(L173="",0,VLOOKUP(L173,Depreciation!$A$2:$C$58,$A178,FALSE))</f>
        <v>1</v>
      </c>
    </row>
    <row r="179" spans="1:12" ht="18.75" customHeight="1">
      <c r="A179" s="30"/>
      <c r="B179" s="31" t="s">
        <v>2</v>
      </c>
      <c r="C179" s="7">
        <f>Input!B$3</f>
        <v>0.38665999999999995</v>
      </c>
      <c r="D179" s="7">
        <f>Input!C$3</f>
        <v>0.38665999999999995</v>
      </c>
      <c r="E179" s="7">
        <f>Input!D$3</f>
        <v>0.38665999999999995</v>
      </c>
      <c r="F179" s="7">
        <f>Input!E$3</f>
        <v>0.38665999999999995</v>
      </c>
      <c r="G179" s="7">
        <f>Input!F$3</f>
        <v>0.38665999999999995</v>
      </c>
      <c r="H179" s="7">
        <f>Input!G$3</f>
        <v>0.38665999999999995</v>
      </c>
      <c r="I179" s="7">
        <f>Input!H$3</f>
        <v>0.38665999999999995</v>
      </c>
      <c r="J179" s="7">
        <f>Input!I$3</f>
        <v>0.38665999999999995</v>
      </c>
      <c r="K179" s="7">
        <f>Input!J$3</f>
        <v>0.38665999999999995</v>
      </c>
      <c r="L179" s="7">
        <f>Input!K$3</f>
        <v>0.38665999999999995</v>
      </c>
    </row>
    <row r="180" spans="2:12" ht="18.75" customHeight="1">
      <c r="B180" s="2" t="s">
        <v>3</v>
      </c>
      <c r="C180" s="170">
        <f>SUM($C191:C191)</f>
        <v>193231.96737594123</v>
      </c>
      <c r="D180" s="170">
        <f>SUM($C191:D191)</f>
        <v>294923.5473759412</v>
      </c>
      <c r="E180" s="170">
        <f>SUM($C191:E191)</f>
        <v>2123052.027375941</v>
      </c>
      <c r="F180" s="170">
        <f>SUM($C191:F191)</f>
        <v>2123052.027375941</v>
      </c>
      <c r="G180" s="170">
        <f>SUM($C191:G191)</f>
        <v>2123052.027375941</v>
      </c>
      <c r="H180" s="170">
        <f>SUM($C191:H191)</f>
        <v>2123052.027375941</v>
      </c>
      <c r="I180" s="170">
        <f>SUM($C191:I191)</f>
        <v>2123052.027375941</v>
      </c>
      <c r="J180" s="170">
        <f>SUM($C191:J191)</f>
        <v>2123052.027375941</v>
      </c>
      <c r="K180" s="170">
        <f>SUM($C191:K191)</f>
        <v>2123052.027375941</v>
      </c>
      <c r="L180" s="170">
        <f>SUM($C191:L191)</f>
        <v>2123052.027375941</v>
      </c>
    </row>
    <row r="181" spans="2:12" ht="18.75" customHeight="1">
      <c r="B181" s="2" t="s">
        <v>4</v>
      </c>
      <c r="C181" s="170">
        <f>SUM($C183:C183)</f>
        <v>0</v>
      </c>
      <c r="D181" s="170">
        <f>SUM($C183:D183)</f>
        <v>0</v>
      </c>
      <c r="E181" s="170">
        <f>SUM($C183:E183)</f>
        <v>0</v>
      </c>
      <c r="F181" s="170">
        <f>SUM($C183:F183)</f>
        <v>0</v>
      </c>
      <c r="G181" s="170">
        <f>SUM($C183:G183)</f>
        <v>0</v>
      </c>
      <c r="H181" s="170">
        <f>SUM($C183:H183)</f>
        <v>0</v>
      </c>
      <c r="I181" s="170">
        <f>SUM($C183:I183)</f>
        <v>0</v>
      </c>
      <c r="J181" s="170">
        <f>SUM($C183:J183)</f>
        <v>0</v>
      </c>
      <c r="K181" s="170">
        <f>SUM($C183:K183)</f>
        <v>0</v>
      </c>
      <c r="L181" s="170">
        <f>SUM($C183:L183)</f>
        <v>0</v>
      </c>
    </row>
    <row r="182" spans="2:12" ht="18.75" customHeight="1">
      <c r="B182" s="11" t="s">
        <v>5</v>
      </c>
      <c r="C182" s="170">
        <f>C175</f>
        <v>499746.46298024425</v>
      </c>
      <c r="D182" s="170">
        <f>C182+D175</f>
        <v>762746.4629802443</v>
      </c>
      <c r="E182" s="170">
        <f aca="true" t="shared" si="92" ref="E182:L182">D182+E175</f>
        <v>5490746.462980244</v>
      </c>
      <c r="F182" s="170">
        <f t="shared" si="92"/>
        <v>5490746.462980244</v>
      </c>
      <c r="G182" s="170">
        <f t="shared" si="92"/>
        <v>5490746.462980244</v>
      </c>
      <c r="H182" s="170">
        <f t="shared" si="92"/>
        <v>5490746.462980244</v>
      </c>
      <c r="I182" s="170">
        <f t="shared" si="92"/>
        <v>5490746.462980244</v>
      </c>
      <c r="J182" s="170">
        <f t="shared" si="92"/>
        <v>5490746.462980244</v>
      </c>
      <c r="K182" s="170">
        <f t="shared" si="92"/>
        <v>5490746.462980244</v>
      </c>
      <c r="L182" s="170">
        <f t="shared" si="92"/>
        <v>5490746.462980244</v>
      </c>
    </row>
    <row r="183" spans="1:12" ht="18.75" customHeight="1">
      <c r="A183" s="214" t="s">
        <v>372</v>
      </c>
      <c r="B183" s="11" t="s">
        <v>6</v>
      </c>
      <c r="C183" s="170">
        <f aca="true" t="shared" si="93" ref="C183:L183">IF(C173=1,(12.5-VLOOKUP(C171,$Q$5:$R$16,2,))*C177/12*C182,C182*C177)</f>
        <v>0</v>
      </c>
      <c r="D183" s="170">
        <f t="shared" si="93"/>
        <v>0</v>
      </c>
      <c r="E183" s="170">
        <f t="shared" si="93"/>
        <v>0</v>
      </c>
      <c r="F183" s="170">
        <f t="shared" si="93"/>
        <v>0</v>
      </c>
      <c r="G183" s="170">
        <f t="shared" si="93"/>
        <v>0</v>
      </c>
      <c r="H183" s="170">
        <f t="shared" si="93"/>
        <v>0</v>
      </c>
      <c r="I183" s="170">
        <f t="shared" si="93"/>
        <v>0</v>
      </c>
      <c r="J183" s="170">
        <f t="shared" si="93"/>
        <v>0</v>
      </c>
      <c r="K183" s="170">
        <f t="shared" si="93"/>
        <v>0</v>
      </c>
      <c r="L183" s="170">
        <f t="shared" si="93"/>
        <v>0</v>
      </c>
    </row>
    <row r="184" spans="1:12" ht="18.75" customHeight="1">
      <c r="A184" s="3"/>
      <c r="B184" s="5" t="s">
        <v>7</v>
      </c>
      <c r="C184" s="170">
        <f>C175</f>
        <v>499746.46298024425</v>
      </c>
      <c r="D184" s="170">
        <f aca="true" t="shared" si="94" ref="D184:L184">C184+D175</f>
        <v>762746.4629802443</v>
      </c>
      <c r="E184" s="170">
        <f t="shared" si="94"/>
        <v>5490746.462980244</v>
      </c>
      <c r="F184" s="170">
        <f t="shared" si="94"/>
        <v>5490746.462980244</v>
      </c>
      <c r="G184" s="170">
        <f t="shared" si="94"/>
        <v>5490746.462980244</v>
      </c>
      <c r="H184" s="170">
        <f t="shared" si="94"/>
        <v>5490746.462980244</v>
      </c>
      <c r="I184" s="170">
        <f t="shared" si="94"/>
        <v>5490746.462980244</v>
      </c>
      <c r="J184" s="170">
        <f t="shared" si="94"/>
        <v>5490746.462980244</v>
      </c>
      <c r="K184" s="170">
        <f t="shared" si="94"/>
        <v>5490746.462980244</v>
      </c>
      <c r="L184" s="170">
        <f t="shared" si="94"/>
        <v>5490746.462980244</v>
      </c>
    </row>
    <row r="185" spans="2:12" ht="18.75" customHeight="1">
      <c r="B185" s="213" t="s">
        <v>361</v>
      </c>
      <c r="C185" s="170">
        <f>IF(C173=1,IF($A183="Bonus",SUM($C175:C175)*VLOOKUP(C172,Depreciation!$D$41:$E$50,2),0),0)</f>
        <v>0</v>
      </c>
      <c r="D185" s="170">
        <f>IF(D173=1,IF($A183="Bonus",SUM($C175:D175)*VLOOKUP(D172,Depreciation!$D$41:$E$50,2),0),0)</f>
        <v>0</v>
      </c>
      <c r="E185" s="170">
        <f>IF(E173=1,IF($A183="Bonus",SUM($C175:E175)*VLOOKUP(E172,Depreciation!$D$41:$E$50,2),0),0)</f>
        <v>0</v>
      </c>
      <c r="F185" s="170">
        <f>IF(F173=1,IF($A183="Bonus",SUM($C175:F175)*VLOOKUP(F172,Depreciation!$D$41:$E$50,2),0),0)</f>
        <v>0</v>
      </c>
      <c r="G185" s="170">
        <f>IF(G173=1,IF($A183="Bonus",SUM($C175:G175)*VLOOKUP(G172,Depreciation!$D$41:$E$50,2),0),0)</f>
        <v>0</v>
      </c>
      <c r="H185" s="170">
        <f>IF(H173=1,IF($A183="Bonus",SUM($C175:H175)*VLOOKUP(H172,Depreciation!$D$41:$E$50,2),0),0)</f>
        <v>0</v>
      </c>
      <c r="I185" s="170">
        <f>IF(I173=1,IF($A183="Bonus",SUM($C175:I175)*VLOOKUP(I172,Depreciation!$D$41:$E$50,2),0),0)</f>
        <v>0</v>
      </c>
      <c r="J185" s="170">
        <f>IF(J173=1,IF($A183="Bonus",SUM($C175:J175)*VLOOKUP(J172,Depreciation!$D$41:$E$50,2),0),0)</f>
        <v>0</v>
      </c>
      <c r="K185" s="170">
        <f>IF(K173=1,IF($A183="Bonus",SUM($C175:K175)*VLOOKUP(K172,Depreciation!$D$41:$E$50,2),0),0)</f>
        <v>0</v>
      </c>
      <c r="L185" s="170">
        <f>IF(L173=1,IF($A183="Bonus",SUM($C175:L175)*VLOOKUP(L172,Depreciation!$D$41:$E$50,2),0),0)</f>
        <v>0</v>
      </c>
    </row>
    <row r="186" spans="2:12" ht="18.75" customHeight="1">
      <c r="B186" s="5" t="s">
        <v>362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</row>
    <row r="187" spans="2:12" ht="18.75" customHeight="1">
      <c r="B187" s="5" t="s">
        <v>17</v>
      </c>
      <c r="C187" s="34">
        <f>Input!I$19</f>
        <v>0.09991333016039017</v>
      </c>
      <c r="D187" s="34">
        <f>Input!J$19</f>
        <v>0.09991333016039017</v>
      </c>
      <c r="E187" s="34">
        <f>Input!K$19</f>
        <v>0.09991333016039017</v>
      </c>
      <c r="F187" s="34">
        <f>Input!L$19</f>
        <v>0.09991333016039017</v>
      </c>
      <c r="G187" s="34">
        <f>Input!M$19</f>
        <v>0.09991333016039017</v>
      </c>
      <c r="H187" s="34">
        <f>Input!N$19</f>
        <v>0.09991333016039017</v>
      </c>
      <c r="I187" s="34">
        <f>Input!O$19</f>
        <v>0.09991333016039017</v>
      </c>
      <c r="J187" s="34">
        <f>Input!P$19</f>
        <v>0.09991333016039017</v>
      </c>
      <c r="K187" s="34">
        <f>Input!Q$19</f>
        <v>0.09991333016039017</v>
      </c>
      <c r="L187" s="34">
        <f>Input!R$19</f>
        <v>0.09991333016039017</v>
      </c>
    </row>
    <row r="188" spans="2:12" ht="18.75" customHeight="1">
      <c r="B188" s="5" t="s">
        <v>8</v>
      </c>
      <c r="C188" s="181">
        <f aca="true" t="shared" si="95" ref="C188:L188">C183</f>
        <v>0</v>
      </c>
      <c r="D188" s="181">
        <f t="shared" si="95"/>
        <v>0</v>
      </c>
      <c r="E188" s="181">
        <f t="shared" si="95"/>
        <v>0</v>
      </c>
      <c r="F188" s="181">
        <f t="shared" si="95"/>
        <v>0</v>
      </c>
      <c r="G188" s="181">
        <f t="shared" si="95"/>
        <v>0</v>
      </c>
      <c r="H188" s="181">
        <f t="shared" si="95"/>
        <v>0</v>
      </c>
      <c r="I188" s="181">
        <f t="shared" si="95"/>
        <v>0</v>
      </c>
      <c r="J188" s="181">
        <f t="shared" si="95"/>
        <v>0</v>
      </c>
      <c r="K188" s="181">
        <f t="shared" si="95"/>
        <v>0</v>
      </c>
      <c r="L188" s="181">
        <f t="shared" si="95"/>
        <v>0</v>
      </c>
    </row>
    <row r="189" spans="2:12" ht="18.75" customHeight="1">
      <c r="B189" s="11" t="s">
        <v>364</v>
      </c>
      <c r="C189" s="181">
        <f>C175*C178</f>
        <v>499746.46298024425</v>
      </c>
      <c r="D189" s="181">
        <f aca="true" t="shared" si="96" ref="D189:L189">D175*D178</f>
        <v>263000</v>
      </c>
      <c r="E189" s="181">
        <f t="shared" si="96"/>
        <v>4728000</v>
      </c>
      <c r="F189" s="181">
        <f t="shared" si="96"/>
        <v>0</v>
      </c>
      <c r="G189" s="181">
        <f t="shared" si="96"/>
        <v>0</v>
      </c>
      <c r="H189" s="181">
        <f t="shared" si="96"/>
        <v>0</v>
      </c>
      <c r="I189" s="181">
        <f t="shared" si="96"/>
        <v>0</v>
      </c>
      <c r="J189" s="181">
        <f t="shared" si="96"/>
        <v>0</v>
      </c>
      <c r="K189" s="181">
        <f t="shared" si="96"/>
        <v>0</v>
      </c>
      <c r="L189" s="181">
        <f t="shared" si="96"/>
        <v>0</v>
      </c>
    </row>
    <row r="190" spans="2:12" ht="18.75" customHeight="1">
      <c r="B190" s="3" t="s">
        <v>9</v>
      </c>
      <c r="C190" s="8">
        <f>Input!$B$6</f>
        <v>0.0015</v>
      </c>
      <c r="D190" s="8">
        <f aca="true" t="shared" si="97" ref="D190:L190">C190</f>
        <v>0.0015</v>
      </c>
      <c r="E190" s="8">
        <f t="shared" si="97"/>
        <v>0.0015</v>
      </c>
      <c r="F190" s="8">
        <f t="shared" si="97"/>
        <v>0.0015</v>
      </c>
      <c r="G190" s="8">
        <f t="shared" si="97"/>
        <v>0.0015</v>
      </c>
      <c r="H190" s="8">
        <f t="shared" si="97"/>
        <v>0.0015</v>
      </c>
      <c r="I190" s="8">
        <f t="shared" si="97"/>
        <v>0.0015</v>
      </c>
      <c r="J190" s="8">
        <f t="shared" si="97"/>
        <v>0.0015</v>
      </c>
      <c r="K190" s="8">
        <f t="shared" si="97"/>
        <v>0.0015</v>
      </c>
      <c r="L190" s="8">
        <f t="shared" si="97"/>
        <v>0.0015</v>
      </c>
    </row>
    <row r="191" spans="2:12" ht="18.75" customHeight="1">
      <c r="B191" s="102" t="s">
        <v>363</v>
      </c>
      <c r="C191" s="171">
        <f aca="true" t="shared" si="98" ref="C191:L191">(C189-C188)*C179</f>
        <v>193231.96737594123</v>
      </c>
      <c r="D191" s="171">
        <f t="shared" si="98"/>
        <v>101691.57999999999</v>
      </c>
      <c r="E191" s="171">
        <f t="shared" si="98"/>
        <v>1828128.4799999997</v>
      </c>
      <c r="F191" s="171">
        <f t="shared" si="98"/>
        <v>0</v>
      </c>
      <c r="G191" s="171">
        <f t="shared" si="98"/>
        <v>0</v>
      </c>
      <c r="H191" s="171">
        <f t="shared" si="98"/>
        <v>0</v>
      </c>
      <c r="I191" s="171">
        <f t="shared" si="98"/>
        <v>0</v>
      </c>
      <c r="J191" s="171">
        <f t="shared" si="98"/>
        <v>0</v>
      </c>
      <c r="K191" s="171">
        <f t="shared" si="98"/>
        <v>0</v>
      </c>
      <c r="L191" s="171">
        <f t="shared" si="98"/>
        <v>0</v>
      </c>
    </row>
    <row r="192" spans="2:12" ht="18.75" customHeight="1">
      <c r="B192" s="4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8.75" customHeight="1">
      <c r="B193" s="10" t="s">
        <v>15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8.75" customHeight="1">
      <c r="B194" s="5" t="s">
        <v>16</v>
      </c>
      <c r="C194" s="169">
        <f>C176</f>
        <v>499746.46298024425</v>
      </c>
      <c r="D194" s="169">
        <f aca="true" t="shared" si="99" ref="D194:I194">D176</f>
        <v>762746.4629802443</v>
      </c>
      <c r="E194" s="169">
        <f t="shared" si="99"/>
        <v>5490746.462980244</v>
      </c>
      <c r="F194" s="169">
        <f t="shared" si="99"/>
        <v>5490746.462980244</v>
      </c>
      <c r="G194" s="169">
        <f t="shared" si="99"/>
        <v>5490746.462980244</v>
      </c>
      <c r="H194" s="169">
        <f t="shared" si="99"/>
        <v>5490746.462980244</v>
      </c>
      <c r="I194" s="169">
        <f t="shared" si="99"/>
        <v>5490746.462980244</v>
      </c>
      <c r="J194" s="169">
        <f>J176</f>
        <v>5490746.462980244</v>
      </c>
      <c r="K194" s="169">
        <f>K176</f>
        <v>5490746.462980244</v>
      </c>
      <c r="L194" s="169">
        <f>L176</f>
        <v>5490746.462980244</v>
      </c>
    </row>
    <row r="195" spans="1:12" ht="18.75" customHeight="1">
      <c r="A195" s="3"/>
      <c r="B195" s="4" t="s">
        <v>44</v>
      </c>
      <c r="C195" s="170">
        <v>0</v>
      </c>
      <c r="D195" s="170">
        <f aca="true" t="shared" si="100" ref="D195:L195">C195</f>
        <v>0</v>
      </c>
      <c r="E195" s="170">
        <f t="shared" si="100"/>
        <v>0</v>
      </c>
      <c r="F195" s="170">
        <f t="shared" si="100"/>
        <v>0</v>
      </c>
      <c r="G195" s="170">
        <f t="shared" si="100"/>
        <v>0</v>
      </c>
      <c r="H195" s="170">
        <f t="shared" si="100"/>
        <v>0</v>
      </c>
      <c r="I195" s="170">
        <f t="shared" si="100"/>
        <v>0</v>
      </c>
      <c r="J195" s="170">
        <f t="shared" si="100"/>
        <v>0</v>
      </c>
      <c r="K195" s="170">
        <f t="shared" si="100"/>
        <v>0</v>
      </c>
      <c r="L195" s="170">
        <f t="shared" si="100"/>
        <v>0</v>
      </c>
    </row>
    <row r="196" spans="2:12" ht="18.75" customHeight="1">
      <c r="B196" s="2" t="s">
        <v>10</v>
      </c>
      <c r="C196" s="170">
        <f>-C181</f>
        <v>0</v>
      </c>
      <c r="D196" s="170">
        <f aca="true" t="shared" si="101" ref="D196:I196">-D181</f>
        <v>0</v>
      </c>
      <c r="E196" s="170">
        <f t="shared" si="101"/>
        <v>0</v>
      </c>
      <c r="F196" s="170">
        <f t="shared" si="101"/>
        <v>0</v>
      </c>
      <c r="G196" s="170">
        <f t="shared" si="101"/>
        <v>0</v>
      </c>
      <c r="H196" s="170">
        <f t="shared" si="101"/>
        <v>0</v>
      </c>
      <c r="I196" s="170">
        <f t="shared" si="101"/>
        <v>0</v>
      </c>
      <c r="J196" s="170">
        <f>-J181</f>
        <v>0</v>
      </c>
      <c r="K196" s="170">
        <f>-K181</f>
        <v>0</v>
      </c>
      <c r="L196" s="170">
        <f>-L181</f>
        <v>0</v>
      </c>
    </row>
    <row r="197" spans="2:12" ht="18.75" customHeight="1">
      <c r="B197" s="2" t="s">
        <v>45</v>
      </c>
      <c r="C197" s="170">
        <v>0</v>
      </c>
      <c r="D197" s="170">
        <f aca="true" t="shared" si="102" ref="D197:L197">C197</f>
        <v>0</v>
      </c>
      <c r="E197" s="170">
        <f t="shared" si="102"/>
        <v>0</v>
      </c>
      <c r="F197" s="170">
        <f t="shared" si="102"/>
        <v>0</v>
      </c>
      <c r="G197" s="170">
        <f t="shared" si="102"/>
        <v>0</v>
      </c>
      <c r="H197" s="170">
        <f t="shared" si="102"/>
        <v>0</v>
      </c>
      <c r="I197" s="170">
        <f t="shared" si="102"/>
        <v>0</v>
      </c>
      <c r="J197" s="170">
        <f t="shared" si="102"/>
        <v>0</v>
      </c>
      <c r="K197" s="170">
        <f t="shared" si="102"/>
        <v>0</v>
      </c>
      <c r="L197" s="170">
        <f t="shared" si="102"/>
        <v>0</v>
      </c>
    </row>
    <row r="198" spans="2:12" ht="18.75" customHeight="1">
      <c r="B198" s="2" t="s">
        <v>46</v>
      </c>
      <c r="C198" s="170">
        <f>-C180</f>
        <v>-193231.96737594123</v>
      </c>
      <c r="D198" s="170">
        <f aca="true" t="shared" si="103" ref="D198:I198">-D180</f>
        <v>-294923.5473759412</v>
      </c>
      <c r="E198" s="170">
        <f t="shared" si="103"/>
        <v>-2123052.027375941</v>
      </c>
      <c r="F198" s="170">
        <f t="shared" si="103"/>
        <v>-2123052.027375941</v>
      </c>
      <c r="G198" s="170">
        <f t="shared" si="103"/>
        <v>-2123052.027375941</v>
      </c>
      <c r="H198" s="170">
        <f t="shared" si="103"/>
        <v>-2123052.027375941</v>
      </c>
      <c r="I198" s="170">
        <f t="shared" si="103"/>
        <v>-2123052.027375941</v>
      </c>
      <c r="J198" s="170">
        <f>-J180</f>
        <v>-2123052.027375941</v>
      </c>
      <c r="K198" s="170">
        <f>-K180</f>
        <v>-2123052.027375941</v>
      </c>
      <c r="L198" s="170">
        <f>-L180</f>
        <v>-2123052.027375941</v>
      </c>
    </row>
    <row r="199" spans="2:12" ht="18.75" customHeight="1">
      <c r="B199" s="2" t="s">
        <v>47</v>
      </c>
      <c r="C199" s="170">
        <v>0</v>
      </c>
      <c r="D199" s="170">
        <f aca="true" t="shared" si="104" ref="D199:L199">C199</f>
        <v>0</v>
      </c>
      <c r="E199" s="170">
        <f t="shared" si="104"/>
        <v>0</v>
      </c>
      <c r="F199" s="170">
        <f t="shared" si="104"/>
        <v>0</v>
      </c>
      <c r="G199" s="170">
        <f t="shared" si="104"/>
        <v>0</v>
      </c>
      <c r="H199" s="170">
        <f t="shared" si="104"/>
        <v>0</v>
      </c>
      <c r="I199" s="170">
        <f t="shared" si="104"/>
        <v>0</v>
      </c>
      <c r="J199" s="170">
        <f t="shared" si="104"/>
        <v>0</v>
      </c>
      <c r="K199" s="170">
        <f t="shared" si="104"/>
        <v>0</v>
      </c>
      <c r="L199" s="170">
        <f t="shared" si="104"/>
        <v>0</v>
      </c>
    </row>
    <row r="200" spans="2:12" ht="18.75" customHeight="1">
      <c r="B200" s="2" t="s">
        <v>11</v>
      </c>
      <c r="C200" s="170">
        <f>SUM(C194:C199)</f>
        <v>306514.495604303</v>
      </c>
      <c r="D200" s="170">
        <f aca="true" t="shared" si="105" ref="D200:I200">SUM(D194:D199)</f>
        <v>467822.9156043031</v>
      </c>
      <c r="E200" s="170">
        <f t="shared" si="105"/>
        <v>3367694.435604303</v>
      </c>
      <c r="F200" s="170">
        <f t="shared" si="105"/>
        <v>3367694.435604303</v>
      </c>
      <c r="G200" s="170">
        <f t="shared" si="105"/>
        <v>3367694.435604303</v>
      </c>
      <c r="H200" s="170">
        <f t="shared" si="105"/>
        <v>3367694.435604303</v>
      </c>
      <c r="I200" s="170">
        <f t="shared" si="105"/>
        <v>3367694.435604303</v>
      </c>
      <c r="J200" s="170">
        <f>SUM(J194:J199)</f>
        <v>3367694.435604303</v>
      </c>
      <c r="K200" s="170">
        <f>SUM(K194:K199)</f>
        <v>3367694.435604303</v>
      </c>
      <c r="L200" s="170">
        <f>SUM(L194:L199)</f>
        <v>3367694.435604303</v>
      </c>
    </row>
    <row r="201" spans="2:12" ht="18.75" customHeight="1">
      <c r="B201" s="2" t="s">
        <v>12</v>
      </c>
      <c r="C201" s="7">
        <f aca="true" t="shared" si="106" ref="C201:I201">C187</f>
        <v>0.09991333016039017</v>
      </c>
      <c r="D201" s="7">
        <f t="shared" si="106"/>
        <v>0.09991333016039017</v>
      </c>
      <c r="E201" s="7">
        <f t="shared" si="106"/>
        <v>0.09991333016039017</v>
      </c>
      <c r="F201" s="7">
        <f t="shared" si="106"/>
        <v>0.09991333016039017</v>
      </c>
      <c r="G201" s="7">
        <f t="shared" si="106"/>
        <v>0.09991333016039017</v>
      </c>
      <c r="H201" s="7">
        <f t="shared" si="106"/>
        <v>0.09991333016039017</v>
      </c>
      <c r="I201" s="7">
        <f t="shared" si="106"/>
        <v>0.09991333016039017</v>
      </c>
      <c r="J201" s="7">
        <f>J187</f>
        <v>0.09991333016039017</v>
      </c>
      <c r="K201" s="7">
        <f>K187</f>
        <v>0.09991333016039017</v>
      </c>
      <c r="L201" s="7">
        <f>L187</f>
        <v>0.09991333016039017</v>
      </c>
    </row>
    <row r="202" spans="2:12" ht="18.75" customHeight="1">
      <c r="B202" s="34"/>
      <c r="C202" s="174">
        <f>C200*C201</f>
        <v>30624.88399825819</v>
      </c>
      <c r="D202" s="174">
        <f aca="true" t="shared" si="107" ref="D202:I202">D200*D201</f>
        <v>46741.74542336908</v>
      </c>
      <c r="E202" s="174">
        <f t="shared" si="107"/>
        <v>336477.56602384156</v>
      </c>
      <c r="F202" s="174">
        <f t="shared" si="107"/>
        <v>336477.56602384156</v>
      </c>
      <c r="G202" s="174">
        <f t="shared" si="107"/>
        <v>336477.56602384156</v>
      </c>
      <c r="H202" s="174">
        <f t="shared" si="107"/>
        <v>336477.56602384156</v>
      </c>
      <c r="I202" s="174">
        <f t="shared" si="107"/>
        <v>336477.56602384156</v>
      </c>
      <c r="J202" s="174">
        <f>J200*J201</f>
        <v>336477.56602384156</v>
      </c>
      <c r="K202" s="174">
        <f>K200*K201</f>
        <v>336477.56602384156</v>
      </c>
      <c r="L202" s="174">
        <f>L200*L201</f>
        <v>336477.56602384156</v>
      </c>
    </row>
    <row r="203" spans="1:12" ht="18.75" customHeight="1">
      <c r="A203" s="3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2:12" ht="18.75" customHeight="1">
      <c r="B204" s="1" t="s">
        <v>52</v>
      </c>
      <c r="C204" s="170">
        <v>0</v>
      </c>
      <c r="D204" s="170">
        <f>C204</f>
        <v>0</v>
      </c>
      <c r="E204" s="170">
        <f aca="true" t="shared" si="108" ref="E204:L204">D204</f>
        <v>0</v>
      </c>
      <c r="F204" s="170">
        <f t="shared" si="108"/>
        <v>0</v>
      </c>
      <c r="G204" s="170">
        <f t="shared" si="108"/>
        <v>0</v>
      </c>
      <c r="H204" s="170">
        <f t="shared" si="108"/>
        <v>0</v>
      </c>
      <c r="I204" s="170">
        <f t="shared" si="108"/>
        <v>0</v>
      </c>
      <c r="J204" s="170">
        <f t="shared" si="108"/>
        <v>0</v>
      </c>
      <c r="K204" s="170">
        <f t="shared" si="108"/>
        <v>0</v>
      </c>
      <c r="L204" s="170">
        <f t="shared" si="108"/>
        <v>0</v>
      </c>
    </row>
    <row r="205" spans="2:12" ht="18.75" customHeight="1">
      <c r="B205" s="2" t="s">
        <v>48</v>
      </c>
      <c r="C205" s="170">
        <f>C188</f>
        <v>0</v>
      </c>
      <c r="D205" s="170">
        <f aca="true" t="shared" si="109" ref="D205:I205">D188</f>
        <v>0</v>
      </c>
      <c r="E205" s="170">
        <f t="shared" si="109"/>
        <v>0</v>
      </c>
      <c r="F205" s="170">
        <f t="shared" si="109"/>
        <v>0</v>
      </c>
      <c r="G205" s="170">
        <f t="shared" si="109"/>
        <v>0</v>
      </c>
      <c r="H205" s="170">
        <f t="shared" si="109"/>
        <v>0</v>
      </c>
      <c r="I205" s="170">
        <f t="shared" si="109"/>
        <v>0</v>
      </c>
      <c r="J205" s="170">
        <f>J188</f>
        <v>0</v>
      </c>
      <c r="K205" s="170">
        <f>K188</f>
        <v>0</v>
      </c>
      <c r="L205" s="170">
        <f>L188</f>
        <v>0</v>
      </c>
    </row>
    <row r="206" spans="2:12" ht="18.75" customHeight="1">
      <c r="B206" s="2" t="s">
        <v>434</v>
      </c>
      <c r="C206" s="170">
        <v>0</v>
      </c>
      <c r="D206" s="170">
        <f aca="true" t="shared" si="110" ref="D206:L206">C206</f>
        <v>0</v>
      </c>
      <c r="E206" s="170">
        <f t="shared" si="110"/>
        <v>0</v>
      </c>
      <c r="F206" s="170">
        <f t="shared" si="110"/>
        <v>0</v>
      </c>
      <c r="G206" s="170">
        <f t="shared" si="110"/>
        <v>0</v>
      </c>
      <c r="H206" s="170">
        <f t="shared" si="110"/>
        <v>0</v>
      </c>
      <c r="I206" s="170">
        <f t="shared" si="110"/>
        <v>0</v>
      </c>
      <c r="J206" s="170">
        <f t="shared" si="110"/>
        <v>0</v>
      </c>
      <c r="K206" s="170">
        <f t="shared" si="110"/>
        <v>0</v>
      </c>
      <c r="L206" s="170">
        <f t="shared" si="110"/>
        <v>0</v>
      </c>
    </row>
    <row r="207" spans="2:12" ht="18.75" customHeight="1">
      <c r="B207" s="2" t="s">
        <v>50</v>
      </c>
      <c r="C207" s="170">
        <v>0</v>
      </c>
      <c r="D207" s="170">
        <f aca="true" t="shared" si="111" ref="D207:L207">D190*(C194+C196)</f>
        <v>749.6196944703664</v>
      </c>
      <c r="E207" s="170">
        <f t="shared" si="111"/>
        <v>1144.1196944703665</v>
      </c>
      <c r="F207" s="170">
        <f t="shared" si="111"/>
        <v>8236.119694470366</v>
      </c>
      <c r="G207" s="170">
        <f t="shared" si="111"/>
        <v>8236.119694470366</v>
      </c>
      <c r="H207" s="170">
        <f t="shared" si="111"/>
        <v>8236.119694470366</v>
      </c>
      <c r="I207" s="170">
        <f t="shared" si="111"/>
        <v>8236.119694470366</v>
      </c>
      <c r="J207" s="170">
        <f t="shared" si="111"/>
        <v>8236.119694470366</v>
      </c>
      <c r="K207" s="170">
        <f t="shared" si="111"/>
        <v>8236.119694470366</v>
      </c>
      <c r="L207" s="170">
        <f t="shared" si="111"/>
        <v>8236.119694470366</v>
      </c>
    </row>
    <row r="208" spans="2:12" ht="18.75" customHeight="1">
      <c r="B208" s="21" t="s">
        <v>51</v>
      </c>
      <c r="C208" s="174">
        <f aca="true" t="shared" si="112" ref="C208:I208">SUM(C204:C207)</f>
        <v>0</v>
      </c>
      <c r="D208" s="174">
        <f t="shared" si="112"/>
        <v>749.6196944703664</v>
      </c>
      <c r="E208" s="174">
        <f t="shared" si="112"/>
        <v>1144.1196944703665</v>
      </c>
      <c r="F208" s="174">
        <f t="shared" si="112"/>
        <v>8236.119694470366</v>
      </c>
      <c r="G208" s="174">
        <f t="shared" si="112"/>
        <v>8236.119694470366</v>
      </c>
      <c r="H208" s="174">
        <f t="shared" si="112"/>
        <v>8236.119694470366</v>
      </c>
      <c r="I208" s="174">
        <f t="shared" si="112"/>
        <v>8236.119694470366</v>
      </c>
      <c r="J208" s="174">
        <f>SUM(J204:J207)</f>
        <v>8236.119694470366</v>
      </c>
      <c r="K208" s="174">
        <f>SUM(K204:K207)</f>
        <v>8236.119694470366</v>
      </c>
      <c r="L208" s="174">
        <f>SUM(L204:L207)</f>
        <v>8236.119694470366</v>
      </c>
    </row>
    <row r="209" spans="3:12" ht="18.75" customHeight="1">
      <c r="C209" s="34"/>
      <c r="D209" s="268"/>
      <c r="E209" s="268"/>
      <c r="F209" s="268"/>
      <c r="G209" s="268"/>
      <c r="H209" s="268"/>
      <c r="I209" s="268"/>
      <c r="J209" s="268"/>
      <c r="K209" s="268"/>
      <c r="L209" s="268"/>
    </row>
    <row r="210" spans="2:12" ht="18.75" customHeight="1">
      <c r="B210" s="1" t="s">
        <v>59</v>
      </c>
      <c r="C210" s="170">
        <f>C202+C208</f>
        <v>30624.88399825819</v>
      </c>
      <c r="D210" s="170">
        <f aca="true" t="shared" si="113" ref="D210:I210">D202+D208</f>
        <v>47491.36511783945</v>
      </c>
      <c r="E210" s="170">
        <f t="shared" si="113"/>
        <v>337621.6857183119</v>
      </c>
      <c r="F210" s="170">
        <f t="shared" si="113"/>
        <v>344713.6857183119</v>
      </c>
      <c r="G210" s="170">
        <f t="shared" si="113"/>
        <v>344713.6857183119</v>
      </c>
      <c r="H210" s="170">
        <f t="shared" si="113"/>
        <v>344713.6857183119</v>
      </c>
      <c r="I210" s="170">
        <f t="shared" si="113"/>
        <v>344713.6857183119</v>
      </c>
      <c r="J210" s="170">
        <f>J202+J208</f>
        <v>344713.6857183119</v>
      </c>
      <c r="K210" s="170">
        <f>K202+K208</f>
        <v>344713.6857183119</v>
      </c>
      <c r="L210" s="170">
        <f>L202+L208</f>
        <v>344713.6857183119</v>
      </c>
    </row>
    <row r="213" spans="1:12" ht="18.75" customHeight="1">
      <c r="A213" s="28"/>
      <c r="B213" s="28"/>
      <c r="C213" s="13"/>
      <c r="D213" s="13"/>
      <c r="E213" s="212" t="s">
        <v>268</v>
      </c>
      <c r="F213" s="13"/>
      <c r="G213" s="13"/>
      <c r="H213" s="13"/>
      <c r="I213" s="13"/>
      <c r="J213" s="13"/>
      <c r="K213" s="13"/>
      <c r="L213" s="13"/>
    </row>
    <row r="214" spans="1:12" ht="18.75" customHeight="1">
      <c r="A214" s="28"/>
      <c r="B214" s="28"/>
      <c r="C214" s="29">
        <f>Input!B$2</f>
        <v>2016</v>
      </c>
      <c r="D214" s="29">
        <f aca="true" t="shared" si="114" ref="D214:L215">C214+1</f>
        <v>2017</v>
      </c>
      <c r="E214" s="29">
        <f t="shared" si="114"/>
        <v>2018</v>
      </c>
      <c r="F214" s="29">
        <f t="shared" si="114"/>
        <v>2019</v>
      </c>
      <c r="G214" s="29">
        <f t="shared" si="114"/>
        <v>2020</v>
      </c>
      <c r="H214" s="29">
        <f t="shared" si="114"/>
        <v>2021</v>
      </c>
      <c r="I214" s="29">
        <f t="shared" si="114"/>
        <v>2022</v>
      </c>
      <c r="J214" s="29">
        <f t="shared" si="114"/>
        <v>2023</v>
      </c>
      <c r="K214" s="29">
        <f t="shared" si="114"/>
        <v>2024</v>
      </c>
      <c r="L214" s="29">
        <f t="shared" si="114"/>
        <v>2025</v>
      </c>
    </row>
    <row r="215" spans="1:12" ht="18.75" customHeight="1">
      <c r="A215" s="258">
        <v>2018</v>
      </c>
      <c r="B215" s="28" t="s">
        <v>43</v>
      </c>
      <c r="C215" s="29"/>
      <c r="D215" s="29"/>
      <c r="E215" s="209">
        <v>1</v>
      </c>
      <c r="F215" s="209">
        <f>E215+1</f>
        <v>2</v>
      </c>
      <c r="G215" s="209">
        <f t="shared" si="114"/>
        <v>3</v>
      </c>
      <c r="H215" s="209">
        <f t="shared" si="114"/>
        <v>4</v>
      </c>
      <c r="I215" s="209">
        <f t="shared" si="114"/>
        <v>5</v>
      </c>
      <c r="J215" s="209">
        <f t="shared" si="114"/>
        <v>6</v>
      </c>
      <c r="K215" s="209">
        <f t="shared" si="114"/>
        <v>7</v>
      </c>
      <c r="L215" s="209">
        <f t="shared" si="114"/>
        <v>8</v>
      </c>
    </row>
    <row r="216" spans="2:12" ht="18.75" customHeight="1">
      <c r="B216" s="211" t="s">
        <v>38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8.75" customHeight="1">
      <c r="A217" s="21" t="s">
        <v>103</v>
      </c>
      <c r="B217" s="10" t="s">
        <v>417</v>
      </c>
      <c r="C217" s="172">
        <f>VLOOKUP(C$4,'Cash Flows-LGE'!$B$44:$H$54,$A218)</f>
        <v>19635871.44126543</v>
      </c>
      <c r="D217" s="172">
        <f>VLOOKUP(D$4,'Cash Flows-LGE'!$B$44:$H$54,$A218)</f>
        <v>38604000</v>
      </c>
      <c r="E217" s="172">
        <f>VLOOKUP(E$4,'Cash Flows-LGE'!$B$44:$H$54,$A218)</f>
        <v>62011000</v>
      </c>
      <c r="F217" s="172">
        <f>VLOOKUP(F$4,'Cash Flows-LGE'!$B$44:$H$54,$A218)</f>
        <v>0</v>
      </c>
      <c r="G217" s="172">
        <f>VLOOKUP(G$4,'Cash Flows-LGE'!$B$44:$H$54,$A218)</f>
        <v>0</v>
      </c>
      <c r="H217" s="172">
        <f>VLOOKUP(H$4,'Cash Flows-LGE'!$B$44:$H$54,$A218)</f>
        <v>0</v>
      </c>
      <c r="I217" s="172">
        <f>VLOOKUP(I$4,'Cash Flows-LGE'!$B$44:$H$54,$A218)</f>
        <v>0</v>
      </c>
      <c r="J217" s="172">
        <f>VLOOKUP(J$4,'Cash Flows-LGE'!$B$44:$H$54,$A218)</f>
        <v>0</v>
      </c>
      <c r="K217" s="172">
        <f>VLOOKUP(K$4,'Cash Flows-LGE'!$B$44:$H$54,$A218)</f>
        <v>0</v>
      </c>
      <c r="L217" s="172">
        <f>VLOOKUP(L$4,'Cash Flows-LGE'!$B$44:$H$54,$A218)</f>
        <v>0</v>
      </c>
    </row>
    <row r="218" spans="1:13" ht="18.75" customHeight="1">
      <c r="A218" s="3">
        <v>7</v>
      </c>
      <c r="B218" s="40" t="s">
        <v>57</v>
      </c>
      <c r="C218" s="172">
        <f>SUM($C217:C217)</f>
        <v>19635871.44126543</v>
      </c>
      <c r="D218" s="172">
        <f>SUM($C217:D217)</f>
        <v>58239871.441265434</v>
      </c>
      <c r="E218" s="172">
        <f>SUM($C217:E217)</f>
        <v>120250871.44126543</v>
      </c>
      <c r="F218" s="172">
        <f>SUM($C217:F217)</f>
        <v>120250871.44126543</v>
      </c>
      <c r="G218" s="172">
        <f>SUM($C217:G217)</f>
        <v>120250871.44126543</v>
      </c>
      <c r="H218" s="172">
        <f>SUM($C217:H217)</f>
        <v>120250871.44126543</v>
      </c>
      <c r="I218" s="172">
        <f>SUM($C217:I217)</f>
        <v>120250871.44126543</v>
      </c>
      <c r="J218" s="172">
        <f>SUM($C217:J217)</f>
        <v>120250871.44126543</v>
      </c>
      <c r="K218" s="172">
        <f>SUM($C217:K217)</f>
        <v>120250871.44126543</v>
      </c>
      <c r="L218" s="172">
        <f>SUM($C217:L217)</f>
        <v>120250871.44126543</v>
      </c>
      <c r="M218" s="18"/>
    </row>
    <row r="219" spans="1:12" ht="18.75" customHeight="1">
      <c r="A219" s="3">
        <v>2</v>
      </c>
      <c r="B219" s="5" t="s">
        <v>0</v>
      </c>
      <c r="C219" s="6">
        <f>IF(C215="",0,VLOOKUP($B216,Depreciation!$D$2:$E$31,$A219,FALSE))</f>
        <v>0</v>
      </c>
      <c r="D219" s="6">
        <f>IF(D215="",0,VLOOKUP($B216,Depreciation!$D$2:$E$31,$A219,FALSE))</f>
        <v>0</v>
      </c>
      <c r="E219" s="6">
        <f>IF(E215="",0,VLOOKUP($B216,Depreciation!$D$2:$E$31,$A219,FALSE))</f>
        <v>0.0254</v>
      </c>
      <c r="F219" s="6">
        <f>IF(F215="",0,VLOOKUP($B216,Depreciation!$D$2:$E$31,$A219,FALSE))</f>
        <v>0.0254</v>
      </c>
      <c r="G219" s="6">
        <f>IF(G215="",0,VLOOKUP($B216,Depreciation!$D$2:$E$31,$A219,FALSE))</f>
        <v>0.0254</v>
      </c>
      <c r="H219" s="6">
        <f>IF(H215="",0,VLOOKUP($B216,Depreciation!$D$2:$E$31,$A219,FALSE))</f>
        <v>0.0254</v>
      </c>
      <c r="I219" s="6">
        <f>IF(I215="",0,VLOOKUP($B216,Depreciation!$D$2:$E$31,$A219,FALSE))</f>
        <v>0.0254</v>
      </c>
      <c r="J219" s="6">
        <f>IF(J215="",0,VLOOKUP($B216,Depreciation!$D$2:$E$31,$A219,FALSE))</f>
        <v>0.0254</v>
      </c>
      <c r="K219" s="6">
        <f>IF(K215="",0,VLOOKUP($B216,Depreciation!$D$2:$E$31,$A219,FALSE))</f>
        <v>0.0254</v>
      </c>
      <c r="L219" s="6">
        <f>IF(L215="",0,VLOOKUP($B216,Depreciation!$D$2:$E$31,$A219,FALSE))</f>
        <v>0.0254</v>
      </c>
    </row>
    <row r="220" spans="1:12" ht="18.75" customHeight="1">
      <c r="A220" s="3">
        <v>2</v>
      </c>
      <c r="B220" s="5" t="s">
        <v>1</v>
      </c>
      <c r="C220" s="6">
        <f>IF(C215="",0,VLOOKUP(C215,Depreciation!$A$2:$C$58,$A220,FALSE))</f>
        <v>0</v>
      </c>
      <c r="D220" s="6">
        <f>IF(D215="",0,VLOOKUP(D215,Depreciation!$A$2:$C$58,$A220,FALSE))</f>
        <v>0</v>
      </c>
      <c r="E220" s="6">
        <f>IF(E215="",0,VLOOKUP(E215,Depreciation!$A$2:$C$58,$A220,FALSE))</f>
        <v>0.0375</v>
      </c>
      <c r="F220" s="6">
        <f>IF(F215="",0,VLOOKUP(F215,Depreciation!$A$2:$C$58,$A220,FALSE))</f>
        <v>0.07219</v>
      </c>
      <c r="G220" s="6">
        <f>IF(G215="",0,VLOOKUP(G215,Depreciation!$A$2:$C$58,$A220,FALSE))</f>
        <v>0.06677</v>
      </c>
      <c r="H220" s="6">
        <f>IF(H215="",0,VLOOKUP(H215,Depreciation!$A$2:$C$58,$A220,FALSE))</f>
        <v>0.06177</v>
      </c>
      <c r="I220" s="6">
        <f>IF(I215="",0,VLOOKUP(I215,Depreciation!$A$2:$C$58,$A220,FALSE))</f>
        <v>0.05713</v>
      </c>
      <c r="J220" s="6">
        <f>IF(J215="",0,VLOOKUP(J215,Depreciation!$A$2:$C$58,$A220,FALSE))</f>
        <v>0.05285</v>
      </c>
      <c r="K220" s="6">
        <f>IF(K215="",0,VLOOKUP(K215,Depreciation!$A$2:$C$58,$A220,FALSE))</f>
        <v>0.04888</v>
      </c>
      <c r="L220" s="6">
        <f>IF(L215="",0,VLOOKUP(L215,Depreciation!$A$2:$C$58,$A220,FALSE))</f>
        <v>0.04522</v>
      </c>
    </row>
    <row r="221" spans="1:12" ht="18.75" customHeight="1">
      <c r="A221" s="30"/>
      <c r="B221" s="31" t="s">
        <v>2</v>
      </c>
      <c r="C221" s="7">
        <f>Input!B$3</f>
        <v>0.38665999999999995</v>
      </c>
      <c r="D221" s="7">
        <f>Input!C$3</f>
        <v>0.38665999999999995</v>
      </c>
      <c r="E221" s="7">
        <f>Input!D$3</f>
        <v>0.38665999999999995</v>
      </c>
      <c r="F221" s="7">
        <f>Input!E$3</f>
        <v>0.38665999999999995</v>
      </c>
      <c r="G221" s="7">
        <f>Input!F$3</f>
        <v>0.38665999999999995</v>
      </c>
      <c r="H221" s="7">
        <f>Input!G$3</f>
        <v>0.38665999999999995</v>
      </c>
      <c r="I221" s="7">
        <f>Input!H$3</f>
        <v>0.38665999999999995</v>
      </c>
      <c r="J221" s="7">
        <f>Input!I$3</f>
        <v>0.38665999999999995</v>
      </c>
      <c r="K221" s="7">
        <f>Input!J$3</f>
        <v>0.38665999999999995</v>
      </c>
      <c r="L221" s="7">
        <f>Input!K$3</f>
        <v>0.38665999999999995</v>
      </c>
    </row>
    <row r="222" spans="2:12" ht="18.75" customHeight="1">
      <c r="B222" s="2" t="s">
        <v>3</v>
      </c>
      <c r="C222" s="170">
        <f>SUM($C233:C233)</f>
        <v>0</v>
      </c>
      <c r="D222" s="170">
        <f>SUM($C233:D233)</f>
        <v>0</v>
      </c>
      <c r="E222" s="170">
        <f>SUM($C233:E233)</f>
        <v>19595436.84410152</v>
      </c>
      <c r="F222" s="170">
        <f>SUM($C233:F233)</f>
        <v>20428369.805860326</v>
      </c>
      <c r="G222" s="170">
        <f>SUM($C233:G233)</f>
        <v>21110097.118872922</v>
      </c>
      <c r="H222" s="170">
        <f>SUM($C233:H233)</f>
        <v>21652335.826031078</v>
      </c>
      <c r="I222" s="170">
        <f>SUM($C233:I233)</f>
        <v>22065129.106956314</v>
      </c>
      <c r="J222" s="170">
        <f>SUM($C233:J233)</f>
        <v>22358520.14127015</v>
      </c>
      <c r="K222" s="170">
        <f>SUM($C233:K233)</f>
        <v>22541157.22253556</v>
      </c>
      <c r="L222" s="170">
        <f>SUM($C233:L233)</f>
        <v>22621688.644315526</v>
      </c>
    </row>
    <row r="223" spans="2:12" ht="18.75" customHeight="1">
      <c r="B223" s="2" t="s">
        <v>4</v>
      </c>
      <c r="C223" s="170">
        <f>SUM($C225:C225)</f>
        <v>0</v>
      </c>
      <c r="D223" s="170">
        <f>SUM($C225:D225)</f>
        <v>0</v>
      </c>
      <c r="E223" s="170">
        <f>SUM($C225:E225)</f>
        <v>127265.50560867257</v>
      </c>
      <c r="F223" s="170">
        <f>SUM($C225:F225)</f>
        <v>3181637.640216815</v>
      </c>
      <c r="G223" s="170">
        <f>SUM($C225:G225)</f>
        <v>6236009.774824956</v>
      </c>
      <c r="H223" s="170">
        <f>SUM($C225:H225)</f>
        <v>9290381.909433099</v>
      </c>
      <c r="I223" s="170">
        <f>SUM($C225:I225)</f>
        <v>12344754.04404124</v>
      </c>
      <c r="J223" s="170">
        <f>SUM($C225:J225)</f>
        <v>15399126.178649383</v>
      </c>
      <c r="K223" s="170">
        <f>SUM($C225:K225)</f>
        <v>18453498.313257523</v>
      </c>
      <c r="L223" s="170">
        <f>SUM($C225:L225)</f>
        <v>21507870.447865665</v>
      </c>
    </row>
    <row r="224" spans="2:12" ht="18.75" customHeight="1">
      <c r="B224" s="11" t="s">
        <v>5</v>
      </c>
      <c r="C224" s="170">
        <f>C217</f>
        <v>19635871.44126543</v>
      </c>
      <c r="D224" s="170">
        <f>C224+D217</f>
        <v>58239871.441265434</v>
      </c>
      <c r="E224" s="170">
        <f aca="true" t="shared" si="115" ref="E224:L224">D224+E217</f>
        <v>120250871.44126543</v>
      </c>
      <c r="F224" s="170">
        <f t="shared" si="115"/>
        <v>120250871.44126543</v>
      </c>
      <c r="G224" s="170">
        <f t="shared" si="115"/>
        <v>120250871.44126543</v>
      </c>
      <c r="H224" s="170">
        <f t="shared" si="115"/>
        <v>120250871.44126543</v>
      </c>
      <c r="I224" s="170">
        <f t="shared" si="115"/>
        <v>120250871.44126543</v>
      </c>
      <c r="J224" s="170">
        <f t="shared" si="115"/>
        <v>120250871.44126543</v>
      </c>
      <c r="K224" s="170">
        <f t="shared" si="115"/>
        <v>120250871.44126543</v>
      </c>
      <c r="L224" s="170">
        <f t="shared" si="115"/>
        <v>120250871.44126543</v>
      </c>
    </row>
    <row r="225" spans="1:12" ht="18.75" customHeight="1">
      <c r="A225" s="214" t="s">
        <v>359</v>
      </c>
      <c r="B225" s="11" t="s">
        <v>6</v>
      </c>
      <c r="C225" s="170">
        <f aca="true" t="shared" si="116" ref="C225:L225">IF(C215=1,(12.5-VLOOKUP(C213,$Q$5:$R$16,2,))*C219/12*C224,C224*C219)</f>
        <v>0</v>
      </c>
      <c r="D225" s="170">
        <f t="shared" si="116"/>
        <v>0</v>
      </c>
      <c r="E225" s="170">
        <f t="shared" si="116"/>
        <v>127265.50560867257</v>
      </c>
      <c r="F225" s="170">
        <f t="shared" si="116"/>
        <v>3054372.134608142</v>
      </c>
      <c r="G225" s="170">
        <f t="shared" si="116"/>
        <v>3054372.134608142</v>
      </c>
      <c r="H225" s="170">
        <f t="shared" si="116"/>
        <v>3054372.134608142</v>
      </c>
      <c r="I225" s="170">
        <f t="shared" si="116"/>
        <v>3054372.134608142</v>
      </c>
      <c r="J225" s="170">
        <f t="shared" si="116"/>
        <v>3054372.134608142</v>
      </c>
      <c r="K225" s="170">
        <f t="shared" si="116"/>
        <v>3054372.134608142</v>
      </c>
      <c r="L225" s="170">
        <f t="shared" si="116"/>
        <v>3054372.134608142</v>
      </c>
    </row>
    <row r="226" spans="2:12" ht="18.75" customHeight="1">
      <c r="B226" s="5" t="s">
        <v>7</v>
      </c>
      <c r="C226" s="170">
        <f>C217</f>
        <v>19635871.44126543</v>
      </c>
      <c r="D226" s="170">
        <f aca="true" t="shared" si="117" ref="D226:L226">C226+D217</f>
        <v>58239871.441265434</v>
      </c>
      <c r="E226" s="170">
        <f t="shared" si="117"/>
        <v>120250871.44126543</v>
      </c>
      <c r="F226" s="170">
        <f t="shared" si="117"/>
        <v>120250871.44126543</v>
      </c>
      <c r="G226" s="170">
        <f t="shared" si="117"/>
        <v>120250871.44126543</v>
      </c>
      <c r="H226" s="170">
        <f t="shared" si="117"/>
        <v>120250871.44126543</v>
      </c>
      <c r="I226" s="170">
        <f t="shared" si="117"/>
        <v>120250871.44126543</v>
      </c>
      <c r="J226" s="170">
        <f t="shared" si="117"/>
        <v>120250871.44126543</v>
      </c>
      <c r="K226" s="170">
        <f t="shared" si="117"/>
        <v>120250871.44126543</v>
      </c>
      <c r="L226" s="170">
        <f t="shared" si="117"/>
        <v>120250871.44126543</v>
      </c>
    </row>
    <row r="227" spans="2:12" ht="18.75" customHeight="1">
      <c r="B227" s="213" t="s">
        <v>361</v>
      </c>
      <c r="C227" s="170">
        <f>IF(C215=1,IF($A225="Bonus",SUM($C217:C217)*VLOOKUP(C214,Depreciation!$D$41:$E$50,2),0),0)</f>
        <v>0</v>
      </c>
      <c r="D227" s="170">
        <f>IF(D215=1,IF($A225="Bonus",SUM($C217:D217)*VLOOKUP(D214,Depreciation!$D$41:$E$50,2),0),0)</f>
        <v>0</v>
      </c>
      <c r="E227" s="170">
        <f>IF(E215=1,IF($A225="Bonus",SUM($C217:E217)*VLOOKUP(E214,Depreciation!$D$41:$E$50,2),0),0)</f>
        <v>48100348.576506175</v>
      </c>
      <c r="F227" s="170">
        <f>IF(F215=1,IF($A225="Bonus",SUM($C217:F217)*VLOOKUP(F214,Depreciation!$D$41:$E$50,2),0),0)</f>
        <v>0</v>
      </c>
      <c r="G227" s="170">
        <f>IF(G215=1,IF($A225="Bonus",SUM($C217:G217)*VLOOKUP(G214,Depreciation!$D$41:$E$50,2),0),0)</f>
        <v>0</v>
      </c>
      <c r="H227" s="170">
        <f>IF(H215=1,IF($A225="Bonus",SUM($C217:H217)*VLOOKUP(H214,Depreciation!$D$41:$E$50,2),0),0)</f>
        <v>0</v>
      </c>
      <c r="I227" s="170">
        <f>IF(I215=1,IF($A225="Bonus",SUM($C217:I217)*VLOOKUP(I214,Depreciation!$D$41:$E$50,2),0),0)</f>
        <v>0</v>
      </c>
      <c r="J227" s="170">
        <f>IF(J215=1,IF($A225="Bonus",SUM($C217:J217)*VLOOKUP(J214,Depreciation!$D$41:$E$50,2),0),0)</f>
        <v>0</v>
      </c>
      <c r="K227" s="170">
        <f>IF(K215=1,IF($A225="Bonus",SUM($C217:K217)*VLOOKUP(K214,Depreciation!$D$41:$E$50,2),0),0)</f>
        <v>0</v>
      </c>
      <c r="L227" s="170">
        <f>IF(L215=1,IF($A225="Bonus",SUM($C217:L217)*VLOOKUP(L214,Depreciation!$D$41:$E$50,2),0),0)</f>
        <v>0</v>
      </c>
    </row>
    <row r="228" spans="2:12" ht="18.75" customHeight="1">
      <c r="B228" s="5" t="s">
        <v>362</v>
      </c>
      <c r="C228" s="170">
        <f>IF(C215&gt;=1,IF($A225="Bonus",C218*(1-VLOOKUP($A215,Depreciation!$D$41:$N$50,C214-2014))*C220,C218*C220),C218*C220)</f>
        <v>0</v>
      </c>
      <c r="D228" s="170">
        <f>IF(D215&gt;=1,IF($A225="Bonus",D218*(1-VLOOKUP($A215,Depreciation!$D$41:$N$50,D214-2014))*D220,D218*D220),D218*D220)</f>
        <v>0</v>
      </c>
      <c r="E228" s="170">
        <f>IF(E215&gt;=1,IF($A225="Bonus",E218*(1-VLOOKUP($A215,Depreciation!$D$41:$N$50,E214-2014))*E220,E218*E220),E218*E220)</f>
        <v>2705644.607428472</v>
      </c>
      <c r="F228" s="170">
        <f>IF(F215&gt;=1,IF($A225="Bonus",F218*(1-VLOOKUP($A215,Depreciation!$D$41:$N$50,F214-2014))*F220,F218*F220),F218*F220)</f>
        <v>5208546.245606971</v>
      </c>
      <c r="G228" s="170">
        <f>IF(G215&gt;=1,IF($A225="Bonus",G218*(1-VLOOKUP($A215,Depreciation!$D$41:$N$50,G214-2014))*G220,G218*G220),G218*G220)</f>
        <v>4817490.411679975</v>
      </c>
      <c r="H228" s="170">
        <f>IF(H215&gt;=1,IF($A225="Bonus",H218*(1-VLOOKUP($A215,Depreciation!$D$41:$N$50,H214-2014))*H220,H218*H220),H218*H220)</f>
        <v>4456737.797356179</v>
      </c>
      <c r="I228" s="170">
        <f>IF(I215&gt;=1,IF($A225="Bonus",I218*(1-VLOOKUP($A215,Depreciation!$D$41:$N$50,I214-2014))*I220,I218*I220),I218*I220)</f>
        <v>4121959.371263696</v>
      </c>
      <c r="J228" s="170">
        <f>IF(J215&gt;=1,IF($A225="Bonus",J218*(1-VLOOKUP($A215,Depreciation!$D$41:$N$50,J214-2014))*J220,J218*J220),J218*J220)</f>
        <v>3813155.1334025264</v>
      </c>
      <c r="K228" s="170">
        <f>IF(K215&gt;=1,IF($A225="Bonus",K218*(1-VLOOKUP($A215,Depreciation!$D$41:$N$50,K214-2014))*K220,K218*K220),K218*K220)</f>
        <v>3526717.557629432</v>
      </c>
      <c r="L228" s="170">
        <f>IF(L215&gt;=1,IF($A225="Bonus",L218*(1-VLOOKUP($A215,Depreciation!$D$41:$N$50,L214-2014))*L220,L218*L220),L218*L220)</f>
        <v>3262646.6439444134</v>
      </c>
    </row>
    <row r="229" spans="2:12" ht="18.75" customHeight="1">
      <c r="B229" s="5" t="s">
        <v>17</v>
      </c>
      <c r="C229" s="7">
        <f>Input!I$19</f>
        <v>0.09991333016039017</v>
      </c>
      <c r="D229" s="7">
        <f>Input!J$19</f>
        <v>0.09991333016039017</v>
      </c>
      <c r="E229" s="7">
        <f>Input!K$19</f>
        <v>0.09991333016039017</v>
      </c>
      <c r="F229" s="7">
        <f>Input!L$19</f>
        <v>0.09991333016039017</v>
      </c>
      <c r="G229" s="7">
        <f>Input!M$19</f>
        <v>0.09991333016039017</v>
      </c>
      <c r="H229" s="7">
        <f>Input!N$19</f>
        <v>0.09991333016039017</v>
      </c>
      <c r="I229" s="7">
        <f>Input!O$19</f>
        <v>0.09991333016039017</v>
      </c>
      <c r="J229" s="7">
        <f>Input!P$19</f>
        <v>0.09991333016039017</v>
      </c>
      <c r="K229" s="7">
        <f>Input!Q$19</f>
        <v>0.09991333016039017</v>
      </c>
      <c r="L229" s="7">
        <f>Input!R$19</f>
        <v>0.09991333016039017</v>
      </c>
    </row>
    <row r="230" spans="2:12" ht="18.75" customHeight="1">
      <c r="B230" s="5" t="s">
        <v>8</v>
      </c>
      <c r="C230" s="171">
        <f>C225</f>
        <v>0</v>
      </c>
      <c r="D230" s="171">
        <f aca="true" t="shared" si="118" ref="D230:L230">D225</f>
        <v>0</v>
      </c>
      <c r="E230" s="171">
        <f t="shared" si="118"/>
        <v>127265.50560867257</v>
      </c>
      <c r="F230" s="171">
        <f t="shared" si="118"/>
        <v>3054372.134608142</v>
      </c>
      <c r="G230" s="171">
        <f t="shared" si="118"/>
        <v>3054372.134608142</v>
      </c>
      <c r="H230" s="171">
        <f t="shared" si="118"/>
        <v>3054372.134608142</v>
      </c>
      <c r="I230" s="171">
        <f t="shared" si="118"/>
        <v>3054372.134608142</v>
      </c>
      <c r="J230" s="171">
        <f t="shared" si="118"/>
        <v>3054372.134608142</v>
      </c>
      <c r="K230" s="171">
        <f t="shared" si="118"/>
        <v>3054372.134608142</v>
      </c>
      <c r="L230" s="171">
        <f t="shared" si="118"/>
        <v>3054372.134608142</v>
      </c>
    </row>
    <row r="231" spans="2:12" ht="18.75" customHeight="1">
      <c r="B231" s="11" t="s">
        <v>364</v>
      </c>
      <c r="C231" s="171">
        <f aca="true" t="shared" si="119" ref="C231:L231">SUM(C227,C228)</f>
        <v>0</v>
      </c>
      <c r="D231" s="171">
        <f t="shared" si="119"/>
        <v>0</v>
      </c>
      <c r="E231" s="171">
        <f t="shared" si="119"/>
        <v>50805993.183934644</v>
      </c>
      <c r="F231" s="171">
        <f t="shared" si="119"/>
        <v>5208546.245606971</v>
      </c>
      <c r="G231" s="171">
        <f t="shared" si="119"/>
        <v>4817490.411679975</v>
      </c>
      <c r="H231" s="171">
        <f t="shared" si="119"/>
        <v>4456737.797356179</v>
      </c>
      <c r="I231" s="171">
        <f t="shared" si="119"/>
        <v>4121959.371263696</v>
      </c>
      <c r="J231" s="171">
        <f t="shared" si="119"/>
        <v>3813155.1334025264</v>
      </c>
      <c r="K231" s="171">
        <f t="shared" si="119"/>
        <v>3526717.557629432</v>
      </c>
      <c r="L231" s="171">
        <f t="shared" si="119"/>
        <v>3262646.6439444134</v>
      </c>
    </row>
    <row r="232" spans="2:12" ht="18.75" customHeight="1">
      <c r="B232" s="2" t="s">
        <v>9</v>
      </c>
      <c r="C232" s="8">
        <f>Input!$B$6</f>
        <v>0.0015</v>
      </c>
      <c r="D232" s="8">
        <f aca="true" t="shared" si="120" ref="D232:I232">C232</f>
        <v>0.0015</v>
      </c>
      <c r="E232" s="8">
        <f t="shared" si="120"/>
        <v>0.0015</v>
      </c>
      <c r="F232" s="8">
        <f t="shared" si="120"/>
        <v>0.0015</v>
      </c>
      <c r="G232" s="8">
        <f t="shared" si="120"/>
        <v>0.0015</v>
      </c>
      <c r="H232" s="8">
        <f t="shared" si="120"/>
        <v>0.0015</v>
      </c>
      <c r="I232" s="8">
        <f t="shared" si="120"/>
        <v>0.0015</v>
      </c>
      <c r="J232" s="8">
        <f>I232</f>
        <v>0.0015</v>
      </c>
      <c r="K232" s="8">
        <f>J232</f>
        <v>0.0015</v>
      </c>
      <c r="L232" s="8">
        <f>K232</f>
        <v>0.0015</v>
      </c>
    </row>
    <row r="233" spans="2:12" ht="18.75" customHeight="1">
      <c r="B233" s="4" t="s">
        <v>363</v>
      </c>
      <c r="C233" s="171">
        <f aca="true" t="shared" si="121" ref="C233:L233">(C231-C230)*C221</f>
        <v>0</v>
      </c>
      <c r="D233" s="171">
        <f t="shared" si="121"/>
        <v>0</v>
      </c>
      <c r="E233" s="171">
        <f t="shared" si="121"/>
        <v>19595436.84410152</v>
      </c>
      <c r="F233" s="171">
        <f t="shared" si="121"/>
        <v>832932.9617588071</v>
      </c>
      <c r="G233" s="171">
        <f t="shared" si="121"/>
        <v>681727.3130125947</v>
      </c>
      <c r="H233" s="171">
        <f t="shared" si="121"/>
        <v>542238.7071581559</v>
      </c>
      <c r="I233" s="171">
        <f t="shared" si="121"/>
        <v>412793.28092523635</v>
      </c>
      <c r="J233" s="171">
        <f t="shared" si="121"/>
        <v>293391.0343138366</v>
      </c>
      <c r="K233" s="171">
        <f t="shared" si="121"/>
        <v>182637.08126541195</v>
      </c>
      <c r="L233" s="171">
        <f t="shared" si="121"/>
        <v>80531.42177996266</v>
      </c>
    </row>
    <row r="234" spans="2:12" ht="18.75" customHeight="1">
      <c r="B234" s="4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8.75" customHeight="1">
      <c r="B235" s="10" t="s">
        <v>15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8.75" customHeight="1">
      <c r="B236" s="5" t="s">
        <v>16</v>
      </c>
      <c r="C236" s="169">
        <f>C218</f>
        <v>19635871.44126543</v>
      </c>
      <c r="D236" s="169">
        <f aca="true" t="shared" si="122" ref="D236:I236">D218</f>
        <v>58239871.441265434</v>
      </c>
      <c r="E236" s="169">
        <f t="shared" si="122"/>
        <v>120250871.44126543</v>
      </c>
      <c r="F236" s="169">
        <f t="shared" si="122"/>
        <v>120250871.44126543</v>
      </c>
      <c r="G236" s="169">
        <f t="shared" si="122"/>
        <v>120250871.44126543</v>
      </c>
      <c r="H236" s="169">
        <f t="shared" si="122"/>
        <v>120250871.44126543</v>
      </c>
      <c r="I236" s="169">
        <f t="shared" si="122"/>
        <v>120250871.44126543</v>
      </c>
      <c r="J236" s="169">
        <f>J218</f>
        <v>120250871.44126543</v>
      </c>
      <c r="K236" s="169">
        <f>K218</f>
        <v>120250871.44126543</v>
      </c>
      <c r="L236" s="169">
        <f>L218</f>
        <v>120250871.44126543</v>
      </c>
    </row>
    <row r="237" spans="1:12" ht="18.75" customHeight="1">
      <c r="A237" s="3"/>
      <c r="B237" s="4" t="s">
        <v>44</v>
      </c>
      <c r="C237" s="170">
        <v>0</v>
      </c>
      <c r="D237" s="170">
        <f aca="true" t="shared" si="123" ref="D237:L237">C237</f>
        <v>0</v>
      </c>
      <c r="E237" s="170">
        <f t="shared" si="123"/>
        <v>0</v>
      </c>
      <c r="F237" s="170">
        <f t="shared" si="123"/>
        <v>0</v>
      </c>
      <c r="G237" s="170">
        <f t="shared" si="123"/>
        <v>0</v>
      </c>
      <c r="H237" s="170">
        <f t="shared" si="123"/>
        <v>0</v>
      </c>
      <c r="I237" s="170">
        <f t="shared" si="123"/>
        <v>0</v>
      </c>
      <c r="J237" s="170">
        <f t="shared" si="123"/>
        <v>0</v>
      </c>
      <c r="K237" s="170">
        <f t="shared" si="123"/>
        <v>0</v>
      </c>
      <c r="L237" s="170">
        <f t="shared" si="123"/>
        <v>0</v>
      </c>
    </row>
    <row r="238" spans="2:12" ht="18.75" customHeight="1">
      <c r="B238" s="2" t="s">
        <v>10</v>
      </c>
      <c r="C238" s="170">
        <f>-C223</f>
        <v>0</v>
      </c>
      <c r="D238" s="170">
        <f aca="true" t="shared" si="124" ref="D238:I238">-D223</f>
        <v>0</v>
      </c>
      <c r="E238" s="170">
        <f t="shared" si="124"/>
        <v>-127265.50560867257</v>
      </c>
      <c r="F238" s="170">
        <f t="shared" si="124"/>
        <v>-3181637.640216815</v>
      </c>
      <c r="G238" s="170">
        <f t="shared" si="124"/>
        <v>-6236009.774824956</v>
      </c>
      <c r="H238" s="170">
        <f t="shared" si="124"/>
        <v>-9290381.909433099</v>
      </c>
      <c r="I238" s="170">
        <f t="shared" si="124"/>
        <v>-12344754.04404124</v>
      </c>
      <c r="J238" s="170">
        <f>-J223</f>
        <v>-15399126.178649383</v>
      </c>
      <c r="K238" s="170">
        <f>-K223</f>
        <v>-18453498.313257523</v>
      </c>
      <c r="L238" s="170">
        <f>-L223</f>
        <v>-21507870.447865665</v>
      </c>
    </row>
    <row r="239" spans="2:12" ht="18.75" customHeight="1">
      <c r="B239" s="2" t="s">
        <v>45</v>
      </c>
      <c r="C239" s="170">
        <v>0</v>
      </c>
      <c r="D239" s="170">
        <f aca="true" t="shared" si="125" ref="D239:L239">C239</f>
        <v>0</v>
      </c>
      <c r="E239" s="170">
        <f t="shared" si="125"/>
        <v>0</v>
      </c>
      <c r="F239" s="170">
        <f t="shared" si="125"/>
        <v>0</v>
      </c>
      <c r="G239" s="170">
        <f t="shared" si="125"/>
        <v>0</v>
      </c>
      <c r="H239" s="170">
        <f t="shared" si="125"/>
        <v>0</v>
      </c>
      <c r="I239" s="170">
        <f t="shared" si="125"/>
        <v>0</v>
      </c>
      <c r="J239" s="170">
        <f t="shared" si="125"/>
        <v>0</v>
      </c>
      <c r="K239" s="170">
        <f t="shared" si="125"/>
        <v>0</v>
      </c>
      <c r="L239" s="170">
        <f t="shared" si="125"/>
        <v>0</v>
      </c>
    </row>
    <row r="240" spans="2:12" ht="18.75" customHeight="1">
      <c r="B240" s="2" t="s">
        <v>46</v>
      </c>
      <c r="C240" s="170">
        <f>-C222</f>
        <v>0</v>
      </c>
      <c r="D240" s="170">
        <f aca="true" t="shared" si="126" ref="D240:I240">-D222</f>
        <v>0</v>
      </c>
      <c r="E240" s="170">
        <f t="shared" si="126"/>
        <v>-19595436.84410152</v>
      </c>
      <c r="F240" s="170">
        <f t="shared" si="126"/>
        <v>-20428369.805860326</v>
      </c>
      <c r="G240" s="170">
        <f t="shared" si="126"/>
        <v>-21110097.118872922</v>
      </c>
      <c r="H240" s="170">
        <f t="shared" si="126"/>
        <v>-21652335.826031078</v>
      </c>
      <c r="I240" s="170">
        <f t="shared" si="126"/>
        <v>-22065129.106956314</v>
      </c>
      <c r="J240" s="170">
        <f>-J222</f>
        <v>-22358520.14127015</v>
      </c>
      <c r="K240" s="170">
        <f>-K222</f>
        <v>-22541157.22253556</v>
      </c>
      <c r="L240" s="170">
        <f>-L222</f>
        <v>-22621688.644315526</v>
      </c>
    </row>
    <row r="241" spans="2:12" ht="18.75" customHeight="1">
      <c r="B241" s="2" t="s">
        <v>47</v>
      </c>
      <c r="C241" s="170">
        <v>0</v>
      </c>
      <c r="D241" s="170">
        <f aca="true" t="shared" si="127" ref="D241:L241">C241</f>
        <v>0</v>
      </c>
      <c r="E241" s="170">
        <f t="shared" si="127"/>
        <v>0</v>
      </c>
      <c r="F241" s="170">
        <f t="shared" si="127"/>
        <v>0</v>
      </c>
      <c r="G241" s="170">
        <f t="shared" si="127"/>
        <v>0</v>
      </c>
      <c r="H241" s="170">
        <f t="shared" si="127"/>
        <v>0</v>
      </c>
      <c r="I241" s="170">
        <f t="shared" si="127"/>
        <v>0</v>
      </c>
      <c r="J241" s="170">
        <f t="shared" si="127"/>
        <v>0</v>
      </c>
      <c r="K241" s="170">
        <f t="shared" si="127"/>
        <v>0</v>
      </c>
      <c r="L241" s="170">
        <f t="shared" si="127"/>
        <v>0</v>
      </c>
    </row>
    <row r="242" spans="2:12" ht="18.75" customHeight="1">
      <c r="B242" s="2" t="s">
        <v>11</v>
      </c>
      <c r="C242" s="170">
        <f>SUM(C236:C241)</f>
        <v>19635871.44126543</v>
      </c>
      <c r="D242" s="170">
        <f aca="true" t="shared" si="128" ref="D242:I242">SUM(D236:D241)</f>
        <v>58239871.441265434</v>
      </c>
      <c r="E242" s="170">
        <f t="shared" si="128"/>
        <v>100528169.09155524</v>
      </c>
      <c r="F242" s="170">
        <f t="shared" si="128"/>
        <v>96640863.9951883</v>
      </c>
      <c r="G242" s="170">
        <f t="shared" si="128"/>
        <v>92904764.54756755</v>
      </c>
      <c r="H242" s="170">
        <f t="shared" si="128"/>
        <v>89308153.70580126</v>
      </c>
      <c r="I242" s="170">
        <f t="shared" si="128"/>
        <v>85840988.29026787</v>
      </c>
      <c r="J242" s="170">
        <f>SUM(J236:J241)</f>
        <v>82493225.1213459</v>
      </c>
      <c r="K242" s="170">
        <f>SUM(K236:K241)</f>
        <v>79256215.90547235</v>
      </c>
      <c r="L242" s="170">
        <f>SUM(L236:L241)</f>
        <v>76121312.34908424</v>
      </c>
    </row>
    <row r="243" spans="2:12" ht="18.75" customHeight="1">
      <c r="B243" s="2" t="s">
        <v>12</v>
      </c>
      <c r="C243" s="7">
        <f aca="true" t="shared" si="129" ref="C243:I243">C229</f>
        <v>0.09991333016039017</v>
      </c>
      <c r="D243" s="7">
        <f t="shared" si="129"/>
        <v>0.09991333016039017</v>
      </c>
      <c r="E243" s="7">
        <f t="shared" si="129"/>
        <v>0.09991333016039017</v>
      </c>
      <c r="F243" s="7">
        <f t="shared" si="129"/>
        <v>0.09991333016039017</v>
      </c>
      <c r="G243" s="7">
        <f t="shared" si="129"/>
        <v>0.09991333016039017</v>
      </c>
      <c r="H243" s="7">
        <f t="shared" si="129"/>
        <v>0.09991333016039017</v>
      </c>
      <c r="I243" s="7">
        <f t="shared" si="129"/>
        <v>0.09991333016039017</v>
      </c>
      <c r="J243" s="7">
        <f>J229</f>
        <v>0.09991333016039017</v>
      </c>
      <c r="K243" s="7">
        <f>K229</f>
        <v>0.09991333016039017</v>
      </c>
      <c r="L243" s="7">
        <f>L229</f>
        <v>0.09991333016039017</v>
      </c>
    </row>
    <row r="244" spans="2:12" ht="18.75" customHeight="1">
      <c r="B244" s="34"/>
      <c r="C244" s="174">
        <f>C242*C243</f>
        <v>1961885.3062981293</v>
      </c>
      <c r="D244" s="174">
        <f aca="true" t="shared" si="130" ref="D244:I244">D242*D243</f>
        <v>5818939.503809832</v>
      </c>
      <c r="E244" s="174">
        <f t="shared" si="130"/>
        <v>10044104.148864089</v>
      </c>
      <c r="F244" s="174">
        <f t="shared" si="130"/>
        <v>9655710.55133661</v>
      </c>
      <c r="G244" s="174">
        <f t="shared" si="130"/>
        <v>9282424.413714428</v>
      </c>
      <c r="H244" s="174">
        <f t="shared" si="130"/>
        <v>8923075.047222594</v>
      </c>
      <c r="I244" s="174">
        <f t="shared" si="130"/>
        <v>8576659.00433972</v>
      </c>
      <c r="J244" s="174">
        <f>J242*J243</f>
        <v>8242172.837544426</v>
      </c>
      <c r="K244" s="174">
        <f>K242*K243</f>
        <v>7918752.467026626</v>
      </c>
      <c r="L244" s="174">
        <f>L242*L243</f>
        <v>7605533.812976239</v>
      </c>
    </row>
    <row r="245" spans="1:12" ht="18.75" customHeight="1">
      <c r="A245" s="3"/>
      <c r="B245" s="32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2:12" ht="18.75" customHeight="1">
      <c r="B246" s="1" t="s">
        <v>52</v>
      </c>
      <c r="C246" s="170">
        <v>0</v>
      </c>
      <c r="D246" s="170">
        <f>C246</f>
        <v>0</v>
      </c>
      <c r="E246" s="170">
        <f aca="true" t="shared" si="131" ref="E246:L246">D246</f>
        <v>0</v>
      </c>
      <c r="F246" s="170">
        <f t="shared" si="131"/>
        <v>0</v>
      </c>
      <c r="G246" s="170">
        <f t="shared" si="131"/>
        <v>0</v>
      </c>
      <c r="H246" s="170">
        <f t="shared" si="131"/>
        <v>0</v>
      </c>
      <c r="I246" s="170">
        <f t="shared" si="131"/>
        <v>0</v>
      </c>
      <c r="J246" s="170">
        <f t="shared" si="131"/>
        <v>0</v>
      </c>
      <c r="K246" s="170">
        <f t="shared" si="131"/>
        <v>0</v>
      </c>
      <c r="L246" s="170">
        <f t="shared" si="131"/>
        <v>0</v>
      </c>
    </row>
    <row r="247" spans="2:12" ht="18.75" customHeight="1">
      <c r="B247" s="2" t="s">
        <v>48</v>
      </c>
      <c r="C247" s="170">
        <f>C230</f>
        <v>0</v>
      </c>
      <c r="D247" s="170">
        <f aca="true" t="shared" si="132" ref="D247:I247">D230</f>
        <v>0</v>
      </c>
      <c r="E247" s="170">
        <f t="shared" si="132"/>
        <v>127265.50560867257</v>
      </c>
      <c r="F247" s="170">
        <f t="shared" si="132"/>
        <v>3054372.134608142</v>
      </c>
      <c r="G247" s="170">
        <f t="shared" si="132"/>
        <v>3054372.134608142</v>
      </c>
      <c r="H247" s="170">
        <f t="shared" si="132"/>
        <v>3054372.134608142</v>
      </c>
      <c r="I247" s="170">
        <f t="shared" si="132"/>
        <v>3054372.134608142</v>
      </c>
      <c r="J247" s="170">
        <f>J230</f>
        <v>3054372.134608142</v>
      </c>
      <c r="K247" s="170">
        <f>K230</f>
        <v>3054372.134608142</v>
      </c>
      <c r="L247" s="170">
        <f>L230</f>
        <v>3054372.134608142</v>
      </c>
    </row>
    <row r="248" spans="2:12" ht="18.75" customHeight="1">
      <c r="B248" s="2" t="s">
        <v>49</v>
      </c>
      <c r="C248" s="170">
        <v>0</v>
      </c>
      <c r="D248" s="170">
        <f aca="true" t="shared" si="133" ref="D248:L248">C248</f>
        <v>0</v>
      </c>
      <c r="E248" s="170">
        <f t="shared" si="133"/>
        <v>0</v>
      </c>
      <c r="F248" s="170">
        <f t="shared" si="133"/>
        <v>0</v>
      </c>
      <c r="G248" s="170">
        <f t="shared" si="133"/>
        <v>0</v>
      </c>
      <c r="H248" s="170">
        <f t="shared" si="133"/>
        <v>0</v>
      </c>
      <c r="I248" s="170">
        <f t="shared" si="133"/>
        <v>0</v>
      </c>
      <c r="J248" s="170">
        <f t="shared" si="133"/>
        <v>0</v>
      </c>
      <c r="K248" s="170">
        <f t="shared" si="133"/>
        <v>0</v>
      </c>
      <c r="L248" s="170">
        <f t="shared" si="133"/>
        <v>0</v>
      </c>
    </row>
    <row r="249" spans="2:12" ht="18.75" customHeight="1">
      <c r="B249" s="2" t="s">
        <v>50</v>
      </c>
      <c r="C249" s="170">
        <v>0</v>
      </c>
      <c r="D249" s="170">
        <f aca="true" t="shared" si="134" ref="D249:L249">D232*(C236+C238)</f>
        <v>29453.807161898145</v>
      </c>
      <c r="E249" s="170">
        <f t="shared" si="134"/>
        <v>87359.80716189815</v>
      </c>
      <c r="F249" s="170">
        <f t="shared" si="134"/>
        <v>180185.40890348513</v>
      </c>
      <c r="G249" s="170">
        <f t="shared" si="134"/>
        <v>175603.85070157293</v>
      </c>
      <c r="H249" s="170">
        <f t="shared" si="134"/>
        <v>171022.29249966072</v>
      </c>
      <c r="I249" s="170">
        <f t="shared" si="134"/>
        <v>166440.7342977485</v>
      </c>
      <c r="J249" s="170">
        <f t="shared" si="134"/>
        <v>161859.17609583627</v>
      </c>
      <c r="K249" s="170">
        <f t="shared" si="134"/>
        <v>157277.6178939241</v>
      </c>
      <c r="L249" s="170">
        <f t="shared" si="134"/>
        <v>152696.05969201188</v>
      </c>
    </row>
    <row r="250" spans="2:12" ht="18.75" customHeight="1">
      <c r="B250" s="21" t="s">
        <v>51</v>
      </c>
      <c r="C250" s="174">
        <f aca="true" t="shared" si="135" ref="C250:I250">SUM(C246:C249)</f>
        <v>0</v>
      </c>
      <c r="D250" s="174">
        <f t="shared" si="135"/>
        <v>29453.807161898145</v>
      </c>
      <c r="E250" s="174">
        <f t="shared" si="135"/>
        <v>214625.31277057072</v>
      </c>
      <c r="F250" s="174">
        <f t="shared" si="135"/>
        <v>3234557.5435116272</v>
      </c>
      <c r="G250" s="174">
        <f t="shared" si="135"/>
        <v>3229975.985309715</v>
      </c>
      <c r="H250" s="174">
        <f t="shared" si="135"/>
        <v>3225394.4271078026</v>
      </c>
      <c r="I250" s="174">
        <f t="shared" si="135"/>
        <v>3220812.8689058907</v>
      </c>
      <c r="J250" s="174">
        <f>SUM(J246:J249)</f>
        <v>3216231.3107039784</v>
      </c>
      <c r="K250" s="174">
        <f>SUM(K246:K249)</f>
        <v>3211649.752502066</v>
      </c>
      <c r="L250" s="174">
        <f>SUM(L246:L249)</f>
        <v>3207068.1943001538</v>
      </c>
    </row>
    <row r="251" spans="3:12" ht="18.75" customHeight="1">
      <c r="C251" s="34"/>
      <c r="D251" s="268"/>
      <c r="E251" s="268"/>
      <c r="F251" s="268"/>
      <c r="G251" s="268"/>
      <c r="H251" s="268"/>
      <c r="I251" s="268"/>
      <c r="J251" s="268"/>
      <c r="K251" s="268"/>
      <c r="L251" s="268"/>
    </row>
    <row r="252" spans="2:12" ht="18.75" customHeight="1">
      <c r="B252" s="1" t="s">
        <v>59</v>
      </c>
      <c r="C252" s="170">
        <f>C244+C250</f>
        <v>1961885.3062981293</v>
      </c>
      <c r="D252" s="170">
        <f aca="true" t="shared" si="136" ref="D252:I252">D244+D250</f>
        <v>5848393.31097173</v>
      </c>
      <c r="E252" s="170">
        <f t="shared" si="136"/>
        <v>10258729.46163466</v>
      </c>
      <c r="F252" s="170">
        <f t="shared" si="136"/>
        <v>12890268.094848238</v>
      </c>
      <c r="G252" s="170">
        <f t="shared" si="136"/>
        <v>12512400.399024142</v>
      </c>
      <c r="H252" s="170">
        <f t="shared" si="136"/>
        <v>12148469.474330395</v>
      </c>
      <c r="I252" s="170">
        <f t="shared" si="136"/>
        <v>11797471.87324561</v>
      </c>
      <c r="J252" s="170">
        <f>J244+J250</f>
        <v>11458404.148248404</v>
      </c>
      <c r="K252" s="170">
        <f>K244+K250</f>
        <v>11130402.219528692</v>
      </c>
      <c r="L252" s="170">
        <f>L244+L250</f>
        <v>10812602.007276393</v>
      </c>
    </row>
  </sheetData>
  <sheetProtection/>
  <dataValidations count="1">
    <dataValidation type="list" allowBlank="1" showInputMessage="1" showErrorMessage="1" sqref="A15 A183 A225 A99 A141 A57">
      <formula1>"Bonus, No Bonus"</formula1>
    </dataValidation>
  </dataValidations>
  <printOptions horizontalCentered="1"/>
  <pageMargins left="0.75" right="0.75" top="1" bottom="0.5" header="0.5" footer="0.5"/>
  <pageSetup horizontalDpi="600" verticalDpi="600" orientation="landscape" scale="60" r:id="rId1"/>
  <rowBreaks count="5" manualBreakCount="5">
    <brk id="44" min="2" max="11" man="1"/>
    <brk id="86" min="2" max="11" man="1"/>
    <brk id="128" min="2" max="11" man="1"/>
    <brk id="170" min="2" max="11" man="1"/>
    <brk id="212" min="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6"/>
  <sheetViews>
    <sheetView zoomScale="75" zoomScaleNormal="75" zoomScalePageLayoutView="0" workbookViewId="0" topLeftCell="A1">
      <selection activeCell="A1" sqref="A1"/>
    </sheetView>
  </sheetViews>
  <sheetFormatPr defaultColWidth="9.33203125" defaultRowHeight="18.75" customHeight="1"/>
  <cols>
    <col min="1" max="1" width="12.66015625" style="2" bestFit="1" customWidth="1"/>
    <col min="2" max="2" width="66" style="2" customWidth="1"/>
    <col min="3" max="12" width="14.83203125" style="2" customWidth="1"/>
    <col min="13" max="13" width="9.33203125" style="2" customWidth="1"/>
    <col min="14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8.75" customHeight="1">
      <c r="B2" s="110" t="s">
        <v>351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8.75" customHeight="1">
      <c r="B3" s="11"/>
      <c r="C3" s="212" t="s">
        <v>257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29">
        <f>Input!B2</f>
        <v>2016</v>
      </c>
      <c r="D4" s="29">
        <f aca="true" t="shared" si="0" ref="D4:L5">C4+1</f>
        <v>2017</v>
      </c>
      <c r="E4" s="29">
        <f t="shared" si="0"/>
        <v>2018</v>
      </c>
      <c r="F4" s="29">
        <f t="shared" si="0"/>
        <v>2019</v>
      </c>
      <c r="G4" s="29">
        <f t="shared" si="0"/>
        <v>2020</v>
      </c>
      <c r="H4" s="29">
        <f t="shared" si="0"/>
        <v>2021</v>
      </c>
      <c r="I4" s="29">
        <f t="shared" si="0"/>
        <v>2022</v>
      </c>
      <c r="J4" s="29">
        <f t="shared" si="0"/>
        <v>2023</v>
      </c>
      <c r="K4" s="29">
        <f t="shared" si="0"/>
        <v>2024</v>
      </c>
      <c r="L4" s="29">
        <f t="shared" si="0"/>
        <v>2025</v>
      </c>
    </row>
    <row r="5" spans="1:18" s="28" customFormat="1" ht="18.75" customHeight="1">
      <c r="A5" s="258">
        <v>2018</v>
      </c>
      <c r="B5" s="28" t="s">
        <v>43</v>
      </c>
      <c r="C5" s="209">
        <v>1</v>
      </c>
      <c r="D5" s="209">
        <f>C5+1</f>
        <v>2</v>
      </c>
      <c r="E5" s="209">
        <f>D5+1</f>
        <v>3</v>
      </c>
      <c r="F5" s="209">
        <f t="shared" si="0"/>
        <v>4</v>
      </c>
      <c r="G5" s="209">
        <f t="shared" si="0"/>
        <v>5</v>
      </c>
      <c r="H5" s="209">
        <f t="shared" si="0"/>
        <v>6</v>
      </c>
      <c r="I5" s="209">
        <f t="shared" si="0"/>
        <v>7</v>
      </c>
      <c r="J5" s="209">
        <f t="shared" si="0"/>
        <v>8</v>
      </c>
      <c r="K5" s="209">
        <f t="shared" si="0"/>
        <v>9</v>
      </c>
      <c r="L5" s="209">
        <f t="shared" si="0"/>
        <v>10</v>
      </c>
      <c r="M5" s="28" t="s">
        <v>21</v>
      </c>
      <c r="Q5" s="28" t="s">
        <v>257</v>
      </c>
      <c r="R5" s="28">
        <v>1</v>
      </c>
    </row>
    <row r="6" spans="2:18" ht="18.75" customHeight="1">
      <c r="B6" s="211" t="s">
        <v>370</v>
      </c>
      <c r="C6" s="12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21" t="s">
        <v>323</v>
      </c>
      <c r="B7" s="10" t="s">
        <v>429</v>
      </c>
      <c r="C7" s="172">
        <f>VLOOKUP(C$4,'Cash Flows-LGE'!$B$60:$H$70,$A8)</f>
        <v>0</v>
      </c>
      <c r="D7" s="172">
        <f>VLOOKUP(D$4,'Cash Flows-LGE'!$B$60:$H$70,$A8)</f>
        <v>1060744.3767146096</v>
      </c>
      <c r="E7" s="172">
        <f>VLOOKUP(E$4,'Cash Flows-LGE'!$B$60:$H$70,$A8)</f>
        <v>3551730.0000000005</v>
      </c>
      <c r="F7" s="172">
        <f>VLOOKUP(F$4,'Cash Flows-LGE'!$B$60:$H$70,$A8)</f>
        <v>4018560</v>
      </c>
      <c r="G7" s="172">
        <f>VLOOKUP(G$4,'Cash Flows-LGE'!$B$60:$H$70,$A8)</f>
        <v>10433670.000000002</v>
      </c>
      <c r="H7" s="172">
        <f>VLOOKUP(H$4,'Cash Flows-LGE'!$B$60:$H$70,$A8)</f>
        <v>7979400.000000001</v>
      </c>
      <c r="I7" s="172">
        <f>VLOOKUP(I$4,'Cash Flows-LGE'!$B$60:$H$70,$A8)</f>
        <v>12899250</v>
      </c>
      <c r="J7" s="172">
        <f>VLOOKUP(J$4,'Cash Flows-LGE'!$B$60:$H$70,$A8)</f>
        <v>11496030</v>
      </c>
      <c r="K7" s="172">
        <f>VLOOKUP(K$4,'Cash Flows-LGE'!$B$60:$H$70,$A8)</f>
        <v>0</v>
      </c>
      <c r="L7" s="172">
        <f>VLOOKUP(L$4,'Cash Flows-LGE'!$B$60:$H$70,$A8)</f>
        <v>0</v>
      </c>
      <c r="M7" s="172"/>
      <c r="Q7" s="28" t="s">
        <v>259</v>
      </c>
      <c r="R7" s="2">
        <v>3</v>
      </c>
    </row>
    <row r="8" spans="1:18" ht="18.75" customHeight="1">
      <c r="A8" s="3">
        <v>2</v>
      </c>
      <c r="B8" s="40" t="s">
        <v>57</v>
      </c>
      <c r="C8" s="172">
        <f>SUM($C7:C7)</f>
        <v>0</v>
      </c>
      <c r="D8" s="172">
        <f>SUM($C7:D7)</f>
        <v>1060744.3767146096</v>
      </c>
      <c r="E8" s="172">
        <f>SUM($C7:E7)</f>
        <v>4612474.37671461</v>
      </c>
      <c r="F8" s="172">
        <f>SUM($C7:F7)</f>
        <v>8631034.37671461</v>
      </c>
      <c r="G8" s="172">
        <f>SUM($C7:G7)</f>
        <v>19064704.37671461</v>
      </c>
      <c r="H8" s="172">
        <f>SUM($C7:H7)</f>
        <v>27044104.37671461</v>
      </c>
      <c r="I8" s="172">
        <f>SUM($C7:I7)</f>
        <v>39943354.37671461</v>
      </c>
      <c r="J8" s="172">
        <f>SUM($C7:J7)</f>
        <v>51439384.37671461</v>
      </c>
      <c r="K8" s="172">
        <f>SUM($C7:K7)</f>
        <v>51439384.37671461</v>
      </c>
      <c r="L8" s="172">
        <f>SUM($C7:L7)</f>
        <v>51439384.37671461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</v>
      </c>
      <c r="D9" s="6">
        <f>IF(D5="",0,VLOOKUP($B6,Depreciation!$D$2:$E$31,$A9,FALSE))</f>
        <v>0</v>
      </c>
      <c r="E9" s="6">
        <f>IF(E5="",0,VLOOKUP($B6,Depreciation!$D$2:$E$31,$A9,FALSE))</f>
        <v>0</v>
      </c>
      <c r="F9" s="6">
        <f>IF(F5="",0,VLOOKUP($B6,Depreciation!$D$2:$E$31,$A9,FALSE))</f>
        <v>0</v>
      </c>
      <c r="G9" s="6">
        <f>IF(G5="",0,VLOOKUP($B6,Depreciation!$D$2:$E$31,$A9,FALSE))</f>
        <v>0</v>
      </c>
      <c r="H9" s="6">
        <f>IF(H5="",0,VLOOKUP($B6,Depreciation!$D$2:$E$31,$A9,FALSE))</f>
        <v>0</v>
      </c>
      <c r="I9" s="6">
        <f>IF(I5="",0,VLOOKUP($B6,Depreciation!$D$2:$E$31,$A9,FALSE))</f>
        <v>0</v>
      </c>
      <c r="J9" s="6">
        <f>IF(J5="",0,VLOOKUP($B6,Depreciation!$D$2:$E$31,$A9,FALSE))</f>
        <v>0</v>
      </c>
      <c r="K9" s="6">
        <f>IF(K5="",0,VLOOKUP($B6,Depreciation!$D$2:$E$31,$A9,FALSE))</f>
        <v>0</v>
      </c>
      <c r="L9" s="6">
        <f>IF(L5="",0,VLOOKUP($B6,Depreciation!$D$2:$E$31,$A9,FALSE))</f>
        <v>0</v>
      </c>
      <c r="Q9" s="28" t="s">
        <v>261</v>
      </c>
      <c r="R9" s="2">
        <v>5</v>
      </c>
    </row>
    <row r="10" spans="1:18" ht="18.75" customHeight="1">
      <c r="A10" s="3">
        <v>3</v>
      </c>
      <c r="B10" s="5" t="s">
        <v>1</v>
      </c>
      <c r="C10" s="6">
        <f>IF(C5="",0,VLOOKUP(C5,Depreciation!$A$2:$C$58,$A10,FALSE))</f>
        <v>1</v>
      </c>
      <c r="D10" s="6">
        <f>IF(D5="",0,VLOOKUP(D5,Depreciation!$A$2:$C$58,$A10,FALSE))</f>
        <v>1</v>
      </c>
      <c r="E10" s="6">
        <f>IF(E5="",0,VLOOKUP(E5,Depreciation!$A$2:$C$58,$A10,FALSE))</f>
        <v>1</v>
      </c>
      <c r="F10" s="6">
        <f>IF(F5="",0,VLOOKUP(F5,Depreciation!$A$2:$C$58,$A10,FALSE))</f>
        <v>1</v>
      </c>
      <c r="G10" s="6">
        <f>IF(G5="",0,VLOOKUP(G5,Depreciation!$A$2:$C$58,$A10,FALSE))</f>
        <v>1</v>
      </c>
      <c r="H10" s="6">
        <f>IF(H5="",0,VLOOKUP(H5,Depreciation!$A$2:$C$58,$A10,FALSE))</f>
        <v>1</v>
      </c>
      <c r="I10" s="6">
        <f>IF(I5="",0,VLOOKUP(I5,Depreciation!$A$2:$C$58,$A10,FALSE))</f>
        <v>1</v>
      </c>
      <c r="J10" s="6">
        <f>IF(J5="",0,VLOOKUP(J5,Depreciation!$A$2:$C$58,$A10,FALSE))</f>
        <v>1</v>
      </c>
      <c r="K10" s="6">
        <f>IF(K5="",0,VLOOKUP(K5,Depreciation!$A$2:$C$58,$A10,FALSE))</f>
        <v>1</v>
      </c>
      <c r="L10" s="6">
        <f>IF(L5="",0,VLOOKUP(L5,Depreciation!$A$2:$C$58,$A10,FALSE))</f>
        <v>1</v>
      </c>
      <c r="Q10" s="28" t="s">
        <v>262</v>
      </c>
      <c r="R10" s="2">
        <v>6</v>
      </c>
    </row>
    <row r="11" spans="2:18" s="30" customFormat="1" ht="18.75" customHeight="1"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2:18" ht="18.75" customHeight="1">
      <c r="B12" s="2" t="s">
        <v>3</v>
      </c>
      <c r="C12" s="170">
        <f>SUM($C23:C23)</f>
        <v>-748678.1752903718</v>
      </c>
      <c r="D12" s="170">
        <f>SUM($C23:D23)</f>
        <v>-1087208.9298802726</v>
      </c>
      <c r="E12" s="170">
        <f>SUM($C23:E23)</f>
        <v>-462575.18337064434</v>
      </c>
      <c r="F12" s="170">
        <f>SUM($C23:F23)</f>
        <v>342563.0509389837</v>
      </c>
      <c r="G12" s="170">
        <f>SUM($C23:G23)</f>
        <v>3628167.717848612</v>
      </c>
      <c r="H12" s="170">
        <f>SUM($C23:H23)</f>
        <v>5964804.34655824</v>
      </c>
      <c r="I12" s="170">
        <f>SUM($C23:I23)</f>
        <v>10203750.176267868</v>
      </c>
      <c r="J12" s="170">
        <f>SUM($C23:J23)</f>
        <v>13900126.960777495</v>
      </c>
      <c r="K12" s="170">
        <f>SUM($C23:K23)</f>
        <v>13151448.785487123</v>
      </c>
      <c r="L12" s="170">
        <f>SUM($C23:L23)</f>
        <v>12402770.61019675</v>
      </c>
      <c r="Q12" s="28" t="s">
        <v>264</v>
      </c>
      <c r="R12" s="2">
        <v>8</v>
      </c>
    </row>
    <row r="13" spans="2:18" ht="18.75" customHeight="1">
      <c r="B13" s="2" t="s">
        <v>4</v>
      </c>
      <c r="C13" s="169">
        <f>SUM($C15:C15)</f>
        <v>1936270.0441999997</v>
      </c>
      <c r="D13" s="169">
        <f>SUM($C15:D15)</f>
        <v>3872540.0883999993</v>
      </c>
      <c r="E13" s="169">
        <f>SUM($C15:E15)</f>
        <v>5808810.132599999</v>
      </c>
      <c r="F13" s="169">
        <f>SUM($C15:F15)</f>
        <v>7745080.176799999</v>
      </c>
      <c r="G13" s="169">
        <f>SUM($C15:G15)</f>
        <v>9681350.220999999</v>
      </c>
      <c r="H13" s="169">
        <f>SUM($C15:H15)</f>
        <v>11617620.265199998</v>
      </c>
      <c r="I13" s="169">
        <f>SUM($C15:I15)</f>
        <v>13553890.309399998</v>
      </c>
      <c r="J13" s="169">
        <f>SUM($C15:J15)</f>
        <v>15490160.353599997</v>
      </c>
      <c r="K13" s="169">
        <f>SUM($C15:K15)</f>
        <v>17426430.3978</v>
      </c>
      <c r="L13" s="169">
        <f>SUM($C15:L15)</f>
        <v>19362700.441999998</v>
      </c>
      <c r="Q13" s="28" t="s">
        <v>265</v>
      </c>
      <c r="R13" s="2">
        <v>9</v>
      </c>
    </row>
    <row r="14" spans="2:18" ht="18.75" customHeight="1">
      <c r="B14" s="11" t="s">
        <v>5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Q14" s="28" t="s">
        <v>266</v>
      </c>
      <c r="R14" s="2">
        <v>10</v>
      </c>
    </row>
    <row r="15" spans="1:18" ht="18.75" customHeight="1">
      <c r="A15" s="214" t="s">
        <v>372</v>
      </c>
      <c r="B15" s="11" t="s">
        <v>6</v>
      </c>
      <c r="C15" s="169">
        <v>1936270.0441999997</v>
      </c>
      <c r="D15" s="169">
        <f>C15</f>
        <v>1936270.0441999997</v>
      </c>
      <c r="E15" s="169">
        <f aca="true" t="shared" si="1" ref="E15:L15">D15</f>
        <v>1936270.0441999997</v>
      </c>
      <c r="F15" s="169">
        <f t="shared" si="1"/>
        <v>1936270.0441999997</v>
      </c>
      <c r="G15" s="169">
        <f t="shared" si="1"/>
        <v>1936270.0441999997</v>
      </c>
      <c r="H15" s="169">
        <f t="shared" si="1"/>
        <v>1936270.0441999997</v>
      </c>
      <c r="I15" s="169">
        <f t="shared" si="1"/>
        <v>1936270.0441999997</v>
      </c>
      <c r="J15" s="169">
        <f t="shared" si="1"/>
        <v>1936270.0441999997</v>
      </c>
      <c r="K15" s="169">
        <f t="shared" si="1"/>
        <v>1936270.0441999997</v>
      </c>
      <c r="L15" s="169">
        <f t="shared" si="1"/>
        <v>1936270.0441999997</v>
      </c>
      <c r="Q15" s="28" t="s">
        <v>267</v>
      </c>
      <c r="R15" s="2">
        <v>11</v>
      </c>
    </row>
    <row r="16" spans="2:18" ht="18.75" customHeight="1">
      <c r="B16" s="5" t="s">
        <v>7</v>
      </c>
      <c r="C16" s="169">
        <f>C7</f>
        <v>0</v>
      </c>
      <c r="D16" s="169">
        <f aca="true" t="shared" si="2" ref="D16:L16">C16+D7</f>
        <v>1060744.3767146096</v>
      </c>
      <c r="E16" s="169">
        <f t="shared" si="2"/>
        <v>4612474.37671461</v>
      </c>
      <c r="F16" s="169">
        <f t="shared" si="2"/>
        <v>8631034.37671461</v>
      </c>
      <c r="G16" s="169">
        <f t="shared" si="2"/>
        <v>19064704.37671461</v>
      </c>
      <c r="H16" s="169">
        <f t="shared" si="2"/>
        <v>27044104.37671461</v>
      </c>
      <c r="I16" s="169">
        <f t="shared" si="2"/>
        <v>39943354.37671461</v>
      </c>
      <c r="J16" s="169">
        <f t="shared" si="2"/>
        <v>51439384.37671461</v>
      </c>
      <c r="K16" s="169">
        <f t="shared" si="2"/>
        <v>51439384.37671461</v>
      </c>
      <c r="L16" s="169">
        <f t="shared" si="2"/>
        <v>51439384.37671461</v>
      </c>
      <c r="Q16" s="28" t="s">
        <v>268</v>
      </c>
      <c r="R16" s="2">
        <v>12</v>
      </c>
    </row>
    <row r="17" spans="2:12" ht="18.75" customHeight="1">
      <c r="B17" s="213" t="s">
        <v>361</v>
      </c>
      <c r="C17" s="169">
        <f>IF(C5=1,IF($A15="Bonus",SUM($C7:C7)*VLOOKUP(C4,Depreciation!$D$41:$E$50,2),0),0)</f>
        <v>0</v>
      </c>
      <c r="D17" s="169">
        <f>IF(D5=1,IF($A15="Bonus",SUM($C7:D7)*VLOOKUP(D4,Depreciation!$D$41:$E$50,2),0),0)</f>
        <v>0</v>
      </c>
      <c r="E17" s="169">
        <f>IF(E5=1,IF($A15="Bonus",SUM($C7:E7)*VLOOKUP(E4,Depreciation!$D$41:$E$50,2),0),0)</f>
        <v>0</v>
      </c>
      <c r="F17" s="169">
        <f>IF(F5=1,IF($A15="Bonus",SUM($C7:F7)*VLOOKUP(F4,Depreciation!$D$41:$E$50,2),0),0)</f>
        <v>0</v>
      </c>
      <c r="G17" s="169">
        <f>IF(G5=1,IF($A15="Bonus",SUM($C7:G7)*VLOOKUP(G4,Depreciation!$D$41:$E$50,2),0),0)</f>
        <v>0</v>
      </c>
      <c r="H17" s="169">
        <f>IF(H5=1,IF($A15="Bonus",SUM($C7:H7)*VLOOKUP(H4,Depreciation!$D$41:$E$50,2),0),0)</f>
        <v>0</v>
      </c>
      <c r="I17" s="169">
        <f>IF(I5=1,IF($A15="Bonus",SUM($C7:I7)*VLOOKUP(I4,Depreciation!$D$41:$E$50,2),0),0)</f>
        <v>0</v>
      </c>
      <c r="J17" s="169">
        <f>IF(J5=1,IF($A15="Bonus",SUM($C7:J7)*VLOOKUP(J4,Depreciation!$D$41:$E$50,2),0),0)</f>
        <v>0</v>
      </c>
      <c r="K17" s="169">
        <f>IF(K5=1,IF($A15="Bonus",SUM($C7:K7)*VLOOKUP(K4,Depreciation!$D$41:$E$50,2),0),0)</f>
        <v>0</v>
      </c>
      <c r="L17" s="169">
        <f>IF(L5=1,IF($A15="Bonus",SUM($C7:L7)*VLOOKUP(L4,Depreciation!$D$41:$E$50,2),0),0)</f>
        <v>0</v>
      </c>
    </row>
    <row r="18" spans="2:12" ht="18.75" customHeight="1">
      <c r="B18" s="5" t="s">
        <v>362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 ht="18.75" customHeight="1">
      <c r="B19" s="5" t="s">
        <v>17</v>
      </c>
      <c r="C19" s="34">
        <f>Input!I$19</f>
        <v>0.09991333016039017</v>
      </c>
      <c r="D19" s="34">
        <f>Input!J$19</f>
        <v>0.09991333016039017</v>
      </c>
      <c r="E19" s="34">
        <f>Input!K$19</f>
        <v>0.09991333016039017</v>
      </c>
      <c r="F19" s="34">
        <f>Input!L$19</f>
        <v>0.09991333016039017</v>
      </c>
      <c r="G19" s="34">
        <f>Input!M$19</f>
        <v>0.09991333016039017</v>
      </c>
      <c r="H19" s="34">
        <f>Input!N$19</f>
        <v>0.09991333016039017</v>
      </c>
      <c r="I19" s="34">
        <f>Input!O$19</f>
        <v>0.09991333016039017</v>
      </c>
      <c r="J19" s="34">
        <f>Input!P$19</f>
        <v>0.09991333016039017</v>
      </c>
      <c r="K19" s="34">
        <f>Input!Q$19</f>
        <v>0.09991333016039017</v>
      </c>
      <c r="L19" s="34">
        <f>Input!R$19</f>
        <v>0.09991333016039017</v>
      </c>
    </row>
    <row r="20" spans="2:12" ht="18.75" customHeight="1">
      <c r="B20" s="5" t="s">
        <v>8</v>
      </c>
      <c r="C20" s="181">
        <f>C15</f>
        <v>1936270.0441999997</v>
      </c>
      <c r="D20" s="181">
        <f>D15</f>
        <v>1936270.0441999997</v>
      </c>
      <c r="E20" s="181">
        <f aca="true" t="shared" si="3" ref="E20:L20">E15</f>
        <v>1936270.0441999997</v>
      </c>
      <c r="F20" s="181">
        <f t="shared" si="3"/>
        <v>1936270.0441999997</v>
      </c>
      <c r="G20" s="181">
        <f t="shared" si="3"/>
        <v>1936270.0441999997</v>
      </c>
      <c r="H20" s="181">
        <f t="shared" si="3"/>
        <v>1936270.0441999997</v>
      </c>
      <c r="I20" s="181">
        <f t="shared" si="3"/>
        <v>1936270.0441999997</v>
      </c>
      <c r="J20" s="181">
        <f t="shared" si="3"/>
        <v>1936270.0441999997</v>
      </c>
      <c r="K20" s="181">
        <f t="shared" si="3"/>
        <v>1936270.0441999997</v>
      </c>
      <c r="L20" s="181">
        <f t="shared" si="3"/>
        <v>1936270.0441999997</v>
      </c>
    </row>
    <row r="21" spans="2:12" ht="18.75" customHeight="1">
      <c r="B21" s="11" t="s">
        <v>364</v>
      </c>
      <c r="C21" s="181">
        <f>C7*C10</f>
        <v>0</v>
      </c>
      <c r="D21" s="181">
        <f aca="true" t="shared" si="4" ref="D21:L21">D7*D10</f>
        <v>1060744.3767146096</v>
      </c>
      <c r="E21" s="181">
        <f t="shared" si="4"/>
        <v>3551730.0000000005</v>
      </c>
      <c r="F21" s="181">
        <f t="shared" si="4"/>
        <v>4018560</v>
      </c>
      <c r="G21" s="181">
        <f t="shared" si="4"/>
        <v>10433670.000000002</v>
      </c>
      <c r="H21" s="181">
        <f t="shared" si="4"/>
        <v>7979400.000000001</v>
      </c>
      <c r="I21" s="181">
        <f t="shared" si="4"/>
        <v>12899250</v>
      </c>
      <c r="J21" s="181">
        <f t="shared" si="4"/>
        <v>11496030</v>
      </c>
      <c r="K21" s="181">
        <f t="shared" si="4"/>
        <v>0</v>
      </c>
      <c r="L21" s="181">
        <f t="shared" si="4"/>
        <v>0</v>
      </c>
    </row>
    <row r="22" spans="2:12" ht="18.75" customHeight="1">
      <c r="B22" s="3" t="s">
        <v>9</v>
      </c>
      <c r="C22" s="8">
        <f>Input!$B$6</f>
        <v>0.0015</v>
      </c>
      <c r="D22" s="8">
        <f aca="true" t="shared" si="5" ref="D22:I22">C22</f>
        <v>0.0015</v>
      </c>
      <c r="E22" s="8">
        <f t="shared" si="5"/>
        <v>0.0015</v>
      </c>
      <c r="F22" s="8">
        <f t="shared" si="5"/>
        <v>0.0015</v>
      </c>
      <c r="G22" s="8">
        <f t="shared" si="5"/>
        <v>0.0015</v>
      </c>
      <c r="H22" s="8">
        <f t="shared" si="5"/>
        <v>0.0015</v>
      </c>
      <c r="I22" s="8">
        <f t="shared" si="5"/>
        <v>0.0015</v>
      </c>
      <c r="J22" s="8">
        <f>I22</f>
        <v>0.0015</v>
      </c>
      <c r="K22" s="8">
        <f>J22</f>
        <v>0.0015</v>
      </c>
      <c r="L22" s="8">
        <f>K22</f>
        <v>0.0015</v>
      </c>
    </row>
    <row r="23" spans="2:12" ht="18.75" customHeight="1">
      <c r="B23" s="102" t="s">
        <v>363</v>
      </c>
      <c r="C23" s="171">
        <f aca="true" t="shared" si="6" ref="C23:L23">(C21-C20)*C11</f>
        <v>-748678.1752903718</v>
      </c>
      <c r="D23" s="171">
        <f t="shared" si="6"/>
        <v>-338530.7545899009</v>
      </c>
      <c r="E23" s="171">
        <f t="shared" si="6"/>
        <v>624633.7465096283</v>
      </c>
      <c r="F23" s="171">
        <f t="shared" si="6"/>
        <v>805138.234309628</v>
      </c>
      <c r="G23" s="171">
        <f t="shared" si="6"/>
        <v>3285604.6669096285</v>
      </c>
      <c r="H23" s="171">
        <f t="shared" si="6"/>
        <v>2336636.6287096282</v>
      </c>
      <c r="I23" s="171">
        <f t="shared" si="6"/>
        <v>4238945.829709628</v>
      </c>
      <c r="J23" s="171">
        <f t="shared" si="6"/>
        <v>3696376.7845096276</v>
      </c>
      <c r="K23" s="171">
        <f t="shared" si="6"/>
        <v>-748678.1752903718</v>
      </c>
      <c r="L23" s="171">
        <f t="shared" si="6"/>
        <v>-748678.1752903718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7" ref="C26:L26">C8</f>
        <v>0</v>
      </c>
      <c r="D26" s="169">
        <f t="shared" si="7"/>
        <v>1060744.3767146096</v>
      </c>
      <c r="E26" s="169">
        <f t="shared" si="7"/>
        <v>4612474.37671461</v>
      </c>
      <c r="F26" s="169">
        <f t="shared" si="7"/>
        <v>8631034.37671461</v>
      </c>
      <c r="G26" s="169">
        <f t="shared" si="7"/>
        <v>19064704.37671461</v>
      </c>
      <c r="H26" s="169">
        <f t="shared" si="7"/>
        <v>27044104.37671461</v>
      </c>
      <c r="I26" s="169">
        <f t="shared" si="7"/>
        <v>39943354.37671461</v>
      </c>
      <c r="J26" s="169">
        <f t="shared" si="7"/>
        <v>51439384.37671461</v>
      </c>
      <c r="K26" s="169">
        <f t="shared" si="7"/>
        <v>51439384.37671461</v>
      </c>
      <c r="L26" s="169">
        <f t="shared" si="7"/>
        <v>51439384.37671461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8" ref="D27:I27">C27</f>
        <v>0</v>
      </c>
      <c r="E27" s="170">
        <f t="shared" si="8"/>
        <v>0</v>
      </c>
      <c r="F27" s="170">
        <f t="shared" si="8"/>
        <v>0</v>
      </c>
      <c r="G27" s="170">
        <f t="shared" si="8"/>
        <v>0</v>
      </c>
      <c r="H27" s="170">
        <f t="shared" si="8"/>
        <v>0</v>
      </c>
      <c r="I27" s="170">
        <f t="shared" si="8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2" ht="18.75" customHeight="1">
      <c r="B28" s="2" t="s">
        <v>10</v>
      </c>
      <c r="C28" s="170">
        <f aca="true" t="shared" si="9" ref="C28:L28">-C13</f>
        <v>-1936270.0441999997</v>
      </c>
      <c r="D28" s="170">
        <f t="shared" si="9"/>
        <v>-3872540.0883999993</v>
      </c>
      <c r="E28" s="170">
        <f t="shared" si="9"/>
        <v>-5808810.132599999</v>
      </c>
      <c r="F28" s="170">
        <f t="shared" si="9"/>
        <v>-7745080.176799999</v>
      </c>
      <c r="G28" s="170">
        <f t="shared" si="9"/>
        <v>-9681350.220999999</v>
      </c>
      <c r="H28" s="170">
        <f t="shared" si="9"/>
        <v>-11617620.265199998</v>
      </c>
      <c r="I28" s="170">
        <f t="shared" si="9"/>
        <v>-13553890.309399998</v>
      </c>
      <c r="J28" s="170">
        <f t="shared" si="9"/>
        <v>-15490160.353599997</v>
      </c>
      <c r="K28" s="170">
        <f t="shared" si="9"/>
        <v>-17426430.3978</v>
      </c>
      <c r="L28" s="170">
        <f t="shared" si="9"/>
        <v>-19362700.441999998</v>
      </c>
    </row>
    <row r="29" spans="2:12" ht="18.75" customHeight="1">
      <c r="B29" s="2" t="s">
        <v>45</v>
      </c>
      <c r="C29" s="170">
        <v>0</v>
      </c>
      <c r="D29" s="170">
        <f>C29</f>
        <v>0</v>
      </c>
      <c r="E29" s="170">
        <f>D29</f>
        <v>0</v>
      </c>
      <c r="F29" s="170">
        <f>E29</f>
        <v>0</v>
      </c>
      <c r="G29" s="170">
        <f aca="true" t="shared" si="10" ref="G29:L29">F29</f>
        <v>0</v>
      </c>
      <c r="H29" s="170">
        <f t="shared" si="10"/>
        <v>0</v>
      </c>
      <c r="I29" s="170">
        <f t="shared" si="10"/>
        <v>0</v>
      </c>
      <c r="J29" s="170">
        <f t="shared" si="10"/>
        <v>0</v>
      </c>
      <c r="K29" s="170">
        <f t="shared" si="10"/>
        <v>0</v>
      </c>
      <c r="L29" s="170">
        <f t="shared" si="10"/>
        <v>0</v>
      </c>
    </row>
    <row r="30" spans="2:12" ht="18.75" customHeight="1">
      <c r="B30" s="2" t="s">
        <v>46</v>
      </c>
      <c r="C30" s="170">
        <f aca="true" t="shared" si="11" ref="C30:L30">-C12</f>
        <v>748678.1752903718</v>
      </c>
      <c r="D30" s="170">
        <f t="shared" si="11"/>
        <v>1087208.9298802726</v>
      </c>
      <c r="E30" s="170">
        <f t="shared" si="11"/>
        <v>462575.18337064434</v>
      </c>
      <c r="F30" s="170">
        <f t="shared" si="11"/>
        <v>-342563.0509389837</v>
      </c>
      <c r="G30" s="170">
        <f t="shared" si="11"/>
        <v>-3628167.717848612</v>
      </c>
      <c r="H30" s="170">
        <f t="shared" si="11"/>
        <v>-5964804.34655824</v>
      </c>
      <c r="I30" s="170">
        <f t="shared" si="11"/>
        <v>-10203750.176267868</v>
      </c>
      <c r="J30" s="170">
        <f t="shared" si="11"/>
        <v>-13900126.960777495</v>
      </c>
      <c r="K30" s="170">
        <f t="shared" si="11"/>
        <v>-13151448.785487123</v>
      </c>
      <c r="L30" s="170">
        <f t="shared" si="11"/>
        <v>-12402770.61019675</v>
      </c>
    </row>
    <row r="31" spans="2:12" ht="18.75" customHeight="1">
      <c r="B31" s="2" t="s">
        <v>47</v>
      </c>
      <c r="C31" s="170">
        <v>0</v>
      </c>
      <c r="D31" s="170">
        <f aca="true" t="shared" si="12" ref="D31:I31">C31</f>
        <v>0</v>
      </c>
      <c r="E31" s="170">
        <f t="shared" si="12"/>
        <v>0</v>
      </c>
      <c r="F31" s="170">
        <f t="shared" si="12"/>
        <v>0</v>
      </c>
      <c r="G31" s="170">
        <f t="shared" si="12"/>
        <v>0</v>
      </c>
      <c r="H31" s="170">
        <f t="shared" si="12"/>
        <v>0</v>
      </c>
      <c r="I31" s="170">
        <f t="shared" si="12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 aca="true" t="shared" si="13" ref="C32:I32">SUM(C26:C31)</f>
        <v>-1187591.868909628</v>
      </c>
      <c r="D32" s="170">
        <f t="shared" si="13"/>
        <v>-1724586.7818051171</v>
      </c>
      <c r="E32" s="170">
        <f t="shared" si="13"/>
        <v>-733760.5725147453</v>
      </c>
      <c r="F32" s="170">
        <f t="shared" si="13"/>
        <v>543391.1489756273</v>
      </c>
      <c r="G32" s="170">
        <f t="shared" si="13"/>
        <v>5755186.437865999</v>
      </c>
      <c r="H32" s="170">
        <f t="shared" si="13"/>
        <v>9461679.76495637</v>
      </c>
      <c r="I32" s="170">
        <f t="shared" si="13"/>
        <v>16185713.891046742</v>
      </c>
      <c r="J32" s="170">
        <f>SUM(J26:J31)</f>
        <v>22049097.06233712</v>
      </c>
      <c r="K32" s="170">
        <f>SUM(K26:K31)</f>
        <v>20861505.19342749</v>
      </c>
      <c r="L32" s="170">
        <f>SUM(L26:L31)</f>
        <v>19673913.32451786</v>
      </c>
    </row>
    <row r="33" spans="2:12" ht="18.75" customHeight="1">
      <c r="B33" s="2" t="s">
        <v>12</v>
      </c>
      <c r="C33" s="7">
        <f aca="true" t="shared" si="14" ref="C33:I33">C19</f>
        <v>0.09991333016039017</v>
      </c>
      <c r="D33" s="7">
        <f t="shared" si="14"/>
        <v>0.09991333016039017</v>
      </c>
      <c r="E33" s="7">
        <f t="shared" si="14"/>
        <v>0.09991333016039017</v>
      </c>
      <c r="F33" s="7">
        <f t="shared" si="14"/>
        <v>0.09991333016039017</v>
      </c>
      <c r="G33" s="7">
        <f t="shared" si="14"/>
        <v>0.09991333016039017</v>
      </c>
      <c r="H33" s="7">
        <f t="shared" si="14"/>
        <v>0.09991333016039017</v>
      </c>
      <c r="I33" s="7">
        <f t="shared" si="14"/>
        <v>0.09991333016039017</v>
      </c>
      <c r="J33" s="7">
        <f>J19</f>
        <v>0.09991333016039017</v>
      </c>
      <c r="K33" s="7">
        <f>K19</f>
        <v>0.09991333016039017</v>
      </c>
      <c r="L33" s="7">
        <f>L19</f>
        <v>0.09991333016039017</v>
      </c>
    </row>
    <row r="34" spans="2:12" ht="18.75" customHeight="1">
      <c r="B34" s="34"/>
      <c r="C34" s="174">
        <f aca="true" t="shared" si="15" ref="C34:I34">C32*C33</f>
        <v>-118656.25849416245</v>
      </c>
      <c r="D34" s="174">
        <f t="shared" si="15"/>
        <v>-172309.20852073943</v>
      </c>
      <c r="E34" s="174">
        <f t="shared" si="15"/>
        <v>-73312.46234034265</v>
      </c>
      <c r="F34" s="174">
        <f t="shared" si="15"/>
        <v>54292.019273835605</v>
      </c>
      <c r="G34" s="174">
        <f t="shared" si="15"/>
        <v>575019.8427011053</v>
      </c>
      <c r="H34" s="174">
        <f t="shared" si="15"/>
        <v>945347.9342279687</v>
      </c>
      <c r="I34" s="174">
        <f t="shared" si="15"/>
        <v>1617168.5758777666</v>
      </c>
      <c r="J34" s="174">
        <f>J32*J33</f>
        <v>2202998.7145277774</v>
      </c>
      <c r="K34" s="174">
        <f>K32*K33</f>
        <v>2084342.4560336147</v>
      </c>
      <c r="L34" s="174">
        <f>L32*L33</f>
        <v>1965686.1975394525</v>
      </c>
    </row>
    <row r="35" spans="2:12" s="3" customFormat="1" ht="18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8.75" customHeight="1">
      <c r="B36" s="1" t="s">
        <v>52</v>
      </c>
      <c r="C36" s="170">
        <v>0</v>
      </c>
      <c r="D36" s="170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</row>
    <row r="37" spans="2:12" ht="18.75" customHeight="1">
      <c r="B37" s="2" t="s">
        <v>48</v>
      </c>
      <c r="C37" s="170">
        <v>0</v>
      </c>
      <c r="D37" s="170">
        <f>C37</f>
        <v>0</v>
      </c>
      <c r="E37" s="170">
        <f aca="true" t="shared" si="16" ref="E37:L37">D37</f>
        <v>0</v>
      </c>
      <c r="F37" s="170">
        <f t="shared" si="16"/>
        <v>0</v>
      </c>
      <c r="G37" s="170">
        <f t="shared" si="16"/>
        <v>0</v>
      </c>
      <c r="H37" s="170">
        <f t="shared" si="16"/>
        <v>0</v>
      </c>
      <c r="I37" s="170">
        <f t="shared" si="16"/>
        <v>0</v>
      </c>
      <c r="J37" s="170">
        <f t="shared" si="16"/>
        <v>0</v>
      </c>
      <c r="K37" s="170">
        <f t="shared" si="16"/>
        <v>0</v>
      </c>
      <c r="L37" s="170">
        <f t="shared" si="16"/>
        <v>0</v>
      </c>
    </row>
    <row r="38" spans="2:12" ht="18.75" customHeight="1">
      <c r="B38" s="2" t="s">
        <v>434</v>
      </c>
      <c r="C38" s="170">
        <f>C15</f>
        <v>1936270.0441999997</v>
      </c>
      <c r="D38" s="170">
        <f aca="true" t="shared" si="17" ref="D38:L38">D15</f>
        <v>1936270.0441999997</v>
      </c>
      <c r="E38" s="170">
        <f t="shared" si="17"/>
        <v>1936270.0441999997</v>
      </c>
      <c r="F38" s="170">
        <f t="shared" si="17"/>
        <v>1936270.0441999997</v>
      </c>
      <c r="G38" s="170">
        <f t="shared" si="17"/>
        <v>1936270.0441999997</v>
      </c>
      <c r="H38" s="170">
        <f t="shared" si="17"/>
        <v>1936270.0441999997</v>
      </c>
      <c r="I38" s="170">
        <f t="shared" si="17"/>
        <v>1936270.0441999997</v>
      </c>
      <c r="J38" s="170">
        <f t="shared" si="17"/>
        <v>1936270.0441999997</v>
      </c>
      <c r="K38" s="170">
        <f t="shared" si="17"/>
        <v>1936270.0441999997</v>
      </c>
      <c r="L38" s="170">
        <f t="shared" si="17"/>
        <v>1936270.0441999997</v>
      </c>
    </row>
    <row r="39" spans="2:12" ht="18.75" customHeight="1">
      <c r="B39" s="2" t="s">
        <v>50</v>
      </c>
      <c r="C39" s="170">
        <v>0</v>
      </c>
      <c r="D39" s="170">
        <f aca="true" t="shared" si="18" ref="D39:I39">D22*(C26+C28)</f>
        <v>-2904.4050662999994</v>
      </c>
      <c r="E39" s="170">
        <f t="shared" si="18"/>
        <v>-4217.693567528085</v>
      </c>
      <c r="F39" s="170">
        <f t="shared" si="18"/>
        <v>-1794.5036338280845</v>
      </c>
      <c r="G39" s="170">
        <f t="shared" si="18"/>
        <v>1328.9312998719165</v>
      </c>
      <c r="H39" s="170">
        <f t="shared" si="18"/>
        <v>14075.031233571915</v>
      </c>
      <c r="I39" s="170">
        <f t="shared" si="18"/>
        <v>23139.726167271918</v>
      </c>
      <c r="J39" s="170">
        <f>J22*(I26+I28)</f>
        <v>39584.196100971916</v>
      </c>
      <c r="K39" s="170">
        <f>K22*(J26+J28)</f>
        <v>53923.83603467192</v>
      </c>
      <c r="L39" s="170">
        <f>L22*(K26+K28)</f>
        <v>51019.43096837192</v>
      </c>
    </row>
    <row r="40" spans="2:12" ht="18.75" customHeight="1">
      <c r="B40" s="21" t="s">
        <v>51</v>
      </c>
      <c r="C40" s="174">
        <f aca="true" t="shared" si="19" ref="C40:I40">SUM(C36:C39)</f>
        <v>1936270.0441999997</v>
      </c>
      <c r="D40" s="174">
        <f t="shared" si="19"/>
        <v>1933365.6391336997</v>
      </c>
      <c r="E40" s="174">
        <f t="shared" si="19"/>
        <v>1932052.3506324715</v>
      </c>
      <c r="F40" s="174">
        <f t="shared" si="19"/>
        <v>1934475.5405661715</v>
      </c>
      <c r="G40" s="174">
        <f t="shared" si="19"/>
        <v>1937598.9754998717</v>
      </c>
      <c r="H40" s="174">
        <f t="shared" si="19"/>
        <v>1950345.0754335716</v>
      </c>
      <c r="I40" s="174">
        <f t="shared" si="19"/>
        <v>1959409.7703672715</v>
      </c>
      <c r="J40" s="174">
        <f>SUM(J36:J39)</f>
        <v>1975854.2403009715</v>
      </c>
      <c r="K40" s="174">
        <f>SUM(K36:K39)</f>
        <v>1990193.8802346715</v>
      </c>
      <c r="L40" s="174">
        <f>SUM(L36:L39)</f>
        <v>1987289.4751683716</v>
      </c>
    </row>
    <row r="41" spans="3:12" ht="18.75" customHeight="1">
      <c r="C41" s="34"/>
      <c r="D41" s="268"/>
      <c r="E41" s="268"/>
      <c r="F41" s="268"/>
      <c r="G41" s="268"/>
      <c r="H41" s="268"/>
      <c r="I41" s="268"/>
      <c r="J41" s="268"/>
      <c r="K41" s="268"/>
      <c r="L41" s="268"/>
    </row>
    <row r="42" spans="2:12" ht="18.75" customHeight="1">
      <c r="B42" s="1" t="s">
        <v>59</v>
      </c>
      <c r="C42" s="170">
        <f aca="true" t="shared" si="20" ref="C42:I42">C34+C40</f>
        <v>1817613.7857058372</v>
      </c>
      <c r="D42" s="170">
        <f t="shared" si="20"/>
        <v>1761056.4306129604</v>
      </c>
      <c r="E42" s="170">
        <f t="shared" si="20"/>
        <v>1858739.888292129</v>
      </c>
      <c r="F42" s="170">
        <f t="shared" si="20"/>
        <v>1988767.5598400072</v>
      </c>
      <c r="G42" s="170">
        <f t="shared" si="20"/>
        <v>2512618.818200977</v>
      </c>
      <c r="H42" s="170">
        <f t="shared" si="20"/>
        <v>2895693.0096615404</v>
      </c>
      <c r="I42" s="170">
        <f t="shared" si="20"/>
        <v>3576578.3462450383</v>
      </c>
      <c r="J42" s="170">
        <f>J34+J40</f>
        <v>4178852.954828749</v>
      </c>
      <c r="K42" s="170">
        <f>K34+K40</f>
        <v>4074536.336268286</v>
      </c>
      <c r="L42" s="170">
        <f>L34+L40</f>
        <v>3952975.672707824</v>
      </c>
    </row>
    <row r="43" spans="2:12" ht="18.75" customHeight="1">
      <c r="B43" s="32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8.75" customHeight="1">
      <c r="A44" s="28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ht="18.75" customHeight="1">
      <c r="B45" s="11"/>
      <c r="C45" s="212" t="s">
        <v>257</v>
      </c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8.75" customHeight="1">
      <c r="A46" s="28"/>
      <c r="B46" s="28"/>
      <c r="C46" s="29">
        <f>Input!B2</f>
        <v>2016</v>
      </c>
      <c r="D46" s="29">
        <f aca="true" t="shared" si="21" ref="D46:L47">C46+1</f>
        <v>2017</v>
      </c>
      <c r="E46" s="29">
        <f t="shared" si="21"/>
        <v>2018</v>
      </c>
      <c r="F46" s="29">
        <f t="shared" si="21"/>
        <v>2019</v>
      </c>
      <c r="G46" s="29">
        <f t="shared" si="21"/>
        <v>2020</v>
      </c>
      <c r="H46" s="29">
        <f t="shared" si="21"/>
        <v>2021</v>
      </c>
      <c r="I46" s="29">
        <f t="shared" si="21"/>
        <v>2022</v>
      </c>
      <c r="J46" s="29">
        <f t="shared" si="21"/>
        <v>2023</v>
      </c>
      <c r="K46" s="29">
        <f t="shared" si="21"/>
        <v>2024</v>
      </c>
      <c r="L46" s="29">
        <f t="shared" si="21"/>
        <v>2025</v>
      </c>
    </row>
    <row r="47" spans="1:12" ht="18.75" customHeight="1">
      <c r="A47" s="258">
        <v>2020</v>
      </c>
      <c r="B47" s="28" t="s">
        <v>43</v>
      </c>
      <c r="C47" s="209">
        <v>1</v>
      </c>
      <c r="D47" s="209">
        <f>C47+1</f>
        <v>2</v>
      </c>
      <c r="E47" s="209">
        <f>D47+1</f>
        <v>3</v>
      </c>
      <c r="F47" s="209">
        <f t="shared" si="21"/>
        <v>4</v>
      </c>
      <c r="G47" s="209">
        <f t="shared" si="21"/>
        <v>5</v>
      </c>
      <c r="H47" s="209">
        <f t="shared" si="21"/>
        <v>6</v>
      </c>
      <c r="I47" s="209">
        <f t="shared" si="21"/>
        <v>7</v>
      </c>
      <c r="J47" s="209">
        <f t="shared" si="21"/>
        <v>8</v>
      </c>
      <c r="K47" s="209">
        <f t="shared" si="21"/>
        <v>9</v>
      </c>
      <c r="L47" s="209">
        <f t="shared" si="21"/>
        <v>10</v>
      </c>
    </row>
    <row r="48" spans="2:12" ht="18.75" customHeight="1">
      <c r="B48" s="211" t="s">
        <v>370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75" customHeight="1">
      <c r="A49" s="21" t="s">
        <v>323</v>
      </c>
      <c r="B49" s="10" t="s">
        <v>428</v>
      </c>
      <c r="C49" s="172">
        <f>VLOOKUP(C$4,'Cash Flows-LGE'!$B$60:$E$70,$A50)</f>
        <v>0</v>
      </c>
      <c r="D49" s="172">
        <f>VLOOKUP(D$4,'Cash Flows-LGE'!$B$60:$E$70,$A50)</f>
        <v>674821.6785651987</v>
      </c>
      <c r="E49" s="172">
        <f>VLOOKUP(E$4,'Cash Flows-LGE'!$B$60:$E$70,$A50)</f>
        <v>1500330.0000000002</v>
      </c>
      <c r="F49" s="172">
        <f>VLOOKUP(F$4,'Cash Flows-LGE'!$B$60:$E$70,$A50)</f>
        <v>8508630</v>
      </c>
      <c r="G49" s="172">
        <f>VLOOKUP(G$4,'Cash Flows-LGE'!$B$60:$E$70,$A50)</f>
        <v>3797430</v>
      </c>
      <c r="H49" s="172">
        <f>VLOOKUP(H$4,'Cash Flows-LGE'!$B$60:$E$70,$A50)</f>
        <v>0</v>
      </c>
      <c r="I49" s="172">
        <f>VLOOKUP(I$4,'Cash Flows-LGE'!$B$60:$E$70,$A50)</f>
        <v>0</v>
      </c>
      <c r="J49" s="172">
        <f>VLOOKUP(J$4,'Cash Flows-LGE'!$B$60:$E$70,$A50)</f>
        <v>0</v>
      </c>
      <c r="K49" s="172">
        <f>VLOOKUP(K$4,'Cash Flows-LGE'!$B$60:$E$70,$A50)</f>
        <v>0</v>
      </c>
      <c r="L49" s="172">
        <f>VLOOKUP(L$4,'Cash Flows-LGE'!$B$60:$E$70,$A50)</f>
        <v>0</v>
      </c>
    </row>
    <row r="50" spans="1:13" ht="18.75" customHeight="1">
      <c r="A50" s="3">
        <v>3</v>
      </c>
      <c r="B50" s="40" t="s">
        <v>57</v>
      </c>
      <c r="C50" s="172">
        <f>SUM($C49:C49)</f>
        <v>0</v>
      </c>
      <c r="D50" s="172">
        <f>SUM($C49:D49)</f>
        <v>674821.6785651987</v>
      </c>
      <c r="E50" s="172">
        <f>SUM($C49:E49)</f>
        <v>2175151.678565199</v>
      </c>
      <c r="F50" s="172">
        <f>SUM($C49:F49)</f>
        <v>10683781.678565199</v>
      </c>
      <c r="G50" s="172">
        <f>SUM($C49:G49)</f>
        <v>14481211.678565199</v>
      </c>
      <c r="H50" s="172">
        <f>SUM($C49:H49)</f>
        <v>14481211.678565199</v>
      </c>
      <c r="I50" s="172">
        <f>SUM($C49:I49)</f>
        <v>14481211.678565199</v>
      </c>
      <c r="J50" s="172">
        <f>SUM($C49:J49)</f>
        <v>14481211.678565199</v>
      </c>
      <c r="K50" s="172">
        <f>SUM($C49:K49)</f>
        <v>14481211.678565199</v>
      </c>
      <c r="L50" s="172">
        <f>SUM($C49:L49)</f>
        <v>14481211.678565199</v>
      </c>
      <c r="M50" s="18"/>
    </row>
    <row r="51" spans="1:12" ht="18.75" customHeight="1">
      <c r="A51" s="3">
        <v>2</v>
      </c>
      <c r="B51" s="5" t="s">
        <v>0</v>
      </c>
      <c r="C51" s="6">
        <f>IF(C47="",0,VLOOKUP($B48,Depreciation!$D$2:$E$31,$A51,FALSE))</f>
        <v>0</v>
      </c>
      <c r="D51" s="6">
        <f>IF(D47="",0,VLOOKUP($B48,Depreciation!$D$2:$E$31,$A51,FALSE))</f>
        <v>0</v>
      </c>
      <c r="E51" s="6">
        <f>IF(E47="",0,VLOOKUP($B48,Depreciation!$D$2:$E$31,$A51,FALSE))</f>
        <v>0</v>
      </c>
      <c r="F51" s="6">
        <f>IF(F47="",0,VLOOKUP($B48,Depreciation!$D$2:$E$31,$A51,FALSE))</f>
        <v>0</v>
      </c>
      <c r="G51" s="6">
        <f>IF(G47="",0,VLOOKUP($B48,Depreciation!$D$2:$E$31,$A51,FALSE))</f>
        <v>0</v>
      </c>
      <c r="H51" s="6">
        <f>IF(H47="",0,VLOOKUP($B48,Depreciation!$D$2:$E$31,$A51,FALSE))</f>
        <v>0</v>
      </c>
      <c r="I51" s="6">
        <f>IF(I47="",0,VLOOKUP($B48,Depreciation!$D$2:$E$31,$A51,FALSE))</f>
        <v>0</v>
      </c>
      <c r="J51" s="6">
        <f>IF(J47="",0,VLOOKUP($B48,Depreciation!$D$2:$E$31,$A51,FALSE))</f>
        <v>0</v>
      </c>
      <c r="K51" s="6">
        <f>IF(K47="",0,VLOOKUP($B48,Depreciation!$D$2:$E$31,$A51,FALSE))</f>
        <v>0</v>
      </c>
      <c r="L51" s="6">
        <f>IF(L47="",0,VLOOKUP($B48,Depreciation!$D$2:$E$31,$A51,FALSE))</f>
        <v>0</v>
      </c>
    </row>
    <row r="52" spans="1:12" ht="18.75" customHeight="1">
      <c r="A52" s="3">
        <v>3</v>
      </c>
      <c r="B52" s="5" t="s">
        <v>1</v>
      </c>
      <c r="C52" s="6">
        <f>IF(C47="",0,VLOOKUP(C47,Depreciation!$A$2:$C$58,$A52,FALSE))</f>
        <v>1</v>
      </c>
      <c r="D52" s="6">
        <f>IF(D47="",0,VLOOKUP(D47,Depreciation!$A$2:$C$58,$A52,FALSE))</f>
        <v>1</v>
      </c>
      <c r="E52" s="6">
        <f>IF(E47="",0,VLOOKUP(E47,Depreciation!$A$2:$C$58,$A52,FALSE))</f>
        <v>1</v>
      </c>
      <c r="F52" s="6">
        <f>IF(F47="",0,VLOOKUP(F47,Depreciation!$A$2:$C$58,$A52,FALSE))</f>
        <v>1</v>
      </c>
      <c r="G52" s="6">
        <f>IF(G47="",0,VLOOKUP(G47,Depreciation!$A$2:$C$58,$A52,FALSE))</f>
        <v>1</v>
      </c>
      <c r="H52" s="6">
        <f>IF(H47="",0,VLOOKUP(H47,Depreciation!$A$2:$C$58,$A52,FALSE))</f>
        <v>1</v>
      </c>
      <c r="I52" s="6">
        <f>IF(I47="",0,VLOOKUP(I47,Depreciation!$A$2:$C$58,$A52,FALSE))</f>
        <v>1</v>
      </c>
      <c r="J52" s="6">
        <f>IF(J47="",0,VLOOKUP(J47,Depreciation!$A$2:$C$58,$A52,FALSE))</f>
        <v>1</v>
      </c>
      <c r="K52" s="6">
        <f>IF(K47="",0,VLOOKUP(K47,Depreciation!$A$2:$C$58,$A52,FALSE))</f>
        <v>1</v>
      </c>
      <c r="L52" s="6">
        <f>IF(L47="",0,VLOOKUP(L47,Depreciation!$A$2:$C$58,$A52,FALSE))</f>
        <v>1</v>
      </c>
    </row>
    <row r="53" spans="1:12" ht="18.75" customHeight="1">
      <c r="A53" s="30"/>
      <c r="B53" s="31" t="s">
        <v>2</v>
      </c>
      <c r="C53" s="7">
        <f>Input!B$3</f>
        <v>0.38665999999999995</v>
      </c>
      <c r="D53" s="7">
        <f>Input!C$3</f>
        <v>0.38665999999999995</v>
      </c>
      <c r="E53" s="7">
        <f>Input!D$3</f>
        <v>0.38665999999999995</v>
      </c>
      <c r="F53" s="7">
        <f>Input!E$3</f>
        <v>0.38665999999999995</v>
      </c>
      <c r="G53" s="7">
        <f>Input!F$3</f>
        <v>0.38665999999999995</v>
      </c>
      <c r="H53" s="7">
        <f>Input!G$3</f>
        <v>0.38665999999999995</v>
      </c>
      <c r="I53" s="7">
        <f>Input!H$3</f>
        <v>0.38665999999999995</v>
      </c>
      <c r="J53" s="7">
        <f>Input!I$3</f>
        <v>0.38665999999999995</v>
      </c>
      <c r="K53" s="7">
        <f>Input!J$3</f>
        <v>0.38665999999999995</v>
      </c>
      <c r="L53" s="7">
        <f>Input!K$3</f>
        <v>0.38665999999999995</v>
      </c>
    </row>
    <row r="54" spans="2:12" ht="18.75" customHeight="1">
      <c r="B54" s="2" t="s">
        <v>3</v>
      </c>
      <c r="C54" s="170">
        <f>SUM($C65:C65)</f>
        <v>0</v>
      </c>
      <c r="D54" s="170">
        <f>SUM($C65:D65)</f>
        <v>260926.55023401967</v>
      </c>
      <c r="E54" s="170">
        <f>SUM($C65:E65)</f>
        <v>841044.1480340196</v>
      </c>
      <c r="F54" s="170">
        <f>SUM($C65:F65)</f>
        <v>4130991.023834019</v>
      </c>
      <c r="G54" s="170">
        <f>SUM($C65:G65)</f>
        <v>5599305.307634018</v>
      </c>
      <c r="H54" s="170">
        <f>SUM($C65:H65)</f>
        <v>5599305.307634018</v>
      </c>
      <c r="I54" s="170">
        <f>SUM($C65:I65)</f>
        <v>5599305.307634018</v>
      </c>
      <c r="J54" s="170">
        <f>SUM($C65:J65)</f>
        <v>5599305.307634018</v>
      </c>
      <c r="K54" s="170">
        <f>SUM($C65:K65)</f>
        <v>5599305.307634018</v>
      </c>
      <c r="L54" s="170">
        <f>SUM($C65:L65)</f>
        <v>5599305.307634018</v>
      </c>
    </row>
    <row r="55" spans="2:12" ht="18.75" customHeight="1">
      <c r="B55" s="2" t="s">
        <v>4</v>
      </c>
      <c r="C55" s="170">
        <f>SUM($C57:C57)</f>
        <v>0</v>
      </c>
      <c r="D55" s="170">
        <f>SUM($C57:D57)</f>
        <v>0</v>
      </c>
      <c r="E55" s="170">
        <f>SUM($C57:E57)</f>
        <v>0</v>
      </c>
      <c r="F55" s="170">
        <f>SUM($C57:F57)</f>
        <v>0</v>
      </c>
      <c r="G55" s="170">
        <f>SUM($C57:G57)</f>
        <v>0</v>
      </c>
      <c r="H55" s="170">
        <f>SUM($C57:H57)</f>
        <v>0</v>
      </c>
      <c r="I55" s="170">
        <f>SUM($C57:I57)</f>
        <v>0</v>
      </c>
      <c r="J55" s="170">
        <f>SUM($C57:J57)</f>
        <v>0</v>
      </c>
      <c r="K55" s="170">
        <f>SUM($C57:K57)</f>
        <v>0</v>
      </c>
      <c r="L55" s="170">
        <f>SUM($C57:L57)</f>
        <v>0</v>
      </c>
    </row>
    <row r="56" spans="2:12" ht="18.75" customHeight="1">
      <c r="B56" s="11" t="s">
        <v>5</v>
      </c>
      <c r="C56" s="170">
        <f>C49</f>
        <v>0</v>
      </c>
      <c r="D56" s="170">
        <f>C56+D49</f>
        <v>674821.6785651987</v>
      </c>
      <c r="E56" s="170">
        <f aca="true" t="shared" si="22" ref="E56:L56">D56+E49</f>
        <v>2175151.678565199</v>
      </c>
      <c r="F56" s="170">
        <f t="shared" si="22"/>
        <v>10683781.678565199</v>
      </c>
      <c r="G56" s="170">
        <f t="shared" si="22"/>
        <v>14481211.678565199</v>
      </c>
      <c r="H56" s="170">
        <f t="shared" si="22"/>
        <v>14481211.678565199</v>
      </c>
      <c r="I56" s="170">
        <f t="shared" si="22"/>
        <v>14481211.678565199</v>
      </c>
      <c r="J56" s="170">
        <f t="shared" si="22"/>
        <v>14481211.678565199</v>
      </c>
      <c r="K56" s="170">
        <f t="shared" si="22"/>
        <v>14481211.678565199</v>
      </c>
      <c r="L56" s="170">
        <f t="shared" si="22"/>
        <v>14481211.678565199</v>
      </c>
    </row>
    <row r="57" spans="2:12" ht="18.75" customHeight="1">
      <c r="B57" s="11" t="s">
        <v>6</v>
      </c>
      <c r="C57" s="170">
        <f aca="true" t="shared" si="23" ref="C57:L57">IF(C47=1,(12.5-VLOOKUP(C45,$Q$5:$R$16,2,))*C51/12*C56,C56*C51)</f>
        <v>0</v>
      </c>
      <c r="D57" s="170">
        <f t="shared" si="23"/>
        <v>0</v>
      </c>
      <c r="E57" s="170">
        <f t="shared" si="23"/>
        <v>0</v>
      </c>
      <c r="F57" s="170">
        <f t="shared" si="23"/>
        <v>0</v>
      </c>
      <c r="G57" s="170">
        <f t="shared" si="23"/>
        <v>0</v>
      </c>
      <c r="H57" s="170">
        <f t="shared" si="23"/>
        <v>0</v>
      </c>
      <c r="I57" s="170">
        <f t="shared" si="23"/>
        <v>0</v>
      </c>
      <c r="J57" s="170">
        <f t="shared" si="23"/>
        <v>0</v>
      </c>
      <c r="K57" s="170">
        <f t="shared" si="23"/>
        <v>0</v>
      </c>
      <c r="L57" s="170">
        <f t="shared" si="23"/>
        <v>0</v>
      </c>
    </row>
    <row r="58" spans="1:12" ht="18.75" customHeight="1">
      <c r="A58" s="214" t="s">
        <v>372</v>
      </c>
      <c r="B58" s="5" t="s">
        <v>7</v>
      </c>
      <c r="C58" s="170">
        <f>C49</f>
        <v>0</v>
      </c>
      <c r="D58" s="170">
        <f aca="true" t="shared" si="24" ref="D58:L58">C58+D49</f>
        <v>674821.6785651987</v>
      </c>
      <c r="E58" s="170">
        <f t="shared" si="24"/>
        <v>2175151.678565199</v>
      </c>
      <c r="F58" s="170">
        <f t="shared" si="24"/>
        <v>10683781.678565199</v>
      </c>
      <c r="G58" s="170">
        <f t="shared" si="24"/>
        <v>14481211.678565199</v>
      </c>
      <c r="H58" s="170">
        <f t="shared" si="24"/>
        <v>14481211.678565199</v>
      </c>
      <c r="I58" s="170">
        <f t="shared" si="24"/>
        <v>14481211.678565199</v>
      </c>
      <c r="J58" s="170">
        <f t="shared" si="24"/>
        <v>14481211.678565199</v>
      </c>
      <c r="K58" s="170">
        <f t="shared" si="24"/>
        <v>14481211.678565199</v>
      </c>
      <c r="L58" s="170">
        <f t="shared" si="24"/>
        <v>14481211.678565199</v>
      </c>
    </row>
    <row r="59" spans="2:12" ht="18.75" customHeight="1">
      <c r="B59" s="213" t="s">
        <v>361</v>
      </c>
      <c r="C59" s="170">
        <f>IF(C47=1,IF($A57="Bonus",SUM($C49:C49)*VLOOKUP(C46,Depreciation!$D$41:$E$50,2),0),0)</f>
        <v>0</v>
      </c>
      <c r="D59" s="170">
        <f>IF(D47=1,IF($A57="Bonus",SUM($C49:D49)*VLOOKUP(D46,Depreciation!$D$41:$E$50,2),0),0)</f>
        <v>0</v>
      </c>
      <c r="E59" s="170">
        <f>IF(E47=1,IF($A57="Bonus",SUM($C49:E49)*VLOOKUP(E46,Depreciation!$D$41:$E$50,2),0),0)</f>
        <v>0</v>
      </c>
      <c r="F59" s="170">
        <f>IF(F47=1,IF($A57="Bonus",SUM($C49:F49)*VLOOKUP(F46,Depreciation!$D$41:$E$50,2),0),0)</f>
        <v>0</v>
      </c>
      <c r="G59" s="170">
        <f>IF(G47=1,IF($A57="Bonus",SUM($C49:G49)*VLOOKUP(G46,Depreciation!$D$41:$E$50,2),0),0)</f>
        <v>0</v>
      </c>
      <c r="H59" s="170">
        <f>IF(H47=1,IF($A57="Bonus",SUM($C49:H49)*VLOOKUP(H46,Depreciation!$D$41:$E$50,2),0),0)</f>
        <v>0</v>
      </c>
      <c r="I59" s="170">
        <f>IF(I47=1,IF($A57="Bonus",SUM($C49:I49)*VLOOKUP(I46,Depreciation!$D$41:$E$50,2),0),0)</f>
        <v>0</v>
      </c>
      <c r="J59" s="170">
        <f>IF(J47=1,IF($A57="Bonus",SUM($C49:J49)*VLOOKUP(J46,Depreciation!$D$41:$E$50,2),0),0)</f>
        <v>0</v>
      </c>
      <c r="K59" s="170">
        <f>IF(K47=1,IF($A57="Bonus",SUM($C49:K49)*VLOOKUP(K46,Depreciation!$D$41:$E$50,2),0),0)</f>
        <v>0</v>
      </c>
      <c r="L59" s="170">
        <f>IF(L47=1,IF($A57="Bonus",SUM($C49:L49)*VLOOKUP(L46,Depreciation!$D$41:$E$50,2),0),0)</f>
        <v>0</v>
      </c>
    </row>
    <row r="60" spans="2:12" ht="18.75" customHeight="1">
      <c r="B60" s="5" t="s">
        <v>362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</row>
    <row r="61" spans="2:12" ht="18.75" customHeight="1">
      <c r="B61" s="5" t="s">
        <v>17</v>
      </c>
      <c r="C61" s="34">
        <f>Input!I$19</f>
        <v>0.09991333016039017</v>
      </c>
      <c r="D61" s="34">
        <f>Input!J$19</f>
        <v>0.09991333016039017</v>
      </c>
      <c r="E61" s="34">
        <f>Input!K$19</f>
        <v>0.09991333016039017</v>
      </c>
      <c r="F61" s="34">
        <f>Input!L$19</f>
        <v>0.09991333016039017</v>
      </c>
      <c r="G61" s="34">
        <f>Input!M$19</f>
        <v>0.09991333016039017</v>
      </c>
      <c r="H61" s="34">
        <f>Input!N$19</f>
        <v>0.09991333016039017</v>
      </c>
      <c r="I61" s="34">
        <f>Input!O$19</f>
        <v>0.09991333016039017</v>
      </c>
      <c r="J61" s="34">
        <f>Input!P$19</f>
        <v>0.09991333016039017</v>
      </c>
      <c r="K61" s="34">
        <f>Input!Q$19</f>
        <v>0.09991333016039017</v>
      </c>
      <c r="L61" s="34">
        <f>Input!R$19</f>
        <v>0.09991333016039017</v>
      </c>
    </row>
    <row r="62" spans="2:12" ht="18.75" customHeight="1">
      <c r="B62" s="5" t="s">
        <v>8</v>
      </c>
      <c r="C62" s="181">
        <f aca="true" t="shared" si="25" ref="C62:L62">C57</f>
        <v>0</v>
      </c>
      <c r="D62" s="181">
        <f t="shared" si="25"/>
        <v>0</v>
      </c>
      <c r="E62" s="181">
        <f t="shared" si="25"/>
        <v>0</v>
      </c>
      <c r="F62" s="181">
        <f t="shared" si="25"/>
        <v>0</v>
      </c>
      <c r="G62" s="181">
        <f t="shared" si="25"/>
        <v>0</v>
      </c>
      <c r="H62" s="181">
        <f t="shared" si="25"/>
        <v>0</v>
      </c>
      <c r="I62" s="181">
        <f t="shared" si="25"/>
        <v>0</v>
      </c>
      <c r="J62" s="181">
        <f t="shared" si="25"/>
        <v>0</v>
      </c>
      <c r="K62" s="181">
        <f t="shared" si="25"/>
        <v>0</v>
      </c>
      <c r="L62" s="181">
        <f t="shared" si="25"/>
        <v>0</v>
      </c>
    </row>
    <row r="63" spans="2:12" ht="18.75" customHeight="1">
      <c r="B63" s="11" t="s">
        <v>364</v>
      </c>
      <c r="C63" s="181">
        <f>C49*C52</f>
        <v>0</v>
      </c>
      <c r="D63" s="181">
        <f aca="true" t="shared" si="26" ref="D63:L63">D49*D52</f>
        <v>674821.6785651987</v>
      </c>
      <c r="E63" s="181">
        <f t="shared" si="26"/>
        <v>1500330.0000000002</v>
      </c>
      <c r="F63" s="181">
        <f t="shared" si="26"/>
        <v>8508630</v>
      </c>
      <c r="G63" s="181">
        <f t="shared" si="26"/>
        <v>3797430</v>
      </c>
      <c r="H63" s="181">
        <f t="shared" si="26"/>
        <v>0</v>
      </c>
      <c r="I63" s="181">
        <f t="shared" si="26"/>
        <v>0</v>
      </c>
      <c r="J63" s="181">
        <f t="shared" si="26"/>
        <v>0</v>
      </c>
      <c r="K63" s="181">
        <f t="shared" si="26"/>
        <v>0</v>
      </c>
      <c r="L63" s="181">
        <f t="shared" si="26"/>
        <v>0</v>
      </c>
    </row>
    <row r="64" spans="2:12" ht="18.75" customHeight="1">
      <c r="B64" s="3" t="s">
        <v>9</v>
      </c>
      <c r="C64" s="8">
        <f>Input!$B$6</f>
        <v>0.0015</v>
      </c>
      <c r="D64" s="8">
        <f aca="true" t="shared" si="27" ref="D64:I64">C64</f>
        <v>0.0015</v>
      </c>
      <c r="E64" s="8">
        <f t="shared" si="27"/>
        <v>0.0015</v>
      </c>
      <c r="F64" s="8">
        <f t="shared" si="27"/>
        <v>0.0015</v>
      </c>
      <c r="G64" s="8">
        <f t="shared" si="27"/>
        <v>0.0015</v>
      </c>
      <c r="H64" s="8">
        <f t="shared" si="27"/>
        <v>0.0015</v>
      </c>
      <c r="I64" s="8">
        <f t="shared" si="27"/>
        <v>0.0015</v>
      </c>
      <c r="J64" s="8">
        <f>I64</f>
        <v>0.0015</v>
      </c>
      <c r="K64" s="8">
        <f>J64</f>
        <v>0.0015</v>
      </c>
      <c r="L64" s="8">
        <f>K64</f>
        <v>0.0015</v>
      </c>
    </row>
    <row r="65" spans="2:12" ht="18.75" customHeight="1">
      <c r="B65" s="102" t="s">
        <v>363</v>
      </c>
      <c r="C65" s="171">
        <f aca="true" t="shared" si="28" ref="C65:L65">(C63-C62)*C53</f>
        <v>0</v>
      </c>
      <c r="D65" s="171">
        <f t="shared" si="28"/>
        <v>260926.55023401967</v>
      </c>
      <c r="E65" s="171">
        <f t="shared" si="28"/>
        <v>580117.5978</v>
      </c>
      <c r="F65" s="171">
        <f t="shared" si="28"/>
        <v>3289946.8757999996</v>
      </c>
      <c r="G65" s="171">
        <f t="shared" si="28"/>
        <v>1468314.2837999999</v>
      </c>
      <c r="H65" s="171">
        <f t="shared" si="28"/>
        <v>0</v>
      </c>
      <c r="I65" s="171">
        <f t="shared" si="28"/>
        <v>0</v>
      </c>
      <c r="J65" s="171">
        <f t="shared" si="28"/>
        <v>0</v>
      </c>
      <c r="K65" s="171">
        <f t="shared" si="28"/>
        <v>0</v>
      </c>
      <c r="L65" s="171">
        <f t="shared" si="28"/>
        <v>0</v>
      </c>
    </row>
    <row r="66" spans="2:12" ht="18.75" customHeight="1">
      <c r="B66" s="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8.75" customHeight="1">
      <c r="B67" s="10" t="s">
        <v>15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8.75" customHeight="1">
      <c r="B68" s="5" t="s">
        <v>16</v>
      </c>
      <c r="C68" s="169">
        <f aca="true" t="shared" si="29" ref="C68:L68">C50</f>
        <v>0</v>
      </c>
      <c r="D68" s="169">
        <f t="shared" si="29"/>
        <v>674821.6785651987</v>
      </c>
      <c r="E68" s="169">
        <f t="shared" si="29"/>
        <v>2175151.678565199</v>
      </c>
      <c r="F68" s="169">
        <f t="shared" si="29"/>
        <v>10683781.678565199</v>
      </c>
      <c r="G68" s="169">
        <f t="shared" si="29"/>
        <v>14481211.678565199</v>
      </c>
      <c r="H68" s="169">
        <f t="shared" si="29"/>
        <v>14481211.678565199</v>
      </c>
      <c r="I68" s="169">
        <f t="shared" si="29"/>
        <v>14481211.678565199</v>
      </c>
      <c r="J68" s="169">
        <f t="shared" si="29"/>
        <v>14481211.678565199</v>
      </c>
      <c r="K68" s="169">
        <f t="shared" si="29"/>
        <v>14481211.678565199</v>
      </c>
      <c r="L68" s="169">
        <f t="shared" si="29"/>
        <v>14481211.678565199</v>
      </c>
    </row>
    <row r="69" spans="1:12" ht="18.75" customHeight="1">
      <c r="A69" s="3"/>
      <c r="B69" s="4" t="s">
        <v>44</v>
      </c>
      <c r="C69" s="170">
        <v>0</v>
      </c>
      <c r="D69" s="170">
        <f aca="true" t="shared" si="30" ref="D69:L69">C69</f>
        <v>0</v>
      </c>
      <c r="E69" s="170">
        <f t="shared" si="30"/>
        <v>0</v>
      </c>
      <c r="F69" s="170">
        <f t="shared" si="30"/>
        <v>0</v>
      </c>
      <c r="G69" s="170">
        <f t="shared" si="30"/>
        <v>0</v>
      </c>
      <c r="H69" s="170">
        <f t="shared" si="30"/>
        <v>0</v>
      </c>
      <c r="I69" s="170">
        <f t="shared" si="30"/>
        <v>0</v>
      </c>
      <c r="J69" s="170">
        <f t="shared" si="30"/>
        <v>0</v>
      </c>
      <c r="K69" s="170">
        <f t="shared" si="30"/>
        <v>0</v>
      </c>
      <c r="L69" s="170">
        <f t="shared" si="30"/>
        <v>0</v>
      </c>
    </row>
    <row r="70" spans="2:12" ht="18.75" customHeight="1">
      <c r="B70" s="2" t="s">
        <v>10</v>
      </c>
      <c r="C70" s="170">
        <f aca="true" t="shared" si="31" ref="C70:L70">-C55</f>
        <v>0</v>
      </c>
      <c r="D70" s="170">
        <f t="shared" si="31"/>
        <v>0</v>
      </c>
      <c r="E70" s="170">
        <f t="shared" si="31"/>
        <v>0</v>
      </c>
      <c r="F70" s="170">
        <f t="shared" si="31"/>
        <v>0</v>
      </c>
      <c r="G70" s="170">
        <f t="shared" si="31"/>
        <v>0</v>
      </c>
      <c r="H70" s="170">
        <f t="shared" si="31"/>
        <v>0</v>
      </c>
      <c r="I70" s="170">
        <f t="shared" si="31"/>
        <v>0</v>
      </c>
      <c r="J70" s="170">
        <f t="shared" si="31"/>
        <v>0</v>
      </c>
      <c r="K70" s="170">
        <f t="shared" si="31"/>
        <v>0</v>
      </c>
      <c r="L70" s="170">
        <f t="shared" si="31"/>
        <v>0</v>
      </c>
    </row>
    <row r="71" spans="2:12" ht="18.75" customHeight="1">
      <c r="B71" s="2" t="s">
        <v>45</v>
      </c>
      <c r="C71" s="170">
        <v>0</v>
      </c>
      <c r="D71" s="170">
        <f aca="true" t="shared" si="32" ref="D71:L71">C71</f>
        <v>0</v>
      </c>
      <c r="E71" s="170">
        <f t="shared" si="32"/>
        <v>0</v>
      </c>
      <c r="F71" s="170">
        <f t="shared" si="32"/>
        <v>0</v>
      </c>
      <c r="G71" s="170">
        <f t="shared" si="32"/>
        <v>0</v>
      </c>
      <c r="H71" s="170">
        <f t="shared" si="32"/>
        <v>0</v>
      </c>
      <c r="I71" s="170">
        <f t="shared" si="32"/>
        <v>0</v>
      </c>
      <c r="J71" s="170">
        <f t="shared" si="32"/>
        <v>0</v>
      </c>
      <c r="K71" s="170">
        <f t="shared" si="32"/>
        <v>0</v>
      </c>
      <c r="L71" s="170">
        <f t="shared" si="32"/>
        <v>0</v>
      </c>
    </row>
    <row r="72" spans="2:12" ht="18.75" customHeight="1">
      <c r="B72" s="2" t="s">
        <v>46</v>
      </c>
      <c r="C72" s="170">
        <f aca="true" t="shared" si="33" ref="C72:L72">-C54</f>
        <v>0</v>
      </c>
      <c r="D72" s="170">
        <f t="shared" si="33"/>
        <v>-260926.55023401967</v>
      </c>
      <c r="E72" s="170">
        <f t="shared" si="33"/>
        <v>-841044.1480340196</v>
      </c>
      <c r="F72" s="170">
        <f t="shared" si="33"/>
        <v>-4130991.023834019</v>
      </c>
      <c r="G72" s="170">
        <f t="shared" si="33"/>
        <v>-5599305.307634018</v>
      </c>
      <c r="H72" s="170">
        <f t="shared" si="33"/>
        <v>-5599305.307634018</v>
      </c>
      <c r="I72" s="170">
        <f t="shared" si="33"/>
        <v>-5599305.307634018</v>
      </c>
      <c r="J72" s="170">
        <f t="shared" si="33"/>
        <v>-5599305.307634018</v>
      </c>
      <c r="K72" s="170">
        <f t="shared" si="33"/>
        <v>-5599305.307634018</v>
      </c>
      <c r="L72" s="170">
        <f t="shared" si="33"/>
        <v>-5599305.307634018</v>
      </c>
    </row>
    <row r="73" spans="2:12" ht="18.75" customHeight="1">
      <c r="B73" s="2" t="s">
        <v>47</v>
      </c>
      <c r="C73" s="170">
        <v>0</v>
      </c>
      <c r="D73" s="170">
        <f aca="true" t="shared" si="34" ref="D73:L73">C73</f>
        <v>0</v>
      </c>
      <c r="E73" s="170">
        <f t="shared" si="34"/>
        <v>0</v>
      </c>
      <c r="F73" s="170">
        <f t="shared" si="34"/>
        <v>0</v>
      </c>
      <c r="G73" s="170">
        <f t="shared" si="34"/>
        <v>0</v>
      </c>
      <c r="H73" s="170">
        <f t="shared" si="34"/>
        <v>0</v>
      </c>
      <c r="I73" s="170">
        <f t="shared" si="34"/>
        <v>0</v>
      </c>
      <c r="J73" s="170">
        <f t="shared" si="34"/>
        <v>0</v>
      </c>
      <c r="K73" s="170">
        <f t="shared" si="34"/>
        <v>0</v>
      </c>
      <c r="L73" s="170">
        <f t="shared" si="34"/>
        <v>0</v>
      </c>
    </row>
    <row r="74" spans="2:12" ht="18.75" customHeight="1">
      <c r="B74" s="2" t="s">
        <v>11</v>
      </c>
      <c r="C74" s="170">
        <f aca="true" t="shared" si="35" ref="C74:L74">SUM(C68:C73)</f>
        <v>0</v>
      </c>
      <c r="D74" s="170">
        <f t="shared" si="35"/>
        <v>413895.12833117903</v>
      </c>
      <c r="E74" s="170">
        <f t="shared" si="35"/>
        <v>1334107.5305311794</v>
      </c>
      <c r="F74" s="170">
        <f t="shared" si="35"/>
        <v>6552790.65473118</v>
      </c>
      <c r="G74" s="170">
        <f t="shared" si="35"/>
        <v>8881906.37093118</v>
      </c>
      <c r="H74" s="170">
        <f t="shared" si="35"/>
        <v>8881906.37093118</v>
      </c>
      <c r="I74" s="170">
        <f t="shared" si="35"/>
        <v>8881906.37093118</v>
      </c>
      <c r="J74" s="170">
        <f t="shared" si="35"/>
        <v>8881906.37093118</v>
      </c>
      <c r="K74" s="170">
        <f t="shared" si="35"/>
        <v>8881906.37093118</v>
      </c>
      <c r="L74" s="170">
        <f t="shared" si="35"/>
        <v>8881906.37093118</v>
      </c>
    </row>
    <row r="75" spans="2:12" ht="18.75" customHeight="1">
      <c r="B75" s="2" t="s">
        <v>12</v>
      </c>
      <c r="C75" s="7">
        <f aca="true" t="shared" si="36" ref="C75:L75">C61</f>
        <v>0.09991333016039017</v>
      </c>
      <c r="D75" s="7">
        <f t="shared" si="36"/>
        <v>0.09991333016039017</v>
      </c>
      <c r="E75" s="7">
        <f t="shared" si="36"/>
        <v>0.09991333016039017</v>
      </c>
      <c r="F75" s="7">
        <f t="shared" si="36"/>
        <v>0.09991333016039017</v>
      </c>
      <c r="G75" s="7">
        <f t="shared" si="36"/>
        <v>0.09991333016039017</v>
      </c>
      <c r="H75" s="7">
        <f t="shared" si="36"/>
        <v>0.09991333016039017</v>
      </c>
      <c r="I75" s="7">
        <f t="shared" si="36"/>
        <v>0.09991333016039017</v>
      </c>
      <c r="J75" s="7">
        <f t="shared" si="36"/>
        <v>0.09991333016039017</v>
      </c>
      <c r="K75" s="7">
        <f t="shared" si="36"/>
        <v>0.09991333016039017</v>
      </c>
      <c r="L75" s="7">
        <f t="shared" si="36"/>
        <v>0.09991333016039017</v>
      </c>
    </row>
    <row r="76" spans="2:12" ht="18.75" customHeight="1">
      <c r="B76" s="34"/>
      <c r="C76" s="174">
        <f aca="true" t="shared" si="37" ref="C76:L76">C74*C75</f>
        <v>0</v>
      </c>
      <c r="D76" s="174">
        <f t="shared" si="37"/>
        <v>41353.64060873015</v>
      </c>
      <c r="E76" s="174">
        <f t="shared" si="37"/>
        <v>133295.12616742455</v>
      </c>
      <c r="F76" s="174">
        <f t="shared" si="37"/>
        <v>654711.1361580756</v>
      </c>
      <c r="G76" s="174">
        <f t="shared" si="37"/>
        <v>887420.8436925198</v>
      </c>
      <c r="H76" s="174">
        <f t="shared" si="37"/>
        <v>887420.8436925198</v>
      </c>
      <c r="I76" s="174">
        <f t="shared" si="37"/>
        <v>887420.8436925198</v>
      </c>
      <c r="J76" s="174">
        <f t="shared" si="37"/>
        <v>887420.8436925198</v>
      </c>
      <c r="K76" s="174">
        <f t="shared" si="37"/>
        <v>887420.8436925198</v>
      </c>
      <c r="L76" s="174">
        <f t="shared" si="37"/>
        <v>887420.8436925198</v>
      </c>
    </row>
    <row r="77" spans="1:12" ht="18.75" customHeight="1">
      <c r="A77" s="3"/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8.75" customHeight="1">
      <c r="B78" s="1" t="s">
        <v>52</v>
      </c>
      <c r="C78" s="170">
        <v>0</v>
      </c>
      <c r="D78" s="170">
        <f>C78</f>
        <v>0</v>
      </c>
      <c r="E78" s="170">
        <f aca="true" t="shared" si="38" ref="E78:L78">D78</f>
        <v>0</v>
      </c>
      <c r="F78" s="170">
        <f t="shared" si="38"/>
        <v>0</v>
      </c>
      <c r="G78" s="170">
        <f t="shared" si="38"/>
        <v>0</v>
      </c>
      <c r="H78" s="170">
        <f t="shared" si="38"/>
        <v>0</v>
      </c>
      <c r="I78" s="170">
        <f t="shared" si="38"/>
        <v>0</v>
      </c>
      <c r="J78" s="170">
        <f t="shared" si="38"/>
        <v>0</v>
      </c>
      <c r="K78" s="170">
        <f t="shared" si="38"/>
        <v>0</v>
      </c>
      <c r="L78" s="170">
        <f t="shared" si="38"/>
        <v>0</v>
      </c>
    </row>
    <row r="79" spans="2:12" ht="18.75" customHeight="1">
      <c r="B79" s="2" t="s">
        <v>48</v>
      </c>
      <c r="C79" s="170">
        <f aca="true" t="shared" si="39" ref="C79:L79">C62</f>
        <v>0</v>
      </c>
      <c r="D79" s="170">
        <f t="shared" si="39"/>
        <v>0</v>
      </c>
      <c r="E79" s="170">
        <f t="shared" si="39"/>
        <v>0</v>
      </c>
      <c r="F79" s="170">
        <f t="shared" si="39"/>
        <v>0</v>
      </c>
      <c r="G79" s="170">
        <f t="shared" si="39"/>
        <v>0</v>
      </c>
      <c r="H79" s="170">
        <f t="shared" si="39"/>
        <v>0</v>
      </c>
      <c r="I79" s="170">
        <f t="shared" si="39"/>
        <v>0</v>
      </c>
      <c r="J79" s="170">
        <f t="shared" si="39"/>
        <v>0</v>
      </c>
      <c r="K79" s="170">
        <f t="shared" si="39"/>
        <v>0</v>
      </c>
      <c r="L79" s="170">
        <f t="shared" si="39"/>
        <v>0</v>
      </c>
    </row>
    <row r="80" spans="2:12" ht="18.75" customHeight="1">
      <c r="B80" s="2" t="s">
        <v>434</v>
      </c>
      <c r="C80" s="170">
        <v>0</v>
      </c>
      <c r="D80" s="170">
        <f aca="true" t="shared" si="40" ref="D80:L80">C80</f>
        <v>0</v>
      </c>
      <c r="E80" s="170">
        <f t="shared" si="40"/>
        <v>0</v>
      </c>
      <c r="F80" s="170">
        <f t="shared" si="40"/>
        <v>0</v>
      </c>
      <c r="G80" s="170">
        <f t="shared" si="40"/>
        <v>0</v>
      </c>
      <c r="H80" s="170">
        <f t="shared" si="40"/>
        <v>0</v>
      </c>
      <c r="I80" s="170">
        <f t="shared" si="40"/>
        <v>0</v>
      </c>
      <c r="J80" s="170">
        <f t="shared" si="40"/>
        <v>0</v>
      </c>
      <c r="K80" s="170">
        <f t="shared" si="40"/>
        <v>0</v>
      </c>
      <c r="L80" s="170">
        <f t="shared" si="40"/>
        <v>0</v>
      </c>
    </row>
    <row r="81" spans="2:12" ht="18.75" customHeight="1">
      <c r="B81" s="2" t="s">
        <v>50</v>
      </c>
      <c r="C81" s="170">
        <v>0</v>
      </c>
      <c r="D81" s="170">
        <f aca="true" t="shared" si="41" ref="D81:L81">D64*(C68+C70)</f>
        <v>0</v>
      </c>
      <c r="E81" s="170">
        <f t="shared" si="41"/>
        <v>1012.232517847798</v>
      </c>
      <c r="F81" s="170">
        <f t="shared" si="41"/>
        <v>3262.7275178477985</v>
      </c>
      <c r="G81" s="170">
        <f t="shared" si="41"/>
        <v>16025.672517847797</v>
      </c>
      <c r="H81" s="170">
        <f t="shared" si="41"/>
        <v>21721.817517847798</v>
      </c>
      <c r="I81" s="170">
        <f t="shared" si="41"/>
        <v>21721.817517847798</v>
      </c>
      <c r="J81" s="170">
        <f t="shared" si="41"/>
        <v>21721.817517847798</v>
      </c>
      <c r="K81" s="170">
        <f t="shared" si="41"/>
        <v>21721.817517847798</v>
      </c>
      <c r="L81" s="170">
        <f t="shared" si="41"/>
        <v>21721.817517847798</v>
      </c>
    </row>
    <row r="82" spans="2:12" ht="18.75" customHeight="1">
      <c r="B82" s="21" t="s">
        <v>51</v>
      </c>
      <c r="C82" s="174">
        <f aca="true" t="shared" si="42" ref="C82:L82">SUM(C78:C81)</f>
        <v>0</v>
      </c>
      <c r="D82" s="174">
        <f t="shared" si="42"/>
        <v>0</v>
      </c>
      <c r="E82" s="174">
        <f t="shared" si="42"/>
        <v>1012.232517847798</v>
      </c>
      <c r="F82" s="174">
        <f t="shared" si="42"/>
        <v>3262.7275178477985</v>
      </c>
      <c r="G82" s="174">
        <f t="shared" si="42"/>
        <v>16025.672517847797</v>
      </c>
      <c r="H82" s="174">
        <f t="shared" si="42"/>
        <v>21721.817517847798</v>
      </c>
      <c r="I82" s="174">
        <f t="shared" si="42"/>
        <v>21721.817517847798</v>
      </c>
      <c r="J82" s="174">
        <f t="shared" si="42"/>
        <v>21721.817517847798</v>
      </c>
      <c r="K82" s="174">
        <f t="shared" si="42"/>
        <v>21721.817517847798</v>
      </c>
      <c r="L82" s="174">
        <f t="shared" si="42"/>
        <v>21721.817517847798</v>
      </c>
    </row>
    <row r="83" spans="3:12" ht="18.75" customHeight="1">
      <c r="C83" s="34"/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t="18.75" customHeight="1">
      <c r="B84" s="1" t="s">
        <v>59</v>
      </c>
      <c r="C84" s="170">
        <f aca="true" t="shared" si="43" ref="C84:L84">C76+C82</f>
        <v>0</v>
      </c>
      <c r="D84" s="170">
        <f t="shared" si="43"/>
        <v>41353.64060873015</v>
      </c>
      <c r="E84" s="170">
        <f t="shared" si="43"/>
        <v>134307.35868527234</v>
      </c>
      <c r="F84" s="170">
        <f t="shared" si="43"/>
        <v>657973.8636759234</v>
      </c>
      <c r="G84" s="170">
        <f t="shared" si="43"/>
        <v>903446.5162103677</v>
      </c>
      <c r="H84" s="170">
        <f t="shared" si="43"/>
        <v>909142.6612103676</v>
      </c>
      <c r="I84" s="170">
        <f t="shared" si="43"/>
        <v>909142.6612103676</v>
      </c>
      <c r="J84" s="170">
        <f t="shared" si="43"/>
        <v>909142.6612103676</v>
      </c>
      <c r="K84" s="170">
        <f t="shared" si="43"/>
        <v>909142.6612103676</v>
      </c>
      <c r="L84" s="170">
        <f t="shared" si="43"/>
        <v>909142.6612103676</v>
      </c>
    </row>
    <row r="87" spans="2:12" ht="18.75" customHeight="1">
      <c r="B87" s="11"/>
      <c r="C87" s="13"/>
      <c r="D87" s="13"/>
      <c r="E87" s="212" t="s">
        <v>268</v>
      </c>
      <c r="F87" s="13"/>
      <c r="G87" s="13"/>
      <c r="H87" s="13"/>
      <c r="I87" s="13"/>
      <c r="J87" s="13"/>
      <c r="K87" s="13"/>
      <c r="L87" s="13"/>
    </row>
    <row r="88" spans="1:12" ht="18.75" customHeight="1">
      <c r="A88" s="28"/>
      <c r="B88" s="28"/>
      <c r="C88" s="29">
        <f>Input!B2</f>
        <v>2016</v>
      </c>
      <c r="D88" s="29">
        <f aca="true" t="shared" si="44" ref="D88:L89">C88+1</f>
        <v>2017</v>
      </c>
      <c r="E88" s="29">
        <f t="shared" si="44"/>
        <v>2018</v>
      </c>
      <c r="F88" s="29">
        <f t="shared" si="44"/>
        <v>2019</v>
      </c>
      <c r="G88" s="29">
        <f t="shared" si="44"/>
        <v>2020</v>
      </c>
      <c r="H88" s="29">
        <f t="shared" si="44"/>
        <v>2021</v>
      </c>
      <c r="I88" s="29">
        <f t="shared" si="44"/>
        <v>2022</v>
      </c>
      <c r="J88" s="29">
        <f t="shared" si="44"/>
        <v>2023</v>
      </c>
      <c r="K88" s="29">
        <f t="shared" si="44"/>
        <v>2024</v>
      </c>
      <c r="L88" s="29">
        <f t="shared" si="44"/>
        <v>2025</v>
      </c>
    </row>
    <row r="89" spans="1:12" ht="18.75" customHeight="1">
      <c r="A89" s="258">
        <v>2018</v>
      </c>
      <c r="B89" s="28" t="s">
        <v>43</v>
      </c>
      <c r="C89" s="29"/>
      <c r="D89" s="29"/>
      <c r="E89" s="209">
        <v>1</v>
      </c>
      <c r="F89" s="209">
        <f>E89+1</f>
        <v>2</v>
      </c>
      <c r="G89" s="209">
        <f t="shared" si="44"/>
        <v>3</v>
      </c>
      <c r="H89" s="209">
        <f t="shared" si="44"/>
        <v>4</v>
      </c>
      <c r="I89" s="209">
        <f t="shared" si="44"/>
        <v>5</v>
      </c>
      <c r="J89" s="209">
        <f t="shared" si="44"/>
        <v>6</v>
      </c>
      <c r="K89" s="209">
        <f t="shared" si="44"/>
        <v>7</v>
      </c>
      <c r="L89" s="209">
        <f t="shared" si="44"/>
        <v>8</v>
      </c>
    </row>
    <row r="90" spans="2:12" ht="18.75" customHeight="1">
      <c r="B90" s="211" t="s">
        <v>367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8.75" customHeight="1">
      <c r="A91" s="21" t="s">
        <v>323</v>
      </c>
      <c r="B91" s="10" t="s">
        <v>418</v>
      </c>
      <c r="C91" s="172">
        <f>VLOOKUP(C$4,'Cash Flows-LGE'!$B$60:$E$70,$A92)</f>
        <v>0</v>
      </c>
      <c r="D91" s="172">
        <f>VLOOKUP(D$4,'Cash Flows-LGE'!$B$60:$E$70,$A92)</f>
        <v>21094331.944720194</v>
      </c>
      <c r="E91" s="172">
        <f>VLOOKUP(E$4,'Cash Flows-LGE'!$B$60:$E$70,$A92)</f>
        <v>23420280</v>
      </c>
      <c r="F91" s="172">
        <f>VLOOKUP(F$4,'Cash Flows-LGE'!$B$60:$E$70,$A92)</f>
        <v>0</v>
      </c>
      <c r="G91" s="172">
        <f>VLOOKUP(G$4,'Cash Flows-LGE'!$B$60:$E$70,$A92)</f>
        <v>0</v>
      </c>
      <c r="H91" s="172">
        <f>VLOOKUP(H$4,'Cash Flows-LGE'!$B$60:$E$70,$A92)</f>
        <v>0</v>
      </c>
      <c r="I91" s="172">
        <f>VLOOKUP(I$4,'Cash Flows-LGE'!$B$60:$E$70,$A92)</f>
        <v>0</v>
      </c>
      <c r="J91" s="172">
        <f>VLOOKUP(J$4,'Cash Flows-LGE'!$B$60:$E$70,$A92)</f>
        <v>0</v>
      </c>
      <c r="K91" s="172">
        <f>VLOOKUP(K$4,'Cash Flows-LGE'!$B$60:$E$70,$A92)</f>
        <v>0</v>
      </c>
      <c r="L91" s="172">
        <f>VLOOKUP(L$4,'Cash Flows-LGE'!$B$60:$E$70,$A92)</f>
        <v>0</v>
      </c>
    </row>
    <row r="92" spans="1:13" ht="18.75" customHeight="1">
      <c r="A92" s="3">
        <v>4</v>
      </c>
      <c r="B92" s="40" t="s">
        <v>57</v>
      </c>
      <c r="C92" s="172">
        <f>SUM($C91:C91)</f>
        <v>0</v>
      </c>
      <c r="D92" s="172">
        <f>SUM($C91:D91)</f>
        <v>21094331.944720194</v>
      </c>
      <c r="E92" s="172">
        <f>SUM($C91:E91)</f>
        <v>44514611.944720194</v>
      </c>
      <c r="F92" s="172">
        <f>SUM($C91:F91)</f>
        <v>44514611.944720194</v>
      </c>
      <c r="G92" s="172">
        <f>SUM($C91:G91)</f>
        <v>44514611.944720194</v>
      </c>
      <c r="H92" s="172">
        <f>SUM($C91:H91)</f>
        <v>44514611.944720194</v>
      </c>
      <c r="I92" s="172">
        <f>SUM($C91:I91)</f>
        <v>44514611.944720194</v>
      </c>
      <c r="J92" s="172">
        <f>SUM($C91:J91)</f>
        <v>44514611.944720194</v>
      </c>
      <c r="K92" s="172">
        <f>SUM($C91:K91)</f>
        <v>44514611.944720194</v>
      </c>
      <c r="L92" s="172">
        <f>SUM($C91:L91)</f>
        <v>44514611.944720194</v>
      </c>
      <c r="M92" s="18"/>
    </row>
    <row r="93" spans="1:12" ht="18.75" customHeight="1">
      <c r="A93" s="3">
        <v>2</v>
      </c>
      <c r="B93" s="5" t="s">
        <v>0</v>
      </c>
      <c r="C93" s="6">
        <f>IF(C89="",0,VLOOKUP($B90,Depreciation!$D$2:$E$31,$A93,FALSE))</f>
        <v>0</v>
      </c>
      <c r="D93" s="6">
        <f>IF(D89="",0,VLOOKUP($B90,Depreciation!$D$2:$E$31,$A93,FALSE))</f>
        <v>0</v>
      </c>
      <c r="E93" s="6">
        <f>IF(E89="",0,VLOOKUP($B90,Depreciation!$D$2:$E$31,$A93,FALSE))</f>
        <v>0.0246</v>
      </c>
      <c r="F93" s="6">
        <f>IF(F89="",0,VLOOKUP($B90,Depreciation!$D$2:$E$31,$A93,FALSE))</f>
        <v>0.0246</v>
      </c>
      <c r="G93" s="6">
        <f>IF(G89="",0,VLOOKUP($B90,Depreciation!$D$2:$E$31,$A93,FALSE))</f>
        <v>0.0246</v>
      </c>
      <c r="H93" s="6">
        <f>IF(H89="",0,VLOOKUP($B90,Depreciation!$D$2:$E$31,$A93,FALSE))</f>
        <v>0.0246</v>
      </c>
      <c r="I93" s="6">
        <f>IF(I89="",0,VLOOKUP($B90,Depreciation!$D$2:$E$31,$A93,FALSE))</f>
        <v>0.0246</v>
      </c>
      <c r="J93" s="6">
        <f>IF(J89="",0,VLOOKUP($B90,Depreciation!$D$2:$E$31,$A93,FALSE))</f>
        <v>0.0246</v>
      </c>
      <c r="K93" s="6">
        <f>IF(K89="",0,VLOOKUP($B90,Depreciation!$D$2:$E$31,$A93,FALSE))</f>
        <v>0.0246</v>
      </c>
      <c r="L93" s="6">
        <f>IF(L89="",0,VLOOKUP($B90,Depreciation!$D$2:$E$31,$A93,FALSE))</f>
        <v>0.0246</v>
      </c>
    </row>
    <row r="94" spans="1:12" ht="18.75" customHeight="1">
      <c r="A94" s="3">
        <v>2</v>
      </c>
      <c r="B94" s="5" t="s">
        <v>1</v>
      </c>
      <c r="C94" s="6">
        <f>IF(C89="",0,VLOOKUP(C89,Depreciation!$A$2:$C$58,$A94,FALSE))</f>
        <v>0</v>
      </c>
      <c r="D94" s="6">
        <f>IF(D89="",0,VLOOKUP(D89,Depreciation!$A$2:$C$58,$A94,FALSE))</f>
        <v>0</v>
      </c>
      <c r="E94" s="6">
        <f>IF(E89="",0,VLOOKUP(E89,Depreciation!$A$2:$C$58,$A94,FALSE))</f>
        <v>0.0375</v>
      </c>
      <c r="F94" s="6">
        <f>IF(F89="",0,VLOOKUP(F89,Depreciation!$A$2:$C$58,$A94,FALSE))</f>
        <v>0.07219</v>
      </c>
      <c r="G94" s="6">
        <f>IF(G89="",0,VLOOKUP(G89,Depreciation!$A$2:$C$58,$A94,FALSE))</f>
        <v>0.06677</v>
      </c>
      <c r="H94" s="6">
        <f>IF(H89="",0,VLOOKUP(H89,Depreciation!$A$2:$C$58,$A94,FALSE))</f>
        <v>0.06177</v>
      </c>
      <c r="I94" s="6">
        <f>IF(I89="",0,VLOOKUP(I89,Depreciation!$A$2:$C$58,$A94,FALSE))</f>
        <v>0.05713</v>
      </c>
      <c r="J94" s="6">
        <f>IF(J89="",0,VLOOKUP(J89,Depreciation!$A$2:$C$58,$A94,FALSE))</f>
        <v>0.05285</v>
      </c>
      <c r="K94" s="6">
        <f>IF(K89="",0,VLOOKUP(K89,Depreciation!$A$2:$C$58,$A94,FALSE))</f>
        <v>0.04888</v>
      </c>
      <c r="L94" s="6">
        <f>IF(L89="",0,VLOOKUP(L89,Depreciation!$A$2:$C$58,$A94,FALSE))</f>
        <v>0.04522</v>
      </c>
    </row>
    <row r="95" spans="1:12" ht="18.75" customHeight="1">
      <c r="A95" s="30"/>
      <c r="B95" s="31" t="s">
        <v>2</v>
      </c>
      <c r="C95" s="7">
        <f>Input!B$3</f>
        <v>0.38665999999999995</v>
      </c>
      <c r="D95" s="7">
        <f>Input!C$3</f>
        <v>0.38665999999999995</v>
      </c>
      <c r="E95" s="7">
        <f>Input!D$3</f>
        <v>0.38665999999999995</v>
      </c>
      <c r="F95" s="7">
        <f>Input!E$3</f>
        <v>0.38665999999999995</v>
      </c>
      <c r="G95" s="7">
        <f>Input!F$3</f>
        <v>0.38665999999999995</v>
      </c>
      <c r="H95" s="7">
        <f>Input!G$3</f>
        <v>0.38665999999999995</v>
      </c>
      <c r="I95" s="7">
        <f>Input!H$3</f>
        <v>0.38665999999999995</v>
      </c>
      <c r="J95" s="7">
        <f>Input!I$3</f>
        <v>0.38665999999999995</v>
      </c>
      <c r="K95" s="7">
        <f>Input!J$3</f>
        <v>0.38665999999999995</v>
      </c>
      <c r="L95" s="7">
        <f>Input!K$3</f>
        <v>0.38665999999999995</v>
      </c>
    </row>
    <row r="96" spans="2:12" ht="18.75" customHeight="1">
      <c r="B96" s="2" t="s">
        <v>3</v>
      </c>
      <c r="C96" s="170">
        <f>SUM($C107:C107)</f>
        <v>0</v>
      </c>
      <c r="D96" s="170">
        <f>SUM($C107:D107)</f>
        <v>0</v>
      </c>
      <c r="E96" s="170">
        <f>SUM($C107:E107)</f>
        <v>7254436.068194568</v>
      </c>
      <c r="F96" s="170">
        <f>SUM($C107:F107)</f>
        <v>7576541.807752533</v>
      </c>
      <c r="G96" s="170">
        <f>SUM($C107:G107)</f>
        <v>7842674.058743516</v>
      </c>
      <c r="H96" s="170">
        <f>SUM($C107:H107)</f>
        <v>8057170.250170862</v>
      </c>
      <c r="I96" s="170">
        <f>SUM($C107:I107)</f>
        <v>8223748.178323153</v>
      </c>
      <c r="J96" s="170">
        <f>SUM($C107:J107)</f>
        <v>8346125.639488972</v>
      </c>
      <c r="K96" s="170">
        <f>SUM($C107:K107)</f>
        <v>8427504.069361262</v>
      </c>
      <c r="L96" s="170">
        <f>SUM($C107:L107)</f>
        <v>8471084.90363297</v>
      </c>
    </row>
    <row r="97" spans="2:12" ht="18.75" customHeight="1">
      <c r="B97" s="2" t="s">
        <v>4</v>
      </c>
      <c r="C97" s="170">
        <f>SUM($C99:C99)</f>
        <v>0</v>
      </c>
      <c r="D97" s="170">
        <f>SUM($C99:D99)</f>
        <v>0</v>
      </c>
      <c r="E97" s="170">
        <f>SUM($C99:E99)</f>
        <v>45627.4772433382</v>
      </c>
      <c r="F97" s="170">
        <f>SUM($C99:F99)</f>
        <v>1140686.931083455</v>
      </c>
      <c r="G97" s="170">
        <f>SUM($C99:G99)</f>
        <v>2235746.3849235717</v>
      </c>
      <c r="H97" s="170">
        <f>SUM($C99:H99)</f>
        <v>3330805.8387636887</v>
      </c>
      <c r="I97" s="170">
        <f>SUM($C99:I99)</f>
        <v>4425865.292603806</v>
      </c>
      <c r="J97" s="170">
        <f>SUM($C99:J99)</f>
        <v>5520924.746443923</v>
      </c>
      <c r="K97" s="170">
        <f>SUM($C99:K99)</f>
        <v>6615984.20028404</v>
      </c>
      <c r="L97" s="170">
        <f>SUM($C99:L99)</f>
        <v>7711043.654124157</v>
      </c>
    </row>
    <row r="98" spans="2:12" ht="18.75" customHeight="1">
      <c r="B98" s="11" t="s">
        <v>5</v>
      </c>
      <c r="C98" s="170">
        <f>C91</f>
        <v>0</v>
      </c>
      <c r="D98" s="170">
        <f>C98+D91</f>
        <v>21094331.944720194</v>
      </c>
      <c r="E98" s="170">
        <f aca="true" t="shared" si="45" ref="E98:L98">D98+E91</f>
        <v>44514611.944720194</v>
      </c>
      <c r="F98" s="170">
        <f t="shared" si="45"/>
        <v>44514611.944720194</v>
      </c>
      <c r="G98" s="170">
        <f t="shared" si="45"/>
        <v>44514611.944720194</v>
      </c>
      <c r="H98" s="170">
        <f t="shared" si="45"/>
        <v>44514611.944720194</v>
      </c>
      <c r="I98" s="170">
        <f t="shared" si="45"/>
        <v>44514611.944720194</v>
      </c>
      <c r="J98" s="170">
        <f t="shared" si="45"/>
        <v>44514611.944720194</v>
      </c>
      <c r="K98" s="170">
        <f t="shared" si="45"/>
        <v>44514611.944720194</v>
      </c>
      <c r="L98" s="170">
        <f t="shared" si="45"/>
        <v>44514611.944720194</v>
      </c>
    </row>
    <row r="99" spans="1:12" ht="18.75" customHeight="1">
      <c r="A99" s="214" t="s">
        <v>359</v>
      </c>
      <c r="B99" s="11" t="s">
        <v>6</v>
      </c>
      <c r="C99" s="170">
        <f aca="true" t="shared" si="46" ref="C99:L99">IF(C89=1,(12.5-VLOOKUP(C87,$Q$5:$R$16,2,))*C93/12*C98,C98*C93)</f>
        <v>0</v>
      </c>
      <c r="D99" s="170">
        <f t="shared" si="46"/>
        <v>0</v>
      </c>
      <c r="E99" s="170">
        <f t="shared" si="46"/>
        <v>45627.4772433382</v>
      </c>
      <c r="F99" s="170">
        <f t="shared" si="46"/>
        <v>1095059.4538401167</v>
      </c>
      <c r="G99" s="170">
        <f t="shared" si="46"/>
        <v>1095059.4538401167</v>
      </c>
      <c r="H99" s="170">
        <f t="shared" si="46"/>
        <v>1095059.4538401167</v>
      </c>
      <c r="I99" s="170">
        <f t="shared" si="46"/>
        <v>1095059.4538401167</v>
      </c>
      <c r="J99" s="170">
        <f t="shared" si="46"/>
        <v>1095059.4538401167</v>
      </c>
      <c r="K99" s="170">
        <f t="shared" si="46"/>
        <v>1095059.4538401167</v>
      </c>
      <c r="L99" s="170">
        <f t="shared" si="46"/>
        <v>1095059.4538401167</v>
      </c>
    </row>
    <row r="100" spans="2:12" ht="18.75" customHeight="1">
      <c r="B100" s="5" t="s">
        <v>7</v>
      </c>
      <c r="C100" s="170">
        <f>C91</f>
        <v>0</v>
      </c>
      <c r="D100" s="170">
        <f aca="true" t="shared" si="47" ref="D100:L100">C100+D91</f>
        <v>21094331.944720194</v>
      </c>
      <c r="E100" s="170">
        <f t="shared" si="47"/>
        <v>44514611.944720194</v>
      </c>
      <c r="F100" s="170">
        <f t="shared" si="47"/>
        <v>44514611.944720194</v>
      </c>
      <c r="G100" s="170">
        <f t="shared" si="47"/>
        <v>44514611.944720194</v>
      </c>
      <c r="H100" s="170">
        <f t="shared" si="47"/>
        <v>44514611.944720194</v>
      </c>
      <c r="I100" s="170">
        <f t="shared" si="47"/>
        <v>44514611.944720194</v>
      </c>
      <c r="J100" s="170">
        <f t="shared" si="47"/>
        <v>44514611.944720194</v>
      </c>
      <c r="K100" s="170">
        <f t="shared" si="47"/>
        <v>44514611.944720194</v>
      </c>
      <c r="L100" s="170">
        <f t="shared" si="47"/>
        <v>44514611.944720194</v>
      </c>
    </row>
    <row r="101" spans="2:12" ht="18.75" customHeight="1">
      <c r="B101" s="213" t="s">
        <v>361</v>
      </c>
      <c r="C101" s="170">
        <f>IF(C89=1,IF($A99="Bonus",SUM($C91:C91)*VLOOKUP(C88,Depreciation!$D$41:$E$50,2),0),0)</f>
        <v>0</v>
      </c>
      <c r="D101" s="170">
        <f>IF(D89=1,IF($A99="Bonus",SUM($C91:D91)*VLOOKUP(D88,Depreciation!$D$41:$E$50,2),0),0)</f>
        <v>0</v>
      </c>
      <c r="E101" s="170">
        <f>IF(E89=1,IF($A99="Bonus",SUM($C91:E91)*VLOOKUP(E88,Depreciation!$D$41:$E$50,2),0),0)</f>
        <v>17805844.77788808</v>
      </c>
      <c r="F101" s="170">
        <f>IF(F89=1,IF($A99="Bonus",SUM($C91:F91)*VLOOKUP(F88,Depreciation!$D$41:$E$50,2),0),0)</f>
        <v>0</v>
      </c>
      <c r="G101" s="170">
        <f>IF(G89=1,IF($A99="Bonus",SUM($C91:G91)*VLOOKUP(G88,Depreciation!$D$41:$E$50,2),0),0)</f>
        <v>0</v>
      </c>
      <c r="H101" s="170">
        <f>IF(H89=1,IF($A99="Bonus",SUM($C91:H91)*VLOOKUP(H88,Depreciation!$D$41:$E$50,2),0),0)</f>
        <v>0</v>
      </c>
      <c r="I101" s="170">
        <f>IF(I89=1,IF($A99="Bonus",SUM($C91:I91)*VLOOKUP(I88,Depreciation!$D$41:$E$50,2),0),0)</f>
        <v>0</v>
      </c>
      <c r="J101" s="170">
        <f>IF(J89=1,IF($A99="Bonus",SUM($C91:J91)*VLOOKUP(J88,Depreciation!$D$41:$E$50,2),0),0)</f>
        <v>0</v>
      </c>
      <c r="K101" s="170">
        <f>IF(K89=1,IF($A99="Bonus",SUM($C91:K91)*VLOOKUP(K88,Depreciation!$D$41:$E$50,2),0),0)</f>
        <v>0</v>
      </c>
      <c r="L101" s="170">
        <f>IF(L89=1,IF($A99="Bonus",SUM($C91:L91)*VLOOKUP(L88,Depreciation!$D$41:$E$50,2),0),0)</f>
        <v>0</v>
      </c>
    </row>
    <row r="102" spans="2:12" ht="18.75" customHeight="1">
      <c r="B102" s="5" t="s">
        <v>362</v>
      </c>
      <c r="C102" s="170">
        <f>IF(C89&gt;=1,IF($A99="Bonus",C92*(1-VLOOKUP($A89,Depreciation!$D$41:$N$50,C88-2014))*C94,C92*C94),C92*C94)</f>
        <v>0</v>
      </c>
      <c r="D102" s="170">
        <f>IF(D89&gt;=1,IF($A99="Bonus",D92*(1-VLOOKUP($A89,Depreciation!$D$41:$N$50,D88-2014))*D94,D92*D94),D92*D94)</f>
        <v>0</v>
      </c>
      <c r="E102" s="170">
        <f>IF(E89&gt;=1,IF($A99="Bonus",E92*(1-VLOOKUP($A89,Depreciation!$D$41:$N$50,E88-2014))*E94,E92*E94),E92*E94)</f>
        <v>1001578.7687562043</v>
      </c>
      <c r="F102" s="170">
        <f>IF(F89&gt;=1,IF($A99="Bonus",F92*(1-VLOOKUP($A89,Depreciation!$D$41:$N$50,F88-2014))*F94,F92*F94),F92*F94)</f>
        <v>1928105.9017736106</v>
      </c>
      <c r="G102" s="170">
        <f>IF(G89&gt;=1,IF($A99="Bonus",G92*(1-VLOOKUP($A89,Depreciation!$D$41:$N$50,G88-2014))*G94,G92*G94),G92*G94)</f>
        <v>1783344.3837293803</v>
      </c>
      <c r="H102" s="170">
        <f>IF(H89&gt;=1,IF($A99="Bonus",H92*(1-VLOOKUP($A89,Depreciation!$D$41:$N$50,H88-2014))*H94,H92*H94),H92*H94)</f>
        <v>1649800.5478952196</v>
      </c>
      <c r="I102" s="170">
        <f>IF(I89&gt;=1,IF($A99="Bonus",I92*(1-VLOOKUP($A89,Depreciation!$D$41:$N$50,I88-2014))*I94,I92*I94),I92*I94)</f>
        <v>1525871.8682411187</v>
      </c>
      <c r="J102" s="170">
        <f>IF(J89&gt;=1,IF($A99="Bonus",J92*(1-VLOOKUP($A89,Depreciation!$D$41:$N$50,J88-2014))*J94,J92*J94),J92*J94)</f>
        <v>1411558.3447670774</v>
      </c>
      <c r="K102" s="170">
        <f>IF(K89&gt;=1,IF($A99="Bonus",K92*(1-VLOOKUP($A89,Depreciation!$D$41:$N$50,K88-2014))*K94,K92*K94),K92*K94)</f>
        <v>1305524.5391147537</v>
      </c>
      <c r="L102" s="170">
        <f>IF(L89&gt;=1,IF($A99="Bonus",L92*(1-VLOOKUP($A89,Depreciation!$D$41:$N$50,L88-2014))*L94,L92*L94),L92*L94)</f>
        <v>1207770.4512841483</v>
      </c>
    </row>
    <row r="103" spans="2:12" ht="18.75" customHeight="1">
      <c r="B103" s="5" t="s">
        <v>17</v>
      </c>
      <c r="C103" s="7">
        <f>Input!I$19</f>
        <v>0.09991333016039017</v>
      </c>
      <c r="D103" s="7">
        <f>Input!J$19</f>
        <v>0.09991333016039017</v>
      </c>
      <c r="E103" s="7">
        <f>Input!K$19</f>
        <v>0.09991333016039017</v>
      </c>
      <c r="F103" s="7">
        <f>Input!L$19</f>
        <v>0.09991333016039017</v>
      </c>
      <c r="G103" s="7">
        <f>Input!M$19</f>
        <v>0.09991333016039017</v>
      </c>
      <c r="H103" s="7">
        <f>Input!N$19</f>
        <v>0.09991333016039017</v>
      </c>
      <c r="I103" s="7">
        <f>Input!O$19</f>
        <v>0.09991333016039017</v>
      </c>
      <c r="J103" s="7">
        <f>Input!P$19</f>
        <v>0.09991333016039017</v>
      </c>
      <c r="K103" s="7">
        <f>Input!Q$19</f>
        <v>0.09991333016039017</v>
      </c>
      <c r="L103" s="7">
        <f>Input!R$19</f>
        <v>0.09991333016039017</v>
      </c>
    </row>
    <row r="104" spans="2:12" ht="18.75" customHeight="1">
      <c r="B104" s="5" t="s">
        <v>8</v>
      </c>
      <c r="C104" s="171">
        <f>C99</f>
        <v>0</v>
      </c>
      <c r="D104" s="171">
        <f aca="true" t="shared" si="48" ref="D104:L104">D99</f>
        <v>0</v>
      </c>
      <c r="E104" s="171">
        <f t="shared" si="48"/>
        <v>45627.4772433382</v>
      </c>
      <c r="F104" s="171">
        <f t="shared" si="48"/>
        <v>1095059.4538401167</v>
      </c>
      <c r="G104" s="171">
        <f t="shared" si="48"/>
        <v>1095059.4538401167</v>
      </c>
      <c r="H104" s="171">
        <f t="shared" si="48"/>
        <v>1095059.4538401167</v>
      </c>
      <c r="I104" s="171">
        <f t="shared" si="48"/>
        <v>1095059.4538401167</v>
      </c>
      <c r="J104" s="171">
        <f t="shared" si="48"/>
        <v>1095059.4538401167</v>
      </c>
      <c r="K104" s="171">
        <f t="shared" si="48"/>
        <v>1095059.4538401167</v>
      </c>
      <c r="L104" s="171">
        <f t="shared" si="48"/>
        <v>1095059.4538401167</v>
      </c>
    </row>
    <row r="105" spans="2:12" ht="18.75" customHeight="1">
      <c r="B105" s="11" t="s">
        <v>364</v>
      </c>
      <c r="C105" s="171">
        <f aca="true" t="shared" si="49" ref="C105:L105">SUM(C101,C102)</f>
        <v>0</v>
      </c>
      <c r="D105" s="171">
        <f t="shared" si="49"/>
        <v>0</v>
      </c>
      <c r="E105" s="171">
        <f t="shared" si="49"/>
        <v>18807423.54664428</v>
      </c>
      <c r="F105" s="171">
        <f t="shared" si="49"/>
        <v>1928105.9017736106</v>
      </c>
      <c r="G105" s="171">
        <f t="shared" si="49"/>
        <v>1783344.3837293803</v>
      </c>
      <c r="H105" s="171">
        <f t="shared" si="49"/>
        <v>1649800.5478952196</v>
      </c>
      <c r="I105" s="171">
        <f t="shared" si="49"/>
        <v>1525871.8682411187</v>
      </c>
      <c r="J105" s="171">
        <f t="shared" si="49"/>
        <v>1411558.3447670774</v>
      </c>
      <c r="K105" s="171">
        <f t="shared" si="49"/>
        <v>1305524.5391147537</v>
      </c>
      <c r="L105" s="171">
        <f t="shared" si="49"/>
        <v>1207770.4512841483</v>
      </c>
    </row>
    <row r="106" spans="2:12" ht="18.75" customHeight="1">
      <c r="B106" s="2" t="s">
        <v>9</v>
      </c>
      <c r="C106" s="8">
        <f>Input!$B$6</f>
        <v>0.0015</v>
      </c>
      <c r="D106" s="8">
        <f aca="true" t="shared" si="50" ref="D106:I106">C106</f>
        <v>0.0015</v>
      </c>
      <c r="E106" s="8">
        <f t="shared" si="50"/>
        <v>0.0015</v>
      </c>
      <c r="F106" s="8">
        <f t="shared" si="50"/>
        <v>0.0015</v>
      </c>
      <c r="G106" s="8">
        <f t="shared" si="50"/>
        <v>0.0015</v>
      </c>
      <c r="H106" s="8">
        <f t="shared" si="50"/>
        <v>0.0015</v>
      </c>
      <c r="I106" s="8">
        <f t="shared" si="50"/>
        <v>0.0015</v>
      </c>
      <c r="J106" s="8">
        <f>I106</f>
        <v>0.0015</v>
      </c>
      <c r="K106" s="8">
        <f>J106</f>
        <v>0.0015</v>
      </c>
      <c r="L106" s="8">
        <f>K106</f>
        <v>0.0015</v>
      </c>
    </row>
    <row r="107" spans="2:12" ht="18.75" customHeight="1">
      <c r="B107" s="4" t="s">
        <v>363</v>
      </c>
      <c r="C107" s="171">
        <f aca="true" t="shared" si="51" ref="C107:L107">(C105-C104)*C95</f>
        <v>0</v>
      </c>
      <c r="D107" s="171">
        <f t="shared" si="51"/>
        <v>0</v>
      </c>
      <c r="E107" s="171">
        <f t="shared" si="51"/>
        <v>7254436.068194568</v>
      </c>
      <c r="F107" s="171">
        <f t="shared" si="51"/>
        <v>322105.7395579647</v>
      </c>
      <c r="G107" s="171">
        <f t="shared" si="51"/>
        <v>266132.25099098263</v>
      </c>
      <c r="H107" s="171">
        <f t="shared" si="51"/>
        <v>214496.19142734606</v>
      </c>
      <c r="I107" s="171">
        <f t="shared" si="51"/>
        <v>166577.9281522914</v>
      </c>
      <c r="J107" s="171">
        <f t="shared" si="51"/>
        <v>122377.46116581857</v>
      </c>
      <c r="K107" s="171">
        <f t="shared" si="51"/>
        <v>81378.42987229112</v>
      </c>
      <c r="L107" s="171">
        <f t="shared" si="51"/>
        <v>43580.834271709224</v>
      </c>
    </row>
    <row r="108" spans="2:12" ht="18.75" customHeight="1">
      <c r="B108" s="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8.75" customHeight="1">
      <c r="B109" s="10" t="s">
        <v>15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8.75" customHeight="1">
      <c r="B110" s="5" t="s">
        <v>16</v>
      </c>
      <c r="C110" s="169">
        <f aca="true" t="shared" si="52" ref="C110:L110">C92</f>
        <v>0</v>
      </c>
      <c r="D110" s="169">
        <f t="shared" si="52"/>
        <v>21094331.944720194</v>
      </c>
      <c r="E110" s="169">
        <f t="shared" si="52"/>
        <v>44514611.944720194</v>
      </c>
      <c r="F110" s="169">
        <f t="shared" si="52"/>
        <v>44514611.944720194</v>
      </c>
      <c r="G110" s="169">
        <f t="shared" si="52"/>
        <v>44514611.944720194</v>
      </c>
      <c r="H110" s="169">
        <f t="shared" si="52"/>
        <v>44514611.944720194</v>
      </c>
      <c r="I110" s="169">
        <f t="shared" si="52"/>
        <v>44514611.944720194</v>
      </c>
      <c r="J110" s="169">
        <f t="shared" si="52"/>
        <v>44514611.944720194</v>
      </c>
      <c r="K110" s="169">
        <f t="shared" si="52"/>
        <v>44514611.944720194</v>
      </c>
      <c r="L110" s="169">
        <f t="shared" si="52"/>
        <v>44514611.944720194</v>
      </c>
    </row>
    <row r="111" spans="1:12" ht="18.75" customHeight="1">
      <c r="A111" s="3"/>
      <c r="B111" s="4" t="s">
        <v>44</v>
      </c>
      <c r="C111" s="170">
        <v>0</v>
      </c>
      <c r="D111" s="170">
        <f aca="true" t="shared" si="53" ref="D111:L111">C111</f>
        <v>0</v>
      </c>
      <c r="E111" s="170">
        <f t="shared" si="53"/>
        <v>0</v>
      </c>
      <c r="F111" s="170">
        <f t="shared" si="53"/>
        <v>0</v>
      </c>
      <c r="G111" s="170">
        <f t="shared" si="53"/>
        <v>0</v>
      </c>
      <c r="H111" s="170">
        <f t="shared" si="53"/>
        <v>0</v>
      </c>
      <c r="I111" s="170">
        <f t="shared" si="53"/>
        <v>0</v>
      </c>
      <c r="J111" s="170">
        <f t="shared" si="53"/>
        <v>0</v>
      </c>
      <c r="K111" s="170">
        <f t="shared" si="53"/>
        <v>0</v>
      </c>
      <c r="L111" s="170">
        <f t="shared" si="53"/>
        <v>0</v>
      </c>
    </row>
    <row r="112" spans="2:12" ht="18.75" customHeight="1">
      <c r="B112" s="2" t="s">
        <v>10</v>
      </c>
      <c r="C112" s="170">
        <f aca="true" t="shared" si="54" ref="C112:L112">-C97</f>
        <v>0</v>
      </c>
      <c r="D112" s="170">
        <f t="shared" si="54"/>
        <v>0</v>
      </c>
      <c r="E112" s="170">
        <f t="shared" si="54"/>
        <v>-45627.4772433382</v>
      </c>
      <c r="F112" s="170">
        <f t="shared" si="54"/>
        <v>-1140686.931083455</v>
      </c>
      <c r="G112" s="170">
        <f t="shared" si="54"/>
        <v>-2235746.3849235717</v>
      </c>
      <c r="H112" s="170">
        <f t="shared" si="54"/>
        <v>-3330805.8387636887</v>
      </c>
      <c r="I112" s="170">
        <f t="shared" si="54"/>
        <v>-4425865.292603806</v>
      </c>
      <c r="J112" s="170">
        <f t="shared" si="54"/>
        <v>-5520924.746443923</v>
      </c>
      <c r="K112" s="170">
        <f t="shared" si="54"/>
        <v>-6615984.20028404</v>
      </c>
      <c r="L112" s="170">
        <f t="shared" si="54"/>
        <v>-7711043.654124157</v>
      </c>
    </row>
    <row r="113" spans="2:12" ht="18.75" customHeight="1">
      <c r="B113" s="2" t="s">
        <v>45</v>
      </c>
      <c r="C113" s="170">
        <v>0</v>
      </c>
      <c r="D113" s="170">
        <f aca="true" t="shared" si="55" ref="D113:L113">C113</f>
        <v>0</v>
      </c>
      <c r="E113" s="170">
        <f t="shared" si="55"/>
        <v>0</v>
      </c>
      <c r="F113" s="170">
        <f t="shared" si="55"/>
        <v>0</v>
      </c>
      <c r="G113" s="170">
        <f t="shared" si="55"/>
        <v>0</v>
      </c>
      <c r="H113" s="170">
        <f t="shared" si="55"/>
        <v>0</v>
      </c>
      <c r="I113" s="170">
        <f t="shared" si="55"/>
        <v>0</v>
      </c>
      <c r="J113" s="170">
        <f t="shared" si="55"/>
        <v>0</v>
      </c>
      <c r="K113" s="170">
        <f t="shared" si="55"/>
        <v>0</v>
      </c>
      <c r="L113" s="170">
        <f t="shared" si="55"/>
        <v>0</v>
      </c>
    </row>
    <row r="114" spans="2:12" ht="18.75" customHeight="1">
      <c r="B114" s="2" t="s">
        <v>46</v>
      </c>
      <c r="C114" s="170">
        <f aca="true" t="shared" si="56" ref="C114:L114">-C96</f>
        <v>0</v>
      </c>
      <c r="D114" s="170">
        <f t="shared" si="56"/>
        <v>0</v>
      </c>
      <c r="E114" s="170">
        <f t="shared" si="56"/>
        <v>-7254436.068194568</v>
      </c>
      <c r="F114" s="170">
        <f t="shared" si="56"/>
        <v>-7576541.807752533</v>
      </c>
      <c r="G114" s="170">
        <f t="shared" si="56"/>
        <v>-7842674.058743516</v>
      </c>
      <c r="H114" s="170">
        <f t="shared" si="56"/>
        <v>-8057170.250170862</v>
      </c>
      <c r="I114" s="170">
        <f t="shared" si="56"/>
        <v>-8223748.178323153</v>
      </c>
      <c r="J114" s="170">
        <f t="shared" si="56"/>
        <v>-8346125.639488972</v>
      </c>
      <c r="K114" s="170">
        <f t="shared" si="56"/>
        <v>-8427504.069361262</v>
      </c>
      <c r="L114" s="170">
        <f t="shared" si="56"/>
        <v>-8471084.90363297</v>
      </c>
    </row>
    <row r="115" spans="2:12" ht="18.75" customHeight="1">
      <c r="B115" s="2" t="s">
        <v>47</v>
      </c>
      <c r="C115" s="170">
        <v>0</v>
      </c>
      <c r="D115" s="170">
        <f aca="true" t="shared" si="57" ref="D115:L115">C115</f>
        <v>0</v>
      </c>
      <c r="E115" s="170">
        <f t="shared" si="57"/>
        <v>0</v>
      </c>
      <c r="F115" s="170">
        <f t="shared" si="57"/>
        <v>0</v>
      </c>
      <c r="G115" s="170">
        <f t="shared" si="57"/>
        <v>0</v>
      </c>
      <c r="H115" s="170">
        <f t="shared" si="57"/>
        <v>0</v>
      </c>
      <c r="I115" s="170">
        <f t="shared" si="57"/>
        <v>0</v>
      </c>
      <c r="J115" s="170">
        <f t="shared" si="57"/>
        <v>0</v>
      </c>
      <c r="K115" s="170">
        <f t="shared" si="57"/>
        <v>0</v>
      </c>
      <c r="L115" s="170">
        <f t="shared" si="57"/>
        <v>0</v>
      </c>
    </row>
    <row r="116" spans="2:12" ht="18.75" customHeight="1">
      <c r="B116" s="2" t="s">
        <v>11</v>
      </c>
      <c r="C116" s="170">
        <f aca="true" t="shared" si="58" ref="C116:L116">SUM(C110:C115)</f>
        <v>0</v>
      </c>
      <c r="D116" s="170">
        <f t="shared" si="58"/>
        <v>21094331.944720194</v>
      </c>
      <c r="E116" s="170">
        <f t="shared" si="58"/>
        <v>37214548.399282284</v>
      </c>
      <c r="F116" s="170">
        <f t="shared" si="58"/>
        <v>35797383.2058842</v>
      </c>
      <c r="G116" s="170">
        <f t="shared" si="58"/>
        <v>34436191.50105311</v>
      </c>
      <c r="H116" s="170">
        <f t="shared" si="58"/>
        <v>33126635.855785638</v>
      </c>
      <c r="I116" s="170">
        <f t="shared" si="58"/>
        <v>31864998.473793235</v>
      </c>
      <c r="J116" s="170">
        <f t="shared" si="58"/>
        <v>30647561.5587873</v>
      </c>
      <c r="K116" s="170">
        <f t="shared" si="58"/>
        <v>29471123.67507489</v>
      </c>
      <c r="L116" s="170">
        <f t="shared" si="58"/>
        <v>28332483.38696307</v>
      </c>
    </row>
    <row r="117" spans="2:12" ht="18.75" customHeight="1">
      <c r="B117" s="2" t="s">
        <v>12</v>
      </c>
      <c r="C117" s="7">
        <f aca="true" t="shared" si="59" ref="C117:L117">C103</f>
        <v>0.09991333016039017</v>
      </c>
      <c r="D117" s="7">
        <f t="shared" si="59"/>
        <v>0.09991333016039017</v>
      </c>
      <c r="E117" s="7">
        <f t="shared" si="59"/>
        <v>0.09991333016039017</v>
      </c>
      <c r="F117" s="7">
        <f t="shared" si="59"/>
        <v>0.09991333016039017</v>
      </c>
      <c r="G117" s="7">
        <f t="shared" si="59"/>
        <v>0.09991333016039017</v>
      </c>
      <c r="H117" s="7">
        <f t="shared" si="59"/>
        <v>0.09991333016039017</v>
      </c>
      <c r="I117" s="7">
        <f t="shared" si="59"/>
        <v>0.09991333016039017</v>
      </c>
      <c r="J117" s="7">
        <f t="shared" si="59"/>
        <v>0.09991333016039017</v>
      </c>
      <c r="K117" s="7">
        <f t="shared" si="59"/>
        <v>0.09991333016039017</v>
      </c>
      <c r="L117" s="7">
        <f t="shared" si="59"/>
        <v>0.09991333016039017</v>
      </c>
    </row>
    <row r="118" spans="2:12" ht="18.75" customHeight="1">
      <c r="B118" s="34"/>
      <c r="C118" s="174">
        <f aca="true" t="shared" si="60" ref="C118:L118">C116*C117</f>
        <v>0</v>
      </c>
      <c r="D118" s="174">
        <f t="shared" si="60"/>
        <v>2107604.952105694</v>
      </c>
      <c r="E118" s="174">
        <f t="shared" si="60"/>
        <v>3718229.4609873104</v>
      </c>
      <c r="F118" s="174">
        <f t="shared" si="60"/>
        <v>3576635.767127515</v>
      </c>
      <c r="G118" s="174">
        <f t="shared" si="60"/>
        <v>3440634.570911141</v>
      </c>
      <c r="H118" s="174">
        <f t="shared" si="60"/>
        <v>3309792.50536213</v>
      </c>
      <c r="I118" s="174">
        <f t="shared" si="60"/>
        <v>3183738.113072432</v>
      </c>
      <c r="J118" s="174">
        <f t="shared" si="60"/>
        <v>3062099.9366339976</v>
      </c>
      <c r="K118" s="174">
        <f t="shared" si="60"/>
        <v>2944558.1099454486</v>
      </c>
      <c r="L118" s="174">
        <f t="shared" si="60"/>
        <v>2830792.7669054107</v>
      </c>
    </row>
    <row r="119" spans="1:12" ht="18.75" customHeight="1">
      <c r="A119" s="3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ht="18.75" customHeight="1">
      <c r="B120" s="1" t="s">
        <v>52</v>
      </c>
      <c r="C120" s="170">
        <v>0</v>
      </c>
      <c r="D120" s="170">
        <f>C120</f>
        <v>0</v>
      </c>
      <c r="E120" s="170">
        <f aca="true" t="shared" si="61" ref="E120:L120">D120</f>
        <v>0</v>
      </c>
      <c r="F120" s="170">
        <f t="shared" si="61"/>
        <v>0</v>
      </c>
      <c r="G120" s="170">
        <f t="shared" si="61"/>
        <v>0</v>
      </c>
      <c r="H120" s="170">
        <f t="shared" si="61"/>
        <v>0</v>
      </c>
      <c r="I120" s="170">
        <f t="shared" si="61"/>
        <v>0</v>
      </c>
      <c r="J120" s="170">
        <f t="shared" si="61"/>
        <v>0</v>
      </c>
      <c r="K120" s="170">
        <f t="shared" si="61"/>
        <v>0</v>
      </c>
      <c r="L120" s="170">
        <f t="shared" si="61"/>
        <v>0</v>
      </c>
    </row>
    <row r="121" spans="2:12" ht="18.75" customHeight="1">
      <c r="B121" s="2" t="s">
        <v>48</v>
      </c>
      <c r="C121" s="170">
        <f aca="true" t="shared" si="62" ref="C121:L121">C104</f>
        <v>0</v>
      </c>
      <c r="D121" s="170">
        <f t="shared" si="62"/>
        <v>0</v>
      </c>
      <c r="E121" s="170">
        <f t="shared" si="62"/>
        <v>45627.4772433382</v>
      </c>
      <c r="F121" s="170">
        <f t="shared" si="62"/>
        <v>1095059.4538401167</v>
      </c>
      <c r="G121" s="170">
        <f t="shared" si="62"/>
        <v>1095059.4538401167</v>
      </c>
      <c r="H121" s="170">
        <f t="shared" si="62"/>
        <v>1095059.4538401167</v>
      </c>
      <c r="I121" s="170">
        <f t="shared" si="62"/>
        <v>1095059.4538401167</v>
      </c>
      <c r="J121" s="170">
        <f t="shared" si="62"/>
        <v>1095059.4538401167</v>
      </c>
      <c r="K121" s="170">
        <f t="shared" si="62"/>
        <v>1095059.4538401167</v>
      </c>
      <c r="L121" s="170">
        <f t="shared" si="62"/>
        <v>1095059.4538401167</v>
      </c>
    </row>
    <row r="122" spans="2:12" ht="18.75" customHeight="1">
      <c r="B122" s="2" t="s">
        <v>49</v>
      </c>
      <c r="C122" s="170">
        <v>0</v>
      </c>
      <c r="D122" s="170">
        <f aca="true" t="shared" si="63" ref="D122:L122">C122</f>
        <v>0</v>
      </c>
      <c r="E122" s="170">
        <f t="shared" si="63"/>
        <v>0</v>
      </c>
      <c r="F122" s="170">
        <f t="shared" si="63"/>
        <v>0</v>
      </c>
      <c r="G122" s="170">
        <f t="shared" si="63"/>
        <v>0</v>
      </c>
      <c r="H122" s="170">
        <f t="shared" si="63"/>
        <v>0</v>
      </c>
      <c r="I122" s="170">
        <f t="shared" si="63"/>
        <v>0</v>
      </c>
      <c r="J122" s="170">
        <f t="shared" si="63"/>
        <v>0</v>
      </c>
      <c r="K122" s="170">
        <f t="shared" si="63"/>
        <v>0</v>
      </c>
      <c r="L122" s="170">
        <f t="shared" si="63"/>
        <v>0</v>
      </c>
    </row>
    <row r="123" spans="2:12" ht="18.75" customHeight="1">
      <c r="B123" s="2" t="s">
        <v>50</v>
      </c>
      <c r="C123" s="170">
        <v>0</v>
      </c>
      <c r="D123" s="170">
        <f aca="true" t="shared" si="64" ref="D123:L123">D106*(C110+C112)</f>
        <v>0</v>
      </c>
      <c r="E123" s="170">
        <f t="shared" si="64"/>
        <v>31641.49791708029</v>
      </c>
      <c r="F123" s="170">
        <f t="shared" si="64"/>
        <v>66703.47670121527</v>
      </c>
      <c r="G123" s="170">
        <f t="shared" si="64"/>
        <v>65060.88752045511</v>
      </c>
      <c r="H123" s="170">
        <f t="shared" si="64"/>
        <v>63418.298339694935</v>
      </c>
      <c r="I123" s="170">
        <f t="shared" si="64"/>
        <v>61775.709158934755</v>
      </c>
      <c r="J123" s="170">
        <f t="shared" si="64"/>
        <v>60133.11997817458</v>
      </c>
      <c r="K123" s="170">
        <f t="shared" si="64"/>
        <v>58490.53079741441</v>
      </c>
      <c r="L123" s="170">
        <f t="shared" si="64"/>
        <v>56847.94161665423</v>
      </c>
    </row>
    <row r="124" spans="2:12" ht="18.75" customHeight="1">
      <c r="B124" s="21" t="s">
        <v>51</v>
      </c>
      <c r="C124" s="174">
        <f aca="true" t="shared" si="65" ref="C124:L124">SUM(C120:C123)</f>
        <v>0</v>
      </c>
      <c r="D124" s="174">
        <f t="shared" si="65"/>
        <v>0</v>
      </c>
      <c r="E124" s="174">
        <f t="shared" si="65"/>
        <v>77268.97516041849</v>
      </c>
      <c r="F124" s="174">
        <f t="shared" si="65"/>
        <v>1161762.930541332</v>
      </c>
      <c r="G124" s="174">
        <f t="shared" si="65"/>
        <v>1160120.3413605718</v>
      </c>
      <c r="H124" s="174">
        <f t="shared" si="65"/>
        <v>1158477.7521798117</v>
      </c>
      <c r="I124" s="174">
        <f t="shared" si="65"/>
        <v>1156835.1629990514</v>
      </c>
      <c r="J124" s="174">
        <f t="shared" si="65"/>
        <v>1155192.5738182913</v>
      </c>
      <c r="K124" s="174">
        <f t="shared" si="65"/>
        <v>1153549.9846375312</v>
      </c>
      <c r="L124" s="174">
        <f t="shared" si="65"/>
        <v>1151907.395456771</v>
      </c>
    </row>
    <row r="125" spans="3:12" ht="18.75" customHeight="1">
      <c r="C125" s="34"/>
      <c r="D125" s="268"/>
      <c r="E125" s="268"/>
      <c r="F125" s="268"/>
      <c r="G125" s="268"/>
      <c r="H125" s="268"/>
      <c r="I125" s="268"/>
      <c r="J125" s="268"/>
      <c r="K125" s="268"/>
      <c r="L125" s="268"/>
    </row>
    <row r="126" spans="2:12" ht="18.75" customHeight="1">
      <c r="B126" s="1" t="s">
        <v>59</v>
      </c>
      <c r="C126" s="170">
        <f aca="true" t="shared" si="66" ref="C126:L126">C118+C124</f>
        <v>0</v>
      </c>
      <c r="D126" s="170">
        <f t="shared" si="66"/>
        <v>2107604.952105694</v>
      </c>
      <c r="E126" s="170">
        <f t="shared" si="66"/>
        <v>3795498.436147729</v>
      </c>
      <c r="F126" s="170">
        <f t="shared" si="66"/>
        <v>4738398.697668847</v>
      </c>
      <c r="G126" s="170">
        <f t="shared" si="66"/>
        <v>4600754.912271713</v>
      </c>
      <c r="H126" s="170">
        <f t="shared" si="66"/>
        <v>4468270.2575419415</v>
      </c>
      <c r="I126" s="170">
        <f t="shared" si="66"/>
        <v>4340573.276071483</v>
      </c>
      <c r="J126" s="170">
        <f t="shared" si="66"/>
        <v>4217292.510452289</v>
      </c>
      <c r="K126" s="170">
        <f t="shared" si="66"/>
        <v>4098108.0945829796</v>
      </c>
      <c r="L126" s="170">
        <f t="shared" si="66"/>
        <v>3982700.1623621816</v>
      </c>
    </row>
  </sheetData>
  <sheetProtection/>
  <dataValidations count="1">
    <dataValidation type="list" allowBlank="1" showInputMessage="1" showErrorMessage="1" sqref="A15 A58 A99">
      <formula1>"Bonus, No Bonus"</formula1>
    </dataValidation>
  </dataValidations>
  <printOptions horizontalCentered="1"/>
  <pageMargins left="0.75" right="0.75" top="1" bottom="0.5" header="0.5" footer="0.5"/>
  <pageSetup horizontalDpi="600" verticalDpi="600" orientation="landscape" scale="67" r:id="rId1"/>
  <rowBreaks count="2" manualBreakCount="2">
    <brk id="44" min="2" max="11" man="1"/>
    <brk id="86" min="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71"/>
  <sheetViews>
    <sheetView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4.83203125" style="0" customWidth="1"/>
    <col min="3" max="4" width="23.83203125" style="0" customWidth="1"/>
    <col min="5" max="7" width="23.83203125" style="48" customWidth="1"/>
    <col min="8" max="8" width="23.83203125" style="0" customWidth="1"/>
    <col min="9" max="10" width="16.5" style="0" customWidth="1"/>
    <col min="11" max="11" width="31.66015625" style="0" bestFit="1" customWidth="1"/>
    <col min="12" max="28" width="16.5" style="0" customWidth="1"/>
  </cols>
  <sheetData>
    <row r="1" spans="2:9" ht="20.25">
      <c r="B1" s="155" t="s">
        <v>18</v>
      </c>
      <c r="C1" s="47"/>
      <c r="D1" s="47"/>
      <c r="E1" s="156"/>
      <c r="F1" s="156"/>
      <c r="G1" s="156"/>
      <c r="H1" s="47"/>
      <c r="I1" s="47"/>
    </row>
    <row r="2" spans="2:9" ht="20.25">
      <c r="B2" s="155" t="s">
        <v>332</v>
      </c>
      <c r="C2" s="47"/>
      <c r="D2" s="47"/>
      <c r="E2" s="156"/>
      <c r="F2" s="156"/>
      <c r="G2" s="156"/>
      <c r="H2" s="47"/>
      <c r="I2" s="47"/>
    </row>
    <row r="3" spans="2:9" ht="20.25">
      <c r="B3" s="155" t="s">
        <v>305</v>
      </c>
      <c r="C3" s="47"/>
      <c r="D3" s="47"/>
      <c r="E3" s="156"/>
      <c r="F3" s="156"/>
      <c r="G3" s="156"/>
      <c r="H3" s="47"/>
      <c r="I3" s="47"/>
    </row>
    <row r="4" ht="11.25">
      <c r="A4" s="2"/>
    </row>
    <row r="6" spans="2:8" s="14" customFormat="1" ht="120" customHeight="1">
      <c r="B6" s="152" t="s">
        <v>19</v>
      </c>
      <c r="C6" s="152" t="s">
        <v>384</v>
      </c>
      <c r="D6" s="153" t="s">
        <v>419</v>
      </c>
      <c r="E6" s="153" t="s">
        <v>420</v>
      </c>
      <c r="F6" s="153"/>
      <c r="G6" s="153"/>
      <c r="H6" s="152" t="s">
        <v>20</v>
      </c>
    </row>
    <row r="7" spans="2:33" ht="14.25" customHeight="1">
      <c r="B7" s="29">
        <v>2015</v>
      </c>
      <c r="C7" s="183"/>
      <c r="D7" s="183"/>
      <c r="E7" s="187"/>
      <c r="F7" s="157"/>
      <c r="G7" s="157"/>
      <c r="H7" s="159">
        <f aca="true" t="shared" si="0" ref="H7:H17">SUM(C7:G7)</f>
        <v>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2:33" ht="14.25" customHeight="1">
      <c r="B8" s="151">
        <f aca="true" t="shared" si="1" ref="B8:B17">B7+1</f>
        <v>2016</v>
      </c>
      <c r="C8" s="184">
        <f>I28+I29</f>
        <v>4928995.3</v>
      </c>
      <c r="D8" s="184">
        <f aca="true" t="shared" si="2" ref="D8:D17">I45</f>
        <v>28601966.6</v>
      </c>
      <c r="E8" s="188">
        <f aca="true" t="shared" si="3" ref="E8:E17">I61</f>
        <v>0</v>
      </c>
      <c r="F8" s="157"/>
      <c r="G8" s="157"/>
      <c r="H8" s="159">
        <f>SUM(C8:G8)</f>
        <v>33530961.900000002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2:10" ht="14.25" customHeight="1">
      <c r="B9" s="151">
        <f t="shared" si="1"/>
        <v>2017</v>
      </c>
      <c r="C9" s="184">
        <f aca="true" t="shared" si="4" ref="C9:C17">I30</f>
        <v>0</v>
      </c>
      <c r="D9" s="184">
        <f t="shared" si="2"/>
        <v>50055000</v>
      </c>
      <c r="E9" s="188">
        <f t="shared" si="3"/>
        <v>22829898</v>
      </c>
      <c r="F9" s="157"/>
      <c r="G9" s="157"/>
      <c r="H9" s="159">
        <f t="shared" si="0"/>
        <v>72884898</v>
      </c>
      <c r="J9" s="106"/>
    </row>
    <row r="10" spans="2:10" ht="14.25" customHeight="1">
      <c r="B10" s="151">
        <f t="shared" si="1"/>
        <v>2018</v>
      </c>
      <c r="C10" s="184">
        <f t="shared" si="4"/>
        <v>0</v>
      </c>
      <c r="D10" s="184">
        <f t="shared" si="2"/>
        <v>73358000</v>
      </c>
      <c r="E10" s="188">
        <f t="shared" si="3"/>
        <v>28472340</v>
      </c>
      <c r="F10" s="157"/>
      <c r="G10" s="157"/>
      <c r="H10" s="159">
        <f t="shared" si="0"/>
        <v>101830340</v>
      </c>
      <c r="J10" s="106"/>
    </row>
    <row r="11" spans="2:10" ht="14.25" customHeight="1">
      <c r="B11" s="151">
        <f t="shared" si="1"/>
        <v>2019</v>
      </c>
      <c r="C11" s="184">
        <f t="shared" si="4"/>
        <v>0</v>
      </c>
      <c r="D11" s="184">
        <f t="shared" si="2"/>
        <v>14319000</v>
      </c>
      <c r="E11" s="188">
        <f t="shared" si="3"/>
        <v>12527190</v>
      </c>
      <c r="F11" s="157"/>
      <c r="G11" s="157"/>
      <c r="H11" s="159">
        <f t="shared" si="0"/>
        <v>26846190</v>
      </c>
      <c r="J11" s="106"/>
    </row>
    <row r="12" spans="2:10" ht="14.25" customHeight="1">
      <c r="B12" s="151">
        <f t="shared" si="1"/>
        <v>2020</v>
      </c>
      <c r="C12" s="184">
        <f t="shared" si="4"/>
        <v>0</v>
      </c>
      <c r="D12" s="184">
        <f t="shared" si="2"/>
        <v>27374000</v>
      </c>
      <c r="E12" s="188">
        <f t="shared" si="3"/>
        <v>14231100.000000002</v>
      </c>
      <c r="F12" s="157"/>
      <c r="G12" s="157"/>
      <c r="H12" s="159">
        <f t="shared" si="0"/>
        <v>41605100</v>
      </c>
      <c r="J12" s="106"/>
    </row>
    <row r="13" spans="2:10" ht="14.25" customHeight="1">
      <c r="B13" s="151">
        <f t="shared" si="1"/>
        <v>2021</v>
      </c>
      <c r="C13" s="184">
        <f t="shared" si="4"/>
        <v>0</v>
      </c>
      <c r="D13" s="184">
        <f t="shared" si="2"/>
        <v>0</v>
      </c>
      <c r="E13" s="188">
        <f t="shared" si="3"/>
        <v>7979400.000000001</v>
      </c>
      <c r="F13" s="157"/>
      <c r="G13" s="157"/>
      <c r="H13" s="159">
        <f t="shared" si="0"/>
        <v>7979400.000000001</v>
      </c>
      <c r="J13" s="106"/>
    </row>
    <row r="14" spans="2:10" ht="14.25" customHeight="1">
      <c r="B14" s="151">
        <f t="shared" si="1"/>
        <v>2022</v>
      </c>
      <c r="C14" s="184">
        <f t="shared" si="4"/>
        <v>0</v>
      </c>
      <c r="D14" s="184">
        <f t="shared" si="2"/>
        <v>0</v>
      </c>
      <c r="E14" s="188">
        <f t="shared" si="3"/>
        <v>12899250</v>
      </c>
      <c r="F14" s="157"/>
      <c r="G14" s="157"/>
      <c r="H14" s="159">
        <f t="shared" si="0"/>
        <v>12899250</v>
      </c>
      <c r="J14" s="106"/>
    </row>
    <row r="15" spans="2:10" ht="14.25" customHeight="1">
      <c r="B15" s="151">
        <f t="shared" si="1"/>
        <v>2023</v>
      </c>
      <c r="C15" s="184">
        <f t="shared" si="4"/>
        <v>0</v>
      </c>
      <c r="D15" s="184">
        <f t="shared" si="2"/>
        <v>0</v>
      </c>
      <c r="E15" s="188">
        <f t="shared" si="3"/>
        <v>11496030</v>
      </c>
      <c r="F15" s="157"/>
      <c r="G15" s="157"/>
      <c r="H15" s="159">
        <f t="shared" si="0"/>
        <v>11496030</v>
      </c>
      <c r="J15" s="106"/>
    </row>
    <row r="16" spans="2:10" ht="14.25" customHeight="1">
      <c r="B16" s="151">
        <f t="shared" si="1"/>
        <v>2024</v>
      </c>
      <c r="C16" s="184">
        <f t="shared" si="4"/>
        <v>0</v>
      </c>
      <c r="D16" s="184">
        <f t="shared" si="2"/>
        <v>0</v>
      </c>
      <c r="E16" s="188">
        <f t="shared" si="3"/>
        <v>0</v>
      </c>
      <c r="F16" s="157"/>
      <c r="G16" s="157"/>
      <c r="H16" s="159">
        <f t="shared" si="0"/>
        <v>0</v>
      </c>
      <c r="J16" s="106"/>
    </row>
    <row r="17" spans="2:10" ht="14.25" customHeight="1">
      <c r="B17" s="154">
        <f t="shared" si="1"/>
        <v>2025</v>
      </c>
      <c r="C17" s="185">
        <f t="shared" si="4"/>
        <v>0</v>
      </c>
      <c r="D17" s="185">
        <f t="shared" si="2"/>
        <v>0</v>
      </c>
      <c r="E17" s="189">
        <f t="shared" si="3"/>
        <v>0</v>
      </c>
      <c r="F17" s="158"/>
      <c r="G17" s="158"/>
      <c r="H17" s="161">
        <f t="shared" si="0"/>
        <v>0</v>
      </c>
      <c r="J17" s="106"/>
    </row>
    <row r="18" spans="3:8" ht="14.25" customHeight="1">
      <c r="C18" s="159">
        <f aca="true" t="shared" si="5" ref="C18:H18">SUM(C7:C17)</f>
        <v>4928995.3</v>
      </c>
      <c r="D18" s="160">
        <f t="shared" si="5"/>
        <v>193707966.6</v>
      </c>
      <c r="E18" s="160">
        <f t="shared" si="5"/>
        <v>110435208</v>
      </c>
      <c r="F18" s="160"/>
      <c r="G18" s="160"/>
      <c r="H18" s="159">
        <f t="shared" si="5"/>
        <v>309072169.9</v>
      </c>
    </row>
    <row r="19" spans="3:26" ht="11.25">
      <c r="C19" s="17"/>
      <c r="D19" s="48"/>
      <c r="G19" s="95"/>
      <c r="H19" s="9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3:26" ht="11.25">
      <c r="C20" s="17"/>
      <c r="D20" s="101"/>
      <c r="G20" s="95"/>
      <c r="H20" s="9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4:26" ht="11.25">
      <c r="D21" s="97" t="s">
        <v>254</v>
      </c>
      <c r="E21" s="112">
        <f>Input!N36</f>
        <v>0.75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4:26" ht="11.25">
      <c r="D22" s="97" t="s">
        <v>53</v>
      </c>
      <c r="E22" s="112">
        <f>Input!N37</f>
        <v>0.52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4:26" ht="11.25">
      <c r="D23" s="97" t="s">
        <v>54</v>
      </c>
      <c r="E23" s="112">
        <f>Input!N38</f>
        <v>0.48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4:26" ht="11.25">
      <c r="D24" s="97"/>
      <c r="E24" s="112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4:26" ht="11.25">
      <c r="D25" s="97"/>
      <c r="E25" s="11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3:26" ht="11.25">
      <c r="C26" s="39" t="s">
        <v>347</v>
      </c>
      <c r="D26" s="39" t="s">
        <v>348</v>
      </c>
      <c r="E26" s="39" t="s">
        <v>349</v>
      </c>
      <c r="F26" s="50" t="s">
        <v>350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1.25">
      <c r="B27" s="205" t="s">
        <v>103</v>
      </c>
      <c r="C27" s="193" t="s">
        <v>346</v>
      </c>
      <c r="D27" s="193" t="s">
        <v>346</v>
      </c>
      <c r="E27" s="193" t="s">
        <v>346</v>
      </c>
      <c r="F27" s="193" t="s">
        <v>346</v>
      </c>
      <c r="G27" s="194"/>
      <c r="H27" s="193"/>
      <c r="I27" s="195" t="s">
        <v>20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1.25">
      <c r="B28" s="204">
        <f>B7</f>
        <v>2015</v>
      </c>
      <c r="C28" s="186"/>
      <c r="D28" s="186"/>
      <c r="E28" s="186"/>
      <c r="F28" s="186"/>
      <c r="G28" s="186"/>
      <c r="H28" s="186"/>
      <c r="I28" s="262">
        <f>SUM(C28:H28)</f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1.25">
      <c r="B29" s="197">
        <f aca="true" t="shared" si="6" ref="B29:B38">B8</f>
        <v>2016</v>
      </c>
      <c r="C29" s="259">
        <f>47537.96+2572248.22</f>
        <v>2619786.18</v>
      </c>
      <c r="D29" s="259">
        <f>11884.49+865602.33</f>
        <v>877486.82</v>
      </c>
      <c r="E29" s="259">
        <f>11884.5+865602.33</f>
        <v>877486.83</v>
      </c>
      <c r="F29" s="259">
        <f>22920.09+531315.38</f>
        <v>554235.47</v>
      </c>
      <c r="G29" s="186"/>
      <c r="H29" s="186"/>
      <c r="I29" s="262">
        <f aca="true" t="shared" si="7" ref="I29:I39">SUM(C29:H29)</f>
        <v>4928995.3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1.25">
      <c r="B30" s="197">
        <f t="shared" si="6"/>
        <v>2017</v>
      </c>
      <c r="C30" s="259">
        <v>0</v>
      </c>
      <c r="D30" s="259">
        <v>0</v>
      </c>
      <c r="E30" s="259">
        <v>0</v>
      </c>
      <c r="F30" s="259">
        <v>0</v>
      </c>
      <c r="G30" s="186"/>
      <c r="H30" s="186"/>
      <c r="I30" s="262">
        <f t="shared" si="7"/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1.25">
      <c r="B31" s="197">
        <f t="shared" si="6"/>
        <v>2018</v>
      </c>
      <c r="C31" s="259">
        <v>0</v>
      </c>
      <c r="D31" s="259">
        <v>0</v>
      </c>
      <c r="E31" s="259">
        <v>0</v>
      </c>
      <c r="F31" s="259">
        <v>0</v>
      </c>
      <c r="G31" s="186"/>
      <c r="H31" s="186"/>
      <c r="I31" s="262">
        <f t="shared" si="7"/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1.25">
      <c r="B32" s="197">
        <f t="shared" si="6"/>
        <v>2019</v>
      </c>
      <c r="C32" s="259">
        <v>0</v>
      </c>
      <c r="D32" s="259">
        <v>0</v>
      </c>
      <c r="E32" s="259">
        <v>0</v>
      </c>
      <c r="F32" s="259">
        <v>0</v>
      </c>
      <c r="G32" s="186"/>
      <c r="H32" s="186"/>
      <c r="I32" s="262">
        <f t="shared" si="7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1.25">
      <c r="B33" s="197">
        <f t="shared" si="6"/>
        <v>2020</v>
      </c>
      <c r="C33" s="259">
        <v>0</v>
      </c>
      <c r="D33" s="259">
        <v>0</v>
      </c>
      <c r="E33" s="259">
        <v>0</v>
      </c>
      <c r="F33" s="259">
        <v>0</v>
      </c>
      <c r="G33" s="186"/>
      <c r="H33" s="186"/>
      <c r="I33" s="262">
        <f t="shared" si="7"/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1.25">
      <c r="B34" s="197">
        <f t="shared" si="6"/>
        <v>2021</v>
      </c>
      <c r="C34" s="259">
        <v>0</v>
      </c>
      <c r="D34" s="259">
        <v>0</v>
      </c>
      <c r="E34" s="259">
        <v>0</v>
      </c>
      <c r="F34" s="259">
        <v>0</v>
      </c>
      <c r="G34" s="186"/>
      <c r="H34" s="186"/>
      <c r="I34" s="262">
        <f t="shared" si="7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1.25">
      <c r="B35" s="197">
        <f t="shared" si="6"/>
        <v>2022</v>
      </c>
      <c r="C35" s="259">
        <v>0</v>
      </c>
      <c r="D35" s="259">
        <v>0</v>
      </c>
      <c r="E35" s="259">
        <v>0</v>
      </c>
      <c r="F35" s="259">
        <v>0</v>
      </c>
      <c r="G35" s="186"/>
      <c r="H35" s="186"/>
      <c r="I35" s="262">
        <f t="shared" si="7"/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1.25">
      <c r="B36" s="197">
        <f t="shared" si="6"/>
        <v>2023</v>
      </c>
      <c r="C36" s="260">
        <v>0</v>
      </c>
      <c r="D36" s="260">
        <v>0</v>
      </c>
      <c r="E36" s="260">
        <v>0</v>
      </c>
      <c r="F36" s="260">
        <v>0</v>
      </c>
      <c r="G36" s="198"/>
      <c r="H36" s="198"/>
      <c r="I36" s="263">
        <f t="shared" si="7"/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11.25">
      <c r="B37" s="197">
        <f t="shared" si="6"/>
        <v>2024</v>
      </c>
      <c r="C37" s="260">
        <v>0</v>
      </c>
      <c r="D37" s="260">
        <v>0</v>
      </c>
      <c r="E37" s="260">
        <v>0</v>
      </c>
      <c r="F37" s="260">
        <v>0</v>
      </c>
      <c r="G37" s="198"/>
      <c r="H37" s="198"/>
      <c r="I37" s="263">
        <f t="shared" si="7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1.25">
      <c r="B38" s="154">
        <f t="shared" si="6"/>
        <v>2025</v>
      </c>
      <c r="C38" s="261">
        <v>0</v>
      </c>
      <c r="D38" s="261">
        <v>0</v>
      </c>
      <c r="E38" s="261">
        <v>0</v>
      </c>
      <c r="F38" s="261">
        <v>0</v>
      </c>
      <c r="G38" s="192"/>
      <c r="H38" s="192"/>
      <c r="I38" s="264">
        <f t="shared" si="7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1.25">
      <c r="B39" s="182" t="s">
        <v>20</v>
      </c>
      <c r="C39" s="262">
        <f aca="true" t="shared" si="8" ref="C39:H39">SUM(C28:C38)</f>
        <v>2619786.18</v>
      </c>
      <c r="D39" s="262">
        <f t="shared" si="8"/>
        <v>877486.82</v>
      </c>
      <c r="E39" s="262">
        <f t="shared" si="8"/>
        <v>877486.83</v>
      </c>
      <c r="F39" s="262">
        <f t="shared" si="8"/>
        <v>554235.47</v>
      </c>
      <c r="G39" s="262">
        <f t="shared" si="8"/>
        <v>0</v>
      </c>
      <c r="H39" s="262">
        <f t="shared" si="8"/>
        <v>0</v>
      </c>
      <c r="I39" s="262">
        <f t="shared" si="7"/>
        <v>4928995.3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4:26" ht="11.25">
      <c r="D40" s="97"/>
      <c r="E40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4:26" ht="11.25">
      <c r="D41" s="97"/>
      <c r="E41" s="112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3:26" ht="11.25">
      <c r="C42" s="21" t="s">
        <v>414</v>
      </c>
      <c r="D42" s="97"/>
      <c r="E42" s="112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1.25">
      <c r="B43" s="205" t="s">
        <v>103</v>
      </c>
      <c r="C43" s="193" t="s">
        <v>324</v>
      </c>
      <c r="D43" s="193" t="s">
        <v>325</v>
      </c>
      <c r="E43" s="194" t="s">
        <v>326</v>
      </c>
      <c r="F43" s="194" t="s">
        <v>327</v>
      </c>
      <c r="G43" s="194" t="s">
        <v>328</v>
      </c>
      <c r="H43" s="193" t="s">
        <v>345</v>
      </c>
      <c r="I43" s="195" t="s">
        <v>20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ht="11.25">
      <c r="B44" s="151">
        <f>B7</f>
        <v>2015</v>
      </c>
      <c r="C44" s="96"/>
      <c r="D44" s="96"/>
      <c r="E44" s="96"/>
      <c r="F44" s="96"/>
      <c r="G44" s="96"/>
      <c r="H44" s="96"/>
      <c r="I44" s="262">
        <f>SUM(C44:H44)</f>
        <v>0</v>
      </c>
      <c r="J44" s="17"/>
      <c r="K44" s="2" t="s">
        <v>353</v>
      </c>
      <c r="L44" s="210">
        <v>1616000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ht="11.25">
      <c r="B45" s="151">
        <f aca="true" t="shared" si="9" ref="B45:B54">B8</f>
        <v>2016</v>
      </c>
      <c r="C45" s="265">
        <f>L50/SUM($L$50:$L$55)*(SUM($L$50:$L$55)-$L$46)</f>
        <v>6703038.73262517</v>
      </c>
      <c r="D45" s="265">
        <f>L51/SUM($L$50:$L$55)*(SUM($L$50:$L$55)-$L$46)</f>
        <v>601020.8408948013</v>
      </c>
      <c r="E45" s="265">
        <f>L52/SUM($L$50:$L$55)*(SUM($L$50:$L$55)-$L$46)</f>
        <v>499746.46298024425</v>
      </c>
      <c r="F45" s="265">
        <f>L53/SUM($L$50:$L$55)*(SUM($L$50:$L$55)-$L$46)</f>
        <v>662542.6592541117</v>
      </c>
      <c r="G45" s="265">
        <f>L54/SUM($L$50:$L$55)*(SUM($L$50:$L$55)-$L$46)</f>
        <v>499746.46298024425</v>
      </c>
      <c r="H45" s="265">
        <f>L55/SUM($L$50:$L$55)*(SUM($L$50:$L$55)-$L$46)</f>
        <v>19635871.44126543</v>
      </c>
      <c r="I45" s="262">
        <f aca="true" t="shared" si="10" ref="I45:I55">SUM(C45:H45)</f>
        <v>28601966.6</v>
      </c>
      <c r="J45" s="17"/>
      <c r="K45" s="2" t="s">
        <v>355</v>
      </c>
      <c r="L45" s="210">
        <v>3233033.4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2:26" ht="11.25">
      <c r="B46" s="151">
        <f t="shared" si="9"/>
        <v>2017</v>
      </c>
      <c r="C46" s="259">
        <v>458000</v>
      </c>
      <c r="D46" s="259">
        <v>4734000</v>
      </c>
      <c r="E46" s="259">
        <v>263000</v>
      </c>
      <c r="F46" s="259">
        <v>5733000</v>
      </c>
      <c r="G46" s="259">
        <v>263000</v>
      </c>
      <c r="H46" s="259">
        <v>38604000</v>
      </c>
      <c r="I46" s="262">
        <f t="shared" si="10"/>
        <v>50055000</v>
      </c>
      <c r="J46" s="17"/>
      <c r="K46" s="2" t="s">
        <v>354</v>
      </c>
      <c r="L46" s="94">
        <f>L45-L44</f>
        <v>1617033.4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1.25">
      <c r="B47" s="151">
        <f t="shared" si="9"/>
        <v>2018</v>
      </c>
      <c r="C47" s="259">
        <v>127000</v>
      </c>
      <c r="D47" s="259">
        <v>0</v>
      </c>
      <c r="E47" s="259">
        <v>6492000</v>
      </c>
      <c r="F47" s="259">
        <v>0</v>
      </c>
      <c r="G47" s="259">
        <v>4728000</v>
      </c>
      <c r="H47" s="259">
        <v>62011000</v>
      </c>
      <c r="I47" s="262">
        <f t="shared" si="10"/>
        <v>73358000</v>
      </c>
      <c r="J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1.25">
      <c r="B48" s="151">
        <f t="shared" si="9"/>
        <v>2019</v>
      </c>
      <c r="C48" s="259">
        <v>14319000</v>
      </c>
      <c r="D48" s="259">
        <v>0</v>
      </c>
      <c r="E48" s="259">
        <v>0</v>
      </c>
      <c r="F48" s="259">
        <v>0</v>
      </c>
      <c r="G48" s="259">
        <v>0</v>
      </c>
      <c r="H48" s="259">
        <v>0</v>
      </c>
      <c r="I48" s="262">
        <f t="shared" si="10"/>
        <v>14319000</v>
      </c>
      <c r="J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2:26" ht="11.25">
      <c r="B49" s="151">
        <f t="shared" si="9"/>
        <v>2020</v>
      </c>
      <c r="C49" s="259">
        <v>27374000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62">
        <f t="shared" si="10"/>
        <v>27374000</v>
      </c>
      <c r="J49" s="17"/>
      <c r="L49" s="2" t="s">
        <v>357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2:26" s="2" customFormat="1" ht="11.25">
      <c r="B50" s="151">
        <f t="shared" si="9"/>
        <v>2021</v>
      </c>
      <c r="C50" s="259">
        <v>0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62">
        <f t="shared" si="10"/>
        <v>0</v>
      </c>
      <c r="J50" s="96"/>
      <c r="K50" t="s">
        <v>324</v>
      </c>
      <c r="L50" s="210">
        <v>7082000</v>
      </c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2:12" s="2" customFormat="1" ht="11.25">
      <c r="B51" s="151">
        <f t="shared" si="9"/>
        <v>2022</v>
      </c>
      <c r="C51" s="259">
        <v>0</v>
      </c>
      <c r="D51" s="259">
        <v>0</v>
      </c>
      <c r="E51" s="259">
        <v>0</v>
      </c>
      <c r="F51" s="259">
        <v>0</v>
      </c>
      <c r="G51" s="259">
        <v>0</v>
      </c>
      <c r="H51" s="259">
        <v>0</v>
      </c>
      <c r="I51" s="262">
        <f t="shared" si="10"/>
        <v>0</v>
      </c>
      <c r="K51" t="s">
        <v>325</v>
      </c>
      <c r="L51" s="210">
        <v>635000</v>
      </c>
    </row>
    <row r="52" spans="2:12" ht="11.25">
      <c r="B52" s="197">
        <f t="shared" si="9"/>
        <v>2023</v>
      </c>
      <c r="C52" s="260">
        <v>0</v>
      </c>
      <c r="D52" s="260">
        <v>0</v>
      </c>
      <c r="E52" s="260">
        <v>0</v>
      </c>
      <c r="F52" s="260">
        <v>0</v>
      </c>
      <c r="G52" s="260">
        <v>0</v>
      </c>
      <c r="H52" s="260">
        <v>0</v>
      </c>
      <c r="I52" s="263">
        <f t="shared" si="10"/>
        <v>0</v>
      </c>
      <c r="K52" t="s">
        <v>326</v>
      </c>
      <c r="L52" s="210">
        <v>528000</v>
      </c>
    </row>
    <row r="53" spans="2:12" ht="11.25">
      <c r="B53" s="197">
        <f t="shared" si="9"/>
        <v>2024</v>
      </c>
      <c r="C53" s="260">
        <v>0</v>
      </c>
      <c r="D53" s="260">
        <v>0</v>
      </c>
      <c r="E53" s="260">
        <v>0</v>
      </c>
      <c r="F53" s="260">
        <v>0</v>
      </c>
      <c r="G53" s="260">
        <v>0</v>
      </c>
      <c r="H53" s="260">
        <v>0</v>
      </c>
      <c r="I53" s="263">
        <f t="shared" si="10"/>
        <v>0</v>
      </c>
      <c r="K53" t="s">
        <v>327</v>
      </c>
      <c r="L53" s="210">
        <v>700000</v>
      </c>
    </row>
    <row r="54" spans="2:12" ht="11.25">
      <c r="B54" s="154">
        <f t="shared" si="9"/>
        <v>2025</v>
      </c>
      <c r="C54" s="261">
        <v>0</v>
      </c>
      <c r="D54" s="261">
        <v>0</v>
      </c>
      <c r="E54" s="261">
        <v>0</v>
      </c>
      <c r="F54" s="261">
        <v>0</v>
      </c>
      <c r="G54" s="261">
        <v>0</v>
      </c>
      <c r="H54" s="261">
        <v>0</v>
      </c>
      <c r="I54" s="264">
        <f t="shared" si="10"/>
        <v>0</v>
      </c>
      <c r="K54" t="s">
        <v>328</v>
      </c>
      <c r="L54" s="210">
        <v>528000</v>
      </c>
    </row>
    <row r="55" spans="2:12" ht="11.25">
      <c r="B55" s="182" t="s">
        <v>20</v>
      </c>
      <c r="C55" s="262">
        <f aca="true" t="shared" si="11" ref="C55:H55">SUM(C44:C54)</f>
        <v>48981038.73262517</v>
      </c>
      <c r="D55" s="262">
        <f t="shared" si="11"/>
        <v>5335020.840894802</v>
      </c>
      <c r="E55" s="262">
        <f t="shared" si="11"/>
        <v>7254746.462980244</v>
      </c>
      <c r="F55" s="262">
        <f t="shared" si="11"/>
        <v>6395542.659254111</v>
      </c>
      <c r="G55" s="262">
        <f t="shared" si="11"/>
        <v>5490746.462980244</v>
      </c>
      <c r="H55" s="262">
        <f t="shared" si="11"/>
        <v>120250871.44126543</v>
      </c>
      <c r="I55" s="262">
        <f t="shared" si="10"/>
        <v>193707966.6</v>
      </c>
      <c r="K55" s="2" t="s">
        <v>345</v>
      </c>
      <c r="L55" s="210">
        <v>20746000</v>
      </c>
    </row>
    <row r="56" ht="11.25">
      <c r="I56" s="17"/>
    </row>
    <row r="57" ht="11.25">
      <c r="D57" s="101"/>
    </row>
    <row r="58" ht="11.25">
      <c r="C58" s="21" t="s">
        <v>415</v>
      </c>
    </row>
    <row r="59" spans="2:9" ht="11.25">
      <c r="B59" s="205" t="s">
        <v>323</v>
      </c>
      <c r="C59" s="193" t="s">
        <v>324</v>
      </c>
      <c r="D59" s="193" t="s">
        <v>331</v>
      </c>
      <c r="E59" s="194" t="s">
        <v>345</v>
      </c>
      <c r="F59" s="196"/>
      <c r="G59" s="196"/>
      <c r="H59" s="49"/>
      <c r="I59" s="195" t="s">
        <v>20</v>
      </c>
    </row>
    <row r="60" spans="2:12" ht="11.25">
      <c r="B60" s="151">
        <f>B7</f>
        <v>2015</v>
      </c>
      <c r="C60" s="96"/>
      <c r="D60" s="96"/>
      <c r="E60" s="96"/>
      <c r="F60" s="186"/>
      <c r="G60" s="186"/>
      <c r="H60" s="186"/>
      <c r="I60" s="262">
        <f>SUM(C60:H60)</f>
        <v>0</v>
      </c>
      <c r="K60" s="2" t="s">
        <v>353</v>
      </c>
      <c r="L60" s="210">
        <v>867750</v>
      </c>
    </row>
    <row r="61" spans="2:12" ht="11.25">
      <c r="B61" s="151">
        <f aca="true" t="shared" si="12" ref="B61:B70">B8</f>
        <v>2016</v>
      </c>
      <c r="C61" s="265">
        <v>0</v>
      </c>
      <c r="D61" s="265">
        <v>0</v>
      </c>
      <c r="E61" s="265">
        <v>0</v>
      </c>
      <c r="F61" s="259"/>
      <c r="G61" s="259"/>
      <c r="H61" s="259"/>
      <c r="I61" s="262">
        <f aca="true" t="shared" si="13" ref="I61:I71">SUM(C61:H61)</f>
        <v>0</v>
      </c>
      <c r="K61" s="2" t="s">
        <v>356</v>
      </c>
      <c r="L61" s="210">
        <v>1012440</v>
      </c>
    </row>
    <row r="62" spans="2:12" ht="11.25">
      <c r="B62" s="151">
        <f t="shared" si="12"/>
        <v>2017</v>
      </c>
      <c r="C62" s="265">
        <f>L67/SUM($L$67:$L$69)*(SUM($L$67:$L$69)-$L$63)</f>
        <v>1060744.3767146096</v>
      </c>
      <c r="D62" s="265">
        <f>L68/SUM($L$67:$L$69)*(SUM($L$67:$L$69)-$L$63)</f>
        <v>674821.6785651987</v>
      </c>
      <c r="E62" s="265">
        <f>L69/SUM($L$67:$L$69)*(SUM($L$67:$L$69)-$L$63)</f>
        <v>21094331.944720194</v>
      </c>
      <c r="F62" s="259"/>
      <c r="G62" s="259"/>
      <c r="H62" s="259"/>
      <c r="I62" s="262">
        <f t="shared" si="13"/>
        <v>22829898</v>
      </c>
      <c r="K62" s="2" t="s">
        <v>355</v>
      </c>
      <c r="L62" s="210">
        <v>3644082</v>
      </c>
    </row>
    <row r="63" spans="2:12" ht="11.25">
      <c r="B63" s="151">
        <f t="shared" si="12"/>
        <v>2018</v>
      </c>
      <c r="C63" s="259">
        <v>3551730.0000000005</v>
      </c>
      <c r="D63" s="259">
        <v>1500330.0000000002</v>
      </c>
      <c r="E63" s="259">
        <v>23420280</v>
      </c>
      <c r="F63" s="259"/>
      <c r="G63" s="259"/>
      <c r="H63" s="259"/>
      <c r="I63" s="262">
        <f t="shared" si="13"/>
        <v>28472340</v>
      </c>
      <c r="K63" s="2" t="s">
        <v>358</v>
      </c>
      <c r="L63" s="94">
        <f>L62-L60-L61</f>
        <v>1763892</v>
      </c>
    </row>
    <row r="64" spans="2:9" ht="11.25">
      <c r="B64" s="151">
        <f t="shared" si="12"/>
        <v>2019</v>
      </c>
      <c r="C64" s="259">
        <v>4018560</v>
      </c>
      <c r="D64" s="259">
        <v>8508630</v>
      </c>
      <c r="E64" s="259"/>
      <c r="F64" s="259"/>
      <c r="G64" s="259"/>
      <c r="H64" s="259"/>
      <c r="I64" s="262">
        <f t="shared" si="13"/>
        <v>12527190</v>
      </c>
    </row>
    <row r="65" spans="2:9" ht="11.25">
      <c r="B65" s="151">
        <f t="shared" si="12"/>
        <v>2020</v>
      </c>
      <c r="C65" s="259">
        <v>10433670.000000002</v>
      </c>
      <c r="D65" s="259">
        <v>3797430</v>
      </c>
      <c r="E65" s="259"/>
      <c r="F65" s="259"/>
      <c r="G65" s="259"/>
      <c r="H65" s="259"/>
      <c r="I65" s="262">
        <f t="shared" si="13"/>
        <v>14231100.000000002</v>
      </c>
    </row>
    <row r="66" spans="2:12" ht="11.25">
      <c r="B66" s="151">
        <f t="shared" si="12"/>
        <v>2021</v>
      </c>
      <c r="C66" s="259">
        <v>7979400.000000001</v>
      </c>
      <c r="D66" s="259"/>
      <c r="E66" s="259"/>
      <c r="F66" s="259"/>
      <c r="G66" s="259"/>
      <c r="H66" s="259"/>
      <c r="I66" s="262">
        <f t="shared" si="13"/>
        <v>7979400.000000001</v>
      </c>
      <c r="L66" s="2" t="s">
        <v>375</v>
      </c>
    </row>
    <row r="67" spans="2:12" ht="11.25">
      <c r="B67" s="151">
        <f t="shared" si="12"/>
        <v>2022</v>
      </c>
      <c r="C67" s="259">
        <v>12899250</v>
      </c>
      <c r="D67" s="259"/>
      <c r="E67" s="259"/>
      <c r="F67" s="259"/>
      <c r="G67" s="259"/>
      <c r="H67" s="259"/>
      <c r="I67" s="262">
        <f t="shared" si="13"/>
        <v>12899250</v>
      </c>
      <c r="K67" t="s">
        <v>324</v>
      </c>
      <c r="L67" s="210">
        <v>1142699.9999999998</v>
      </c>
    </row>
    <row r="68" spans="2:12" ht="11.25">
      <c r="B68" s="197">
        <f t="shared" si="12"/>
        <v>2023</v>
      </c>
      <c r="C68" s="260">
        <v>11496030</v>
      </c>
      <c r="D68" s="260"/>
      <c r="E68" s="260"/>
      <c r="F68" s="260"/>
      <c r="G68" s="260"/>
      <c r="H68" s="260"/>
      <c r="I68" s="263">
        <f t="shared" si="13"/>
        <v>11496030</v>
      </c>
      <c r="K68" t="s">
        <v>331</v>
      </c>
      <c r="L68" s="210">
        <v>726959.9999999999</v>
      </c>
    </row>
    <row r="69" spans="2:12" ht="11.25">
      <c r="B69" s="197">
        <f t="shared" si="12"/>
        <v>2024</v>
      </c>
      <c r="C69" s="260"/>
      <c r="D69" s="260"/>
      <c r="E69" s="260"/>
      <c r="F69" s="260"/>
      <c r="G69" s="260"/>
      <c r="H69" s="260"/>
      <c r="I69" s="263">
        <f t="shared" si="13"/>
        <v>0</v>
      </c>
      <c r="K69" t="s">
        <v>345</v>
      </c>
      <c r="L69" s="210">
        <v>22724130</v>
      </c>
    </row>
    <row r="70" spans="2:9" ht="11.25">
      <c r="B70" s="154">
        <f t="shared" si="12"/>
        <v>2025</v>
      </c>
      <c r="C70" s="261"/>
      <c r="D70" s="261"/>
      <c r="E70" s="261"/>
      <c r="F70" s="261"/>
      <c r="G70" s="261"/>
      <c r="H70" s="261"/>
      <c r="I70" s="264">
        <f t="shared" si="13"/>
        <v>0</v>
      </c>
    </row>
    <row r="71" spans="2:9" ht="11.25">
      <c r="B71" s="182" t="s">
        <v>20</v>
      </c>
      <c r="C71" s="262">
        <f aca="true" t="shared" si="14" ref="C71:H71">SUM(C60:C70)</f>
        <v>51439384.37671461</v>
      </c>
      <c r="D71" s="262">
        <f t="shared" si="14"/>
        <v>14481211.678565199</v>
      </c>
      <c r="E71" s="262">
        <f t="shared" si="14"/>
        <v>44514611.944720194</v>
      </c>
      <c r="F71" s="262">
        <f t="shared" si="14"/>
        <v>0</v>
      </c>
      <c r="G71" s="262">
        <f t="shared" si="14"/>
        <v>0</v>
      </c>
      <c r="H71" s="262">
        <f t="shared" si="14"/>
        <v>0</v>
      </c>
      <c r="I71" s="262">
        <f t="shared" si="13"/>
        <v>110435208</v>
      </c>
    </row>
  </sheetData>
  <sheetProtection/>
  <printOptions/>
  <pageMargins left="0.75" right="0.75" top="1" bottom="1" header="0.5" footer="0.5"/>
  <pageSetup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6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33203125" defaultRowHeight="11.25"/>
  <cols>
    <col min="1" max="1" width="14.83203125" style="3" customWidth="1"/>
    <col min="2" max="2" width="44.83203125" style="3" customWidth="1"/>
    <col min="3" max="12" width="15.33203125" style="3" customWidth="1"/>
    <col min="13" max="13" width="12.83203125" style="3" bestFit="1" customWidth="1"/>
    <col min="14" max="14" width="13.66015625" style="3" bestFit="1" customWidth="1"/>
    <col min="15" max="16384" width="9.33203125" style="3" customWidth="1"/>
  </cols>
  <sheetData>
    <row r="1" spans="2:12" ht="18.75" customHeight="1">
      <c r="B1" s="66" t="s">
        <v>56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8.75" customHeight="1">
      <c r="B2" s="66" t="s">
        <v>379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2" ht="18.75" customHeight="1">
      <c r="B3" s="11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3:12" s="51" customFormat="1" ht="18.75" customHeight="1">
      <c r="C4" s="52">
        <f>Input!B2</f>
        <v>2016</v>
      </c>
      <c r="D4" s="52">
        <f aca="true" t="shared" si="0" ref="D4:I4">C4+1</f>
        <v>2017</v>
      </c>
      <c r="E4" s="52">
        <f t="shared" si="0"/>
        <v>2018</v>
      </c>
      <c r="F4" s="52">
        <f t="shared" si="0"/>
        <v>2019</v>
      </c>
      <c r="G4" s="52">
        <f t="shared" si="0"/>
        <v>2020</v>
      </c>
      <c r="H4" s="52">
        <f t="shared" si="0"/>
        <v>2021</v>
      </c>
      <c r="I4" s="52">
        <f t="shared" si="0"/>
        <v>2022</v>
      </c>
      <c r="J4" s="52">
        <f>I4+1</f>
        <v>2023</v>
      </c>
      <c r="K4" s="52">
        <f>J4+1</f>
        <v>2024</v>
      </c>
      <c r="L4" s="52">
        <f>K4+1</f>
        <v>2025</v>
      </c>
    </row>
    <row r="5" spans="1:14" ht="18.75" customHeight="1">
      <c r="A5" s="10" t="s">
        <v>306</v>
      </c>
      <c r="B5" s="40" t="s">
        <v>387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</row>
    <row r="6" spans="1:12" ht="18.75" customHeight="1">
      <c r="A6" s="55"/>
      <c r="B6" s="56" t="s">
        <v>14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8.75" customHeight="1">
      <c r="A7" s="55"/>
      <c r="B7" s="55" t="s">
        <v>60</v>
      </c>
      <c r="C7" s="169">
        <f>'KU - Project 36'!C26</f>
        <v>0</v>
      </c>
      <c r="D7" s="169">
        <f>'KU - Project 36'!D26</f>
        <v>5252625</v>
      </c>
      <c r="E7" s="169">
        <f>'KU - Project 36'!E26</f>
        <v>5252625</v>
      </c>
      <c r="F7" s="169">
        <f>'KU - Project 36'!F26</f>
        <v>5252625</v>
      </c>
      <c r="G7" s="169">
        <f>'KU - Project 36'!G26</f>
        <v>5252625</v>
      </c>
      <c r="H7" s="169">
        <f>'KU - Project 36'!H26</f>
        <v>5252625</v>
      </c>
      <c r="I7" s="169">
        <f>'KU - Project 36'!I26</f>
        <v>5252625</v>
      </c>
      <c r="J7" s="169">
        <f>'KU - Project 36'!J26</f>
        <v>5252625</v>
      </c>
      <c r="K7" s="169">
        <f>'KU - Project 36'!K26</f>
        <v>5252625</v>
      </c>
      <c r="L7" s="169">
        <f>'KU - Project 36'!L26</f>
        <v>5252625</v>
      </c>
    </row>
    <row r="8" spans="1:12" ht="18.75" customHeight="1">
      <c r="A8" s="55"/>
      <c r="B8" s="57" t="s">
        <v>61</v>
      </c>
      <c r="C8" s="169">
        <f>'KU - Project 36'!C27</f>
        <v>0</v>
      </c>
      <c r="D8" s="169">
        <f>'KU - Project 36'!D27</f>
        <v>0</v>
      </c>
      <c r="E8" s="169">
        <f>'KU - Project 36'!E27</f>
        <v>0</v>
      </c>
      <c r="F8" s="169">
        <f>'KU - Project 36'!F27</f>
        <v>0</v>
      </c>
      <c r="G8" s="169">
        <f>'KU - Project 36'!G27</f>
        <v>0</v>
      </c>
      <c r="H8" s="169">
        <f>'KU - Project 36'!H27</f>
        <v>0</v>
      </c>
      <c r="I8" s="169">
        <f>'KU - Project 36'!I27</f>
        <v>0</v>
      </c>
      <c r="J8" s="169">
        <f>'KU - Project 36'!J27</f>
        <v>0</v>
      </c>
      <c r="K8" s="169">
        <f>'KU - Project 36'!K27</f>
        <v>0</v>
      </c>
      <c r="L8" s="169">
        <f>'KU - Project 36'!L27</f>
        <v>0</v>
      </c>
    </row>
    <row r="9" spans="1:12" ht="18.75" customHeight="1">
      <c r="A9" s="55"/>
      <c r="B9" s="55" t="s">
        <v>10</v>
      </c>
      <c r="C9" s="169">
        <f>'KU - Project 36'!C28</f>
        <v>0</v>
      </c>
      <c r="D9" s="169">
        <f>'KU - Project 36'!D28</f>
        <v>-118293.4921875</v>
      </c>
      <c r="E9" s="169">
        <f>'KU - Project 36'!E28</f>
        <v>-241730.1796875</v>
      </c>
      <c r="F9" s="169">
        <f>'KU - Project 36'!F28</f>
        <v>-365166.8671875</v>
      </c>
      <c r="G9" s="169">
        <f>'KU - Project 36'!G28</f>
        <v>-488603.5546875</v>
      </c>
      <c r="H9" s="169">
        <f>'KU - Project 36'!H28</f>
        <v>-612040.2421875</v>
      </c>
      <c r="I9" s="169">
        <f>'KU - Project 36'!I28</f>
        <v>-735476.9296875</v>
      </c>
      <c r="J9" s="169">
        <f>'KU - Project 36'!J28</f>
        <v>-858913.6171875</v>
      </c>
      <c r="K9" s="169">
        <f>'KU - Project 36'!K28</f>
        <v>-982350.3046875</v>
      </c>
      <c r="L9" s="169">
        <f>'KU - Project 36'!L28</f>
        <v>-1105786.9921875</v>
      </c>
    </row>
    <row r="10" spans="1:12" ht="18.75" customHeight="1">
      <c r="A10" s="55"/>
      <c r="B10" s="58" t="s">
        <v>62</v>
      </c>
      <c r="C10" s="169">
        <f>'KU - Project 36'!C29</f>
        <v>0</v>
      </c>
      <c r="D10" s="169">
        <f>'KU - Project 36'!D29</f>
        <v>0</v>
      </c>
      <c r="E10" s="169">
        <f>'KU - Project 36'!E29</f>
        <v>0</v>
      </c>
      <c r="F10" s="169">
        <f>'KU - Project 36'!F29</f>
        <v>0</v>
      </c>
      <c r="G10" s="169">
        <f>'KU - Project 36'!G29</f>
        <v>0</v>
      </c>
      <c r="H10" s="169">
        <f>'KU - Project 36'!H29</f>
        <v>0</v>
      </c>
      <c r="I10" s="169">
        <f>'KU - Project 36'!I29</f>
        <v>0</v>
      </c>
      <c r="J10" s="169">
        <f>'KU - Project 36'!J29</f>
        <v>0</v>
      </c>
      <c r="K10" s="169">
        <f>'KU - Project 36'!K29</f>
        <v>0</v>
      </c>
      <c r="L10" s="169">
        <f>'KU - Project 36'!L29</f>
        <v>0</v>
      </c>
    </row>
    <row r="11" spans="1:12" ht="18.75" customHeight="1">
      <c r="A11" s="55"/>
      <c r="B11" s="55" t="s">
        <v>63</v>
      </c>
      <c r="C11" s="169">
        <f>'KU - Project 36'!C30</f>
        <v>0</v>
      </c>
      <c r="D11" s="169">
        <f>'KU - Project 36'!D30</f>
        <v>-1007831.5042326561</v>
      </c>
      <c r="E11" s="169">
        <f>'KU - Project 36'!E30</f>
        <v>-1033411.6971122436</v>
      </c>
      <c r="F11" s="169">
        <f>'KU - Project 36'!F30</f>
        <v>-1053487.9342392562</v>
      </c>
      <c r="G11" s="169">
        <f>'KU - Project 36'!G30</f>
        <v>-1068486.7214100186</v>
      </c>
      <c r="H11" s="169">
        <f>'KU - Project 36'!H30</f>
        <v>-1078773.635021381</v>
      </c>
      <c r="I11" s="169">
        <f>'KU - Project 36'!I30</f>
        <v>-1084714.2514701935</v>
      </c>
      <c r="J11" s="169">
        <f>'KU - Project 36'!J30</f>
        <v>-1086623.3726537435</v>
      </c>
      <c r="K11" s="169">
        <f>'KU - Project 36'!K30</f>
        <v>-1084815.8004693184</v>
      </c>
      <c r="L11" s="169">
        <f>'KU - Project 36'!L30</f>
        <v>-1082398.9342901434</v>
      </c>
    </row>
    <row r="12" spans="1:12" ht="18.75" customHeight="1">
      <c r="A12" s="55"/>
      <c r="B12" s="57" t="s">
        <v>64</v>
      </c>
      <c r="C12" s="169">
        <f>'KU - Project 36'!C31</f>
        <v>0</v>
      </c>
      <c r="D12" s="169">
        <f>'KU - Project 36'!D31</f>
        <v>0</v>
      </c>
      <c r="E12" s="169">
        <f>'KU - Project 36'!E31</f>
        <v>0</v>
      </c>
      <c r="F12" s="169">
        <f>'KU - Project 36'!F31</f>
        <v>0</v>
      </c>
      <c r="G12" s="169">
        <f>'KU - Project 36'!G31</f>
        <v>0</v>
      </c>
      <c r="H12" s="169">
        <f>'KU - Project 36'!H31</f>
        <v>0</v>
      </c>
      <c r="I12" s="169">
        <f>'KU - Project 36'!I31</f>
        <v>0</v>
      </c>
      <c r="J12" s="169">
        <f>'KU - Project 36'!J31</f>
        <v>0</v>
      </c>
      <c r="K12" s="169">
        <f>'KU - Project 36'!K31</f>
        <v>0</v>
      </c>
      <c r="L12" s="169">
        <f>'KU - Project 36'!L31</f>
        <v>0</v>
      </c>
    </row>
    <row r="13" spans="1:12" ht="18.75" customHeight="1">
      <c r="A13" s="55"/>
      <c r="B13" s="55" t="s">
        <v>11</v>
      </c>
      <c r="C13" s="169">
        <f>SUM(C7:C12)</f>
        <v>0</v>
      </c>
      <c r="D13" s="169">
        <f aca="true" t="shared" si="1" ref="D13:L13">SUM(D7:D12)</f>
        <v>4126500.003579844</v>
      </c>
      <c r="E13" s="169">
        <f t="shared" si="1"/>
        <v>3977483.1232002564</v>
      </c>
      <c r="F13" s="169">
        <f t="shared" si="1"/>
        <v>3833970.198573244</v>
      </c>
      <c r="G13" s="169">
        <f t="shared" si="1"/>
        <v>3695534.7239024816</v>
      </c>
      <c r="H13" s="169">
        <f t="shared" si="1"/>
        <v>3561811.122791119</v>
      </c>
      <c r="I13" s="169">
        <f t="shared" si="1"/>
        <v>3432433.8188423067</v>
      </c>
      <c r="J13" s="169">
        <f t="shared" si="1"/>
        <v>3307088.0101587567</v>
      </c>
      <c r="K13" s="169">
        <f t="shared" si="1"/>
        <v>3185458.8948431816</v>
      </c>
      <c r="L13" s="169">
        <f t="shared" si="1"/>
        <v>3064439.0735223563</v>
      </c>
    </row>
    <row r="14" spans="1:12" ht="18.75" customHeight="1">
      <c r="A14" s="55"/>
      <c r="B14" s="55" t="s">
        <v>12</v>
      </c>
      <c r="C14" s="34">
        <f>'KU - Project 36'!C33</f>
        <v>0.10152297909805327</v>
      </c>
      <c r="D14" s="34">
        <f>'KU - Project 36'!D33</f>
        <v>0.10152297909805327</v>
      </c>
      <c r="E14" s="34">
        <f>'KU - Project 36'!E33</f>
        <v>0.10152297909805327</v>
      </c>
      <c r="F14" s="34">
        <f>'KU - Project 36'!F33</f>
        <v>0.10152297909805327</v>
      </c>
      <c r="G14" s="34">
        <f>'KU - Project 36'!G33</f>
        <v>0.10152297909805327</v>
      </c>
      <c r="H14" s="34">
        <f>'KU - Project 36'!H33</f>
        <v>0.10152297909805327</v>
      </c>
      <c r="I14" s="34">
        <f>'KU - Project 36'!I33</f>
        <v>0.10152297909805327</v>
      </c>
      <c r="J14" s="34">
        <f>'KU - Project 36'!J33</f>
        <v>0.10152297909805327</v>
      </c>
      <c r="K14" s="34">
        <f>'KU - Project 36'!K33</f>
        <v>0.10152297909805327</v>
      </c>
      <c r="L14" s="34">
        <f>'KU - Project 36'!L33</f>
        <v>0.10152297909805327</v>
      </c>
    </row>
    <row r="15" spans="1:12" ht="18.75" customHeight="1">
      <c r="A15" s="55"/>
      <c r="B15" s="41"/>
      <c r="C15" s="180">
        <f>C13*C14</f>
        <v>0</v>
      </c>
      <c r="D15" s="180">
        <f aca="true" t="shared" si="2" ref="D15:I15">D13*D14</f>
        <v>418934.57361155323</v>
      </c>
      <c r="E15" s="180">
        <f t="shared" si="2"/>
        <v>403805.9359795193</v>
      </c>
      <c r="F15" s="180">
        <f t="shared" si="2"/>
        <v>389236.07633231056</v>
      </c>
      <c r="G15" s="180">
        <f t="shared" si="2"/>
        <v>375181.6945308817</v>
      </c>
      <c r="H15" s="180">
        <f t="shared" si="2"/>
        <v>361605.67617033643</v>
      </c>
      <c r="I15" s="180">
        <f t="shared" si="2"/>
        <v>348470.9068457787</v>
      </c>
      <c r="J15" s="180">
        <f>J13*J14</f>
        <v>335745.42693077005</v>
      </c>
      <c r="K15" s="180">
        <f>K13*K14</f>
        <v>323397.2767988722</v>
      </c>
      <c r="L15" s="180">
        <f>L13*L14</f>
        <v>311110.98400846793</v>
      </c>
    </row>
    <row r="16" spans="1:12" ht="18.75" customHeight="1">
      <c r="A16" s="55"/>
      <c r="B16" s="41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8.75" customHeight="1">
      <c r="A17" s="55"/>
      <c r="B17" s="57" t="s">
        <v>65</v>
      </c>
      <c r="C17" s="176">
        <f>'KU - Project 36'!C36</f>
        <v>0</v>
      </c>
      <c r="D17" s="176">
        <f>'KU - Project 36'!D36</f>
        <v>0</v>
      </c>
      <c r="E17" s="176">
        <f>'KU - Project 36'!E36</f>
        <v>0</v>
      </c>
      <c r="F17" s="176">
        <f>'KU - Project 36'!F36</f>
        <v>0</v>
      </c>
      <c r="G17" s="176">
        <f>'KU - Project 36'!G36</f>
        <v>0</v>
      </c>
      <c r="H17" s="176">
        <f>'KU - Project 36'!H36</f>
        <v>0</v>
      </c>
      <c r="I17" s="176">
        <f>'KU - Project 36'!I36</f>
        <v>0</v>
      </c>
      <c r="J17" s="176">
        <f>'KU - Project 36'!J36</f>
        <v>0</v>
      </c>
      <c r="K17" s="176">
        <f>'KU - Project 36'!K36</f>
        <v>0</v>
      </c>
      <c r="L17" s="176">
        <f>'KU - Project 36'!L36</f>
        <v>0</v>
      </c>
    </row>
    <row r="18" spans="1:12" ht="18.75" customHeight="1">
      <c r="A18" s="55"/>
      <c r="B18" s="55" t="s">
        <v>48</v>
      </c>
      <c r="C18" s="176">
        <f>'KU - Project 36'!C37</f>
        <v>0</v>
      </c>
      <c r="D18" s="176">
        <f>'KU - Project 36'!D37</f>
        <v>118293.4921875</v>
      </c>
      <c r="E18" s="176">
        <f>'KU - Project 36'!E37</f>
        <v>123436.6875</v>
      </c>
      <c r="F18" s="176">
        <f>'KU - Project 36'!F37</f>
        <v>123436.6875</v>
      </c>
      <c r="G18" s="176">
        <f>'KU - Project 36'!G37</f>
        <v>123436.6875</v>
      </c>
      <c r="H18" s="176">
        <f>'KU - Project 36'!H37</f>
        <v>123436.6875</v>
      </c>
      <c r="I18" s="176">
        <f>'KU - Project 36'!I37</f>
        <v>123436.6875</v>
      </c>
      <c r="J18" s="176">
        <f>'KU - Project 36'!J37</f>
        <v>123436.6875</v>
      </c>
      <c r="K18" s="176">
        <f>'KU - Project 36'!K37</f>
        <v>123436.6875</v>
      </c>
      <c r="L18" s="176">
        <f>'KU - Project 36'!L37</f>
        <v>123436.6875</v>
      </c>
    </row>
    <row r="19" spans="1:12" ht="18.75" customHeight="1">
      <c r="A19" s="55"/>
      <c r="B19" s="55" t="s">
        <v>49</v>
      </c>
      <c r="C19" s="169">
        <f>'KU - Project 36'!C38</f>
        <v>0</v>
      </c>
      <c r="D19" s="169">
        <f>'KU - Project 36'!D38</f>
        <v>0</v>
      </c>
      <c r="E19" s="169">
        <f>'KU - Project 36'!E38</f>
        <v>0</v>
      </c>
      <c r="F19" s="169">
        <f>'KU - Project 36'!F38</f>
        <v>0</v>
      </c>
      <c r="G19" s="169">
        <f>'KU - Project 36'!G38</f>
        <v>0</v>
      </c>
      <c r="H19" s="169">
        <f>'KU - Project 36'!H38</f>
        <v>0</v>
      </c>
      <c r="I19" s="169">
        <f>'KU - Project 36'!I38</f>
        <v>0</v>
      </c>
      <c r="J19" s="169">
        <f>'KU - Project 36'!J38</f>
        <v>0</v>
      </c>
      <c r="K19" s="169">
        <f>'KU - Project 36'!K38</f>
        <v>0</v>
      </c>
      <c r="L19" s="169">
        <f>'KU - Project 36'!L38</f>
        <v>0</v>
      </c>
    </row>
    <row r="20" spans="1:12" ht="18.75" customHeight="1">
      <c r="A20" s="55"/>
      <c r="B20" s="55" t="s">
        <v>50</v>
      </c>
      <c r="C20" s="176">
        <f>'KU - Project 36'!C39</f>
        <v>0</v>
      </c>
      <c r="D20" s="176">
        <f>'KU - Project 36'!D39</f>
        <v>0</v>
      </c>
      <c r="E20" s="176">
        <f>'KU - Project 36'!E39</f>
        <v>7701.49726171875</v>
      </c>
      <c r="F20" s="176">
        <f>'KU - Project 36'!F39</f>
        <v>7516.34223046875</v>
      </c>
      <c r="G20" s="176">
        <f>'KU - Project 36'!G39</f>
        <v>7331.18719921875</v>
      </c>
      <c r="H20" s="176">
        <f>'KU - Project 36'!H39</f>
        <v>7146.03216796875</v>
      </c>
      <c r="I20" s="176">
        <f>'KU - Project 36'!I39</f>
        <v>6960.87713671875</v>
      </c>
      <c r="J20" s="176">
        <f>'KU - Project 36'!J39</f>
        <v>6775.72210546875</v>
      </c>
      <c r="K20" s="176">
        <f>'KU - Project 36'!K39</f>
        <v>6590.56707421875</v>
      </c>
      <c r="L20" s="176">
        <f>'KU - Project 36'!L39</f>
        <v>6405.41204296875</v>
      </c>
    </row>
    <row r="21" spans="1:12" ht="18.75" customHeight="1">
      <c r="A21" s="55"/>
      <c r="B21" s="60" t="s">
        <v>51</v>
      </c>
      <c r="C21" s="179">
        <f>SUM(C17:C20)</f>
        <v>0</v>
      </c>
      <c r="D21" s="179">
        <f aca="true" t="shared" si="3" ref="D21:I21">SUM(D17:D20)</f>
        <v>118293.4921875</v>
      </c>
      <c r="E21" s="179">
        <f t="shared" si="3"/>
        <v>131138.18476171876</v>
      </c>
      <c r="F21" s="179">
        <f t="shared" si="3"/>
        <v>130953.02973046876</v>
      </c>
      <c r="G21" s="179">
        <f t="shared" si="3"/>
        <v>130767.87469921875</v>
      </c>
      <c r="H21" s="179">
        <f t="shared" si="3"/>
        <v>130582.71966796875</v>
      </c>
      <c r="I21" s="179">
        <f t="shared" si="3"/>
        <v>130397.56463671874</v>
      </c>
      <c r="J21" s="179">
        <f>SUM(J17:J20)</f>
        <v>130212.40960546875</v>
      </c>
      <c r="K21" s="179">
        <f>SUM(K17:K20)</f>
        <v>130027.25457421875</v>
      </c>
      <c r="L21" s="179">
        <f>SUM(L17:L20)</f>
        <v>129842.09954296875</v>
      </c>
    </row>
    <row r="22" spans="1:12" ht="18.75" customHeight="1">
      <c r="A22" s="55"/>
      <c r="B22" s="60"/>
      <c r="C22" s="36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8.75" customHeight="1">
      <c r="A23" s="55"/>
      <c r="B23" s="60" t="s">
        <v>13</v>
      </c>
      <c r="C23" s="176">
        <f>C15+C21</f>
        <v>0</v>
      </c>
      <c r="D23" s="176">
        <f aca="true" t="shared" si="4" ref="D23:I23">D15+D21</f>
        <v>537228.0657990533</v>
      </c>
      <c r="E23" s="176">
        <f t="shared" si="4"/>
        <v>534944.120741238</v>
      </c>
      <c r="F23" s="176">
        <f t="shared" si="4"/>
        <v>520189.1060627793</v>
      </c>
      <c r="G23" s="176">
        <f t="shared" si="4"/>
        <v>505949.5692301005</v>
      </c>
      <c r="H23" s="176">
        <f t="shared" si="4"/>
        <v>492188.3958383052</v>
      </c>
      <c r="I23" s="176">
        <f t="shared" si="4"/>
        <v>478868.4714824974</v>
      </c>
      <c r="J23" s="176">
        <f>J15+J21</f>
        <v>465957.8365362388</v>
      </c>
      <c r="K23" s="176">
        <f>K15+K21</f>
        <v>453424.531373091</v>
      </c>
      <c r="L23" s="176">
        <f>L15+L21</f>
        <v>440953.08355143666</v>
      </c>
    </row>
    <row r="24" s="48" customFormat="1" ht="18.75" customHeight="1"/>
    <row r="25" spans="1:14" ht="18.75" customHeight="1">
      <c r="A25" s="10" t="s">
        <v>307</v>
      </c>
      <c r="B25" s="40" t="s">
        <v>385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4"/>
    </row>
    <row r="26" spans="1:12" ht="18.75" customHeight="1">
      <c r="A26" s="55"/>
      <c r="B26" s="56" t="s">
        <v>14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8.75" customHeight="1">
      <c r="A27" s="55"/>
      <c r="B27" s="55" t="s">
        <v>60</v>
      </c>
      <c r="C27" s="169">
        <f>'KU - Project 37'!C26</f>
        <v>7000000</v>
      </c>
      <c r="D27" s="169">
        <f>'KU - Project 37'!D26</f>
        <v>7000000</v>
      </c>
      <c r="E27" s="169">
        <f>'KU - Project 37'!E26</f>
        <v>7000000</v>
      </c>
      <c r="F27" s="169">
        <f>'KU - Project 37'!F26</f>
        <v>7000000</v>
      </c>
      <c r="G27" s="169">
        <f>'KU - Project 37'!G26</f>
        <v>7000000</v>
      </c>
      <c r="H27" s="169">
        <f>'KU - Project 37'!H26</f>
        <v>7000000</v>
      </c>
      <c r="I27" s="169">
        <f>'KU - Project 37'!I26</f>
        <v>7000000</v>
      </c>
      <c r="J27" s="169">
        <f>'KU - Project 37'!J26</f>
        <v>7000000</v>
      </c>
      <c r="K27" s="169">
        <f>'KU - Project 37'!K26</f>
        <v>7000000</v>
      </c>
      <c r="L27" s="169">
        <f>'KU - Project 37'!L26</f>
        <v>7000000</v>
      </c>
    </row>
    <row r="28" spans="1:12" ht="18.75" customHeight="1">
      <c r="A28" s="55"/>
      <c r="B28" s="57" t="s">
        <v>61</v>
      </c>
      <c r="C28" s="169">
        <f>'KU - Project 37'!C27</f>
        <v>0</v>
      </c>
      <c r="D28" s="169">
        <f>'KU - Project 37'!D27</f>
        <v>0</v>
      </c>
      <c r="E28" s="169">
        <f>'KU - Project 37'!E27</f>
        <v>0</v>
      </c>
      <c r="F28" s="169">
        <f>'KU - Project 37'!F27</f>
        <v>0</v>
      </c>
      <c r="G28" s="169">
        <f>'KU - Project 37'!G27</f>
        <v>0</v>
      </c>
      <c r="H28" s="169">
        <f>'KU - Project 37'!H27</f>
        <v>0</v>
      </c>
      <c r="I28" s="169">
        <f>'KU - Project 37'!I27</f>
        <v>0</v>
      </c>
      <c r="J28" s="169">
        <f>'KU - Project 37'!J27</f>
        <v>0</v>
      </c>
      <c r="K28" s="169">
        <f>'KU - Project 37'!K27</f>
        <v>0</v>
      </c>
      <c r="L28" s="169">
        <f>'KU - Project 37'!L27</f>
        <v>0</v>
      </c>
    </row>
    <row r="29" spans="1:12" ht="18.75" customHeight="1">
      <c r="A29" s="55"/>
      <c r="B29" s="55" t="s">
        <v>10</v>
      </c>
      <c r="C29" s="169">
        <f>'KU - Project 37'!C28</f>
        <v>-6154.166666666667</v>
      </c>
      <c r="D29" s="169">
        <f>'KU - Project 37'!D28</f>
        <v>-153854.16666666666</v>
      </c>
      <c r="E29" s="169">
        <f>'KU - Project 37'!E28</f>
        <v>-301554.1666666666</v>
      </c>
      <c r="F29" s="169">
        <f>'KU - Project 37'!F28</f>
        <v>-449254.1666666666</v>
      </c>
      <c r="G29" s="169">
        <f>'KU - Project 37'!G28</f>
        <v>-596954.1666666666</v>
      </c>
      <c r="H29" s="169">
        <f>'KU - Project 37'!H28</f>
        <v>-744654.1666666666</v>
      </c>
      <c r="I29" s="169">
        <f>'KU - Project 37'!I28</f>
        <v>-892354.1666666666</v>
      </c>
      <c r="J29" s="169">
        <f>'KU - Project 37'!J28</f>
        <v>-1040054.1666666666</v>
      </c>
      <c r="K29" s="169">
        <f>'KU - Project 37'!K28</f>
        <v>-1187754.1666666665</v>
      </c>
      <c r="L29" s="169">
        <f>'KU - Project 37'!L28</f>
        <v>-1335454.1666666665</v>
      </c>
    </row>
    <row r="30" spans="1:12" ht="18.75" customHeight="1">
      <c r="A30" s="55"/>
      <c r="B30" s="58" t="s">
        <v>62</v>
      </c>
      <c r="C30" s="169">
        <f>'KU - Project 37'!C29</f>
        <v>0</v>
      </c>
      <c r="D30" s="169">
        <f>'KU - Project 37'!D29</f>
        <v>0</v>
      </c>
      <c r="E30" s="169">
        <f>'KU - Project 37'!E29</f>
        <v>0</v>
      </c>
      <c r="F30" s="169">
        <f>'KU - Project 37'!F29</f>
        <v>0</v>
      </c>
      <c r="G30" s="169">
        <f>'KU - Project 37'!G29</f>
        <v>0</v>
      </c>
      <c r="H30" s="169">
        <f>'KU - Project 37'!H29</f>
        <v>0</v>
      </c>
      <c r="I30" s="169">
        <f>'KU - Project 37'!I29</f>
        <v>0</v>
      </c>
      <c r="J30" s="169">
        <f>'KU - Project 37'!J29</f>
        <v>0</v>
      </c>
      <c r="K30" s="169">
        <f>'KU - Project 37'!K29</f>
        <v>0</v>
      </c>
      <c r="L30" s="169">
        <f>'KU - Project 37'!L29</f>
        <v>0</v>
      </c>
    </row>
    <row r="31" spans="1:12" ht="18.75" customHeight="1">
      <c r="A31" s="55"/>
      <c r="B31" s="55" t="s">
        <v>63</v>
      </c>
      <c r="C31" s="169">
        <f>'KU - Project 37'!C30</f>
        <v>-1401679.5549166666</v>
      </c>
      <c r="D31" s="169">
        <f>'KU - Project 37'!D30</f>
        <v>-1442265.3218166665</v>
      </c>
      <c r="E31" s="169">
        <f>'KU - Project 37'!E30</f>
        <v>-1475516.1485166666</v>
      </c>
      <c r="F31" s="169">
        <f>'KU - Project 37'!F30</f>
        <v>-1502000.4252166667</v>
      </c>
      <c r="G31" s="169">
        <f>'KU - Project 37'!G30</f>
        <v>-1522205.3435166667</v>
      </c>
      <c r="H31" s="169">
        <f>'KU - Project 37'!H30</f>
        <v>-1536618.0950166667</v>
      </c>
      <c r="I31" s="169">
        <f>'KU - Project 37'!I30</f>
        <v>-1545658.2058166666</v>
      </c>
      <c r="J31" s="169">
        <f>'KU - Project 37'!J30</f>
        <v>-1549745.2020166665</v>
      </c>
      <c r="K31" s="169">
        <f>'KU - Project 37'!K30</f>
        <v>-1553020.2122166664</v>
      </c>
      <c r="L31" s="169">
        <f>'KU - Project 37'!L30</f>
        <v>-1556281.6893166665</v>
      </c>
    </row>
    <row r="32" spans="1:12" ht="18.75" customHeight="1">
      <c r="A32" s="55"/>
      <c r="B32" s="57" t="s">
        <v>64</v>
      </c>
      <c r="C32" s="169">
        <f>'KU - Project 37'!C31</f>
        <v>0</v>
      </c>
      <c r="D32" s="169">
        <f>'KU - Project 37'!D31</f>
        <v>0</v>
      </c>
      <c r="E32" s="169">
        <f>'KU - Project 37'!E31</f>
        <v>0</v>
      </c>
      <c r="F32" s="169">
        <f>'KU - Project 37'!F31</f>
        <v>0</v>
      </c>
      <c r="G32" s="169">
        <f>'KU - Project 37'!G31</f>
        <v>0</v>
      </c>
      <c r="H32" s="169">
        <f>'KU - Project 37'!H31</f>
        <v>0</v>
      </c>
      <c r="I32" s="169">
        <f>'KU - Project 37'!I31</f>
        <v>0</v>
      </c>
      <c r="J32" s="169">
        <f>'KU - Project 37'!J31</f>
        <v>0</v>
      </c>
      <c r="K32" s="169">
        <f>'KU - Project 37'!K31</f>
        <v>0</v>
      </c>
      <c r="L32" s="169">
        <f>'KU - Project 37'!L31</f>
        <v>0</v>
      </c>
    </row>
    <row r="33" spans="1:12" ht="18.75" customHeight="1">
      <c r="A33" s="55"/>
      <c r="B33" s="55" t="s">
        <v>11</v>
      </c>
      <c r="C33" s="169">
        <f>SUM(C27:C32)</f>
        <v>5592166.278416666</v>
      </c>
      <c r="D33" s="169">
        <f aca="true" t="shared" si="5" ref="D33:L33">SUM(D27:D32)</f>
        <v>5403880.511516666</v>
      </c>
      <c r="E33" s="169">
        <f t="shared" si="5"/>
        <v>5222929.684816666</v>
      </c>
      <c r="F33" s="169">
        <f t="shared" si="5"/>
        <v>5048745.408116667</v>
      </c>
      <c r="G33" s="169">
        <f t="shared" si="5"/>
        <v>4880840.489816667</v>
      </c>
      <c r="H33" s="169">
        <f t="shared" si="5"/>
        <v>4718727.738316666</v>
      </c>
      <c r="I33" s="169">
        <f t="shared" si="5"/>
        <v>4561987.627516666</v>
      </c>
      <c r="J33" s="169">
        <f t="shared" si="5"/>
        <v>4410200.6313166665</v>
      </c>
      <c r="K33" s="169">
        <f t="shared" si="5"/>
        <v>4259225.621116668</v>
      </c>
      <c r="L33" s="169">
        <f t="shared" si="5"/>
        <v>4108264.1440166673</v>
      </c>
    </row>
    <row r="34" spans="1:12" ht="18.75" customHeight="1">
      <c r="A34" s="55"/>
      <c r="B34" s="55" t="s">
        <v>12</v>
      </c>
      <c r="C34" s="34">
        <f>'KU - Project 37'!C33</f>
        <v>0.10152297909805327</v>
      </c>
      <c r="D34" s="34">
        <f>'KU - Project 37'!D33</f>
        <v>0.10152297909805327</v>
      </c>
      <c r="E34" s="34">
        <f>'KU - Project 37'!E33</f>
        <v>0.10152297909805327</v>
      </c>
      <c r="F34" s="34">
        <f>'KU - Project 37'!F33</f>
        <v>0.10152297909805327</v>
      </c>
      <c r="G34" s="34">
        <f>'KU - Project 37'!G33</f>
        <v>0.10152297909805327</v>
      </c>
      <c r="H34" s="34">
        <f>'KU - Project 37'!H33</f>
        <v>0.10152297909805327</v>
      </c>
      <c r="I34" s="34">
        <f>'KU - Project 37'!I33</f>
        <v>0.10152297909805327</v>
      </c>
      <c r="J34" s="34">
        <f>'KU - Project 37'!J33</f>
        <v>0.10152297909805327</v>
      </c>
      <c r="K34" s="34">
        <f>'KU - Project 37'!K33</f>
        <v>0.10152297909805327</v>
      </c>
      <c r="L34" s="34">
        <f>'KU - Project 37'!L33</f>
        <v>0.10152297909805327</v>
      </c>
    </row>
    <row r="35" spans="1:12" ht="18.75" customHeight="1">
      <c r="A35" s="55"/>
      <c r="B35" s="41"/>
      <c r="C35" s="180">
        <f aca="true" t="shared" si="6" ref="C35:I35">C33*C34</f>
        <v>567733.3801965335</v>
      </c>
      <c r="D35" s="180">
        <f t="shared" si="6"/>
        <v>548618.0482190839</v>
      </c>
      <c r="E35" s="180">
        <f t="shared" si="6"/>
        <v>530247.3812222444</v>
      </c>
      <c r="F35" s="180">
        <f t="shared" si="6"/>
        <v>512563.6745396208</v>
      </c>
      <c r="G35" s="180">
        <f t="shared" si="6"/>
        <v>495517.4670285895</v>
      </c>
      <c r="H35" s="180">
        <f t="shared" si="6"/>
        <v>479059.2975465271</v>
      </c>
      <c r="I35" s="180">
        <f t="shared" si="6"/>
        <v>463146.57455395214</v>
      </c>
      <c r="J35" s="180">
        <f>J33*J34</f>
        <v>447736.7065113833</v>
      </c>
      <c r="K35" s="180">
        <f>K33*K34</f>
        <v>432409.27370652044</v>
      </c>
      <c r="L35" s="180">
        <f>L33*L34</f>
        <v>417083.2148222858</v>
      </c>
    </row>
    <row r="36" spans="1:12" ht="18.75" customHeight="1">
      <c r="A36" s="55"/>
      <c r="B36" s="41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18.75" customHeight="1">
      <c r="A37" s="55"/>
      <c r="B37" s="57" t="s">
        <v>65</v>
      </c>
      <c r="C37" s="176">
        <f>'KU - Project 37'!C36</f>
        <v>0</v>
      </c>
      <c r="D37" s="176">
        <f>'KU - Project 37'!D36</f>
        <v>0</v>
      </c>
      <c r="E37" s="176">
        <f>'KU - Project 37'!E36</f>
        <v>0</v>
      </c>
      <c r="F37" s="176">
        <f>'KU - Project 37'!F36</f>
        <v>0</v>
      </c>
      <c r="G37" s="176">
        <f>'KU - Project 37'!G36</f>
        <v>0</v>
      </c>
      <c r="H37" s="176">
        <f>'KU - Project 37'!H36</f>
        <v>0</v>
      </c>
      <c r="I37" s="176">
        <f>'KU - Project 37'!I36</f>
        <v>0</v>
      </c>
      <c r="J37" s="176">
        <f>'KU - Project 37'!J36</f>
        <v>0</v>
      </c>
      <c r="K37" s="176">
        <f>'KU - Project 37'!K36</f>
        <v>0</v>
      </c>
      <c r="L37" s="176">
        <f>'KU - Project 37'!L36</f>
        <v>0</v>
      </c>
    </row>
    <row r="38" spans="1:12" ht="18.75" customHeight="1">
      <c r="A38" s="55"/>
      <c r="B38" s="55" t="s">
        <v>48</v>
      </c>
      <c r="C38" s="176">
        <f>'KU - Project 37'!C37</f>
        <v>6154.166666666667</v>
      </c>
      <c r="D38" s="176">
        <f>'KU - Project 37'!D37</f>
        <v>147700</v>
      </c>
      <c r="E38" s="176">
        <f>'KU - Project 37'!E37</f>
        <v>147700</v>
      </c>
      <c r="F38" s="176">
        <f>'KU - Project 37'!F37</f>
        <v>147700</v>
      </c>
      <c r="G38" s="176">
        <f>'KU - Project 37'!G37</f>
        <v>147700</v>
      </c>
      <c r="H38" s="176">
        <f>'KU - Project 37'!H37</f>
        <v>147700</v>
      </c>
      <c r="I38" s="176">
        <f>'KU - Project 37'!I37</f>
        <v>147700</v>
      </c>
      <c r="J38" s="176">
        <f>'KU - Project 37'!J37</f>
        <v>147700</v>
      </c>
      <c r="K38" s="176">
        <f>'KU - Project 37'!K37</f>
        <v>147700</v>
      </c>
      <c r="L38" s="176">
        <f>'KU - Project 37'!L37</f>
        <v>147700</v>
      </c>
    </row>
    <row r="39" spans="1:12" ht="18.75" customHeight="1">
      <c r="A39" s="55"/>
      <c r="B39" s="55" t="s">
        <v>49</v>
      </c>
      <c r="C39" s="176">
        <f>'KU - Project 37'!C38</f>
        <v>0</v>
      </c>
      <c r="D39" s="176">
        <f>'KU - Project 37'!D38</f>
        <v>0</v>
      </c>
      <c r="E39" s="176">
        <f>'KU - Project 37'!E38</f>
        <v>0</v>
      </c>
      <c r="F39" s="176">
        <f>'KU - Project 37'!F38</f>
        <v>0</v>
      </c>
      <c r="G39" s="176">
        <f>'KU - Project 37'!G38</f>
        <v>0</v>
      </c>
      <c r="H39" s="176">
        <f>'KU - Project 37'!H38</f>
        <v>0</v>
      </c>
      <c r="I39" s="176">
        <f>'KU - Project 37'!I38</f>
        <v>0</v>
      </c>
      <c r="J39" s="176">
        <f>'KU - Project 37'!J38</f>
        <v>0</v>
      </c>
      <c r="K39" s="176">
        <f>'KU - Project 37'!K38</f>
        <v>0</v>
      </c>
      <c r="L39" s="176">
        <f>'KU - Project 37'!L38</f>
        <v>0</v>
      </c>
    </row>
    <row r="40" spans="1:12" ht="18.75" customHeight="1">
      <c r="A40" s="55"/>
      <c r="B40" s="55" t="s">
        <v>50</v>
      </c>
      <c r="C40" s="176">
        <f>'KU - Project 37'!C39</f>
        <v>0</v>
      </c>
      <c r="D40" s="176">
        <f>'KU - Project 37'!D39</f>
        <v>10490.76875</v>
      </c>
      <c r="E40" s="176">
        <f>'KU - Project 37'!E39</f>
        <v>10269.21875</v>
      </c>
      <c r="F40" s="176">
        <f>'KU - Project 37'!F39</f>
        <v>10047.668749999999</v>
      </c>
      <c r="G40" s="176">
        <f>'KU - Project 37'!G39</f>
        <v>9826.11875</v>
      </c>
      <c r="H40" s="176">
        <f>'KU - Project 37'!H39</f>
        <v>9604.56875</v>
      </c>
      <c r="I40" s="176">
        <f>'KU - Project 37'!I39</f>
        <v>9383.01875</v>
      </c>
      <c r="J40" s="176">
        <f>'KU - Project 37'!J39</f>
        <v>9161.46875</v>
      </c>
      <c r="K40" s="176">
        <f>'KU - Project 37'!K39</f>
        <v>8939.918749999999</v>
      </c>
      <c r="L40" s="176">
        <f>'KU - Project 37'!L39</f>
        <v>8718.368750000001</v>
      </c>
    </row>
    <row r="41" spans="1:12" ht="18.75" customHeight="1">
      <c r="A41" s="55"/>
      <c r="B41" s="60" t="s">
        <v>51</v>
      </c>
      <c r="C41" s="179">
        <f aca="true" t="shared" si="7" ref="C41:I41">SUM(C37:C40)</f>
        <v>6154.166666666667</v>
      </c>
      <c r="D41" s="179">
        <f t="shared" si="7"/>
        <v>158190.76875</v>
      </c>
      <c r="E41" s="179">
        <f t="shared" si="7"/>
        <v>157969.21875</v>
      </c>
      <c r="F41" s="179">
        <f t="shared" si="7"/>
        <v>157747.66875</v>
      </c>
      <c r="G41" s="179">
        <f t="shared" si="7"/>
        <v>157526.11875</v>
      </c>
      <c r="H41" s="179">
        <f t="shared" si="7"/>
        <v>157304.56875</v>
      </c>
      <c r="I41" s="179">
        <f t="shared" si="7"/>
        <v>157083.01875</v>
      </c>
      <c r="J41" s="179">
        <f>SUM(J37:J40)</f>
        <v>156861.46875</v>
      </c>
      <c r="K41" s="179">
        <f>SUM(K37:K40)</f>
        <v>156639.91875</v>
      </c>
      <c r="L41" s="179">
        <f>SUM(L37:L40)</f>
        <v>156418.36875</v>
      </c>
    </row>
    <row r="42" spans="1:12" ht="18.75" customHeight="1">
      <c r="A42" s="55"/>
      <c r="B42" s="60"/>
      <c r="C42" s="36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8.75" customHeight="1">
      <c r="A43" s="55"/>
      <c r="B43" s="60" t="s">
        <v>13</v>
      </c>
      <c r="C43" s="176">
        <f>C35+C41</f>
        <v>573887.5468632001</v>
      </c>
      <c r="D43" s="176">
        <f aca="true" t="shared" si="8" ref="D43:I43">D35+D41</f>
        <v>706808.8169690839</v>
      </c>
      <c r="E43" s="176">
        <f t="shared" si="8"/>
        <v>688216.5999722444</v>
      </c>
      <c r="F43" s="176">
        <f t="shared" si="8"/>
        <v>670311.3432896208</v>
      </c>
      <c r="G43" s="176">
        <f t="shared" si="8"/>
        <v>653043.5857785895</v>
      </c>
      <c r="H43" s="176">
        <f t="shared" si="8"/>
        <v>636363.8662965271</v>
      </c>
      <c r="I43" s="176">
        <f t="shared" si="8"/>
        <v>620229.5933039521</v>
      </c>
      <c r="J43" s="176">
        <f>J35+J41</f>
        <v>604598.1752613833</v>
      </c>
      <c r="K43" s="176">
        <f>K35+K41</f>
        <v>589049.1924565204</v>
      </c>
      <c r="L43" s="176">
        <f>L35+L41</f>
        <v>573501.5835722858</v>
      </c>
    </row>
    <row r="44" s="48" customFormat="1" ht="18.75" customHeight="1"/>
    <row r="45" spans="1:14" ht="18.75" customHeight="1">
      <c r="A45" s="10" t="s">
        <v>308</v>
      </c>
      <c r="B45" s="40" t="s">
        <v>416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  <c r="N45" s="54"/>
    </row>
    <row r="46" spans="1:12" ht="18.75" customHeight="1">
      <c r="A46" s="55"/>
      <c r="B46" s="56" t="s">
        <v>14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8.75" customHeight="1">
      <c r="A47" s="55"/>
      <c r="B47" s="55" t="s">
        <v>60</v>
      </c>
      <c r="C47" s="169">
        <f>'KU - Project 38'!C26+'KU - Project 38'!C68+'KU - Project 38'!C110+'KU - Project 38'!C152</f>
        <v>10071004.700000001</v>
      </c>
      <c r="D47" s="169">
        <f>'KU - Project 38'!D26+'KU - Project 38'!D68+'KU - Project 38'!D110+'KU - Project 38'!D152</f>
        <v>10071004.700000001</v>
      </c>
      <c r="E47" s="169">
        <f>'KU - Project 38'!E26+'KU - Project 38'!E68+'KU - Project 38'!E110+'KU - Project 38'!E152</f>
        <v>10071004.700000001</v>
      </c>
      <c r="F47" s="169">
        <f>'KU - Project 38'!F26+'KU - Project 38'!F68+'KU - Project 38'!F110+'KU - Project 38'!F152</f>
        <v>10071004.700000001</v>
      </c>
      <c r="G47" s="169">
        <f>'KU - Project 38'!G26+'KU - Project 38'!G68+'KU - Project 38'!G110+'KU - Project 38'!G152</f>
        <v>10071004.700000001</v>
      </c>
      <c r="H47" s="169">
        <f>'KU - Project 38'!H26+'KU - Project 38'!H68+'KU - Project 38'!H110+'KU - Project 38'!H152</f>
        <v>10071004.700000001</v>
      </c>
      <c r="I47" s="169">
        <f>'KU - Project 38'!I26+'KU - Project 38'!I68+'KU - Project 38'!I110+'KU - Project 38'!I152</f>
        <v>10071004.700000001</v>
      </c>
      <c r="J47" s="169">
        <f>'KU - Project 38'!J26+'KU - Project 38'!J68+'KU - Project 38'!J110+'KU - Project 38'!J152</f>
        <v>10071004.700000001</v>
      </c>
      <c r="K47" s="169">
        <f>'KU - Project 38'!K26+'KU - Project 38'!K68+'KU - Project 38'!K110+'KU - Project 38'!K152</f>
        <v>10071004.700000001</v>
      </c>
      <c r="L47" s="169">
        <f>'KU - Project 38'!L26+'KU - Project 38'!L68+'KU - Project 38'!L110+'KU - Project 38'!L152</f>
        <v>10071004.700000001</v>
      </c>
    </row>
    <row r="48" spans="1:12" ht="18.75" customHeight="1">
      <c r="A48" s="55"/>
      <c r="B48" s="57" t="s">
        <v>61</v>
      </c>
      <c r="C48" s="169">
        <f>'KU - Project 38'!C27+'KU - Project 38'!C69+'KU - Project 38'!C111+'KU - Project 38'!C153</f>
        <v>0</v>
      </c>
      <c r="D48" s="169">
        <f>'KU - Project 38'!D27+'KU - Project 38'!D69+'KU - Project 38'!D111+'KU - Project 38'!D153</f>
        <v>0</v>
      </c>
      <c r="E48" s="169">
        <f>'KU - Project 38'!E27+'KU - Project 38'!E69+'KU - Project 38'!E111+'KU - Project 38'!E153</f>
        <v>0</v>
      </c>
      <c r="F48" s="169">
        <f>'KU - Project 38'!F27+'KU - Project 38'!F69+'KU - Project 38'!F111+'KU - Project 38'!F153</f>
        <v>0</v>
      </c>
      <c r="G48" s="169">
        <f>'KU - Project 38'!G27+'KU - Project 38'!G69+'KU - Project 38'!G111+'KU - Project 38'!G153</f>
        <v>0</v>
      </c>
      <c r="H48" s="169">
        <f>'KU - Project 38'!H27+'KU - Project 38'!H69+'KU - Project 38'!H111+'KU - Project 38'!H153</f>
        <v>0</v>
      </c>
      <c r="I48" s="169">
        <f>'KU - Project 38'!I27+'KU - Project 38'!I69+'KU - Project 38'!I111+'KU - Project 38'!I153</f>
        <v>0</v>
      </c>
      <c r="J48" s="169">
        <f>'KU - Project 38'!J27+'KU - Project 38'!J69+'KU - Project 38'!J111+'KU - Project 38'!J153</f>
        <v>0</v>
      </c>
      <c r="K48" s="169">
        <f>'KU - Project 38'!K27+'KU - Project 38'!K69+'KU - Project 38'!K111+'KU - Project 38'!K153</f>
        <v>0</v>
      </c>
      <c r="L48" s="169">
        <f>'KU - Project 38'!L27+'KU - Project 38'!L69+'KU - Project 38'!L111+'KU - Project 38'!L153</f>
        <v>0</v>
      </c>
    </row>
    <row r="49" spans="1:12" ht="18.75" customHeight="1">
      <c r="A49" s="55"/>
      <c r="B49" s="55" t="s">
        <v>10</v>
      </c>
      <c r="C49" s="169">
        <f>'KU - Project 38'!C28+'KU - Project 38'!C70+'KU - Project 38'!C112+'KU - Project 38'!C154</f>
        <v>-43492.922148749996</v>
      </c>
      <c r="D49" s="169">
        <f>'KU - Project 38'!D28+'KU - Project 38'!D70+'KU - Project 38'!D112+'KU - Project 38'!D154</f>
        <v>-252258.94846275</v>
      </c>
      <c r="E49" s="169">
        <f>'KU - Project 38'!E28+'KU - Project 38'!E70+'KU - Project 38'!E112+'KU - Project 38'!E154</f>
        <v>-461024.97477675</v>
      </c>
      <c r="F49" s="169">
        <f>'KU - Project 38'!F28+'KU - Project 38'!F70+'KU - Project 38'!F112+'KU - Project 38'!F154</f>
        <v>-669791.00109075</v>
      </c>
      <c r="G49" s="169">
        <f>'KU - Project 38'!G28+'KU - Project 38'!G70+'KU - Project 38'!G112+'KU - Project 38'!G154</f>
        <v>-878557.02740475</v>
      </c>
      <c r="H49" s="169">
        <f>'KU - Project 38'!H28+'KU - Project 38'!H70+'KU - Project 38'!H112+'KU - Project 38'!H154</f>
        <v>-1087323.05371875</v>
      </c>
      <c r="I49" s="169">
        <f>'KU - Project 38'!I28+'KU - Project 38'!I70+'KU - Project 38'!I112+'KU - Project 38'!I154</f>
        <v>-1296089.0800327498</v>
      </c>
      <c r="J49" s="169">
        <f>'KU - Project 38'!J28+'KU - Project 38'!J70+'KU - Project 38'!J112+'KU - Project 38'!J154</f>
        <v>-1504855.1063467502</v>
      </c>
      <c r="K49" s="169">
        <f>'KU - Project 38'!K28+'KU - Project 38'!K70+'KU - Project 38'!K112+'KU - Project 38'!K154</f>
        <v>-1713621.13266075</v>
      </c>
      <c r="L49" s="169">
        <f>'KU - Project 38'!L28+'KU - Project 38'!L70+'KU - Project 38'!L112+'KU - Project 38'!L154</f>
        <v>-1922387.1589747502</v>
      </c>
    </row>
    <row r="50" spans="1:12" ht="18.75" customHeight="1">
      <c r="A50" s="55"/>
      <c r="B50" s="58" t="s">
        <v>62</v>
      </c>
      <c r="C50" s="169">
        <f>'KU - Project 38'!C29+'KU - Project 38'!C71+'KU - Project 38'!C113+'KU - Project 38'!C155</f>
        <v>0</v>
      </c>
      <c r="D50" s="169">
        <f>'KU - Project 38'!D29+'KU - Project 38'!D71+'KU - Project 38'!D113+'KU - Project 38'!D155</f>
        <v>0</v>
      </c>
      <c r="E50" s="169">
        <f>'KU - Project 38'!E29+'KU - Project 38'!E71+'KU - Project 38'!E113+'KU - Project 38'!E155</f>
        <v>0</v>
      </c>
      <c r="F50" s="169">
        <f>'KU - Project 38'!F29+'KU - Project 38'!F71+'KU - Project 38'!F113+'KU - Project 38'!F155</f>
        <v>0</v>
      </c>
      <c r="G50" s="169">
        <f>'KU - Project 38'!G29+'KU - Project 38'!G71+'KU - Project 38'!G113+'KU - Project 38'!G155</f>
        <v>0</v>
      </c>
      <c r="H50" s="169">
        <f>'KU - Project 38'!H29+'KU - Project 38'!H71+'KU - Project 38'!H113+'KU - Project 38'!H155</f>
        <v>0</v>
      </c>
      <c r="I50" s="169">
        <f>'KU - Project 38'!I29+'KU - Project 38'!I71+'KU - Project 38'!I113+'KU - Project 38'!I155</f>
        <v>0</v>
      </c>
      <c r="J50" s="169">
        <f>'KU - Project 38'!J29+'KU - Project 38'!J71+'KU - Project 38'!J113+'KU - Project 38'!J155</f>
        <v>0</v>
      </c>
      <c r="K50" s="169">
        <f>'KU - Project 38'!K29+'KU - Project 38'!K71+'KU - Project 38'!K113+'KU - Project 38'!K155</f>
        <v>0</v>
      </c>
      <c r="L50" s="169">
        <f>'KU - Project 38'!L29+'KU - Project 38'!L71+'KU - Project 38'!L113+'KU - Project 38'!L155</f>
        <v>0</v>
      </c>
    </row>
    <row r="51" spans="1:12" ht="18.75" customHeight="1">
      <c r="A51" s="55"/>
      <c r="B51" s="55" t="s">
        <v>63</v>
      </c>
      <c r="C51" s="169">
        <f>'KU - Project 38'!C30+'KU - Project 38'!C72+'KU - Project 38'!C114+'KU - Project 38'!C156</f>
        <v>-2003223.8905723765</v>
      </c>
      <c r="D51" s="169">
        <f>'KU - Project 38'!D30+'KU - Project 38'!D72+'KU - Project 38'!D114+'KU - Project 38'!D156</f>
        <v>-2063058.3224150208</v>
      </c>
      <c r="E51" s="169">
        <f>'KU - Project 38'!E30+'KU - Project 38'!E72+'KU - Project 38'!E114+'KU - Project 38'!E156</f>
        <v>-2112339.866082177</v>
      </c>
      <c r="F51" s="169">
        <f>'KU - Project 38'!F30+'KU - Project 38'!F72+'KU - Project 38'!F114+'KU - Project 38'!F156</f>
        <v>-2151886.273056078</v>
      </c>
      <c r="G51" s="169">
        <f>'KU - Project 38'!G30+'KU - Project 38'!G72+'KU - Project 38'!G114+'KU - Project 38'!G156</f>
        <v>-2182398.473178638</v>
      </c>
      <c r="H51" s="169">
        <f>'KU - Project 38'!H30+'KU - Project 38'!H72+'KU - Project 38'!H114+'KU - Project 38'!H156</f>
        <v>-2204577.3962917724</v>
      </c>
      <c r="I51" s="169">
        <f>'KU - Project 38'!I30+'KU - Project 38'!I72+'KU - Project 38'!I114+'KU - Project 38'!I156</f>
        <v>-2219026.620870462</v>
      </c>
      <c r="J51" s="169">
        <f>'KU - Project 38'!J30+'KU - Project 38'!J72+'KU - Project 38'!J114+'KU - Project 38'!J156</f>
        <v>-2226349.7253896887</v>
      </c>
      <c r="K51" s="169">
        <f>'KU - Project 38'!K30+'KU - Project 38'!K72+'KU - Project 38'!K114+'KU - Project 38'!K156</f>
        <v>-2232504.6135057253</v>
      </c>
      <c r="L51" s="169">
        <f>'KU - Project 38'!L30+'KU - Project 38'!L72+'KU - Project 38'!L114+'KU - Project 38'!L156</f>
        <v>-2238640.031348375</v>
      </c>
    </row>
    <row r="52" spans="1:12" ht="18.75" customHeight="1">
      <c r="A52" s="55"/>
      <c r="B52" s="57" t="s">
        <v>64</v>
      </c>
      <c r="C52" s="169">
        <f>'KU - Project 38'!C31+'KU - Project 38'!C73+'KU - Project 38'!C115+'KU - Project 38'!C157</f>
        <v>0</v>
      </c>
      <c r="D52" s="169">
        <f>'KU - Project 38'!D31+'KU - Project 38'!D73+'KU - Project 38'!D115+'KU - Project 38'!D157</f>
        <v>0</v>
      </c>
      <c r="E52" s="169">
        <f>'KU - Project 38'!E31+'KU - Project 38'!E73+'KU - Project 38'!E115+'KU - Project 38'!E157</f>
        <v>0</v>
      </c>
      <c r="F52" s="169">
        <f>'KU - Project 38'!F31+'KU - Project 38'!F73+'KU - Project 38'!F115+'KU - Project 38'!F157</f>
        <v>0</v>
      </c>
      <c r="G52" s="169">
        <f>'KU - Project 38'!G31+'KU - Project 38'!G73+'KU - Project 38'!G115+'KU - Project 38'!G157</f>
        <v>0</v>
      </c>
      <c r="H52" s="169">
        <f>'KU - Project 38'!H31+'KU - Project 38'!H73+'KU - Project 38'!H115+'KU - Project 38'!H157</f>
        <v>0</v>
      </c>
      <c r="I52" s="169">
        <f>'KU - Project 38'!I31+'KU - Project 38'!I73+'KU - Project 38'!I115+'KU - Project 38'!I157</f>
        <v>0</v>
      </c>
      <c r="J52" s="169">
        <f>'KU - Project 38'!J31+'KU - Project 38'!J73+'KU - Project 38'!J115+'KU - Project 38'!J157</f>
        <v>0</v>
      </c>
      <c r="K52" s="169">
        <f>'KU - Project 38'!K31+'KU - Project 38'!K73+'KU - Project 38'!K115+'KU - Project 38'!K157</f>
        <v>0</v>
      </c>
      <c r="L52" s="169">
        <f>'KU - Project 38'!L31+'KU - Project 38'!L73+'KU - Project 38'!L115+'KU - Project 38'!L157</f>
        <v>0</v>
      </c>
    </row>
    <row r="53" spans="1:12" ht="18.75" customHeight="1">
      <c r="A53" s="55"/>
      <c r="B53" s="55" t="s">
        <v>11</v>
      </c>
      <c r="C53" s="169">
        <f>SUM(C47:C52)</f>
        <v>8024287.887278875</v>
      </c>
      <c r="D53" s="169">
        <f aca="true" t="shared" si="9" ref="D53:L53">SUM(D47:D52)</f>
        <v>7755687.42912223</v>
      </c>
      <c r="E53" s="169">
        <f t="shared" si="9"/>
        <v>7497639.859141074</v>
      </c>
      <c r="F53" s="169">
        <f t="shared" si="9"/>
        <v>7249327.425853173</v>
      </c>
      <c r="G53" s="169">
        <f t="shared" si="9"/>
        <v>7010049.199416613</v>
      </c>
      <c r="H53" s="169">
        <f t="shared" si="9"/>
        <v>6779104.24998948</v>
      </c>
      <c r="I53" s="169">
        <f t="shared" si="9"/>
        <v>6555888.99909679</v>
      </c>
      <c r="J53" s="169">
        <f t="shared" si="9"/>
        <v>6339799.868263561</v>
      </c>
      <c r="K53" s="169">
        <f t="shared" si="9"/>
        <v>6124878.953833526</v>
      </c>
      <c r="L53" s="169">
        <f t="shared" si="9"/>
        <v>5909977.509676876</v>
      </c>
    </row>
    <row r="54" spans="1:12" ht="18.75" customHeight="1">
      <c r="A54" s="55"/>
      <c r="B54" s="55" t="s">
        <v>12</v>
      </c>
      <c r="C54" s="34">
        <f>'KU - Project 38'!C33</f>
        <v>0.10152297909805327</v>
      </c>
      <c r="D54" s="34">
        <f>'KU - Project 38'!D33</f>
        <v>0.10152297909805327</v>
      </c>
      <c r="E54" s="34">
        <f>'KU - Project 38'!E33</f>
        <v>0.10152297909805327</v>
      </c>
      <c r="F54" s="34">
        <f>'KU - Project 38'!F33</f>
        <v>0.10152297909805327</v>
      </c>
      <c r="G54" s="34">
        <f>'KU - Project 38'!G33</f>
        <v>0.10152297909805327</v>
      </c>
      <c r="H54" s="34">
        <f>'KU - Project 38'!H33</f>
        <v>0.10152297909805327</v>
      </c>
      <c r="I54" s="34">
        <f>'KU - Project 38'!I33</f>
        <v>0.10152297909805327</v>
      </c>
      <c r="J54" s="34">
        <f>'KU - Project 38'!J33</f>
        <v>0.10152297909805327</v>
      </c>
      <c r="K54" s="34">
        <f>'KU - Project 38'!K33</f>
        <v>0.10152297909805327</v>
      </c>
      <c r="L54" s="34">
        <f>'KU - Project 38'!L33</f>
        <v>0.10152297909805327</v>
      </c>
    </row>
    <row r="55" spans="1:12" ht="18.75" customHeight="1">
      <c r="A55" s="55"/>
      <c r="B55" s="41"/>
      <c r="C55" s="180">
        <f aca="true" t="shared" si="10" ref="C55:I55">C53*C54</f>
        <v>814649.6114569753</v>
      </c>
      <c r="D55" s="180">
        <f t="shared" si="10"/>
        <v>787380.4927578106</v>
      </c>
      <c r="E55" s="180">
        <f t="shared" si="10"/>
        <v>761182.7347043103</v>
      </c>
      <c r="F55" s="180">
        <f t="shared" si="10"/>
        <v>735973.316729836</v>
      </c>
      <c r="G55" s="180">
        <f t="shared" si="10"/>
        <v>711681.0783486979</v>
      </c>
      <c r="H55" s="180">
        <f t="shared" si="10"/>
        <v>688234.8590752061</v>
      </c>
      <c r="I55" s="180">
        <f t="shared" si="10"/>
        <v>665573.3818244608</v>
      </c>
      <c r="J55" s="180">
        <f>J53*J54</f>
        <v>643635.3695115624</v>
      </c>
      <c r="K55" s="180">
        <f>K53*K54</f>
        <v>621815.9580081474</v>
      </c>
      <c r="L55" s="180">
        <f>L53*L54</f>
        <v>599998.5231848904</v>
      </c>
    </row>
    <row r="56" spans="1:12" ht="18.75" customHeight="1">
      <c r="A56" s="55"/>
      <c r="B56" s="41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18.75" customHeight="1">
      <c r="A57" s="55"/>
      <c r="B57" s="57" t="s">
        <v>65</v>
      </c>
      <c r="C57" s="190">
        <f>'KU - Project 38'!C36+'KU - Project 38'!C78+'KU - Project 38'!C120+'KU - Project 38'!C162</f>
        <v>0</v>
      </c>
      <c r="D57" s="190">
        <f>'KU - Project 38'!D36+'KU - Project 38'!D78+'KU - Project 38'!D120+'KU - Project 38'!D162</f>
        <v>0</v>
      </c>
      <c r="E57" s="190">
        <f>'KU - Project 38'!E36+'KU - Project 38'!E78+'KU - Project 38'!E120+'KU - Project 38'!E162</f>
        <v>0</v>
      </c>
      <c r="F57" s="190">
        <f>'KU - Project 38'!F36+'KU - Project 38'!F78+'KU - Project 38'!F120+'KU - Project 38'!F162</f>
        <v>0</v>
      </c>
      <c r="G57" s="190">
        <f>'KU - Project 38'!G36+'KU - Project 38'!G78+'KU - Project 38'!G120+'KU - Project 38'!G162</f>
        <v>0</v>
      </c>
      <c r="H57" s="190">
        <f>'KU - Project 38'!H36+'KU - Project 38'!H78+'KU - Project 38'!H120+'KU - Project 38'!H162</f>
        <v>0</v>
      </c>
      <c r="I57" s="190">
        <f>'KU - Project 38'!I36+'KU - Project 38'!I78+'KU - Project 38'!I120+'KU - Project 38'!I162</f>
        <v>0</v>
      </c>
      <c r="J57" s="190">
        <f>'KU - Project 38'!J36+'KU - Project 38'!J78+'KU - Project 38'!J120+'KU - Project 38'!J162</f>
        <v>0</v>
      </c>
      <c r="K57" s="190">
        <f>'KU - Project 38'!K36+'KU - Project 38'!K78+'KU - Project 38'!K120+'KU - Project 38'!K162</f>
        <v>0</v>
      </c>
      <c r="L57" s="190">
        <f>'KU - Project 38'!L36+'KU - Project 38'!L78+'KU - Project 38'!L120+'KU - Project 38'!L162</f>
        <v>0</v>
      </c>
    </row>
    <row r="58" spans="1:12" ht="18.75" customHeight="1">
      <c r="A58" s="55"/>
      <c r="B58" s="55" t="s">
        <v>48</v>
      </c>
      <c r="C58" s="190">
        <f>'KU - Project 38'!C37+'KU - Project 38'!C79+'KU - Project 38'!C121+'KU - Project 38'!C163</f>
        <v>43492.922148749996</v>
      </c>
      <c r="D58" s="190">
        <f>'KU - Project 38'!D37+'KU - Project 38'!D79+'KU - Project 38'!D121+'KU - Project 38'!D163</f>
        <v>208766.026314</v>
      </c>
      <c r="E58" s="190">
        <f>'KU - Project 38'!E37+'KU - Project 38'!E79+'KU - Project 38'!E121+'KU - Project 38'!E163</f>
        <v>208766.026314</v>
      </c>
      <c r="F58" s="190">
        <f>'KU - Project 38'!F37+'KU - Project 38'!F79+'KU - Project 38'!F121+'KU - Project 38'!F163</f>
        <v>208766.026314</v>
      </c>
      <c r="G58" s="190">
        <f>'KU - Project 38'!G37+'KU - Project 38'!G79+'KU - Project 38'!G121+'KU - Project 38'!G163</f>
        <v>208766.026314</v>
      </c>
      <c r="H58" s="190">
        <f>'KU - Project 38'!H37+'KU - Project 38'!H79+'KU - Project 38'!H121+'KU - Project 38'!H163</f>
        <v>208766.026314</v>
      </c>
      <c r="I58" s="190">
        <f>'KU - Project 38'!I37+'KU - Project 38'!I79+'KU - Project 38'!I121+'KU - Project 38'!I163</f>
        <v>208766.026314</v>
      </c>
      <c r="J58" s="190">
        <f>'KU - Project 38'!J37+'KU - Project 38'!J79+'KU - Project 38'!J121+'KU - Project 38'!J163</f>
        <v>208766.026314</v>
      </c>
      <c r="K58" s="190">
        <f>'KU - Project 38'!K37+'KU - Project 38'!K79+'KU - Project 38'!K121+'KU - Project 38'!K163</f>
        <v>208766.026314</v>
      </c>
      <c r="L58" s="190">
        <f>'KU - Project 38'!L37+'KU - Project 38'!L79+'KU - Project 38'!L121+'KU - Project 38'!L163</f>
        <v>208766.026314</v>
      </c>
    </row>
    <row r="59" spans="1:12" ht="18.75" customHeight="1">
      <c r="A59" s="55"/>
      <c r="B59" s="55" t="s">
        <v>49</v>
      </c>
      <c r="C59" s="190">
        <f>'KU - Project 38'!C38+'KU - Project 38'!C80+'KU - Project 38'!C122+'KU - Project 38'!C164</f>
        <v>0</v>
      </c>
      <c r="D59" s="190">
        <f>'KU - Project 38'!D38+'KU - Project 38'!D80+'KU - Project 38'!D122+'KU - Project 38'!D164</f>
        <v>0</v>
      </c>
      <c r="E59" s="190">
        <f>'KU - Project 38'!E38+'KU - Project 38'!E80+'KU - Project 38'!E122+'KU - Project 38'!E164</f>
        <v>0</v>
      </c>
      <c r="F59" s="190">
        <f>'KU - Project 38'!F38+'KU - Project 38'!F80+'KU - Project 38'!F122+'KU - Project 38'!F164</f>
        <v>0</v>
      </c>
      <c r="G59" s="190">
        <f>'KU - Project 38'!G38+'KU - Project 38'!G80+'KU - Project 38'!G122+'KU - Project 38'!G164</f>
        <v>0</v>
      </c>
      <c r="H59" s="190">
        <f>'KU - Project 38'!H38+'KU - Project 38'!H80+'KU - Project 38'!H122+'KU - Project 38'!H164</f>
        <v>0</v>
      </c>
      <c r="I59" s="190">
        <f>'KU - Project 38'!I38+'KU - Project 38'!I80+'KU - Project 38'!I122+'KU - Project 38'!I164</f>
        <v>0</v>
      </c>
      <c r="J59" s="190">
        <f>'KU - Project 38'!J38+'KU - Project 38'!J80+'KU - Project 38'!J122+'KU - Project 38'!J164</f>
        <v>0</v>
      </c>
      <c r="K59" s="190">
        <f>'KU - Project 38'!K38+'KU - Project 38'!K80+'KU - Project 38'!K122+'KU - Project 38'!K164</f>
        <v>0</v>
      </c>
      <c r="L59" s="190">
        <f>'KU - Project 38'!L38+'KU - Project 38'!L80+'KU - Project 38'!L122+'KU - Project 38'!L164</f>
        <v>0</v>
      </c>
    </row>
    <row r="60" spans="1:12" ht="18.75" customHeight="1">
      <c r="A60" s="55"/>
      <c r="B60" s="55" t="s">
        <v>50</v>
      </c>
      <c r="C60" s="191">
        <f>'KU - Project 38'!C39+'KU - Project 38'!C81+'KU - Project 38'!C123+'KU - Project 38'!C165</f>
        <v>0</v>
      </c>
      <c r="D60" s="191">
        <f>'KU - Project 38'!D39+'KU - Project 38'!D81+'KU - Project 38'!D123+'KU - Project 38'!D165</f>
        <v>15041.267666776876</v>
      </c>
      <c r="E60" s="191">
        <f>'KU - Project 38'!E39+'KU - Project 38'!E81+'KU - Project 38'!E123+'KU - Project 38'!E165</f>
        <v>14728.118627305876</v>
      </c>
      <c r="F60" s="191">
        <f>'KU - Project 38'!F39+'KU - Project 38'!F81+'KU - Project 38'!F123+'KU - Project 38'!F165</f>
        <v>14414.969587834876</v>
      </c>
      <c r="G60" s="191">
        <f>'KU - Project 38'!G39+'KU - Project 38'!G81+'KU - Project 38'!G123+'KU - Project 38'!G165</f>
        <v>14101.820548363876</v>
      </c>
      <c r="H60" s="191">
        <f>'KU - Project 38'!H39+'KU - Project 38'!H81+'KU - Project 38'!H123+'KU - Project 38'!H165</f>
        <v>13788.671508892876</v>
      </c>
      <c r="I60" s="191">
        <f>'KU - Project 38'!I39+'KU - Project 38'!I81+'KU - Project 38'!I123+'KU - Project 38'!I165</f>
        <v>13475.522469421876</v>
      </c>
      <c r="J60" s="191">
        <f>'KU - Project 38'!J39+'KU - Project 38'!J81+'KU - Project 38'!J123+'KU - Project 38'!J165</f>
        <v>13162.373429950874</v>
      </c>
      <c r="K60" s="191">
        <f>'KU - Project 38'!K39+'KU - Project 38'!K81+'KU - Project 38'!K123+'KU - Project 38'!K165</f>
        <v>12849.224390479874</v>
      </c>
      <c r="L60" s="191">
        <f>'KU - Project 38'!L39+'KU - Project 38'!L81+'KU - Project 38'!L123+'KU - Project 38'!L165</f>
        <v>12536.075351008876</v>
      </c>
    </row>
    <row r="61" spans="1:12" ht="18.75" customHeight="1">
      <c r="A61" s="55"/>
      <c r="B61" s="60" t="s">
        <v>51</v>
      </c>
      <c r="C61" s="179">
        <f aca="true" t="shared" si="11" ref="C61:I61">SUM(C57:C60)</f>
        <v>43492.922148749996</v>
      </c>
      <c r="D61" s="179">
        <f t="shared" si="11"/>
        <v>223807.29398077686</v>
      </c>
      <c r="E61" s="179">
        <f t="shared" si="11"/>
        <v>223494.14494130586</v>
      </c>
      <c r="F61" s="179">
        <f t="shared" si="11"/>
        <v>223180.99590183486</v>
      </c>
      <c r="G61" s="179">
        <f t="shared" si="11"/>
        <v>222867.84686236386</v>
      </c>
      <c r="H61" s="179">
        <f t="shared" si="11"/>
        <v>222554.69782289286</v>
      </c>
      <c r="I61" s="179">
        <f t="shared" si="11"/>
        <v>222241.54878342187</v>
      </c>
      <c r="J61" s="179">
        <f>SUM(J57:J60)</f>
        <v>221928.39974395087</v>
      </c>
      <c r="K61" s="179">
        <f>SUM(K57:K60)</f>
        <v>221615.25070447987</v>
      </c>
      <c r="L61" s="179">
        <f>SUM(L57:L60)</f>
        <v>221302.10166500887</v>
      </c>
    </row>
    <row r="62" spans="1:12" ht="18.75" customHeight="1">
      <c r="A62" s="55"/>
      <c r="B62" s="60"/>
      <c r="C62" s="36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8.75" customHeight="1">
      <c r="A63" s="55"/>
      <c r="B63" s="60" t="s">
        <v>13</v>
      </c>
      <c r="C63" s="176">
        <f>C55+C61</f>
        <v>858142.5336057254</v>
      </c>
      <c r="D63" s="176">
        <f aca="true" t="shared" si="12" ref="D63:I63">D55+D61</f>
        <v>1011187.7867385875</v>
      </c>
      <c r="E63" s="176">
        <f t="shared" si="12"/>
        <v>984676.8796456162</v>
      </c>
      <c r="F63" s="176">
        <f t="shared" si="12"/>
        <v>959154.3126316709</v>
      </c>
      <c r="G63" s="176">
        <f t="shared" si="12"/>
        <v>934548.9252110617</v>
      </c>
      <c r="H63" s="176">
        <f t="shared" si="12"/>
        <v>910789.5568980989</v>
      </c>
      <c r="I63" s="176">
        <f t="shared" si="12"/>
        <v>887814.9306078827</v>
      </c>
      <c r="J63" s="176">
        <f>J55+J61</f>
        <v>865563.7692555133</v>
      </c>
      <c r="K63" s="176">
        <f>K55+K61</f>
        <v>843431.2087126273</v>
      </c>
      <c r="L63" s="176">
        <f>L55+L61</f>
        <v>821300.6248498992</v>
      </c>
    </row>
    <row r="64" s="48" customFormat="1" ht="18.75" customHeight="1"/>
    <row r="65" spans="1:14" ht="18.75" customHeight="1">
      <c r="A65" s="10" t="s">
        <v>309</v>
      </c>
      <c r="B65" s="40" t="s">
        <v>386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  <c r="N65" s="54"/>
    </row>
    <row r="66" spans="1:12" ht="18.75" customHeight="1">
      <c r="A66" s="55"/>
      <c r="B66" s="56" t="s">
        <v>14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8.75" customHeight="1">
      <c r="A67" s="55"/>
      <c r="B67" s="3" t="s">
        <v>60</v>
      </c>
      <c r="C67" s="169">
        <f>'KU - Project 39'!C26+'KU - Project 39'!C68+'KU - Project 39'!C110+'KU - Project 39'!C152+'KU - Project 39'!C194</f>
        <v>4972500</v>
      </c>
      <c r="D67" s="169">
        <f>'KU - Project 39'!D26+'KU - Project 39'!D68+'KU - Project 39'!D110+'KU - Project 39'!D152+'KU - Project 39'!D194</f>
        <v>27533500</v>
      </c>
      <c r="E67" s="169">
        <f>'KU - Project 39'!E26+'KU - Project 39'!E68+'KU - Project 39'!E110+'KU - Project 39'!E152+'KU - Project 39'!E194</f>
        <v>68209500</v>
      </c>
      <c r="F67" s="169">
        <f>'KU - Project 39'!F26+'KU - Project 39'!F68+'KU - Project 39'!F110+'KU - Project 39'!F152+'KU - Project 39'!F194</f>
        <v>77522500</v>
      </c>
      <c r="G67" s="169">
        <f>'KU - Project 39'!G26+'KU - Project 39'!G68+'KU - Project 39'!G110+'KU - Project 39'!G152+'KU - Project 39'!G194</f>
        <v>77522500</v>
      </c>
      <c r="H67" s="169">
        <f>'KU - Project 39'!H26+'KU - Project 39'!H68+'KU - Project 39'!H110+'KU - Project 39'!H152+'KU - Project 39'!H194</f>
        <v>77522500</v>
      </c>
      <c r="I67" s="169">
        <f>'KU - Project 39'!I26+'KU - Project 39'!I68+'KU - Project 39'!I110+'KU - Project 39'!I152+'KU - Project 39'!I194</f>
        <v>77522500</v>
      </c>
      <c r="J67" s="169">
        <f>'KU - Project 39'!J26+'KU - Project 39'!J68+'KU - Project 39'!J110+'KU - Project 39'!J152+'KU - Project 39'!J194</f>
        <v>77522500</v>
      </c>
      <c r="K67" s="169">
        <f>'KU - Project 39'!K26+'KU - Project 39'!K68+'KU - Project 39'!K110+'KU - Project 39'!K152+'KU - Project 39'!K194</f>
        <v>77522500</v>
      </c>
      <c r="L67" s="169">
        <f>'KU - Project 39'!L26+'KU - Project 39'!L68+'KU - Project 39'!L110+'KU - Project 39'!L152+'KU - Project 39'!L194</f>
        <v>77522500</v>
      </c>
    </row>
    <row r="68" spans="1:12" ht="18.75" customHeight="1">
      <c r="A68" s="55"/>
      <c r="B68" s="57" t="s">
        <v>61</v>
      </c>
      <c r="C68" s="169">
        <f>'KU - Project 39'!C27+'KU - Project 39'!C69+'KU - Project 39'!C111+'KU - Project 39'!C153+'KU - Project 39'!C195</f>
        <v>0</v>
      </c>
      <c r="D68" s="169">
        <f>'KU - Project 39'!D27+'KU - Project 39'!D69+'KU - Project 39'!D111+'KU - Project 39'!D153+'KU - Project 39'!D195</f>
        <v>0</v>
      </c>
      <c r="E68" s="169">
        <f>'KU - Project 39'!E27+'KU - Project 39'!E69+'KU - Project 39'!E111+'KU - Project 39'!E153+'KU - Project 39'!E195</f>
        <v>0</v>
      </c>
      <c r="F68" s="169">
        <f>'KU - Project 39'!F27+'KU - Project 39'!F69+'KU - Project 39'!F111+'KU - Project 39'!F153+'KU - Project 39'!F195</f>
        <v>0</v>
      </c>
      <c r="G68" s="169">
        <f>'KU - Project 39'!G27+'KU - Project 39'!G69+'KU - Project 39'!G111+'KU - Project 39'!G153+'KU - Project 39'!G195</f>
        <v>0</v>
      </c>
      <c r="H68" s="169">
        <f>'KU - Project 39'!H27+'KU - Project 39'!H69+'KU - Project 39'!H111+'KU - Project 39'!H153+'KU - Project 39'!H195</f>
        <v>0</v>
      </c>
      <c r="I68" s="169">
        <f>'KU - Project 39'!I27+'KU - Project 39'!I69+'KU - Project 39'!I111+'KU - Project 39'!I153+'KU - Project 39'!I195</f>
        <v>0</v>
      </c>
      <c r="J68" s="169">
        <f>'KU - Project 39'!J27+'KU - Project 39'!J69+'KU - Project 39'!J111+'KU - Project 39'!J153+'KU - Project 39'!J195</f>
        <v>0</v>
      </c>
      <c r="K68" s="169">
        <f>'KU - Project 39'!K27+'KU - Project 39'!K69+'KU - Project 39'!K111+'KU - Project 39'!K153+'KU - Project 39'!K195</f>
        <v>0</v>
      </c>
      <c r="L68" s="169">
        <f>'KU - Project 39'!L27+'KU - Project 39'!L69+'KU - Project 39'!L111+'KU - Project 39'!L153+'KU - Project 39'!L195</f>
        <v>0</v>
      </c>
    </row>
    <row r="69" spans="1:12" ht="18.75" customHeight="1">
      <c r="A69" s="55"/>
      <c r="B69" s="55" t="s">
        <v>10</v>
      </c>
      <c r="C69" s="169">
        <f>'KU - Project 39'!C28+'KU - Project 39'!C70+'KU - Project 39'!C112+'KU - Project 39'!C154+'KU - Project 39'!C196</f>
        <v>-19349526.387583002</v>
      </c>
      <c r="D69" s="169">
        <f>'KU - Project 39'!D28+'KU - Project 39'!D70+'KU - Project 39'!D112+'KU - Project 39'!D154+'KU - Project 39'!D196</f>
        <v>-38699052.775166005</v>
      </c>
      <c r="E69" s="169">
        <f>'KU - Project 39'!E28+'KU - Project 39'!E70+'KU - Project 39'!E112+'KU - Project 39'!E154+'KU - Project 39'!E196</f>
        <v>-58048579.16274901</v>
      </c>
      <c r="F69" s="169">
        <f>'KU - Project 39'!F28+'KU - Project 39'!F70+'KU - Project 39'!F112+'KU - Project 39'!F154+'KU - Project 39'!F196</f>
        <v>-77398105.55033201</v>
      </c>
      <c r="G69" s="169">
        <f>'KU - Project 39'!G28+'KU - Project 39'!G70+'KU - Project 39'!G112+'KU - Project 39'!G154+'KU - Project 39'!G196</f>
        <v>0</v>
      </c>
      <c r="H69" s="169">
        <f>'KU - Project 39'!H28+'KU - Project 39'!H70+'KU - Project 39'!H112+'KU - Project 39'!H154+'KU - Project 39'!H196</f>
        <v>0</v>
      </c>
      <c r="I69" s="169">
        <f>'KU - Project 39'!I28+'KU - Project 39'!I70+'KU - Project 39'!I112+'KU - Project 39'!I154+'KU - Project 39'!I196</f>
        <v>0</v>
      </c>
      <c r="J69" s="169">
        <f>'KU - Project 39'!J28+'KU - Project 39'!J70+'KU - Project 39'!J112+'KU - Project 39'!J154+'KU - Project 39'!J196</f>
        <v>0</v>
      </c>
      <c r="K69" s="169">
        <f>'KU - Project 39'!K28+'KU - Project 39'!K70+'KU - Project 39'!K112+'KU - Project 39'!K154+'KU - Project 39'!K196</f>
        <v>0</v>
      </c>
      <c r="L69" s="169">
        <f>'KU - Project 39'!L28+'KU - Project 39'!L70+'KU - Project 39'!L112+'KU - Project 39'!L154+'KU - Project 39'!L196</f>
        <v>0</v>
      </c>
    </row>
    <row r="70" spans="1:12" ht="18.75" customHeight="1">
      <c r="A70" s="55"/>
      <c r="B70" s="58" t="s">
        <v>62</v>
      </c>
      <c r="C70" s="169">
        <f>'KU - Project 39'!C29+'KU - Project 39'!C71+'KU - Project 39'!C113+'KU - Project 39'!C155+'KU - Project 39'!C197</f>
        <v>0</v>
      </c>
      <c r="D70" s="169">
        <f>'KU - Project 39'!D29+'KU - Project 39'!D71+'KU - Project 39'!D113+'KU - Project 39'!D155+'KU - Project 39'!D197</f>
        <v>0</v>
      </c>
      <c r="E70" s="169">
        <f>'KU - Project 39'!E29+'KU - Project 39'!E71+'KU - Project 39'!E113+'KU - Project 39'!E155+'KU - Project 39'!E197</f>
        <v>0</v>
      </c>
      <c r="F70" s="169">
        <f>'KU - Project 39'!F29+'KU - Project 39'!F71+'KU - Project 39'!F113+'KU - Project 39'!F155+'KU - Project 39'!F197</f>
        <v>0</v>
      </c>
      <c r="G70" s="169">
        <f>'KU - Project 39'!G29+'KU - Project 39'!G71+'KU - Project 39'!G113+'KU - Project 39'!G155+'KU - Project 39'!G197</f>
        <v>0</v>
      </c>
      <c r="H70" s="169">
        <f>'KU - Project 39'!H29+'KU - Project 39'!H71+'KU - Project 39'!H113+'KU - Project 39'!H155+'KU - Project 39'!H197</f>
        <v>0</v>
      </c>
      <c r="I70" s="169">
        <f>'KU - Project 39'!I29+'KU - Project 39'!I71+'KU - Project 39'!I113+'KU - Project 39'!I155+'KU - Project 39'!I197</f>
        <v>0</v>
      </c>
      <c r="J70" s="169">
        <f>'KU - Project 39'!J29+'KU - Project 39'!J71+'KU - Project 39'!J113+'KU - Project 39'!J155+'KU - Project 39'!J197</f>
        <v>0</v>
      </c>
      <c r="K70" s="169">
        <f>'KU - Project 39'!K29+'KU - Project 39'!K71+'KU - Project 39'!K113+'KU - Project 39'!K155+'KU - Project 39'!K197</f>
        <v>0</v>
      </c>
      <c r="L70" s="169">
        <f>'KU - Project 39'!L29+'KU - Project 39'!L71+'KU - Project 39'!L113+'KU - Project 39'!L155+'KU - Project 39'!L197</f>
        <v>0</v>
      </c>
    </row>
    <row r="71" spans="1:12" ht="18.75" customHeight="1">
      <c r="A71" s="55"/>
      <c r="B71" s="55" t="s">
        <v>63</v>
      </c>
      <c r="C71" s="169">
        <f>'KU - Project 39'!C30+'KU - Project 39'!C72+'KU - Project 39'!C114+'KU - Project 39'!C156+'KU - Project 39'!C198</f>
        <v>5559021.0230228435</v>
      </c>
      <c r="D71" s="169">
        <f>'KU - Project 39'!D30+'KU - Project 39'!D72+'KU - Project 39'!D114+'KU - Project 39'!D156+'KU - Project 39'!D198</f>
        <v>4317272.636045687</v>
      </c>
      <c r="E71" s="169">
        <f>'KU - Project 39'!E30+'KU - Project 39'!E72+'KU - Project 39'!E114+'KU - Project 39'!E156+'KU - Project 39'!E198</f>
        <v>-3928821.65093147</v>
      </c>
      <c r="F71" s="169">
        <f>'KU - Project 39'!F30+'KU - Project 39'!F72+'KU - Project 39'!F114+'KU - Project 39'!F156+'KU - Project 39'!F198</f>
        <v>-48098.357908628415</v>
      </c>
      <c r="G71" s="169">
        <f>'KU - Project 39'!G30+'KU - Project 39'!G72+'KU - Project 39'!G114+'KU - Project 39'!G156+'KU - Project 39'!G198</f>
        <v>-48098.35790862818</v>
      </c>
      <c r="H71" s="169">
        <f>'KU - Project 39'!H30+'KU - Project 39'!H72+'KU - Project 39'!H114+'KU - Project 39'!H156+'KU - Project 39'!H198</f>
        <v>-48098.35790862818</v>
      </c>
      <c r="I71" s="169">
        <f>'KU - Project 39'!I30+'KU - Project 39'!I72+'KU - Project 39'!I114+'KU - Project 39'!I156+'KU - Project 39'!I198</f>
        <v>-48098.35790862818</v>
      </c>
      <c r="J71" s="169">
        <f>'KU - Project 39'!J30+'KU - Project 39'!J72+'KU - Project 39'!J114+'KU - Project 39'!J156+'KU - Project 39'!J198</f>
        <v>-48098.35790862818</v>
      </c>
      <c r="K71" s="169">
        <f>'KU - Project 39'!K30+'KU - Project 39'!K72+'KU - Project 39'!K114+'KU - Project 39'!K156+'KU - Project 39'!K198</f>
        <v>-48098.35790862818</v>
      </c>
      <c r="L71" s="169">
        <f>'KU - Project 39'!L30+'KU - Project 39'!L72+'KU - Project 39'!L114+'KU - Project 39'!L156+'KU - Project 39'!L198</f>
        <v>-48098.35790862818</v>
      </c>
    </row>
    <row r="72" spans="1:12" ht="18.75" customHeight="1">
      <c r="A72" s="55"/>
      <c r="B72" s="57" t="s">
        <v>64</v>
      </c>
      <c r="C72" s="169">
        <f>'KU - Project 39'!C31+'KU - Project 39'!C73+'KU - Project 39'!C115+'KU - Project 39'!C157+'KU - Project 39'!C199</f>
        <v>0</v>
      </c>
      <c r="D72" s="169">
        <f>'KU - Project 39'!D31+'KU - Project 39'!D73+'KU - Project 39'!D115+'KU - Project 39'!D157+'KU - Project 39'!D199</f>
        <v>0</v>
      </c>
      <c r="E72" s="169">
        <f>'KU - Project 39'!E31+'KU - Project 39'!E73+'KU - Project 39'!E115+'KU - Project 39'!E157+'KU - Project 39'!E199</f>
        <v>0</v>
      </c>
      <c r="F72" s="169">
        <f>'KU - Project 39'!F31+'KU - Project 39'!F73+'KU - Project 39'!F115+'KU - Project 39'!F157+'KU - Project 39'!F199</f>
        <v>0</v>
      </c>
      <c r="G72" s="169">
        <f>'KU - Project 39'!G31+'KU - Project 39'!G73+'KU - Project 39'!G115+'KU - Project 39'!G157+'KU - Project 39'!G199</f>
        <v>0</v>
      </c>
      <c r="H72" s="169">
        <f>'KU - Project 39'!H31+'KU - Project 39'!H73+'KU - Project 39'!H115+'KU - Project 39'!H157+'KU - Project 39'!H199</f>
        <v>0</v>
      </c>
      <c r="I72" s="169">
        <f>'KU - Project 39'!I31+'KU - Project 39'!I73+'KU - Project 39'!I115+'KU - Project 39'!I157+'KU - Project 39'!I199</f>
        <v>0</v>
      </c>
      <c r="J72" s="169">
        <f>'KU - Project 39'!J31+'KU - Project 39'!J73+'KU - Project 39'!J115+'KU - Project 39'!J157+'KU - Project 39'!J199</f>
        <v>0</v>
      </c>
      <c r="K72" s="169">
        <f>'KU - Project 39'!K31+'KU - Project 39'!K73+'KU - Project 39'!K115+'KU - Project 39'!K157+'KU - Project 39'!K199</f>
        <v>0</v>
      </c>
      <c r="L72" s="169">
        <f>'KU - Project 39'!L31+'KU - Project 39'!L73+'KU - Project 39'!L115+'KU - Project 39'!L157+'KU - Project 39'!L199</f>
        <v>0</v>
      </c>
    </row>
    <row r="73" spans="1:12" ht="18.75" customHeight="1">
      <c r="A73" s="55"/>
      <c r="B73" s="55" t="s">
        <v>11</v>
      </c>
      <c r="C73" s="169">
        <f>SUM(C67:C72)</f>
        <v>-8818005.364560159</v>
      </c>
      <c r="D73" s="169">
        <f aca="true" t="shared" si="13" ref="D73:L73">SUM(D67:D72)</f>
        <v>-6848280.139120318</v>
      </c>
      <c r="E73" s="169">
        <f t="shared" si="13"/>
        <v>6232099.186319523</v>
      </c>
      <c r="F73" s="169">
        <f t="shared" si="13"/>
        <v>76296.09175936179</v>
      </c>
      <c r="G73" s="169">
        <f t="shared" si="13"/>
        <v>77474401.64209138</v>
      </c>
      <c r="H73" s="169">
        <f t="shared" si="13"/>
        <v>77474401.64209138</v>
      </c>
      <c r="I73" s="169">
        <f t="shared" si="13"/>
        <v>77474401.64209138</v>
      </c>
      <c r="J73" s="169">
        <f t="shared" si="13"/>
        <v>77474401.64209138</v>
      </c>
      <c r="K73" s="169">
        <f t="shared" si="13"/>
        <v>77474401.64209138</v>
      </c>
      <c r="L73" s="169">
        <f t="shared" si="13"/>
        <v>77474401.64209138</v>
      </c>
    </row>
    <row r="74" spans="1:12" ht="18.75" customHeight="1">
      <c r="A74" s="55"/>
      <c r="B74" s="55" t="s">
        <v>12</v>
      </c>
      <c r="C74" s="34">
        <f>'KU - Project 39'!C33</f>
        <v>0.10152297909805327</v>
      </c>
      <c r="D74" s="34">
        <f>'KU - Project 39'!D33</f>
        <v>0.10152297909805327</v>
      </c>
      <c r="E74" s="34">
        <f>'KU - Project 39'!E33</f>
        <v>0.10152297909805327</v>
      </c>
      <c r="F74" s="34">
        <f>'KU - Project 39'!F33</f>
        <v>0.10152297909805327</v>
      </c>
      <c r="G74" s="34">
        <f>'KU - Project 39'!G33</f>
        <v>0.10152297909805327</v>
      </c>
      <c r="H74" s="34">
        <f>'KU - Project 39'!H33</f>
        <v>0.10152297909805327</v>
      </c>
      <c r="I74" s="34">
        <f>'KU - Project 39'!I33</f>
        <v>0.10152297909805327</v>
      </c>
      <c r="J74" s="34">
        <f>'KU - Project 39'!J33</f>
        <v>0.10152297909805327</v>
      </c>
      <c r="K74" s="34">
        <f>'KU - Project 39'!K33</f>
        <v>0.10152297909805327</v>
      </c>
      <c r="L74" s="34">
        <f>'KU - Project 39'!L33</f>
        <v>0.10152297909805327</v>
      </c>
    </row>
    <row r="75" spans="1:12" ht="18.75" customHeight="1">
      <c r="A75" s="55"/>
      <c r="B75" s="41"/>
      <c r="C75" s="180">
        <f aca="true" t="shared" si="14" ref="C75:I75">C73*C74</f>
        <v>-895230.1743127627</v>
      </c>
      <c r="D75" s="180">
        <f t="shared" si="14"/>
        <v>-695257.8014215254</v>
      </c>
      <c r="E75" s="180">
        <f t="shared" si="14"/>
        <v>632701.2754297117</v>
      </c>
      <c r="F75" s="180">
        <f t="shared" si="14"/>
        <v>7745.806528948842</v>
      </c>
      <c r="G75" s="180">
        <f t="shared" si="14"/>
        <v>7865432.058544227</v>
      </c>
      <c r="H75" s="180">
        <f t="shared" si="14"/>
        <v>7865432.058544227</v>
      </c>
      <c r="I75" s="180">
        <f t="shared" si="14"/>
        <v>7865432.058544227</v>
      </c>
      <c r="J75" s="180">
        <f>J73*J74</f>
        <v>7865432.058544227</v>
      </c>
      <c r="K75" s="180">
        <f>K73*K74</f>
        <v>7865432.058544227</v>
      </c>
      <c r="L75" s="180">
        <f>L73*L74</f>
        <v>7865432.058544227</v>
      </c>
    </row>
    <row r="76" spans="1:12" ht="18.75" customHeight="1">
      <c r="A76" s="55"/>
      <c r="B76" s="41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1:12" ht="18.75" customHeight="1">
      <c r="A77" s="55"/>
      <c r="B77" s="57" t="s">
        <v>65</v>
      </c>
      <c r="C77" s="190">
        <f>'KU - Project 39'!C36+'KU - Project 39'!C78+'KU - Project 39'!C120+'KU - Project 39'!C162+'KU - Project 39'!C204</f>
        <v>0</v>
      </c>
      <c r="D77" s="190">
        <f>'KU - Project 39'!D36+'KU - Project 39'!D78+'KU - Project 39'!D120+'KU - Project 39'!D162+'KU - Project 39'!D204</f>
        <v>0</v>
      </c>
      <c r="E77" s="190">
        <f>'KU - Project 39'!E36+'KU - Project 39'!E78+'KU - Project 39'!E120+'KU - Project 39'!E162+'KU - Project 39'!E204</f>
        <v>0</v>
      </c>
      <c r="F77" s="190">
        <f>'KU - Project 39'!F36+'KU - Project 39'!F78+'KU - Project 39'!F120+'KU - Project 39'!F162+'KU - Project 39'!F204</f>
        <v>0</v>
      </c>
      <c r="G77" s="190">
        <f>'KU - Project 39'!G36+'KU - Project 39'!G78+'KU - Project 39'!G120+'KU - Project 39'!G162+'KU - Project 39'!G204</f>
        <v>0</v>
      </c>
      <c r="H77" s="190">
        <f>'KU - Project 39'!H36+'KU - Project 39'!H78+'KU - Project 39'!H120+'KU - Project 39'!H162+'KU - Project 39'!H204</f>
        <v>0</v>
      </c>
      <c r="I77" s="190">
        <f>'KU - Project 39'!I36+'KU - Project 39'!I78+'KU - Project 39'!I120+'KU - Project 39'!I162+'KU - Project 39'!I204</f>
        <v>0</v>
      </c>
      <c r="J77" s="190">
        <f>'KU - Project 39'!J36+'KU - Project 39'!J78+'KU - Project 39'!J120+'KU - Project 39'!J162+'KU - Project 39'!J204</f>
        <v>0</v>
      </c>
      <c r="K77" s="190">
        <f>'KU - Project 39'!K36+'KU - Project 39'!K78+'KU - Project 39'!K120+'KU - Project 39'!K162+'KU - Project 39'!K204</f>
        <v>0</v>
      </c>
      <c r="L77" s="190">
        <f>'KU - Project 39'!L36+'KU - Project 39'!L78+'KU - Project 39'!L120+'KU - Project 39'!L162+'KU - Project 39'!L204</f>
        <v>0</v>
      </c>
    </row>
    <row r="78" spans="1:12" ht="18.75" customHeight="1">
      <c r="A78" s="55"/>
      <c r="B78" s="55" t="s">
        <v>48</v>
      </c>
      <c r="C78" s="190">
        <f>'KU - Project 39'!C37+'KU - Project 39'!C79+'KU - Project 39'!C121+'KU - Project 39'!C163+'KU - Project 39'!C205</f>
        <v>0</v>
      </c>
      <c r="D78" s="190">
        <f>'KU - Project 39'!D37+'KU - Project 39'!D79+'KU - Project 39'!D121+'KU - Project 39'!D163+'KU - Project 39'!D205</f>
        <v>0</v>
      </c>
      <c r="E78" s="190">
        <f>'KU - Project 39'!E37+'KU - Project 39'!E79+'KU - Project 39'!E121+'KU - Project 39'!E163+'KU - Project 39'!E205</f>
        <v>0</v>
      </c>
      <c r="F78" s="190">
        <f>'KU - Project 39'!F37+'KU - Project 39'!F79+'KU - Project 39'!F121+'KU - Project 39'!F163+'KU - Project 39'!F205</f>
        <v>0</v>
      </c>
      <c r="G78" s="190">
        <f>'KU - Project 39'!G37+'KU - Project 39'!G79+'KU - Project 39'!G121+'KU - Project 39'!G163+'KU - Project 39'!G205</f>
        <v>0</v>
      </c>
      <c r="H78" s="190">
        <f>'KU - Project 39'!H37+'KU - Project 39'!H79+'KU - Project 39'!H121+'KU - Project 39'!H163+'KU - Project 39'!H205</f>
        <v>0</v>
      </c>
      <c r="I78" s="190">
        <f>'KU - Project 39'!I37+'KU - Project 39'!I79+'KU - Project 39'!I121+'KU - Project 39'!I163+'KU - Project 39'!I205</f>
        <v>0</v>
      </c>
      <c r="J78" s="190">
        <f>'KU - Project 39'!J37+'KU - Project 39'!J79+'KU - Project 39'!J121+'KU - Project 39'!J163+'KU - Project 39'!J205</f>
        <v>0</v>
      </c>
      <c r="K78" s="190">
        <f>'KU - Project 39'!K37+'KU - Project 39'!K79+'KU - Project 39'!K121+'KU - Project 39'!K163+'KU - Project 39'!K205</f>
        <v>0</v>
      </c>
      <c r="L78" s="190">
        <f>'KU - Project 39'!L37+'KU - Project 39'!L79+'KU - Project 39'!L121+'KU - Project 39'!L163+'KU - Project 39'!L205</f>
        <v>0</v>
      </c>
    </row>
    <row r="79" spans="1:12" ht="18.75" customHeight="1">
      <c r="A79" s="55"/>
      <c r="B79" s="2" t="s">
        <v>434</v>
      </c>
      <c r="C79" s="190">
        <f>'KU - Project 39'!C38+'KU - Project 39'!C80+'KU - Project 39'!C122+'KU - Project 39'!C164+'KU - Project 39'!C206</f>
        <v>19349526.387583002</v>
      </c>
      <c r="D79" s="190">
        <f>'KU - Project 39'!D38+'KU - Project 39'!D80+'KU - Project 39'!D122+'KU - Project 39'!D164+'KU - Project 39'!D206</f>
        <v>19349526.387583002</v>
      </c>
      <c r="E79" s="190">
        <f>'KU - Project 39'!E38+'KU - Project 39'!E80+'KU - Project 39'!E122+'KU - Project 39'!E164+'KU - Project 39'!E206</f>
        <v>19349526.387583002</v>
      </c>
      <c r="F79" s="190">
        <f>'KU - Project 39'!F38+'KU - Project 39'!F80+'KU - Project 39'!F122+'KU - Project 39'!F164+'KU - Project 39'!F206</f>
        <v>19349526.387583002</v>
      </c>
      <c r="G79" s="190">
        <f>'KU - Project 39'!G38+'KU - Project 39'!G80+'KU - Project 39'!G122+'KU - Project 39'!G164+'KU - Project 39'!G206</f>
        <v>0</v>
      </c>
      <c r="H79" s="190">
        <f>'KU - Project 39'!H38+'KU - Project 39'!H80+'KU - Project 39'!H122+'KU - Project 39'!H164+'KU - Project 39'!H206</f>
        <v>0</v>
      </c>
      <c r="I79" s="190">
        <f>'KU - Project 39'!I38+'KU - Project 39'!I80+'KU - Project 39'!I122+'KU - Project 39'!I164+'KU - Project 39'!I206</f>
        <v>0</v>
      </c>
      <c r="J79" s="190">
        <f>'KU - Project 39'!J38+'KU - Project 39'!J80+'KU - Project 39'!J122+'KU - Project 39'!J164+'KU - Project 39'!J206</f>
        <v>0</v>
      </c>
      <c r="K79" s="190">
        <f>'KU - Project 39'!K38+'KU - Project 39'!K80+'KU - Project 39'!K122+'KU - Project 39'!K164+'KU - Project 39'!K206</f>
        <v>0</v>
      </c>
      <c r="L79" s="190">
        <f>'KU - Project 39'!L38+'KU - Project 39'!L80+'KU - Project 39'!L122+'KU - Project 39'!L164+'KU - Project 39'!L206</f>
        <v>0</v>
      </c>
    </row>
    <row r="80" spans="1:12" ht="18.75" customHeight="1">
      <c r="A80" s="55"/>
      <c r="B80" s="55" t="s">
        <v>50</v>
      </c>
      <c r="C80" s="191">
        <f>'KU - Project 39'!C39+'KU - Project 39'!C81+'KU - Project 39'!C123+'KU - Project 39'!C165+'KU - Project 39'!C207</f>
        <v>0</v>
      </c>
      <c r="D80" s="191">
        <f>'KU - Project 39'!D39+'KU - Project 39'!D81+'KU - Project 39'!D123+'KU - Project 39'!D165+'KU - Project 39'!D207</f>
        <v>-21565.5395813745</v>
      </c>
      <c r="E80" s="191">
        <f>'KU - Project 39'!E39+'KU - Project 39'!E81+'KU - Project 39'!E123+'KU - Project 39'!E165+'KU - Project 39'!E207</f>
        <v>-16748.329162749003</v>
      </c>
      <c r="F80" s="191">
        <f>'KU - Project 39'!F39+'KU - Project 39'!F81+'KU - Project 39'!F123+'KU - Project 39'!F165+'KU - Project 39'!F207</f>
        <v>15241.381255876491</v>
      </c>
      <c r="G80" s="191">
        <f>'KU - Project 39'!G39+'KU - Project 39'!G81+'KU - Project 39'!G123+'KU - Project 39'!G165+'KU - Project 39'!G207</f>
        <v>186.59167450199243</v>
      </c>
      <c r="H80" s="191">
        <f>'KU - Project 39'!H39+'KU - Project 39'!H81+'KU - Project 39'!H123+'KU - Project 39'!H165+'KU - Project 39'!H207</f>
        <v>116283.75</v>
      </c>
      <c r="I80" s="191">
        <f>'KU - Project 39'!I39+'KU - Project 39'!I81+'KU - Project 39'!I123+'KU - Project 39'!I165+'KU - Project 39'!I207</f>
        <v>116283.75</v>
      </c>
      <c r="J80" s="191">
        <f>'KU - Project 39'!J39+'KU - Project 39'!J81+'KU - Project 39'!J123+'KU - Project 39'!J165+'KU - Project 39'!J207</f>
        <v>116283.75</v>
      </c>
      <c r="K80" s="191">
        <f>'KU - Project 39'!K39+'KU - Project 39'!K81+'KU - Project 39'!K123+'KU - Project 39'!K165+'KU - Project 39'!K207</f>
        <v>116283.75</v>
      </c>
      <c r="L80" s="191">
        <f>'KU - Project 39'!L39+'KU - Project 39'!L81+'KU - Project 39'!L123+'KU - Project 39'!L165+'KU - Project 39'!L207</f>
        <v>116283.75</v>
      </c>
    </row>
    <row r="81" spans="1:12" ht="18.75" customHeight="1">
      <c r="A81" s="55"/>
      <c r="B81" s="60" t="s">
        <v>51</v>
      </c>
      <c r="C81" s="179">
        <f aca="true" t="shared" si="15" ref="C81:I81">SUM(C77:C80)</f>
        <v>19349526.387583002</v>
      </c>
      <c r="D81" s="179">
        <f t="shared" si="15"/>
        <v>19327960.84800163</v>
      </c>
      <c r="E81" s="179">
        <f t="shared" si="15"/>
        <v>19332778.058420252</v>
      </c>
      <c r="F81" s="179">
        <f t="shared" si="15"/>
        <v>19364767.76883888</v>
      </c>
      <c r="G81" s="179">
        <f t="shared" si="15"/>
        <v>186.59167450199243</v>
      </c>
      <c r="H81" s="179">
        <f t="shared" si="15"/>
        <v>116283.75</v>
      </c>
      <c r="I81" s="179">
        <f t="shared" si="15"/>
        <v>116283.75</v>
      </c>
      <c r="J81" s="179">
        <f>SUM(J77:J80)</f>
        <v>116283.75</v>
      </c>
      <c r="K81" s="179">
        <f>SUM(K77:K80)</f>
        <v>116283.75</v>
      </c>
      <c r="L81" s="179">
        <f>SUM(L77:L80)</f>
        <v>116283.75</v>
      </c>
    </row>
    <row r="82" spans="1:12" ht="18.75" customHeight="1">
      <c r="A82" s="55"/>
      <c r="B82" s="60"/>
      <c r="C82" s="36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8.75" customHeight="1">
      <c r="A83" s="55"/>
      <c r="B83" s="60" t="s">
        <v>13</v>
      </c>
      <c r="C83" s="176">
        <f>C75+C81</f>
        <v>18454296.21327024</v>
      </c>
      <c r="D83" s="176">
        <f aca="true" t="shared" si="16" ref="D83:I83">D75+D81</f>
        <v>18632703.046580102</v>
      </c>
      <c r="E83" s="176">
        <f t="shared" si="16"/>
        <v>19965479.333849963</v>
      </c>
      <c r="F83" s="176">
        <f t="shared" si="16"/>
        <v>19372513.575367827</v>
      </c>
      <c r="G83" s="176">
        <f t="shared" si="16"/>
        <v>7865618.650218729</v>
      </c>
      <c r="H83" s="176">
        <f t="shared" si="16"/>
        <v>7981715.808544227</v>
      </c>
      <c r="I83" s="176">
        <f t="shared" si="16"/>
        <v>7981715.808544227</v>
      </c>
      <c r="J83" s="176">
        <f>J75+J81</f>
        <v>7981715.808544227</v>
      </c>
      <c r="K83" s="176">
        <f>K75+K81</f>
        <v>7981715.808544227</v>
      </c>
      <c r="L83" s="176">
        <f>L75+L81</f>
        <v>7981715.808544227</v>
      </c>
    </row>
    <row r="84" s="48" customFormat="1" ht="18.75" customHeight="1"/>
    <row r="85" spans="1:14" ht="18.75" customHeight="1">
      <c r="A85" s="10" t="s">
        <v>310</v>
      </c>
      <c r="B85" s="40" t="s">
        <v>421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</row>
    <row r="86" spans="1:12" ht="18.75" customHeight="1">
      <c r="A86" s="55"/>
      <c r="B86" s="56" t="s">
        <v>14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8.75" customHeight="1">
      <c r="A87" s="55"/>
      <c r="B87" s="3" t="s">
        <v>60</v>
      </c>
      <c r="C87" s="169">
        <f>'KU - Project 40'!C26+'KU - Project 40'!C68+'KU - Project 40'!C110+'KU - Project 40'!C152+'KU - Project 40'!C194+'KU - Project 40'!C236</f>
        <v>11344470.16</v>
      </c>
      <c r="D87" s="169">
        <f>'KU - Project 40'!D26+'KU - Project 40'!D68+'KU - Project 40'!D110+'KU - Project 40'!D152+'KU - Project 40'!D194+'KU - Project 40'!D236</f>
        <v>95211470.16</v>
      </c>
      <c r="E87" s="169">
        <f>'KU - Project 40'!E26+'KU - Project 40'!E68+'KU - Project 40'!E110+'KU - Project 40'!E152+'KU - Project 40'!E194+'KU - Project 40'!E236</f>
        <v>174424470.15999997</v>
      </c>
      <c r="F87" s="169">
        <f>'KU - Project 40'!F26+'KU - Project 40'!F68+'KU - Project 40'!F110+'KU - Project 40'!F152+'KU - Project 40'!F194+'KU - Project 40'!F236</f>
        <v>216171470.15999997</v>
      </c>
      <c r="G87" s="169">
        <f>'KU - Project 40'!G26+'KU - Project 40'!G68+'KU - Project 40'!G110+'KU - Project 40'!G152+'KU - Project 40'!G194+'KU - Project 40'!G236</f>
        <v>253545470.16000003</v>
      </c>
      <c r="H87" s="169">
        <f>'KU - Project 40'!H26+'KU - Project 40'!H68+'KU - Project 40'!H110+'KU - Project 40'!H152+'KU - Project 40'!H194+'KU - Project 40'!H236</f>
        <v>306550470.16</v>
      </c>
      <c r="I87" s="169">
        <f>'KU - Project 40'!I26+'KU - Project 40'!I68+'KU - Project 40'!I110+'KU - Project 40'!I152+'KU - Project 40'!I194+'KU - Project 40'!I236</f>
        <v>339926470.16</v>
      </c>
      <c r="J87" s="169">
        <f>'KU - Project 40'!J26+'KU - Project 40'!J68+'KU - Project 40'!J110+'KU - Project 40'!J152+'KU - Project 40'!J194+'KU - Project 40'!J236</f>
        <v>339926470.16</v>
      </c>
      <c r="K87" s="169">
        <f>'KU - Project 40'!K26+'KU - Project 40'!K68+'KU - Project 40'!K110+'KU - Project 40'!K152+'KU - Project 40'!K194+'KU - Project 40'!K236</f>
        <v>339926470.16</v>
      </c>
      <c r="L87" s="169">
        <f>'KU - Project 40'!L26+'KU - Project 40'!L68+'KU - Project 40'!L110+'KU - Project 40'!L152+'KU - Project 40'!L194+'KU - Project 40'!L236</f>
        <v>339926470.16</v>
      </c>
    </row>
    <row r="88" spans="1:12" ht="18.75" customHeight="1">
      <c r="A88" s="55"/>
      <c r="B88" s="57" t="s">
        <v>61</v>
      </c>
      <c r="C88" s="169">
        <f>'KU - Project 40'!C27+'KU - Project 40'!C69+'KU - Project 40'!C111+'KU - Project 40'!C153+'KU - Project 40'!C195+'KU - Project 40'!C237</f>
        <v>0</v>
      </c>
      <c r="D88" s="169">
        <f>'KU - Project 40'!D27+'KU - Project 40'!D69+'KU - Project 40'!D111+'KU - Project 40'!D153+'KU - Project 40'!D195+'KU - Project 40'!D237</f>
        <v>0</v>
      </c>
      <c r="E88" s="169">
        <f>'KU - Project 40'!E27+'KU - Project 40'!E69+'KU - Project 40'!E111+'KU - Project 40'!E153+'KU - Project 40'!E195+'KU - Project 40'!E237</f>
        <v>0</v>
      </c>
      <c r="F88" s="169">
        <f>'KU - Project 40'!F27+'KU - Project 40'!F69+'KU - Project 40'!F111+'KU - Project 40'!F153+'KU - Project 40'!F195+'KU - Project 40'!F237</f>
        <v>0</v>
      </c>
      <c r="G88" s="169">
        <f>'KU - Project 40'!G27+'KU - Project 40'!G69+'KU - Project 40'!G111+'KU - Project 40'!G153+'KU - Project 40'!G195+'KU - Project 40'!G237</f>
        <v>0</v>
      </c>
      <c r="H88" s="169">
        <f>'KU - Project 40'!H27+'KU - Project 40'!H69+'KU - Project 40'!H111+'KU - Project 40'!H153+'KU - Project 40'!H195+'KU - Project 40'!H237</f>
        <v>0</v>
      </c>
      <c r="I88" s="169">
        <f>'KU - Project 40'!I27+'KU - Project 40'!I69+'KU - Project 40'!I111+'KU - Project 40'!I153+'KU - Project 40'!I195+'KU - Project 40'!I237</f>
        <v>0</v>
      </c>
      <c r="J88" s="169">
        <f>'KU - Project 40'!J27+'KU - Project 40'!J69+'KU - Project 40'!J111+'KU - Project 40'!J153+'KU - Project 40'!J195+'KU - Project 40'!J237</f>
        <v>0</v>
      </c>
      <c r="K88" s="169">
        <f>'KU - Project 40'!K27+'KU - Project 40'!K69+'KU - Project 40'!K111+'KU - Project 40'!K153+'KU - Project 40'!K195+'KU - Project 40'!K237</f>
        <v>0</v>
      </c>
      <c r="L88" s="169">
        <f>'KU - Project 40'!L27+'KU - Project 40'!L69+'KU - Project 40'!L111+'KU - Project 40'!L153+'KU - Project 40'!L195+'KU - Project 40'!L237</f>
        <v>0</v>
      </c>
    </row>
    <row r="89" spans="1:12" ht="18.75" customHeight="1">
      <c r="A89" s="55"/>
      <c r="B89" s="55" t="s">
        <v>10</v>
      </c>
      <c r="C89" s="169">
        <f>'KU - Project 40'!C28+'KU - Project 40'!C70+'KU - Project 40'!C112+'KU - Project 40'!C154+'KU - Project 40'!C196+'KU - Project 40'!C238</f>
        <v>-11314840.555736</v>
      </c>
      <c r="D89" s="169">
        <f>'KU - Project 40'!D28+'KU - Project 40'!D70+'KU - Project 40'!D112+'KU - Project 40'!D154+'KU - Project 40'!D196+'KU - Project 40'!D238</f>
        <v>-22629681.111472</v>
      </c>
      <c r="E89" s="169">
        <f>'KU - Project 40'!E28+'KU - Project 40'!E70+'KU - Project 40'!E112+'KU - Project 40'!E154+'KU - Project 40'!E196+'KU - Project 40'!E238</f>
        <v>-34044609.57521255</v>
      </c>
      <c r="F89" s="169">
        <f>'KU - Project 40'!F28+'KU - Project 40'!F70+'KU - Project 40'!F112+'KU - Project 40'!F154+'KU - Project 40'!F196+'KU - Project 40'!F238</f>
        <v>-47761559.923057765</v>
      </c>
      <c r="G89" s="169">
        <f>'KU - Project 40'!G28+'KU - Project 40'!G70+'KU - Project 40'!G112+'KU - Project 40'!G154+'KU - Project 40'!G196+'KU - Project 40'!G238</f>
        <v>-61478510.270902984</v>
      </c>
      <c r="H89" s="169">
        <f>'KU - Project 40'!H28+'KU - Project 40'!H70+'KU - Project 40'!H112+'KU - Project 40'!H154+'KU - Project 40'!H196+'KU - Project 40'!H238</f>
        <v>-75195460.6187482</v>
      </c>
      <c r="I89" s="169">
        <f>'KU - Project 40'!I28+'KU - Project 40'!I70+'KU - Project 40'!I112+'KU - Project 40'!I154+'KU - Project 40'!I196+'KU - Project 40'!I238</f>
        <v>-88912410.96659343</v>
      </c>
      <c r="J89" s="169">
        <f>'KU - Project 40'!J28+'KU - Project 40'!J70+'KU - Project 40'!J112+'KU - Project 40'!J154+'KU - Project 40'!J196+'KU - Project 40'!J238</f>
        <v>-102629361.31443866</v>
      </c>
      <c r="K89" s="169">
        <f>'KU - Project 40'!K28+'KU - Project 40'!K70+'KU - Project 40'!K112+'KU - Project 40'!K154+'KU - Project 40'!K196+'KU - Project 40'!K238</f>
        <v>-116346311.66228387</v>
      </c>
      <c r="L89" s="169">
        <f>'KU - Project 40'!L28+'KU - Project 40'!L70+'KU - Project 40'!L112+'KU - Project 40'!L154+'KU - Project 40'!L196+'KU - Project 40'!L238</f>
        <v>-130063262.0101291</v>
      </c>
    </row>
    <row r="90" spans="1:12" ht="18.75" customHeight="1">
      <c r="A90" s="55"/>
      <c r="B90" s="58" t="s">
        <v>62</v>
      </c>
      <c r="C90" s="169">
        <f>'KU - Project 40'!C29+'KU - Project 40'!C71+'KU - Project 40'!C113+'KU - Project 40'!C155+'KU - Project 40'!C197+'KU - Project 40'!C239</f>
        <v>0</v>
      </c>
      <c r="D90" s="169">
        <f>'KU - Project 40'!D29+'KU - Project 40'!D71+'KU - Project 40'!D113+'KU - Project 40'!D155+'KU - Project 40'!D197+'KU - Project 40'!D239</f>
        <v>0</v>
      </c>
      <c r="E90" s="169">
        <f>'KU - Project 40'!E29+'KU - Project 40'!E71+'KU - Project 40'!E113+'KU - Project 40'!E155+'KU - Project 40'!E197+'KU - Project 40'!E239</f>
        <v>0</v>
      </c>
      <c r="F90" s="169">
        <f>'KU - Project 40'!F29+'KU - Project 40'!F71+'KU - Project 40'!F113+'KU - Project 40'!F155+'KU - Project 40'!F197+'KU - Project 40'!F239</f>
        <v>0</v>
      </c>
      <c r="G90" s="169">
        <f>'KU - Project 40'!G29+'KU - Project 40'!G71+'KU - Project 40'!G113+'KU - Project 40'!G155+'KU - Project 40'!G197+'KU - Project 40'!G239</f>
        <v>0</v>
      </c>
      <c r="H90" s="169">
        <f>'KU - Project 40'!H29+'KU - Project 40'!H71+'KU - Project 40'!H113+'KU - Project 40'!H155+'KU - Project 40'!H197+'KU - Project 40'!H239</f>
        <v>0</v>
      </c>
      <c r="I90" s="169">
        <f>'KU - Project 40'!I29+'KU - Project 40'!I71+'KU - Project 40'!I113+'KU - Project 40'!I155+'KU - Project 40'!I197+'KU - Project 40'!I239</f>
        <v>0</v>
      </c>
      <c r="J90" s="169">
        <f>'KU - Project 40'!J29+'KU - Project 40'!J71+'KU - Project 40'!J113+'KU - Project 40'!J155+'KU - Project 40'!J197+'KU - Project 40'!J239</f>
        <v>0</v>
      </c>
      <c r="K90" s="169">
        <f>'KU - Project 40'!K29+'KU - Project 40'!K71+'KU - Project 40'!K113+'KU - Project 40'!K155+'KU - Project 40'!K197+'KU - Project 40'!K239</f>
        <v>0</v>
      </c>
      <c r="L90" s="169">
        <f>'KU - Project 40'!L29+'KU - Project 40'!L71+'KU - Project 40'!L113+'KU - Project 40'!L155+'KU - Project 40'!L197+'KU - Project 40'!L239</f>
        <v>0</v>
      </c>
    </row>
    <row r="91" spans="1:12" ht="18.75" customHeight="1">
      <c r="A91" s="55"/>
      <c r="B91" s="55" t="s">
        <v>63</v>
      </c>
      <c r="C91" s="169">
        <f>'KU - Project 40'!C30+'KU - Project 40'!C72+'KU - Project 40'!C114+'KU - Project 40'!C156+'KU - Project 40'!C198+'KU - Project 40'!C240</f>
        <v>1935158.7842693937</v>
      </c>
      <c r="D91" s="169">
        <f>'KU - Project 40'!D30+'KU - Project 40'!D72+'KU - Project 40'!D114+'KU - Project 40'!D156+'KU - Project 40'!D198+'KU - Project 40'!D240</f>
        <v>-7551219.3064497225</v>
      </c>
      <c r="E91" s="169">
        <f>'KU - Project 40'!E30+'KU - Project 40'!E72+'KU - Project 40'!E114+'KU - Project 40'!E156+'KU - Project 40'!E198+'KU - Project 40'!E240</f>
        <v>-31059282.588290162</v>
      </c>
      <c r="F91" s="169">
        <f>'KU - Project 40'!F30+'KU - Project 40'!F72+'KU - Project 40'!F114+'KU - Project 40'!F156+'KU - Project 40'!F198+'KU - Project 40'!F240</f>
        <v>-43638941.471372634</v>
      </c>
      <c r="G91" s="169">
        <f>'KU - Project 40'!G30+'KU - Project 40'!G72+'KU - Project 40'!G114+'KU - Project 40'!G156+'KU - Project 40'!G198+'KU - Project 40'!G240</f>
        <v>-54396980.46626248</v>
      </c>
      <c r="H91" s="169">
        <f>'KU - Project 40'!H30+'KU - Project 40'!H72+'KU - Project 40'!H114+'KU - Project 40'!H156+'KU - Project 40'!H198+'KU - Project 40'!H240</f>
        <v>-71078278.57411116</v>
      </c>
      <c r="I91" s="169">
        <f>'KU - Project 40'!I30+'KU - Project 40'!I72+'KU - Project 40'!I114+'KU - Project 40'!I156+'KU - Project 40'!I198+'KU - Project 40'!I240</f>
        <v>-80057889.07590567</v>
      </c>
      <c r="J91" s="169">
        <f>'KU - Project 40'!J30+'KU - Project 40'!J72+'KU - Project 40'!J114+'KU - Project 40'!J156+'KU - Project 40'!J198+'KU - Project 40'!J240</f>
        <v>-76029081.83263291</v>
      </c>
      <c r="K91" s="169">
        <f>'KU - Project 40'!K30+'KU - Project 40'!K72+'KU - Project 40'!K114+'KU - Project 40'!K156+'KU - Project 40'!K198+'KU - Project 40'!K240</f>
        <v>-71904499.65180948</v>
      </c>
      <c r="L91" s="169">
        <f>'KU - Project 40'!L30+'KU - Project 40'!L72+'KU - Project 40'!L114+'KU - Project 40'!L156+'KU - Project 40'!L198+'KU - Project 40'!L240</f>
        <v>-67691621.18095192</v>
      </c>
    </row>
    <row r="92" spans="1:12" ht="18.75" customHeight="1">
      <c r="A92" s="55"/>
      <c r="B92" s="57" t="s">
        <v>64</v>
      </c>
      <c r="C92" s="169">
        <f>'KU - Project 40'!C31+'KU - Project 40'!C73+'KU - Project 40'!C115+'KU - Project 40'!C157+'KU - Project 40'!C199+'KU - Project 40'!C241</f>
        <v>0</v>
      </c>
      <c r="D92" s="169">
        <f>'KU - Project 40'!D31+'KU - Project 40'!D73+'KU - Project 40'!D115+'KU - Project 40'!D157+'KU - Project 40'!D199+'KU - Project 40'!D241</f>
        <v>0</v>
      </c>
      <c r="E92" s="169">
        <f>'KU - Project 40'!E31+'KU - Project 40'!E73+'KU - Project 40'!E115+'KU - Project 40'!E157+'KU - Project 40'!E199+'KU - Project 40'!E241</f>
        <v>0</v>
      </c>
      <c r="F92" s="169">
        <f>'KU - Project 40'!F31+'KU - Project 40'!F73+'KU - Project 40'!F115+'KU - Project 40'!F157+'KU - Project 40'!F199+'KU - Project 40'!F241</f>
        <v>0</v>
      </c>
      <c r="G92" s="169">
        <f>'KU - Project 40'!G31+'KU - Project 40'!G73+'KU - Project 40'!G115+'KU - Project 40'!G157+'KU - Project 40'!G199+'KU - Project 40'!G241</f>
        <v>0</v>
      </c>
      <c r="H92" s="169">
        <f>'KU - Project 40'!H31+'KU - Project 40'!H73+'KU - Project 40'!H115+'KU - Project 40'!H157+'KU - Project 40'!H199+'KU - Project 40'!H241</f>
        <v>0</v>
      </c>
      <c r="I92" s="169">
        <f>'KU - Project 40'!I31+'KU - Project 40'!I73+'KU - Project 40'!I115+'KU - Project 40'!I157+'KU - Project 40'!I199+'KU - Project 40'!I241</f>
        <v>0</v>
      </c>
      <c r="J92" s="169">
        <f>'KU - Project 40'!J31+'KU - Project 40'!J73+'KU - Project 40'!J115+'KU - Project 40'!J157+'KU - Project 40'!J199+'KU - Project 40'!J241</f>
        <v>0</v>
      </c>
      <c r="K92" s="169">
        <f>'KU - Project 40'!K31+'KU - Project 40'!K73+'KU - Project 40'!K115+'KU - Project 40'!K157+'KU - Project 40'!K199+'KU - Project 40'!K241</f>
        <v>0</v>
      </c>
      <c r="L92" s="169">
        <f>'KU - Project 40'!L31+'KU - Project 40'!L73+'KU - Project 40'!L115+'KU - Project 40'!L157+'KU - Project 40'!L199+'KU - Project 40'!L241</f>
        <v>0</v>
      </c>
    </row>
    <row r="93" spans="1:12" ht="18.75" customHeight="1">
      <c r="A93" s="55"/>
      <c r="B93" s="55" t="s">
        <v>11</v>
      </c>
      <c r="C93" s="169">
        <f>SUM(C87:C92)</f>
        <v>1964788.388533394</v>
      </c>
      <c r="D93" s="169">
        <f aca="true" t="shared" si="17" ref="D93:L93">SUM(D87:D92)</f>
        <v>65030569.742078274</v>
      </c>
      <c r="E93" s="169">
        <f t="shared" si="17"/>
        <v>109320577.99649727</v>
      </c>
      <c r="F93" s="169">
        <f t="shared" si="17"/>
        <v>124770968.76556957</v>
      </c>
      <c r="G93" s="169">
        <f t="shared" si="17"/>
        <v>137669979.42283455</v>
      </c>
      <c r="H93" s="169">
        <f t="shared" si="17"/>
        <v>160276730.96714067</v>
      </c>
      <c r="I93" s="169">
        <f t="shared" si="17"/>
        <v>170956170.1175009</v>
      </c>
      <c r="J93" s="169">
        <f t="shared" si="17"/>
        <v>161268027.0129285</v>
      </c>
      <c r="K93" s="169">
        <f t="shared" si="17"/>
        <v>151675658.84590667</v>
      </c>
      <c r="L93" s="169">
        <f t="shared" si="17"/>
        <v>142171586.968919</v>
      </c>
    </row>
    <row r="94" spans="1:12" ht="18.75" customHeight="1">
      <c r="A94" s="55"/>
      <c r="B94" s="55" t="s">
        <v>12</v>
      </c>
      <c r="C94" s="34">
        <f>'KU - Project 40'!C33</f>
        <v>0.10152297909805327</v>
      </c>
      <c r="D94" s="34">
        <f>'KU - Project 40'!D33</f>
        <v>0.10152297909805327</v>
      </c>
      <c r="E94" s="34">
        <f>'KU - Project 40'!E33</f>
        <v>0.10152297909805327</v>
      </c>
      <c r="F94" s="34">
        <f>'KU - Project 40'!F33</f>
        <v>0.10152297909805327</v>
      </c>
      <c r="G94" s="34">
        <f>'KU - Project 40'!G33</f>
        <v>0.10152297909805327</v>
      </c>
      <c r="H94" s="34">
        <f>'KU - Project 40'!H33</f>
        <v>0.10152297909805327</v>
      </c>
      <c r="I94" s="34">
        <f>'KU - Project 40'!I33</f>
        <v>0.10152297909805327</v>
      </c>
      <c r="J94" s="34">
        <f>'KU - Project 40'!J33</f>
        <v>0.10152297909805327</v>
      </c>
      <c r="K94" s="34">
        <f>'KU - Project 40'!K33</f>
        <v>0.10152297909805327</v>
      </c>
      <c r="L94" s="34">
        <f>'KU - Project 40'!L33</f>
        <v>0.10152297909805327</v>
      </c>
    </row>
    <row r="95" spans="1:12" ht="18.75" customHeight="1">
      <c r="A95" s="55"/>
      <c r="B95" s="41"/>
      <c r="C95" s="180">
        <f aca="true" t="shared" si="18" ref="C95:L95">C93*C94</f>
        <v>199471.17050117353</v>
      </c>
      <c r="D95" s="180">
        <f t="shared" si="18"/>
        <v>6602097.172659508</v>
      </c>
      <c r="E95" s="180">
        <f t="shared" si="18"/>
        <v>11098550.754925495</v>
      </c>
      <c r="F95" s="180">
        <f t="shared" si="18"/>
        <v>12667120.454030776</v>
      </c>
      <c r="G95" s="180">
        <f t="shared" si="18"/>
        <v>13976666.443373855</v>
      </c>
      <c r="H95" s="180">
        <f t="shared" si="18"/>
        <v>16271771.20788133</v>
      </c>
      <c r="I95" s="180">
        <f t="shared" si="18"/>
        <v>17355979.685522284</v>
      </c>
      <c r="J95" s="180">
        <f t="shared" si="18"/>
        <v>16372410.535617828</v>
      </c>
      <c r="K95" s="180">
        <f t="shared" si="18"/>
        <v>15398564.742696442</v>
      </c>
      <c r="L95" s="180">
        <f t="shared" si="18"/>
        <v>14433683.052182628</v>
      </c>
    </row>
    <row r="96" spans="1:12" ht="18.75" customHeight="1">
      <c r="A96" s="55"/>
      <c r="B96" s="41"/>
      <c r="C96" s="59"/>
      <c r="D96" s="59"/>
      <c r="E96" s="59"/>
      <c r="F96" s="59"/>
      <c r="G96" s="59"/>
      <c r="H96" s="59"/>
      <c r="I96" s="59"/>
      <c r="J96" s="59"/>
      <c r="K96" s="59"/>
      <c r="L96" s="59"/>
    </row>
    <row r="97" spans="1:12" ht="18.75" customHeight="1">
      <c r="A97" s="55"/>
      <c r="B97" s="57" t="s">
        <v>65</v>
      </c>
      <c r="C97" s="190">
        <f>'KU - Project 40'!C36+'KU - Project 40'!C78+'KU - Project 40'!C120+'KU - Project 40'!C162+'KU - Project 40'!C204+'KU - Project 40'!C246</f>
        <v>0</v>
      </c>
      <c r="D97" s="190">
        <f>'KU - Project 40'!D36+'KU - Project 40'!D78+'KU - Project 40'!D120+'KU - Project 40'!D162+'KU - Project 40'!D204+'KU - Project 40'!D246</f>
        <v>0</v>
      </c>
      <c r="E97" s="190">
        <f>'KU - Project 40'!E36+'KU - Project 40'!E78+'KU - Project 40'!E120+'KU - Project 40'!E162+'KU - Project 40'!E204+'KU - Project 40'!E246</f>
        <v>0</v>
      </c>
      <c r="F97" s="190">
        <f>'KU - Project 40'!F36+'KU - Project 40'!F78+'KU - Project 40'!F120+'KU - Project 40'!F162+'KU - Project 40'!F204+'KU - Project 40'!F246</f>
        <v>0</v>
      </c>
      <c r="G97" s="190">
        <f>'KU - Project 40'!G36+'KU - Project 40'!G78+'KU - Project 40'!G120+'KU - Project 40'!G162+'KU - Project 40'!G204+'KU - Project 40'!G246</f>
        <v>0</v>
      </c>
      <c r="H97" s="190">
        <f>'KU - Project 40'!H36+'KU - Project 40'!H78+'KU - Project 40'!H120+'KU - Project 40'!H162+'KU - Project 40'!H204+'KU - Project 40'!H246</f>
        <v>0</v>
      </c>
      <c r="I97" s="190">
        <f>'KU - Project 40'!I36+'KU - Project 40'!I78+'KU - Project 40'!I120+'KU - Project 40'!I162+'KU - Project 40'!I204+'KU - Project 40'!I246</f>
        <v>0</v>
      </c>
      <c r="J97" s="190">
        <f>'KU - Project 40'!J36+'KU - Project 40'!J78+'KU - Project 40'!J120+'KU - Project 40'!J162+'KU - Project 40'!J204+'KU - Project 40'!J246</f>
        <v>0</v>
      </c>
      <c r="K97" s="190">
        <f>'KU - Project 40'!K36+'KU - Project 40'!K78+'KU - Project 40'!K120+'KU - Project 40'!K162+'KU - Project 40'!K204+'KU - Project 40'!K246</f>
        <v>0</v>
      </c>
      <c r="L97" s="190">
        <f>'KU - Project 40'!L36+'KU - Project 40'!L78+'KU - Project 40'!L120+'KU - Project 40'!L162+'KU - Project 40'!L204+'KU - Project 40'!L246</f>
        <v>0</v>
      </c>
    </row>
    <row r="98" spans="1:12" ht="18.75" customHeight="1">
      <c r="A98" s="55"/>
      <c r="B98" s="55" t="s">
        <v>48</v>
      </c>
      <c r="C98" s="190">
        <f>'KU - Project 40'!C37+'KU - Project 40'!C79+'KU - Project 40'!C121+'KU - Project 40'!C163+'KU - Project 40'!C205+'KU - Project 40'!C247</f>
        <v>0</v>
      </c>
      <c r="D98" s="190">
        <f>'KU - Project 40'!D37+'KU - Project 40'!D79+'KU - Project 40'!D121+'KU - Project 40'!D163+'KU - Project 40'!D205+'KU - Project 40'!D247</f>
        <v>0</v>
      </c>
      <c r="E98" s="190">
        <f>'KU - Project 40'!E37+'KU - Project 40'!E79+'KU - Project 40'!E121+'KU - Project 40'!E163+'KU - Project 40'!E205+'KU - Project 40'!E247</f>
        <v>100087.90800455071</v>
      </c>
      <c r="F98" s="190">
        <f>'KU - Project 40'!F37+'KU - Project 40'!F79+'KU - Project 40'!F121+'KU - Project 40'!F163+'KU - Project 40'!F205+'KU - Project 40'!F247</f>
        <v>2402109.792109217</v>
      </c>
      <c r="G98" s="190">
        <f>'KU - Project 40'!G37+'KU - Project 40'!G79+'KU - Project 40'!G121+'KU - Project 40'!G163+'KU - Project 40'!G205+'KU - Project 40'!G247</f>
        <v>2402109.792109217</v>
      </c>
      <c r="H98" s="190">
        <f>'KU - Project 40'!H37+'KU - Project 40'!H79+'KU - Project 40'!H121+'KU - Project 40'!H163+'KU - Project 40'!H205+'KU - Project 40'!H247</f>
        <v>2402109.792109217</v>
      </c>
      <c r="I98" s="190">
        <f>'KU - Project 40'!I37+'KU - Project 40'!I79+'KU - Project 40'!I121+'KU - Project 40'!I163+'KU - Project 40'!I205+'KU - Project 40'!I247</f>
        <v>2402109.792109217</v>
      </c>
      <c r="J98" s="190">
        <f>'KU - Project 40'!J37+'KU - Project 40'!J79+'KU - Project 40'!J121+'KU - Project 40'!J163+'KU - Project 40'!J205+'KU - Project 40'!J247</f>
        <v>2402109.792109217</v>
      </c>
      <c r="K98" s="190">
        <f>'KU - Project 40'!K37+'KU - Project 40'!K79+'KU - Project 40'!K121+'KU - Project 40'!K163+'KU - Project 40'!K205+'KU - Project 40'!K247</f>
        <v>2402109.792109217</v>
      </c>
      <c r="L98" s="190">
        <f>'KU - Project 40'!L37+'KU - Project 40'!L79+'KU - Project 40'!L121+'KU - Project 40'!L163+'KU - Project 40'!L205+'KU - Project 40'!L247</f>
        <v>2402109.792109217</v>
      </c>
    </row>
    <row r="99" spans="1:12" ht="18.75" customHeight="1">
      <c r="A99" s="55"/>
      <c r="B99" s="2" t="s">
        <v>434</v>
      </c>
      <c r="C99" s="190">
        <f>'KU - Project 40'!C38+'KU - Project 40'!C80+'KU - Project 40'!C122+'KU - Project 40'!C164+'KU - Project 40'!C206+'KU - Project 40'!C248</f>
        <v>11314840.555736</v>
      </c>
      <c r="D99" s="190">
        <f>'KU - Project 40'!D38+'KU - Project 40'!D80+'KU - Project 40'!D122+'KU - Project 40'!D164+'KU - Project 40'!D206+'KU - Project 40'!D248</f>
        <v>11314840.555736</v>
      </c>
      <c r="E99" s="190">
        <f>'KU - Project 40'!E38+'KU - Project 40'!E80+'KU - Project 40'!E122+'KU - Project 40'!E164+'KU - Project 40'!E206+'KU - Project 40'!E248</f>
        <v>11314840.555736</v>
      </c>
      <c r="F99" s="190">
        <f>'KU - Project 40'!F38+'KU - Project 40'!F80+'KU - Project 40'!F122+'KU - Project 40'!F164+'KU - Project 40'!F206+'KU - Project 40'!F248</f>
        <v>11314840.555736</v>
      </c>
      <c r="G99" s="190">
        <f>'KU - Project 40'!G38+'KU - Project 40'!G80+'KU - Project 40'!G122+'KU - Project 40'!G164+'KU - Project 40'!G206+'KU - Project 40'!G248</f>
        <v>11314840.555736</v>
      </c>
      <c r="H99" s="190">
        <f>'KU - Project 40'!H38+'KU - Project 40'!H80+'KU - Project 40'!H122+'KU - Project 40'!H164+'KU - Project 40'!H206+'KU - Project 40'!H248</f>
        <v>11314840.555736</v>
      </c>
      <c r="I99" s="190">
        <f>'KU - Project 40'!I38+'KU - Project 40'!I80+'KU - Project 40'!I122+'KU - Project 40'!I164+'KU - Project 40'!I206+'KU - Project 40'!I248</f>
        <v>11314840.555736</v>
      </c>
      <c r="J99" s="190">
        <f>'KU - Project 40'!J38+'KU - Project 40'!J80+'KU - Project 40'!J122+'KU - Project 40'!J164+'KU - Project 40'!J206+'KU - Project 40'!J248</f>
        <v>11314840.555736</v>
      </c>
      <c r="K99" s="190">
        <f>'KU - Project 40'!K38+'KU - Project 40'!K80+'KU - Project 40'!K122+'KU - Project 40'!K164+'KU - Project 40'!K206+'KU - Project 40'!K248</f>
        <v>11314840.555736</v>
      </c>
      <c r="L99" s="190">
        <f>'KU - Project 40'!L38+'KU - Project 40'!L80+'KU - Project 40'!L122+'KU - Project 40'!L164+'KU - Project 40'!L206+'KU - Project 40'!L248</f>
        <v>11314840.555736</v>
      </c>
    </row>
    <row r="100" spans="1:12" ht="18.75" customHeight="1">
      <c r="A100" s="55"/>
      <c r="B100" s="55" t="s">
        <v>50</v>
      </c>
      <c r="C100" s="191">
        <f>'KU - Project 40'!C39+'KU - Project 40'!C81+'KU - Project 40'!C123+'KU - Project 40'!C165+'KU - Project 40'!C207+'KU - Project 40'!C249</f>
        <v>0</v>
      </c>
      <c r="D100" s="191">
        <f>'KU - Project 40'!D39+'KU - Project 40'!D81+'KU - Project 40'!D123+'KU - Project 40'!D165+'KU - Project 40'!D207+'KU - Project 40'!D249</f>
        <v>44.44440639599907</v>
      </c>
      <c r="E100" s="191">
        <f>'KU - Project 40'!E39+'KU - Project 40'!E81+'KU - Project 40'!E123+'KU - Project 40'!E165+'KU - Project 40'!E207+'KU - Project 40'!E249</f>
        <v>108872.683572792</v>
      </c>
      <c r="F100" s="191">
        <f>'KU - Project 40'!F39+'KU - Project 40'!F81+'KU - Project 40'!F123+'KU - Project 40'!F165+'KU - Project 40'!F207+'KU - Project 40'!F249</f>
        <v>210569.79087718116</v>
      </c>
      <c r="G100" s="191">
        <f>'KU - Project 40'!G39+'KU - Project 40'!G81+'KU - Project 40'!G123+'KU - Project 40'!G165+'KU - Project 40'!G207+'KU - Project 40'!G249</f>
        <v>252614.86535541335</v>
      </c>
      <c r="H100" s="191">
        <f>'KU - Project 40'!H39+'KU - Project 40'!H81+'KU - Project 40'!H123+'KU - Project 40'!H165+'KU - Project 40'!H207+'KU - Project 40'!H249</f>
        <v>288100.43983364553</v>
      </c>
      <c r="I100" s="191">
        <f>'KU - Project 40'!I39+'KU - Project 40'!I81+'KU - Project 40'!I123+'KU - Project 40'!I165+'KU - Project 40'!I207+'KU - Project 40'!I249</f>
        <v>347032.5143118777</v>
      </c>
      <c r="J100" s="191">
        <f>'KU - Project 40'!J39+'KU - Project 40'!J81+'KU - Project 40'!J123+'KU - Project 40'!J165+'KU - Project 40'!J207+'KU - Project 40'!J249</f>
        <v>376521.08879010985</v>
      </c>
      <c r="K100" s="191">
        <f>'KU - Project 40'!K39+'KU - Project 40'!K81+'KU - Project 40'!K123+'KU - Project 40'!K165+'KU - Project 40'!K207+'KU - Project 40'!K249</f>
        <v>355945.66326834203</v>
      </c>
      <c r="L100" s="191">
        <f>'KU - Project 40'!L39+'KU - Project 40'!L81+'KU - Project 40'!L123+'KU - Project 40'!L165+'KU - Project 40'!L207+'KU - Project 40'!L249</f>
        <v>335370.2377465742</v>
      </c>
    </row>
    <row r="101" spans="1:12" ht="18.75" customHeight="1">
      <c r="A101" s="55"/>
      <c r="B101" s="60" t="s">
        <v>51</v>
      </c>
      <c r="C101" s="179">
        <f aca="true" t="shared" si="19" ref="C101:L101">SUM(C97:C100)</f>
        <v>11314840.555736</v>
      </c>
      <c r="D101" s="179">
        <f t="shared" si="19"/>
        <v>11314885.000142395</v>
      </c>
      <c r="E101" s="179">
        <f t="shared" si="19"/>
        <v>11523801.147313341</v>
      </c>
      <c r="F101" s="179">
        <f t="shared" si="19"/>
        <v>13927520.1387224</v>
      </c>
      <c r="G101" s="179">
        <f t="shared" si="19"/>
        <v>13969565.21320063</v>
      </c>
      <c r="H101" s="179">
        <f t="shared" si="19"/>
        <v>14005050.787678862</v>
      </c>
      <c r="I101" s="179">
        <f t="shared" si="19"/>
        <v>14063982.862157095</v>
      </c>
      <c r="J101" s="179">
        <f t="shared" si="19"/>
        <v>14093471.436635327</v>
      </c>
      <c r="K101" s="179">
        <f t="shared" si="19"/>
        <v>14072896.01111356</v>
      </c>
      <c r="L101" s="179">
        <f t="shared" si="19"/>
        <v>14052320.585591791</v>
      </c>
    </row>
    <row r="102" spans="1:12" ht="18.75" customHeight="1">
      <c r="A102" s="55"/>
      <c r="B102" s="60"/>
      <c r="C102" s="36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8.75" customHeight="1">
      <c r="A103" s="55"/>
      <c r="B103" s="60" t="s">
        <v>13</v>
      </c>
      <c r="C103" s="176">
        <f>C95+C101</f>
        <v>11514311.726237174</v>
      </c>
      <c r="D103" s="176">
        <f aca="true" t="shared" si="20" ref="D103:I103">D95+D101</f>
        <v>17916982.172801904</v>
      </c>
      <c r="E103" s="176">
        <f t="shared" si="20"/>
        <v>22622351.90223884</v>
      </c>
      <c r="F103" s="176">
        <f t="shared" si="20"/>
        <v>26594640.592753176</v>
      </c>
      <c r="G103" s="176">
        <f t="shared" si="20"/>
        <v>27946231.656574488</v>
      </c>
      <c r="H103" s="176">
        <f t="shared" si="20"/>
        <v>30276821.99556019</v>
      </c>
      <c r="I103" s="176">
        <f t="shared" si="20"/>
        <v>31419962.54767938</v>
      </c>
      <c r="J103" s="176">
        <f>J95+J101</f>
        <v>30465881.972253155</v>
      </c>
      <c r="K103" s="176">
        <f>K95+K101</f>
        <v>29471460.753810003</v>
      </c>
      <c r="L103" s="176">
        <f>L95+L101</f>
        <v>28486003.63777442</v>
      </c>
    </row>
    <row r="104" s="48" customFormat="1" ht="18.75" customHeight="1"/>
    <row r="105" spans="1:14" ht="18.75" customHeight="1">
      <c r="A105" s="10" t="s">
        <v>319</v>
      </c>
      <c r="B105" s="40" t="s">
        <v>422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</row>
    <row r="106" spans="1:12" ht="18.75" customHeight="1">
      <c r="A106" s="55"/>
      <c r="B106" s="56" t="s">
        <v>14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8.75" customHeight="1">
      <c r="A107" s="55"/>
      <c r="B107" s="3" t="s">
        <v>60</v>
      </c>
      <c r="C107" s="169">
        <f>'KU - Project 41'!C26+'KU - Project 41'!C68+'KU - Project 41'!C110</f>
        <v>0</v>
      </c>
      <c r="D107" s="169">
        <f>'KU - Project 41'!D26+'KU - Project 41'!D68+'KU - Project 41'!D110</f>
        <v>21073751.999999996</v>
      </c>
      <c r="E107" s="169">
        <f>'KU - Project 41'!E26+'KU - Project 41'!E68+'KU - Project 41'!E110</f>
        <v>47355912</v>
      </c>
      <c r="F107" s="169">
        <f>'KU - Project 41'!F26+'KU - Project 41'!F68+'KU - Project 41'!F110</f>
        <v>58919472</v>
      </c>
      <c r="G107" s="169">
        <f>'KU - Project 41'!G26+'KU - Project 41'!G68+'KU - Project 41'!G110</f>
        <v>72055872</v>
      </c>
      <c r="H107" s="169">
        <f>'KU - Project 41'!H26+'KU - Project 41'!H68+'KU - Project 41'!H110</f>
        <v>79421472</v>
      </c>
      <c r="I107" s="169">
        <f>'KU - Project 41'!I26+'KU - Project 41'!I68+'KU - Project 41'!I110</f>
        <v>91328472</v>
      </c>
      <c r="J107" s="169">
        <f>'KU - Project 41'!J26+'KU - Project 41'!J68+'KU - Project 41'!J110</f>
        <v>101940192</v>
      </c>
      <c r="K107" s="169">
        <f>'KU - Project 41'!K26+'KU - Project 41'!K68+'KU - Project 41'!K110</f>
        <v>101940192</v>
      </c>
      <c r="L107" s="169">
        <f>'KU - Project 41'!L26+'KU - Project 41'!L68+'KU - Project 41'!L110</f>
        <v>101940192</v>
      </c>
    </row>
    <row r="108" spans="1:12" ht="18.75" customHeight="1">
      <c r="A108" s="55"/>
      <c r="B108" s="57" t="s">
        <v>61</v>
      </c>
      <c r="C108" s="169">
        <f>'KU - Project 41'!C27+'KU - Project 41'!C69+'KU - Project 41'!C111</f>
        <v>0</v>
      </c>
      <c r="D108" s="169">
        <f>'KU - Project 41'!D27+'KU - Project 41'!D69+'KU - Project 41'!D111</f>
        <v>0</v>
      </c>
      <c r="E108" s="169">
        <f>'KU - Project 41'!E27+'KU - Project 41'!E69+'KU - Project 41'!E111</f>
        <v>0</v>
      </c>
      <c r="F108" s="169">
        <f>'KU - Project 41'!F27+'KU - Project 41'!F69+'KU - Project 41'!F111</f>
        <v>0</v>
      </c>
      <c r="G108" s="169">
        <f>'KU - Project 41'!G27+'KU - Project 41'!G69+'KU - Project 41'!G111</f>
        <v>0</v>
      </c>
      <c r="H108" s="169">
        <f>'KU - Project 41'!H27+'KU - Project 41'!H69+'KU - Project 41'!H111</f>
        <v>0</v>
      </c>
      <c r="I108" s="169">
        <f>'KU - Project 41'!I27+'KU - Project 41'!I69+'KU - Project 41'!I111</f>
        <v>0</v>
      </c>
      <c r="J108" s="169">
        <f>'KU - Project 41'!J27+'KU - Project 41'!J69+'KU - Project 41'!J111</f>
        <v>0</v>
      </c>
      <c r="K108" s="169">
        <f>'KU - Project 41'!K27+'KU - Project 41'!K69+'KU - Project 41'!K111</f>
        <v>0</v>
      </c>
      <c r="L108" s="169">
        <f>'KU - Project 41'!L27+'KU - Project 41'!L69+'KU - Project 41'!L111</f>
        <v>0</v>
      </c>
    </row>
    <row r="109" spans="1:12" ht="18.75" customHeight="1">
      <c r="A109" s="55"/>
      <c r="B109" s="55" t="s">
        <v>10</v>
      </c>
      <c r="C109" s="169">
        <f>'KU - Project 41'!C28+'KU - Project 41'!C70+'KU - Project 41'!C112</f>
        <v>-1189321.0857040002</v>
      </c>
      <c r="D109" s="169">
        <f>'KU - Project 41'!D28+'KU - Project 41'!D70+'KU - Project 41'!D112</f>
        <v>-2378642.1714080004</v>
      </c>
      <c r="E109" s="169">
        <f>'KU - Project 41'!E28+'KU - Project 41'!E70+'KU - Project 41'!E112</f>
        <v>-3603917.3667596593</v>
      </c>
      <c r="F109" s="169">
        <f>'KU - Project 41'!F28+'KU - Project 41'!F70+'KU - Project 41'!F112</f>
        <v>-5656137.084007466</v>
      </c>
      <c r="G109" s="169">
        <f>'KU - Project 41'!G28+'KU - Project 41'!G70+'KU - Project 41'!G112</f>
        <v>-7708356.801255274</v>
      </c>
      <c r="H109" s="169">
        <f>'KU - Project 41'!H28+'KU - Project 41'!H70+'KU - Project 41'!H112</f>
        <v>-9760576.518503081</v>
      </c>
      <c r="I109" s="169">
        <f>'KU - Project 41'!I28+'KU - Project 41'!I70+'KU - Project 41'!I112</f>
        <v>-11812796.235750888</v>
      </c>
      <c r="J109" s="169">
        <f>'KU - Project 41'!J28+'KU - Project 41'!J70+'KU - Project 41'!J112</f>
        <v>-13865015.952998696</v>
      </c>
      <c r="K109" s="169">
        <f>'KU - Project 41'!K28+'KU - Project 41'!K70+'KU - Project 41'!K112</f>
        <v>-15917235.670246504</v>
      </c>
      <c r="L109" s="169">
        <f>'KU - Project 41'!L28+'KU - Project 41'!L70+'KU - Project 41'!L112</f>
        <v>-17969455.38749431</v>
      </c>
    </row>
    <row r="110" spans="1:12" ht="18.75" customHeight="1">
      <c r="A110" s="55"/>
      <c r="B110" s="58" t="s">
        <v>62</v>
      </c>
      <c r="C110" s="169">
        <f>'KU - Project 41'!C29+'KU - Project 41'!C71+'KU - Project 41'!C113</f>
        <v>0</v>
      </c>
      <c r="D110" s="169">
        <f>'KU - Project 41'!D29+'KU - Project 41'!D71+'KU - Project 41'!D113</f>
        <v>0</v>
      </c>
      <c r="E110" s="169">
        <f>'KU - Project 41'!E29+'KU - Project 41'!E71+'KU - Project 41'!E113</f>
        <v>0</v>
      </c>
      <c r="F110" s="169">
        <f>'KU - Project 41'!F29+'KU - Project 41'!F71+'KU - Project 41'!F113</f>
        <v>0</v>
      </c>
      <c r="G110" s="169">
        <f>'KU - Project 41'!G29+'KU - Project 41'!G71+'KU - Project 41'!G113</f>
        <v>0</v>
      </c>
      <c r="H110" s="169">
        <f>'KU - Project 41'!H29+'KU - Project 41'!H71+'KU - Project 41'!H113</f>
        <v>0</v>
      </c>
      <c r="I110" s="169">
        <f>'KU - Project 41'!I29+'KU - Project 41'!I71+'KU - Project 41'!I113</f>
        <v>0</v>
      </c>
      <c r="J110" s="169">
        <f>'KU - Project 41'!J29+'KU - Project 41'!J71+'KU - Project 41'!J113</f>
        <v>0</v>
      </c>
      <c r="K110" s="169">
        <f>'KU - Project 41'!K29+'KU - Project 41'!K71+'KU - Project 41'!K113</f>
        <v>0</v>
      </c>
      <c r="L110" s="169">
        <f>'KU - Project 41'!L29+'KU - Project 41'!L71+'KU - Project 41'!L113</f>
        <v>0</v>
      </c>
    </row>
    <row r="111" spans="1:12" ht="18.75" customHeight="1">
      <c r="A111" s="55"/>
      <c r="B111" s="55" t="s">
        <v>63</v>
      </c>
      <c r="C111" s="169">
        <f>'KU - Project 41'!C30+'KU - Project 41'!C72+'KU - Project 41'!C114</f>
        <v>459862.89099830866</v>
      </c>
      <c r="D111" s="169">
        <f>'KU - Project 41'!D30+'KU - Project 41'!D72+'KU - Project 41'!D114</f>
        <v>300272.88574939524</v>
      </c>
      <c r="E111" s="169">
        <f>'KU - Project 41'!E30+'KU - Project 41'!E72+'KU - Project 41'!E114</f>
        <v>-7741815.660888679</v>
      </c>
      <c r="F111" s="169">
        <f>'KU - Project 41'!F30+'KU - Project 41'!F72+'KU - Project 41'!F114</f>
        <v>-12107644.120445136</v>
      </c>
      <c r="G111" s="169">
        <f>'KU - Project 41'!G30+'KU - Project 41'!G72+'KU - Project 41'!G114</f>
        <v>-17029959.0588013</v>
      </c>
      <c r="H111" s="169">
        <f>'KU - Project 41'!H30+'KU - Project 41'!H72+'KU - Project 41'!H114</f>
        <v>-19673272.414175645</v>
      </c>
      <c r="I111" s="169">
        <f>'KU - Project 41'!I30+'KU - Project 41'!I72+'KU - Project 41'!I114</f>
        <v>-24028331.25052686</v>
      </c>
      <c r="J111" s="169">
        <f>'KU - Project 41'!J30+'KU - Project 41'!J72+'KU - Project 41'!J114</f>
        <v>-27841756.69101365</v>
      </c>
      <c r="K111" s="169">
        <f>'KU - Project 41'!K30+'KU - Project 41'!K72+'KU - Project 41'!K114</f>
        <v>-27514209.216644865</v>
      </c>
      <c r="L111" s="169">
        <f>'KU - Project 41'!L30+'KU - Project 41'!L72+'KU - Project 41'!L114</f>
        <v>-27151771.654029388</v>
      </c>
    </row>
    <row r="112" spans="1:12" ht="18.75" customHeight="1">
      <c r="A112" s="55"/>
      <c r="B112" s="57" t="s">
        <v>64</v>
      </c>
      <c r="C112" s="169">
        <f>'KU - Project 41'!C31+'KU - Project 41'!C73+'KU - Project 41'!C115</f>
        <v>0</v>
      </c>
      <c r="D112" s="169">
        <f>'KU - Project 41'!D31+'KU - Project 41'!D73+'KU - Project 41'!D115</f>
        <v>0</v>
      </c>
      <c r="E112" s="169">
        <f>'KU - Project 41'!E31+'KU - Project 41'!E73+'KU - Project 41'!E115</f>
        <v>0</v>
      </c>
      <c r="F112" s="169">
        <f>'KU - Project 41'!F31+'KU - Project 41'!F73+'KU - Project 41'!F115</f>
        <v>0</v>
      </c>
      <c r="G112" s="169">
        <f>'KU - Project 41'!G31+'KU - Project 41'!G73+'KU - Project 41'!G115</f>
        <v>0</v>
      </c>
      <c r="H112" s="169">
        <f>'KU - Project 41'!H31+'KU - Project 41'!H73+'KU - Project 41'!H115</f>
        <v>0</v>
      </c>
      <c r="I112" s="169">
        <f>'KU - Project 41'!I31+'KU - Project 41'!I73+'KU - Project 41'!I115</f>
        <v>0</v>
      </c>
      <c r="J112" s="169">
        <f>'KU - Project 41'!J31+'KU - Project 41'!J73+'KU - Project 41'!J115</f>
        <v>0</v>
      </c>
      <c r="K112" s="169">
        <f>'KU - Project 41'!K31+'KU - Project 41'!K73+'KU - Project 41'!K115</f>
        <v>0</v>
      </c>
      <c r="L112" s="169">
        <f>'KU - Project 41'!L31+'KU - Project 41'!L73+'KU - Project 41'!L115</f>
        <v>0</v>
      </c>
    </row>
    <row r="113" spans="1:12" ht="18.75" customHeight="1">
      <c r="A113" s="55"/>
      <c r="B113" s="55" t="s">
        <v>11</v>
      </c>
      <c r="C113" s="169">
        <f>SUM(C107:C112)</f>
        <v>-729458.1947056915</v>
      </c>
      <c r="D113" s="169">
        <f aca="true" t="shared" si="21" ref="D113:L113">SUM(D107:D112)</f>
        <v>18995382.71434139</v>
      </c>
      <c r="E113" s="169">
        <f t="shared" si="21"/>
        <v>36010178.97235166</v>
      </c>
      <c r="F113" s="169">
        <f t="shared" si="21"/>
        <v>41155690.795547396</v>
      </c>
      <c r="G113" s="169">
        <f t="shared" si="21"/>
        <v>47317556.13994343</v>
      </c>
      <c r="H113" s="169">
        <f t="shared" si="21"/>
        <v>49987623.06732127</v>
      </c>
      <c r="I113" s="169">
        <f t="shared" si="21"/>
        <v>55487344.513722256</v>
      </c>
      <c r="J113" s="169">
        <f t="shared" si="21"/>
        <v>60233419.35598765</v>
      </c>
      <c r="K113" s="169">
        <f t="shared" si="21"/>
        <v>58508747.11310862</v>
      </c>
      <c r="L113" s="169">
        <f t="shared" si="21"/>
        <v>56818964.958476305</v>
      </c>
    </row>
    <row r="114" spans="1:12" ht="18.75" customHeight="1">
      <c r="A114" s="55"/>
      <c r="B114" s="55" t="s">
        <v>12</v>
      </c>
      <c r="C114" s="34">
        <f>'KU - Project 41'!C33</f>
        <v>0.10152297909805327</v>
      </c>
      <c r="D114" s="34">
        <f>'KU - Project 41'!D33</f>
        <v>0.10152297909805327</v>
      </c>
      <c r="E114" s="34">
        <f>'KU - Project 41'!E33</f>
        <v>0.10152297909805327</v>
      </c>
      <c r="F114" s="34">
        <f>'KU - Project 41'!F33</f>
        <v>0.10152297909805327</v>
      </c>
      <c r="G114" s="34">
        <f>'KU - Project 41'!G33</f>
        <v>0.10152297909805327</v>
      </c>
      <c r="H114" s="34">
        <f>'KU - Project 41'!H33</f>
        <v>0.10152297909805327</v>
      </c>
      <c r="I114" s="34">
        <f>'KU - Project 41'!I33</f>
        <v>0.10152297909805327</v>
      </c>
      <c r="J114" s="34">
        <f>'KU - Project 41'!J33</f>
        <v>0.10152297909805327</v>
      </c>
      <c r="K114" s="34">
        <f>'KU - Project 41'!K33</f>
        <v>0.10152297909805327</v>
      </c>
      <c r="L114" s="34">
        <f>'KU - Project 41'!L33</f>
        <v>0.10152297909805327</v>
      </c>
    </row>
    <row r="115" spans="1:12" ht="18.75" customHeight="1">
      <c r="A115" s="55"/>
      <c r="B115" s="41"/>
      <c r="C115" s="180">
        <f aca="true" t="shared" si="22" ref="C115:L115">C113*C114</f>
        <v>-74056.7690540096</v>
      </c>
      <c r="D115" s="180">
        <f t="shared" si="22"/>
        <v>1928467.8422676034</v>
      </c>
      <c r="E115" s="180">
        <f t="shared" si="22"/>
        <v>3655860.6471272153</v>
      </c>
      <c r="F115" s="180">
        <f t="shared" si="22"/>
        <v>4178248.3364023017</v>
      </c>
      <c r="G115" s="180">
        <f t="shared" si="22"/>
        <v>4803819.262966439</v>
      </c>
      <c r="H115" s="180">
        <f t="shared" si="22"/>
        <v>5074892.411825023</v>
      </c>
      <c r="I115" s="180">
        <f t="shared" si="22"/>
        <v>5633240.517273106</v>
      </c>
      <c r="J115" s="180">
        <f t="shared" si="22"/>
        <v>6115076.174282212</v>
      </c>
      <c r="K115" s="180">
        <f t="shared" si="22"/>
        <v>5939982.310217411</v>
      </c>
      <c r="L115" s="180">
        <f t="shared" si="22"/>
        <v>5768430.591852412</v>
      </c>
    </row>
    <row r="116" spans="1:12" ht="18.75" customHeight="1">
      <c r="A116" s="55"/>
      <c r="B116" s="41"/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1:12" ht="18.75" customHeight="1">
      <c r="A117" s="55"/>
      <c r="B117" s="57" t="s">
        <v>65</v>
      </c>
      <c r="C117" s="190">
        <f>'KU - Project 41'!C36+'KU - Project 41'!C78+'KU - Project 41'!C120</f>
        <v>0</v>
      </c>
      <c r="D117" s="190">
        <f>'KU - Project 41'!D36+'KU - Project 41'!D78+'KU - Project 41'!D120</f>
        <v>0.10152297909805327</v>
      </c>
      <c r="E117" s="190">
        <f>'KU - Project 41'!E36+'KU - Project 41'!E78+'KU - Project 41'!E120</f>
        <v>0.10152297909805327</v>
      </c>
      <c r="F117" s="190">
        <f>'KU - Project 41'!F36+'KU - Project 41'!F78+'KU - Project 41'!F120</f>
        <v>0.10152297909805327</v>
      </c>
      <c r="G117" s="190">
        <f>'KU - Project 41'!G36+'KU - Project 41'!G78+'KU - Project 41'!G120</f>
        <v>0.10152297909805327</v>
      </c>
      <c r="H117" s="190">
        <f>'KU - Project 41'!H36+'KU - Project 41'!H78+'KU - Project 41'!H120</f>
        <v>0.10152297909805327</v>
      </c>
      <c r="I117" s="190">
        <f>'KU - Project 41'!I36+'KU - Project 41'!I78+'KU - Project 41'!I120</f>
        <v>0.10152297909805327</v>
      </c>
      <c r="J117" s="190">
        <f>'KU - Project 41'!J36+'KU - Project 41'!J78+'KU - Project 41'!J120</f>
        <v>0.10152297909805327</v>
      </c>
      <c r="K117" s="190">
        <f>'KU - Project 41'!K36+'KU - Project 41'!K78+'KU - Project 41'!K120</f>
        <v>0.10152297909805327</v>
      </c>
      <c r="L117" s="190">
        <f>'KU - Project 41'!L36+'KU - Project 41'!L78+'KU - Project 41'!L120</f>
        <v>0.10152297909805327</v>
      </c>
    </row>
    <row r="118" spans="1:12" ht="18.75" customHeight="1">
      <c r="A118" s="55"/>
      <c r="B118" s="55" t="s">
        <v>48</v>
      </c>
      <c r="C118" s="190">
        <f>'KU - Project 41'!C37+'KU - Project 41'!C79+'KU - Project 41'!C121</f>
        <v>0</v>
      </c>
      <c r="D118" s="190">
        <f>'KU - Project 41'!D37+'KU - Project 41'!D79+'KU - Project 41'!D121</f>
        <v>0</v>
      </c>
      <c r="E118" s="190">
        <f>'KU - Project 41'!E37+'KU - Project 41'!E79+'KU - Project 41'!E121</f>
        <v>35954.10964765862</v>
      </c>
      <c r="F118" s="190">
        <f>'KU - Project 41'!F37+'KU - Project 41'!F79+'KU - Project 41'!F121</f>
        <v>862898.6315438068</v>
      </c>
      <c r="G118" s="190">
        <f>'KU - Project 41'!G37+'KU - Project 41'!G79+'KU - Project 41'!G121</f>
        <v>862898.6315438068</v>
      </c>
      <c r="H118" s="190">
        <f>'KU - Project 41'!H37+'KU - Project 41'!H79+'KU - Project 41'!H121</f>
        <v>862898.6315438068</v>
      </c>
      <c r="I118" s="190">
        <f>'KU - Project 41'!I37+'KU - Project 41'!I79+'KU - Project 41'!I121</f>
        <v>862898.6315438068</v>
      </c>
      <c r="J118" s="190">
        <f>'KU - Project 41'!J37+'KU - Project 41'!J79+'KU - Project 41'!J121</f>
        <v>862898.6315438068</v>
      </c>
      <c r="K118" s="190">
        <f>'KU - Project 41'!K37+'KU - Project 41'!K79+'KU - Project 41'!K121</f>
        <v>862898.6315438068</v>
      </c>
      <c r="L118" s="190">
        <f>'KU - Project 41'!L37+'KU - Project 41'!L79+'KU - Project 41'!L121</f>
        <v>862898.6315438068</v>
      </c>
    </row>
    <row r="119" spans="1:12" ht="18.75" customHeight="1">
      <c r="A119" s="55"/>
      <c r="B119" s="2" t="s">
        <v>434</v>
      </c>
      <c r="C119" s="190">
        <f>'KU - Project 41'!C38+'KU - Project 41'!C80+'KU - Project 41'!C122</f>
        <v>1189321.0857040002</v>
      </c>
      <c r="D119" s="190">
        <f>'KU - Project 41'!D38+'KU - Project 41'!D80+'KU - Project 41'!D122</f>
        <v>1189321.0857040002</v>
      </c>
      <c r="E119" s="190">
        <f>'KU - Project 41'!E38+'KU - Project 41'!E80+'KU - Project 41'!E122</f>
        <v>1189321.0857040002</v>
      </c>
      <c r="F119" s="190">
        <f>'KU - Project 41'!F38+'KU - Project 41'!F80+'KU - Project 41'!F122</f>
        <v>1189321.0857040002</v>
      </c>
      <c r="G119" s="190">
        <f>'KU - Project 41'!G38+'KU - Project 41'!G80+'KU - Project 41'!G122</f>
        <v>1189321.0857040002</v>
      </c>
      <c r="H119" s="190">
        <f>'KU - Project 41'!H38+'KU - Project 41'!H80+'KU - Project 41'!H122</f>
        <v>1189321.0857040002</v>
      </c>
      <c r="I119" s="190">
        <f>'KU - Project 41'!I38+'KU - Project 41'!I80+'KU - Project 41'!I122</f>
        <v>1189321.0857040002</v>
      </c>
      <c r="J119" s="190">
        <f>'KU - Project 41'!J38+'KU - Project 41'!J80+'KU - Project 41'!J122</f>
        <v>1189321.0857040002</v>
      </c>
      <c r="K119" s="190">
        <f>'KU - Project 41'!K38+'KU - Project 41'!K80+'KU - Project 41'!K122</f>
        <v>1189321.0857040002</v>
      </c>
      <c r="L119" s="190">
        <f>'KU - Project 41'!L38+'KU - Project 41'!L80+'KU - Project 41'!L122</f>
        <v>1189321.0857040002</v>
      </c>
    </row>
    <row r="120" spans="1:12" ht="18.75" customHeight="1">
      <c r="A120" s="55"/>
      <c r="B120" s="55" t="s">
        <v>50</v>
      </c>
      <c r="C120" s="191">
        <f>'KU - Project 41'!C39+'KU - Project 41'!C81+'KU - Project 41'!C123</f>
        <v>0</v>
      </c>
      <c r="D120" s="191">
        <f>'KU - Project 41'!D39+'KU - Project 41'!D81+'KU - Project 41'!D123</f>
        <v>-1783.9816285560003</v>
      </c>
      <c r="E120" s="191">
        <f>'KU - Project 41'!E39+'KU - Project 41'!E81+'KU - Project 41'!E123</f>
        <v>28042.664742887995</v>
      </c>
      <c r="F120" s="191">
        <f>'KU - Project 41'!F39+'KU - Project 41'!F81+'KU - Project 41'!F123</f>
        <v>65627.9919498605</v>
      </c>
      <c r="G120" s="191">
        <f>'KU - Project 41'!G39+'KU - Project 41'!G81+'KU - Project 41'!G123</f>
        <v>79895.00237398878</v>
      </c>
      <c r="H120" s="191">
        <f>'KU - Project 41'!H39+'KU - Project 41'!H81+'KU - Project 41'!H123</f>
        <v>96521.27279811708</v>
      </c>
      <c r="I120" s="191">
        <f>'KU - Project 41'!I39+'KU - Project 41'!I81+'KU - Project 41'!I123</f>
        <v>104491.34322224537</v>
      </c>
      <c r="J120" s="191">
        <f>'KU - Project 41'!J39+'KU - Project 41'!J81+'KU - Project 41'!J123</f>
        <v>119273.51364637366</v>
      </c>
      <c r="K120" s="191">
        <f>'KU - Project 41'!K39+'KU - Project 41'!K81+'KU - Project 41'!K123</f>
        <v>132112.76407050193</v>
      </c>
      <c r="L120" s="191">
        <f>'KU - Project 41'!L39+'KU - Project 41'!L81+'KU - Project 41'!L123</f>
        <v>129034.43449463023</v>
      </c>
    </row>
    <row r="121" spans="1:12" ht="18.75" customHeight="1">
      <c r="A121" s="55"/>
      <c r="B121" s="60" t="s">
        <v>51</v>
      </c>
      <c r="C121" s="179">
        <f aca="true" t="shared" si="23" ref="C121:L121">SUM(C117:C120)</f>
        <v>1189321.0857040002</v>
      </c>
      <c r="D121" s="179">
        <f t="shared" si="23"/>
        <v>1187537.2055984233</v>
      </c>
      <c r="E121" s="179">
        <f t="shared" si="23"/>
        <v>1253317.961617526</v>
      </c>
      <c r="F121" s="179">
        <f t="shared" si="23"/>
        <v>2117847.8107206468</v>
      </c>
      <c r="G121" s="179">
        <f t="shared" si="23"/>
        <v>2132114.821144775</v>
      </c>
      <c r="H121" s="179">
        <f t="shared" si="23"/>
        <v>2148741.091568903</v>
      </c>
      <c r="I121" s="179">
        <f t="shared" si="23"/>
        <v>2156711.1619930314</v>
      </c>
      <c r="J121" s="179">
        <f t="shared" si="23"/>
        <v>2171493.33241716</v>
      </c>
      <c r="K121" s="179">
        <f t="shared" si="23"/>
        <v>2184332.582841288</v>
      </c>
      <c r="L121" s="179">
        <f t="shared" si="23"/>
        <v>2181254.2532654162</v>
      </c>
    </row>
    <row r="122" spans="1:12" ht="18.75" customHeight="1">
      <c r="A122" s="55"/>
      <c r="B122" s="60"/>
      <c r="C122" s="36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8.75" customHeight="1">
      <c r="A123" s="55"/>
      <c r="B123" s="60" t="s">
        <v>13</v>
      </c>
      <c r="C123" s="176">
        <f>C115+C121</f>
        <v>1115264.3166499906</v>
      </c>
      <c r="D123" s="176">
        <f aca="true" t="shared" si="24" ref="D123:I123">D115+D121</f>
        <v>3116005.047866027</v>
      </c>
      <c r="E123" s="176">
        <f t="shared" si="24"/>
        <v>4909178.608744741</v>
      </c>
      <c r="F123" s="176">
        <f t="shared" si="24"/>
        <v>6296096.147122948</v>
      </c>
      <c r="G123" s="176">
        <f t="shared" si="24"/>
        <v>6935934.084111214</v>
      </c>
      <c r="H123" s="176">
        <f t="shared" si="24"/>
        <v>7223633.503393926</v>
      </c>
      <c r="I123" s="176">
        <f t="shared" si="24"/>
        <v>7789951.679266137</v>
      </c>
      <c r="J123" s="176">
        <f>J115+J121</f>
        <v>8286569.506699372</v>
      </c>
      <c r="K123" s="176">
        <f>K115+K121</f>
        <v>8124314.893058699</v>
      </c>
      <c r="L123" s="176">
        <f>L115+L121</f>
        <v>7949684.845117828</v>
      </c>
    </row>
    <row r="124" s="48" customFormat="1" ht="18.75" customHeight="1"/>
    <row r="125" spans="1:14" ht="18.75" customHeight="1">
      <c r="A125" s="10" t="s">
        <v>320</v>
      </c>
      <c r="B125" s="40" t="s">
        <v>423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</row>
    <row r="126" spans="1:12" ht="18.75" customHeight="1">
      <c r="A126" s="55"/>
      <c r="B126" s="56" t="s">
        <v>14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8.75" customHeight="1">
      <c r="A127" s="55"/>
      <c r="B127" s="3" t="s">
        <v>60</v>
      </c>
      <c r="C127" s="169">
        <f>'KU - Project 42'!C26+'KU - Project 42'!C68</f>
        <v>0</v>
      </c>
      <c r="D127" s="169">
        <f>'KU - Project 42'!D26+'KU - Project 42'!D68</f>
        <v>31695300.039999995</v>
      </c>
      <c r="E127" s="169">
        <f>'KU - Project 42'!E26+'KU - Project 42'!E68</f>
        <v>67297300.03999999</v>
      </c>
      <c r="F127" s="169">
        <f>'KU - Project 42'!F26+'KU - Project 42'!F68</f>
        <v>71094300.03999999</v>
      </c>
      <c r="G127" s="169">
        <f>'KU - Project 42'!G26+'KU - Project 42'!G68</f>
        <v>74533300.03999999</v>
      </c>
      <c r="H127" s="169">
        <f>'KU - Project 42'!H26+'KU - Project 42'!H68</f>
        <v>78159300.03999999</v>
      </c>
      <c r="I127" s="169">
        <f>'KU - Project 42'!I26+'KU - Project 42'!I68</f>
        <v>88085300.03999999</v>
      </c>
      <c r="J127" s="169">
        <f>'KU - Project 42'!J26+'KU - Project 42'!J68</f>
        <v>98264300.03999999</v>
      </c>
      <c r="K127" s="169">
        <f>'KU - Project 42'!K26+'KU - Project 42'!K68</f>
        <v>98264300.03999999</v>
      </c>
      <c r="L127" s="169">
        <f>'KU - Project 42'!L26+'KU - Project 42'!L68</f>
        <v>98264300.03999999</v>
      </c>
    </row>
    <row r="128" spans="1:12" ht="18.75" customHeight="1">
      <c r="A128" s="55"/>
      <c r="B128" s="57" t="s">
        <v>61</v>
      </c>
      <c r="C128" s="169">
        <f>'KU - Project 42'!C27+'KU - Project 42'!C69</f>
        <v>0</v>
      </c>
      <c r="D128" s="169">
        <f>'KU - Project 42'!D27+'KU - Project 42'!D69</f>
        <v>0</v>
      </c>
      <c r="E128" s="169">
        <f>'KU - Project 42'!E27+'KU - Project 42'!E69</f>
        <v>0</v>
      </c>
      <c r="F128" s="169">
        <f>'KU - Project 42'!F27+'KU - Project 42'!F69</f>
        <v>0</v>
      </c>
      <c r="G128" s="169">
        <f>'KU - Project 42'!G27+'KU - Project 42'!G69</f>
        <v>0</v>
      </c>
      <c r="H128" s="169">
        <f>'KU - Project 42'!H27+'KU - Project 42'!H69</f>
        <v>0</v>
      </c>
      <c r="I128" s="169">
        <f>'KU - Project 42'!I27+'KU - Project 42'!I69</f>
        <v>0</v>
      </c>
      <c r="J128" s="169">
        <f>'KU - Project 42'!J27+'KU - Project 42'!J69</f>
        <v>0</v>
      </c>
      <c r="K128" s="169">
        <f>'KU - Project 42'!K27+'KU - Project 42'!K69</f>
        <v>0</v>
      </c>
      <c r="L128" s="169">
        <f>'KU - Project 42'!L27+'KU - Project 42'!L69</f>
        <v>0</v>
      </c>
    </row>
    <row r="129" spans="1:12" ht="18.75" customHeight="1">
      <c r="A129" s="55"/>
      <c r="B129" s="55" t="s">
        <v>10</v>
      </c>
      <c r="C129" s="169">
        <f>'KU - Project 42'!C28+'KU - Project 42'!C70</f>
        <v>-2846392.045503</v>
      </c>
      <c r="D129" s="169">
        <f>'KU - Project 42'!D28+'KU - Project 42'!D70</f>
        <v>-5692784.091006</v>
      </c>
      <c r="E129" s="169">
        <f>'KU - Project 42'!E28+'KU - Project 42'!E70</f>
        <v>-8603934.820845278</v>
      </c>
      <c r="F129" s="169">
        <f>'KU - Project 42'!F28+'KU - Project 42'!F70</f>
        <v>-13004535.290418979</v>
      </c>
      <c r="G129" s="169">
        <f>'KU - Project 42'!G28+'KU - Project 42'!G70</f>
        <v>-17405135.75999268</v>
      </c>
      <c r="H129" s="169">
        <f>'KU - Project 42'!H28+'KU - Project 42'!H70</f>
        <v>-21805736.22956638</v>
      </c>
      <c r="I129" s="169">
        <f>'KU - Project 42'!I28+'KU - Project 42'!I70</f>
        <v>-26206336.699140083</v>
      </c>
      <c r="J129" s="169">
        <f>'KU - Project 42'!J28+'KU - Project 42'!J70</f>
        <v>-30606937.168713782</v>
      </c>
      <c r="K129" s="169">
        <f>'KU - Project 42'!K28+'KU - Project 42'!K70</f>
        <v>-33386894.360878482</v>
      </c>
      <c r="L129" s="169">
        <f>'KU - Project 42'!L28+'KU - Project 42'!L70</f>
        <v>-36166851.55304319</v>
      </c>
    </row>
    <row r="130" spans="1:12" ht="18.75" customHeight="1">
      <c r="A130" s="55"/>
      <c r="B130" s="58" t="s">
        <v>62</v>
      </c>
      <c r="C130" s="169">
        <f>'KU - Project 42'!C29+'KU - Project 42'!C71</f>
        <v>0</v>
      </c>
      <c r="D130" s="169">
        <f>'KU - Project 42'!D29+'KU - Project 42'!D71</f>
        <v>0</v>
      </c>
      <c r="E130" s="169">
        <f>'KU - Project 42'!E29+'KU - Project 42'!E71</f>
        <v>0</v>
      </c>
      <c r="F130" s="169">
        <f>'KU - Project 42'!F29+'KU - Project 42'!F71</f>
        <v>0</v>
      </c>
      <c r="G130" s="169">
        <f>'KU - Project 42'!G29+'KU - Project 42'!G71</f>
        <v>0</v>
      </c>
      <c r="H130" s="169">
        <f>'KU - Project 42'!H29+'KU - Project 42'!H71</f>
        <v>0</v>
      </c>
      <c r="I130" s="169">
        <f>'KU - Project 42'!I29+'KU - Project 42'!I71</f>
        <v>0</v>
      </c>
      <c r="J130" s="169">
        <f>'KU - Project 42'!J29+'KU - Project 42'!J71</f>
        <v>0</v>
      </c>
      <c r="K130" s="169">
        <f>'KU - Project 42'!K29+'KU - Project 42'!K71</f>
        <v>0</v>
      </c>
      <c r="L130" s="169">
        <f>'KU - Project 42'!L29+'KU - Project 42'!L71</f>
        <v>0</v>
      </c>
    </row>
    <row r="131" spans="1:12" ht="18.75" customHeight="1">
      <c r="A131" s="55"/>
      <c r="B131" s="55" t="s">
        <v>63</v>
      </c>
      <c r="C131" s="169">
        <f>'KU - Project 42'!C30+'KU - Project 42'!C72</f>
        <v>1100585.9483141897</v>
      </c>
      <c r="D131" s="169">
        <f>'KU - Project 42'!D30+'KU - Project 42'!D72</f>
        <v>1932531.6040631474</v>
      </c>
      <c r="E131" s="169">
        <f>'KU - Project 42'!E30+'KU - Project 42'!E72</f>
        <v>-7926344.366167938</v>
      </c>
      <c r="F131" s="169">
        <f>'KU - Project 42'!F30+'KU - Project 42'!F72</f>
        <v>-8800596.984338123</v>
      </c>
      <c r="G131" s="169">
        <f>'KU - Project 42'!G30+'KU - Project 42'!G72</f>
        <v>-9453264.03972002</v>
      </c>
      <c r="H131" s="169">
        <f>'KU - Project 42'!H30+'KU - Project 42'!H72</f>
        <v>-10101519.46455921</v>
      </c>
      <c r="I131" s="169">
        <f>'KU - Project 42'!I30+'KU - Project 42'!I72</f>
        <v>-13114539.466494774</v>
      </c>
      <c r="J131" s="169">
        <f>'KU - Project 42'!J30+'KU - Project 42'!J72</f>
        <v>-16159714.653165782</v>
      </c>
      <c r="K131" s="169">
        <f>'KU - Project 42'!K30+'KU - Project 42'!K72</f>
        <v>-15834802.291348848</v>
      </c>
      <c r="L131" s="169">
        <f>'KU - Project 42'!L30+'KU - Project 42'!L72</f>
        <v>-15453733.048534656</v>
      </c>
    </row>
    <row r="132" spans="1:12" ht="18.75" customHeight="1">
      <c r="A132" s="55"/>
      <c r="B132" s="57" t="s">
        <v>64</v>
      </c>
      <c r="C132" s="169">
        <f>'KU - Project 42'!C31+'KU - Project 42'!C73</f>
        <v>0</v>
      </c>
      <c r="D132" s="169">
        <f>'KU - Project 42'!D31+'KU - Project 42'!D73</f>
        <v>0</v>
      </c>
      <c r="E132" s="169">
        <f>'KU - Project 42'!E31+'KU - Project 42'!E73</f>
        <v>0</v>
      </c>
      <c r="F132" s="169">
        <f>'KU - Project 42'!F31+'KU - Project 42'!F73</f>
        <v>0</v>
      </c>
      <c r="G132" s="169">
        <f>'KU - Project 42'!G31+'KU - Project 42'!G73</f>
        <v>0</v>
      </c>
      <c r="H132" s="169">
        <f>'KU - Project 42'!H31+'KU - Project 42'!H73</f>
        <v>0</v>
      </c>
      <c r="I132" s="169">
        <f>'KU - Project 42'!I31+'KU - Project 42'!I73</f>
        <v>0</v>
      </c>
      <c r="J132" s="169">
        <f>'KU - Project 42'!J31+'KU - Project 42'!J73</f>
        <v>0</v>
      </c>
      <c r="K132" s="169">
        <f>'KU - Project 42'!K31+'KU - Project 42'!K73</f>
        <v>0</v>
      </c>
      <c r="L132" s="169">
        <f>'KU - Project 42'!L31+'KU - Project 42'!L73</f>
        <v>0</v>
      </c>
    </row>
    <row r="133" spans="1:12" ht="18.75" customHeight="1">
      <c r="A133" s="55"/>
      <c r="B133" s="55" t="s">
        <v>11</v>
      </c>
      <c r="C133" s="169">
        <f aca="true" t="shared" si="25" ref="C133:L133">SUM(C127:C132)</f>
        <v>-1745806.0971888101</v>
      </c>
      <c r="D133" s="169">
        <f t="shared" si="25"/>
        <v>27935047.55305714</v>
      </c>
      <c r="E133" s="169">
        <f t="shared" si="25"/>
        <v>50767020.852986775</v>
      </c>
      <c r="F133" s="169">
        <f t="shared" si="25"/>
        <v>49289167.76524289</v>
      </c>
      <c r="G133" s="169">
        <f t="shared" si="25"/>
        <v>47674900.24028729</v>
      </c>
      <c r="H133" s="169">
        <f t="shared" si="25"/>
        <v>46252044.3458744</v>
      </c>
      <c r="I133" s="169">
        <f t="shared" si="25"/>
        <v>48764423.87436513</v>
      </c>
      <c r="J133" s="169">
        <f t="shared" si="25"/>
        <v>51497648.21812043</v>
      </c>
      <c r="K133" s="169">
        <f t="shared" si="25"/>
        <v>49042603.387772664</v>
      </c>
      <c r="L133" s="169">
        <f t="shared" si="25"/>
        <v>46643715.43842215</v>
      </c>
    </row>
    <row r="134" spans="1:12" ht="18.75" customHeight="1">
      <c r="A134" s="55"/>
      <c r="B134" s="55" t="s">
        <v>12</v>
      </c>
      <c r="C134" s="34">
        <f>'KU - Project 42'!C33</f>
        <v>0.10152297909805327</v>
      </c>
      <c r="D134" s="34">
        <f>'KU - Project 42'!D33</f>
        <v>0.10152297909805327</v>
      </c>
      <c r="E134" s="34">
        <f>'KU - Project 42'!E33</f>
        <v>0.10152297909805327</v>
      </c>
      <c r="F134" s="34">
        <f>'KU - Project 42'!F33</f>
        <v>0.10152297909805327</v>
      </c>
      <c r="G134" s="34">
        <f>'KU - Project 42'!G33</f>
        <v>0.10152297909805327</v>
      </c>
      <c r="H134" s="34">
        <f>'KU - Project 42'!H33</f>
        <v>0.10152297909805327</v>
      </c>
      <c r="I134" s="34">
        <f>'KU - Project 42'!I33</f>
        <v>0.10152297909805327</v>
      </c>
      <c r="J134" s="34">
        <f>'KU - Project 42'!J33</f>
        <v>0.10152297909805327</v>
      </c>
      <c r="K134" s="34">
        <f>'KU - Project 42'!K33</f>
        <v>0.10152297909805327</v>
      </c>
      <c r="L134" s="34">
        <f>'KU - Project 42'!L33</f>
        <v>0.10152297909805327</v>
      </c>
    </row>
    <row r="135" spans="1:12" ht="18.75" customHeight="1">
      <c r="A135" s="55"/>
      <c r="B135" s="41"/>
      <c r="C135" s="180">
        <f aca="true" t="shared" si="26" ref="C135:L135">C133*C134</f>
        <v>-177239.43591415352</v>
      </c>
      <c r="D135" s="180">
        <f t="shared" si="26"/>
        <v>2836049.2488321443</v>
      </c>
      <c r="E135" s="180">
        <f t="shared" si="26"/>
        <v>5154019.1969282115</v>
      </c>
      <c r="F135" s="180">
        <f t="shared" si="26"/>
        <v>5003983.148791195</v>
      </c>
      <c r="G135" s="180">
        <f t="shared" si="26"/>
        <v>4840097.900596461</v>
      </c>
      <c r="H135" s="180">
        <f t="shared" si="26"/>
        <v>4695645.33136844</v>
      </c>
      <c r="I135" s="180">
        <f t="shared" si="26"/>
        <v>4950709.585725781</v>
      </c>
      <c r="J135" s="180">
        <f t="shared" si="26"/>
        <v>5228194.663647141</v>
      </c>
      <c r="K135" s="180">
        <f t="shared" si="26"/>
        <v>4978951.198650961</v>
      </c>
      <c r="L135" s="180">
        <f t="shared" si="26"/>
        <v>4735408.947510477</v>
      </c>
    </row>
    <row r="136" spans="1:12" ht="18.75" customHeight="1">
      <c r="A136" s="55"/>
      <c r="B136" s="41"/>
      <c r="C136" s="59"/>
      <c r="D136" s="59"/>
      <c r="E136" s="59"/>
      <c r="F136" s="59"/>
      <c r="G136" s="59"/>
      <c r="H136" s="59"/>
      <c r="I136" s="59"/>
      <c r="J136" s="59"/>
      <c r="K136" s="59"/>
      <c r="L136" s="59"/>
    </row>
    <row r="137" spans="1:12" ht="18.75" customHeight="1">
      <c r="A137" s="55"/>
      <c r="B137" s="57" t="s">
        <v>65</v>
      </c>
      <c r="C137" s="190">
        <f>'KU - Project 42'!C36+'KU - Project 42'!C78</f>
        <v>0</v>
      </c>
      <c r="D137" s="190">
        <f>'KU - Project 42'!D36+'KU - Project 42'!D78</f>
        <v>0</v>
      </c>
      <c r="E137" s="190">
        <f>'KU - Project 42'!E36+'KU - Project 42'!E78</f>
        <v>0</v>
      </c>
      <c r="F137" s="190">
        <f>'KU - Project 42'!F36+'KU - Project 42'!F78</f>
        <v>0</v>
      </c>
      <c r="G137" s="190">
        <f>'KU - Project 42'!G36+'KU - Project 42'!G78</f>
        <v>0</v>
      </c>
      <c r="H137" s="190">
        <f>'KU - Project 42'!H36+'KU - Project 42'!H78</f>
        <v>0</v>
      </c>
      <c r="I137" s="190">
        <f>'KU - Project 42'!I36+'KU - Project 42'!I78</f>
        <v>0</v>
      </c>
      <c r="J137" s="190">
        <f>'KU - Project 42'!J36+'KU - Project 42'!J78</f>
        <v>0</v>
      </c>
      <c r="K137" s="190">
        <f>'KU - Project 42'!K36+'KU - Project 42'!K78</f>
        <v>0</v>
      </c>
      <c r="L137" s="190">
        <f>'KU - Project 42'!L36+'KU - Project 42'!L78</f>
        <v>0</v>
      </c>
    </row>
    <row r="138" spans="1:12" ht="18.75" customHeight="1">
      <c r="A138" s="55"/>
      <c r="B138" s="55" t="s">
        <v>48</v>
      </c>
      <c r="C138" s="190">
        <f>'KU - Project 42'!C37+'KU - Project 42'!C79</f>
        <v>0</v>
      </c>
      <c r="D138" s="190">
        <f>'KU - Project 42'!D37+'KU - Project 42'!D79</f>
        <v>0</v>
      </c>
      <c r="E138" s="190">
        <f>'KU - Project 42'!E37+'KU - Project 42'!E79</f>
        <v>64758.68433627922</v>
      </c>
      <c r="F138" s="190">
        <f>'KU - Project 42'!F37+'KU - Project 42'!F79</f>
        <v>1554208.4240707012</v>
      </c>
      <c r="G138" s="190">
        <f>'KU - Project 42'!G37+'KU - Project 42'!G79</f>
        <v>1554208.4240707012</v>
      </c>
      <c r="H138" s="190">
        <f>'KU - Project 42'!H37+'KU - Project 42'!H79</f>
        <v>1554208.4240707012</v>
      </c>
      <c r="I138" s="190">
        <f>'KU - Project 42'!I37+'KU - Project 42'!I79</f>
        <v>1554208.4240707012</v>
      </c>
      <c r="J138" s="190">
        <f>'KU - Project 42'!J37+'KU - Project 42'!J79</f>
        <v>1554208.4240707012</v>
      </c>
      <c r="K138" s="190">
        <f>'KU - Project 42'!K37+'KU - Project 42'!K79</f>
        <v>1554208.4240707012</v>
      </c>
      <c r="L138" s="190">
        <f>'KU - Project 42'!L37+'KU - Project 42'!L79</f>
        <v>1554208.4240707012</v>
      </c>
    </row>
    <row r="139" spans="1:12" ht="18.75" customHeight="1">
      <c r="A139" s="55"/>
      <c r="B139" s="2" t="s">
        <v>434</v>
      </c>
      <c r="C139" s="190">
        <f>'KU - Project 42'!C38+'KU - Project 42'!C80</f>
        <v>2846392.045503</v>
      </c>
      <c r="D139" s="190">
        <f>'KU - Project 42'!D38+'KU - Project 42'!D80</f>
        <v>2846392.045503</v>
      </c>
      <c r="E139" s="190">
        <f>'KU - Project 42'!E38+'KU - Project 42'!E80</f>
        <v>2846392.045503</v>
      </c>
      <c r="F139" s="190">
        <f>'KU - Project 42'!F38+'KU - Project 42'!F80</f>
        <v>2846392.045503</v>
      </c>
      <c r="G139" s="190">
        <f>'KU - Project 42'!G38+'KU - Project 42'!G80</f>
        <v>2846392.045503</v>
      </c>
      <c r="H139" s="190">
        <f>'KU - Project 42'!H38+'KU - Project 42'!H80</f>
        <v>2846392.045503</v>
      </c>
      <c r="I139" s="190">
        <f>'KU - Project 42'!I38+'KU - Project 42'!I80</f>
        <v>2846392.045503</v>
      </c>
      <c r="J139" s="190">
        <f>'KU - Project 42'!J38+'KU - Project 42'!J80</f>
        <v>2846392.045503</v>
      </c>
      <c r="K139" s="190">
        <f>'KU - Project 42'!K38+'KU - Project 42'!K80</f>
        <v>2846392.045503</v>
      </c>
      <c r="L139" s="190">
        <f>'KU - Project 42'!L38+'KU - Project 42'!L80</f>
        <v>2846392.045503</v>
      </c>
    </row>
    <row r="140" spans="1:12" ht="18.75" customHeight="1">
      <c r="A140" s="55"/>
      <c r="B140" s="55" t="s">
        <v>50</v>
      </c>
      <c r="C140" s="191">
        <f>'KU - Project 42'!C39+'KU - Project 42'!C81</f>
        <v>0</v>
      </c>
      <c r="D140" s="191">
        <f>'KU - Project 42'!D39+'KU - Project 42'!D81</f>
        <v>-4269.588068254499</v>
      </c>
      <c r="E140" s="191">
        <f>'KU - Project 42'!E39+'KU - Project 42'!E81</f>
        <v>39003.773923491</v>
      </c>
      <c r="F140" s="191">
        <f>'KU - Project 42'!F39+'KU - Project 42'!F81</f>
        <v>88040.04782873206</v>
      </c>
      <c r="G140" s="191">
        <f>'KU - Project 42'!G39+'KU - Project 42'!G81</f>
        <v>87134.64712437152</v>
      </c>
      <c r="H140" s="191">
        <f>'KU - Project 42'!H39+'KU - Project 42'!H81</f>
        <v>85692.24642001097</v>
      </c>
      <c r="I140" s="191">
        <f>'KU - Project 42'!I39+'KU - Project 42'!I81</f>
        <v>84530.3457156504</v>
      </c>
      <c r="J140" s="191">
        <f>'KU - Project 42'!J39+'KU - Project 42'!J81</f>
        <v>92818.44501128986</v>
      </c>
      <c r="K140" s="191">
        <f>'KU - Project 42'!K39+'KU - Project 42'!K81</f>
        <v>101486.04430692931</v>
      </c>
      <c r="L140" s="191">
        <f>'KU - Project 42'!L39+'KU - Project 42'!L81</f>
        <v>97316.10851868227</v>
      </c>
    </row>
    <row r="141" spans="1:12" ht="18.75" customHeight="1">
      <c r="A141" s="55"/>
      <c r="B141" s="60" t="s">
        <v>51</v>
      </c>
      <c r="C141" s="179">
        <f aca="true" t="shared" si="27" ref="C141:L141">SUM(C137:C140)</f>
        <v>2846392.045503</v>
      </c>
      <c r="D141" s="179">
        <f t="shared" si="27"/>
        <v>2842122.4574347455</v>
      </c>
      <c r="E141" s="179">
        <f t="shared" si="27"/>
        <v>2950154.50376277</v>
      </c>
      <c r="F141" s="179">
        <f t="shared" si="27"/>
        <v>4488640.517402433</v>
      </c>
      <c r="G141" s="179">
        <f t="shared" si="27"/>
        <v>4487735.116698072</v>
      </c>
      <c r="H141" s="179">
        <f t="shared" si="27"/>
        <v>4486292.715993712</v>
      </c>
      <c r="I141" s="179">
        <f t="shared" si="27"/>
        <v>4485130.815289351</v>
      </c>
      <c r="J141" s="179">
        <f t="shared" si="27"/>
        <v>4493418.914584991</v>
      </c>
      <c r="K141" s="179">
        <f t="shared" si="27"/>
        <v>4502086.51388063</v>
      </c>
      <c r="L141" s="179">
        <f t="shared" si="27"/>
        <v>4497916.578092383</v>
      </c>
    </row>
    <row r="142" spans="1:12" ht="18.75" customHeight="1">
      <c r="A142" s="55"/>
      <c r="B142" s="60"/>
      <c r="C142" s="36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8.75" customHeight="1">
      <c r="A143" s="55"/>
      <c r="B143" s="60" t="s">
        <v>13</v>
      </c>
      <c r="C143" s="176">
        <f>C135+C141</f>
        <v>2669152.609588846</v>
      </c>
      <c r="D143" s="176">
        <f aca="true" t="shared" si="28" ref="D143:I143">D135+D141</f>
        <v>5678171.706266889</v>
      </c>
      <c r="E143" s="176">
        <f t="shared" si="28"/>
        <v>8104173.700690981</v>
      </c>
      <c r="F143" s="176">
        <f t="shared" si="28"/>
        <v>9492623.666193627</v>
      </c>
      <c r="G143" s="176">
        <f t="shared" si="28"/>
        <v>9327833.017294534</v>
      </c>
      <c r="H143" s="176">
        <f t="shared" si="28"/>
        <v>9181938.047362152</v>
      </c>
      <c r="I143" s="176">
        <f t="shared" si="28"/>
        <v>9435840.401015133</v>
      </c>
      <c r="J143" s="176">
        <f>J135+J141</f>
        <v>9721613.578232132</v>
      </c>
      <c r="K143" s="176">
        <f>K135+K141</f>
        <v>9481037.71253159</v>
      </c>
      <c r="L143" s="176">
        <f>L135+L141</f>
        <v>9233325.52560286</v>
      </c>
    </row>
    <row r="144" s="48" customFormat="1" ht="18.75" customHeight="1"/>
    <row r="145" spans="2:13" s="48" customFormat="1" ht="18.75" customHeight="1">
      <c r="B145" s="60" t="s">
        <v>66</v>
      </c>
      <c r="C145" s="177">
        <f>C23+C43+C63+C83+C103+C123+C143</f>
        <v>35185054.946215175</v>
      </c>
      <c r="D145" s="177">
        <f aca="true" t="shared" si="29" ref="D145:L145">D23+D43+D63+D83+D103+D123+D143</f>
        <v>47599086.64302164</v>
      </c>
      <c r="E145" s="177">
        <f t="shared" si="29"/>
        <v>57809021.14588362</v>
      </c>
      <c r="F145" s="177">
        <f t="shared" si="29"/>
        <v>63905528.74342165</v>
      </c>
      <c r="G145" s="177">
        <f t="shared" si="29"/>
        <v>54169159.48841871</v>
      </c>
      <c r="H145" s="177">
        <f t="shared" si="29"/>
        <v>56703451.17389342</v>
      </c>
      <c r="I145" s="177">
        <f t="shared" si="29"/>
        <v>58614383.43189921</v>
      </c>
      <c r="J145" s="177">
        <f t="shared" si="29"/>
        <v>58391900.64678202</v>
      </c>
      <c r="K145" s="177">
        <f t="shared" si="29"/>
        <v>56944434.10048676</v>
      </c>
      <c r="L145" s="177">
        <f t="shared" si="29"/>
        <v>55486485.10901296</v>
      </c>
      <c r="M145" s="3"/>
    </row>
    <row r="146" spans="3:12" s="48" customFormat="1" ht="18.75" customHeight="1"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="48" customFormat="1" ht="18.75" customHeight="1">
      <c r="B147" s="60" t="s">
        <v>68</v>
      </c>
    </row>
    <row r="148" spans="2:12" s="48" customFormat="1" ht="18.75" customHeight="1">
      <c r="B148" s="48" t="str">
        <f>A5</f>
        <v>Project 36</v>
      </c>
      <c r="C148" s="177">
        <f>C23</f>
        <v>0</v>
      </c>
      <c r="D148" s="177">
        <f aca="true" t="shared" si="30" ref="D148:I148">D23</f>
        <v>537228.0657990533</v>
      </c>
      <c r="E148" s="177">
        <f t="shared" si="30"/>
        <v>534944.120741238</v>
      </c>
      <c r="F148" s="177">
        <f t="shared" si="30"/>
        <v>520189.1060627793</v>
      </c>
      <c r="G148" s="177">
        <f t="shared" si="30"/>
        <v>505949.5692301005</v>
      </c>
      <c r="H148" s="177">
        <f t="shared" si="30"/>
        <v>492188.3958383052</v>
      </c>
      <c r="I148" s="177">
        <f t="shared" si="30"/>
        <v>478868.4714824974</v>
      </c>
      <c r="J148" s="177">
        <f>J23</f>
        <v>465957.8365362388</v>
      </c>
      <c r="K148" s="177">
        <f>K23</f>
        <v>453424.531373091</v>
      </c>
      <c r="L148" s="177">
        <f>L23</f>
        <v>440953.08355143666</v>
      </c>
    </row>
    <row r="149" spans="2:12" s="48" customFormat="1" ht="18.75" customHeight="1">
      <c r="B149" s="48" t="str">
        <f>A25</f>
        <v>Project 37</v>
      </c>
      <c r="C149" s="177">
        <f>C43</f>
        <v>573887.5468632001</v>
      </c>
      <c r="D149" s="177">
        <f aca="true" t="shared" si="31" ref="D149:I149">D43</f>
        <v>706808.8169690839</v>
      </c>
      <c r="E149" s="177">
        <f t="shared" si="31"/>
        <v>688216.5999722444</v>
      </c>
      <c r="F149" s="177">
        <f t="shared" si="31"/>
        <v>670311.3432896208</v>
      </c>
      <c r="G149" s="177">
        <f t="shared" si="31"/>
        <v>653043.5857785895</v>
      </c>
      <c r="H149" s="177">
        <f t="shared" si="31"/>
        <v>636363.8662965271</v>
      </c>
      <c r="I149" s="177">
        <f t="shared" si="31"/>
        <v>620229.5933039521</v>
      </c>
      <c r="J149" s="177">
        <f>J43</f>
        <v>604598.1752613833</v>
      </c>
      <c r="K149" s="177">
        <f>K43</f>
        <v>589049.1924565204</v>
      </c>
      <c r="L149" s="177">
        <f>L43</f>
        <v>573501.5835722858</v>
      </c>
    </row>
    <row r="150" spans="2:12" s="48" customFormat="1" ht="18.75" customHeight="1">
      <c r="B150" s="48" t="str">
        <f>A45</f>
        <v>Project 38</v>
      </c>
      <c r="C150" s="177">
        <f>C63</f>
        <v>858142.5336057254</v>
      </c>
      <c r="D150" s="177">
        <f aca="true" t="shared" si="32" ref="D150:I150">D63</f>
        <v>1011187.7867385875</v>
      </c>
      <c r="E150" s="177">
        <f t="shared" si="32"/>
        <v>984676.8796456162</v>
      </c>
      <c r="F150" s="177">
        <f t="shared" si="32"/>
        <v>959154.3126316709</v>
      </c>
      <c r="G150" s="177">
        <f t="shared" si="32"/>
        <v>934548.9252110617</v>
      </c>
      <c r="H150" s="177">
        <f t="shared" si="32"/>
        <v>910789.5568980989</v>
      </c>
      <c r="I150" s="177">
        <f t="shared" si="32"/>
        <v>887814.9306078827</v>
      </c>
      <c r="J150" s="177">
        <f>J63</f>
        <v>865563.7692555133</v>
      </c>
      <c r="K150" s="177">
        <f>K63</f>
        <v>843431.2087126273</v>
      </c>
      <c r="L150" s="177">
        <f>L63</f>
        <v>821300.6248498992</v>
      </c>
    </row>
    <row r="151" spans="2:12" s="48" customFormat="1" ht="18.75" customHeight="1">
      <c r="B151" s="48" t="str">
        <f>A65</f>
        <v>Project 39</v>
      </c>
      <c r="C151" s="177">
        <f>C83</f>
        <v>18454296.21327024</v>
      </c>
      <c r="D151" s="177">
        <f aca="true" t="shared" si="33" ref="D151:I151">D83</f>
        <v>18632703.046580102</v>
      </c>
      <c r="E151" s="177">
        <f t="shared" si="33"/>
        <v>19965479.333849963</v>
      </c>
      <c r="F151" s="177">
        <f t="shared" si="33"/>
        <v>19372513.575367827</v>
      </c>
      <c r="G151" s="177">
        <f t="shared" si="33"/>
        <v>7865618.650218729</v>
      </c>
      <c r="H151" s="177">
        <f t="shared" si="33"/>
        <v>7981715.808544227</v>
      </c>
      <c r="I151" s="177">
        <f t="shared" si="33"/>
        <v>7981715.808544227</v>
      </c>
      <c r="J151" s="177">
        <f>J83</f>
        <v>7981715.808544227</v>
      </c>
      <c r="K151" s="177">
        <f>K83</f>
        <v>7981715.808544227</v>
      </c>
      <c r="L151" s="177">
        <f>L83</f>
        <v>7981715.808544227</v>
      </c>
    </row>
    <row r="152" spans="2:12" s="48" customFormat="1" ht="18.75" customHeight="1">
      <c r="B152" s="48" t="str">
        <f>A85</f>
        <v>Project 40</v>
      </c>
      <c r="C152" s="177">
        <f>C103</f>
        <v>11514311.726237174</v>
      </c>
      <c r="D152" s="177">
        <f aca="true" t="shared" si="34" ref="D152:L152">D103</f>
        <v>17916982.172801904</v>
      </c>
      <c r="E152" s="177">
        <f t="shared" si="34"/>
        <v>22622351.90223884</v>
      </c>
      <c r="F152" s="177">
        <f t="shared" si="34"/>
        <v>26594640.592753176</v>
      </c>
      <c r="G152" s="177">
        <f t="shared" si="34"/>
        <v>27946231.656574488</v>
      </c>
      <c r="H152" s="177">
        <f t="shared" si="34"/>
        <v>30276821.99556019</v>
      </c>
      <c r="I152" s="177">
        <f t="shared" si="34"/>
        <v>31419962.54767938</v>
      </c>
      <c r="J152" s="177">
        <f t="shared" si="34"/>
        <v>30465881.972253155</v>
      </c>
      <c r="K152" s="177">
        <f t="shared" si="34"/>
        <v>29471460.753810003</v>
      </c>
      <c r="L152" s="177">
        <f t="shared" si="34"/>
        <v>28486003.63777442</v>
      </c>
    </row>
    <row r="153" spans="2:12" s="48" customFormat="1" ht="18.75" customHeight="1">
      <c r="B153" s="48" t="str">
        <f>A105</f>
        <v>Project 41</v>
      </c>
      <c r="C153" s="177">
        <f>C123</f>
        <v>1115264.3166499906</v>
      </c>
      <c r="D153" s="177">
        <f aca="true" t="shared" si="35" ref="D153:L153">D123</f>
        <v>3116005.047866027</v>
      </c>
      <c r="E153" s="177">
        <f t="shared" si="35"/>
        <v>4909178.608744741</v>
      </c>
      <c r="F153" s="177">
        <f t="shared" si="35"/>
        <v>6296096.147122948</v>
      </c>
      <c r="G153" s="177">
        <f t="shared" si="35"/>
        <v>6935934.084111214</v>
      </c>
      <c r="H153" s="177">
        <f t="shared" si="35"/>
        <v>7223633.503393926</v>
      </c>
      <c r="I153" s="177">
        <f t="shared" si="35"/>
        <v>7789951.679266137</v>
      </c>
      <c r="J153" s="177">
        <f t="shared" si="35"/>
        <v>8286569.506699372</v>
      </c>
      <c r="K153" s="177">
        <f t="shared" si="35"/>
        <v>8124314.893058699</v>
      </c>
      <c r="L153" s="177">
        <f t="shared" si="35"/>
        <v>7949684.845117828</v>
      </c>
    </row>
    <row r="154" spans="2:12" s="48" customFormat="1" ht="18.75" customHeight="1">
      <c r="B154" s="48" t="str">
        <f>A125</f>
        <v>Project 42</v>
      </c>
      <c r="C154" s="178">
        <f>C143</f>
        <v>2669152.609588846</v>
      </c>
      <c r="D154" s="178">
        <f aca="true" t="shared" si="36" ref="D154:L154">D143</f>
        <v>5678171.706266889</v>
      </c>
      <c r="E154" s="178">
        <f t="shared" si="36"/>
        <v>8104173.700690981</v>
      </c>
      <c r="F154" s="178">
        <f t="shared" si="36"/>
        <v>9492623.666193627</v>
      </c>
      <c r="G154" s="178">
        <f t="shared" si="36"/>
        <v>9327833.017294534</v>
      </c>
      <c r="H154" s="178">
        <f t="shared" si="36"/>
        <v>9181938.047362152</v>
      </c>
      <c r="I154" s="178">
        <f t="shared" si="36"/>
        <v>9435840.401015133</v>
      </c>
      <c r="J154" s="178">
        <f t="shared" si="36"/>
        <v>9721613.578232132</v>
      </c>
      <c r="K154" s="178">
        <f t="shared" si="36"/>
        <v>9481037.71253159</v>
      </c>
      <c r="L154" s="178">
        <f t="shared" si="36"/>
        <v>9233325.52560286</v>
      </c>
    </row>
    <row r="155" spans="2:13" s="48" customFormat="1" ht="18.75" customHeight="1">
      <c r="B155" s="48" t="s">
        <v>20</v>
      </c>
      <c r="C155" s="177">
        <f>SUM(C148:C154)</f>
        <v>35185054.946215175</v>
      </c>
      <c r="D155" s="177">
        <f aca="true" t="shared" si="37" ref="D155:L155">SUM(D148:D154)</f>
        <v>47599086.64302164</v>
      </c>
      <c r="E155" s="177">
        <f t="shared" si="37"/>
        <v>57809021.14588362</v>
      </c>
      <c r="F155" s="177">
        <f t="shared" si="37"/>
        <v>63905528.74342165</v>
      </c>
      <c r="G155" s="177">
        <f t="shared" si="37"/>
        <v>54169159.48841871</v>
      </c>
      <c r="H155" s="177">
        <f t="shared" si="37"/>
        <v>56703451.17389342</v>
      </c>
      <c r="I155" s="177">
        <f t="shared" si="37"/>
        <v>58614383.43189921</v>
      </c>
      <c r="J155" s="177">
        <f t="shared" si="37"/>
        <v>58391900.64678202</v>
      </c>
      <c r="K155" s="177">
        <f t="shared" si="37"/>
        <v>56944434.10048676</v>
      </c>
      <c r="L155" s="177">
        <f t="shared" si="37"/>
        <v>55486485.10901296</v>
      </c>
      <c r="M155" s="3"/>
    </row>
    <row r="156" spans="3:12" s="48" customFormat="1" ht="18.75" customHeight="1">
      <c r="C156" s="61"/>
      <c r="D156" s="61"/>
      <c r="E156" s="61"/>
      <c r="F156" s="61"/>
      <c r="G156" s="61"/>
      <c r="H156" s="61"/>
      <c r="I156" s="61"/>
      <c r="J156" s="61"/>
      <c r="K156" s="61"/>
      <c r="L156" s="61"/>
    </row>
    <row r="157" spans="2:12" s="48" customFormat="1" ht="18.75" customHeight="1">
      <c r="B157" s="60" t="s">
        <v>69</v>
      </c>
      <c r="C157" s="62">
        <f>Input!$C$48</f>
        <v>0.8709833333333332</v>
      </c>
      <c r="D157" s="62">
        <f>Input!$C$48</f>
        <v>0.8709833333333332</v>
      </c>
      <c r="E157" s="62">
        <f>Input!$C$48</f>
        <v>0.8709833333333332</v>
      </c>
      <c r="F157" s="62">
        <f>Input!$C$48</f>
        <v>0.8709833333333332</v>
      </c>
      <c r="G157" s="62">
        <f>Input!$C$48</f>
        <v>0.8709833333333332</v>
      </c>
      <c r="H157" s="62">
        <f>Input!$C$48</f>
        <v>0.8709833333333332</v>
      </c>
      <c r="I157" s="62">
        <f>Input!$C$48</f>
        <v>0.8709833333333332</v>
      </c>
      <c r="J157" s="62">
        <f>Input!$C$48</f>
        <v>0.8709833333333332</v>
      </c>
      <c r="K157" s="62">
        <f>Input!$C$48</f>
        <v>0.8709833333333332</v>
      </c>
      <c r="L157" s="62">
        <f>Input!$C$48</f>
        <v>0.8709833333333332</v>
      </c>
    </row>
    <row r="158" s="48" customFormat="1" ht="18.75" customHeight="1"/>
    <row r="159" spans="2:12" s="48" customFormat="1" ht="18.75" customHeight="1">
      <c r="B159" s="60" t="s">
        <v>70</v>
      </c>
      <c r="C159" s="177">
        <f>C155*C157</f>
        <v>30645596.440570977</v>
      </c>
      <c r="D159" s="177">
        <f aca="true" t="shared" si="38" ref="D159:I159">D155*D157</f>
        <v>41458011.14796113</v>
      </c>
      <c r="E159" s="177">
        <f t="shared" si="38"/>
        <v>50350693.93437886</v>
      </c>
      <c r="F159" s="177">
        <f t="shared" si="38"/>
        <v>55660650.44337453</v>
      </c>
      <c r="G159" s="177">
        <f t="shared" si="38"/>
        <v>47180435.095087886</v>
      </c>
      <c r="H159" s="177">
        <f t="shared" si="38"/>
        <v>49387760.9149416</v>
      </c>
      <c r="I159" s="177">
        <f t="shared" si="38"/>
        <v>51052151.06279367</v>
      </c>
      <c r="J159" s="177">
        <f>J155*J157</f>
        <v>50858372.26500302</v>
      </c>
      <c r="K159" s="177">
        <f>K155*K157</f>
        <v>49597653.02762229</v>
      </c>
      <c r="L159" s="177">
        <f>L155*L157</f>
        <v>48327803.755198464</v>
      </c>
    </row>
    <row r="160" s="48" customFormat="1" ht="18.75" customHeight="1"/>
    <row r="161" spans="2:12" s="48" customFormat="1" ht="18.75" customHeight="1">
      <c r="B161" s="60" t="s">
        <v>252</v>
      </c>
      <c r="C161" s="63">
        <f>+Input!B67</f>
        <v>1486563167.897634</v>
      </c>
      <c r="D161" s="63">
        <f>+Input!C67</f>
        <v>1537679571.5518003</v>
      </c>
      <c r="E161" s="63">
        <f>+Input!D67</f>
        <v>1580101377.5089252</v>
      </c>
      <c r="F161" s="63">
        <f>+Input!E67</f>
        <v>1649609036.7396061</v>
      </c>
      <c r="G161" s="63">
        <f>+Input!F67</f>
        <v>1693096210.0058482</v>
      </c>
      <c r="H161" s="63">
        <f>+Input!G67</f>
        <v>1783919326.019304</v>
      </c>
      <c r="I161" s="63">
        <f>+Input!H67</f>
        <v>1848889896.5945787</v>
      </c>
      <c r="J161" s="63">
        <f>+Input!I67</f>
        <v>1899431631.2964444</v>
      </c>
      <c r="K161" s="63">
        <f>+Input!J67</f>
        <v>1947690996.2731185</v>
      </c>
      <c r="L161" s="63">
        <f>+Input!K67</f>
        <v>2009227982.1113343</v>
      </c>
    </row>
    <row r="162" s="48" customFormat="1" ht="18.75" customHeight="1"/>
    <row r="163" spans="2:12" s="48" customFormat="1" ht="18.75" customHeight="1">
      <c r="B163" s="60" t="s">
        <v>71</v>
      </c>
      <c r="C163" s="62">
        <f>C159/C161</f>
        <v>0.020615065072486217</v>
      </c>
      <c r="D163" s="62">
        <f aca="true" t="shared" si="39" ref="D163:I163">D159/D161</f>
        <v>0.026961411151558975</v>
      </c>
      <c r="E163" s="62">
        <f t="shared" si="39"/>
        <v>0.03186548322219563</v>
      </c>
      <c r="F163" s="62">
        <f t="shared" si="39"/>
        <v>0.03374172255590078</v>
      </c>
      <c r="G163" s="62">
        <f t="shared" si="39"/>
        <v>0.027866363893712172</v>
      </c>
      <c r="H163" s="62">
        <f t="shared" si="39"/>
        <v>0.027684974423785782</v>
      </c>
      <c r="I163" s="62">
        <f t="shared" si="39"/>
        <v>0.027612326270388125</v>
      </c>
      <c r="J163" s="62">
        <f>J159/J161</f>
        <v>0.026775574033317522</v>
      </c>
      <c r="K163" s="62">
        <f>K159/K161</f>
        <v>0.025464846899496255</v>
      </c>
      <c r="L163" s="62">
        <f>L159/L161</f>
        <v>0.024052921911039037</v>
      </c>
    </row>
    <row r="164" s="48" customFormat="1" ht="18.75" customHeight="1"/>
    <row r="165" s="48" customFormat="1" ht="18.75" customHeight="1">
      <c r="B165" s="40" t="s">
        <v>94</v>
      </c>
    </row>
    <row r="166" spans="2:14" s="48" customFormat="1" ht="18.75" customHeight="1">
      <c r="B166" s="48" t="s">
        <v>93</v>
      </c>
      <c r="C166" s="64">
        <f>+Input!I36</f>
        <v>10.75</v>
      </c>
      <c r="D166" s="64">
        <f>C166</f>
        <v>10.75</v>
      </c>
      <c r="E166" s="64">
        <f aca="true" t="shared" si="40" ref="E166:I170">D166</f>
        <v>10.75</v>
      </c>
      <c r="F166" s="64">
        <f t="shared" si="40"/>
        <v>10.75</v>
      </c>
      <c r="G166" s="64">
        <f t="shared" si="40"/>
        <v>10.75</v>
      </c>
      <c r="H166" s="64">
        <f t="shared" si="40"/>
        <v>10.75</v>
      </c>
      <c r="I166" s="64">
        <f t="shared" si="40"/>
        <v>10.75</v>
      </c>
      <c r="J166" s="64">
        <f aca="true" t="shared" si="41" ref="J166:L170">I166</f>
        <v>10.75</v>
      </c>
      <c r="K166" s="64">
        <f t="shared" si="41"/>
        <v>10.75</v>
      </c>
      <c r="L166" s="64">
        <f t="shared" si="41"/>
        <v>10.75</v>
      </c>
      <c r="M166" s="67"/>
      <c r="N166" s="67"/>
    </row>
    <row r="167" spans="1:14" s="48" customFormat="1" ht="18.75" customHeight="1">
      <c r="A167" s="3">
        <v>1146</v>
      </c>
      <c r="B167" s="70" t="str">
        <f>"Energy - "&amp;A167&amp;" kWh @ $"&amp;Input!I37</f>
        <v>Energy - 1146 kWh @ $0.08508</v>
      </c>
      <c r="C167" s="64">
        <f>$A$167*Input!I37</f>
        <v>97.50168000000001</v>
      </c>
      <c r="D167" s="64">
        <f>C167</f>
        <v>97.50168000000001</v>
      </c>
      <c r="E167" s="64">
        <f t="shared" si="40"/>
        <v>97.50168000000001</v>
      </c>
      <c r="F167" s="64">
        <f t="shared" si="40"/>
        <v>97.50168000000001</v>
      </c>
      <c r="G167" s="64">
        <f t="shared" si="40"/>
        <v>97.50168000000001</v>
      </c>
      <c r="H167" s="64">
        <f t="shared" si="40"/>
        <v>97.50168000000001</v>
      </c>
      <c r="I167" s="64">
        <f t="shared" si="40"/>
        <v>97.50168000000001</v>
      </c>
      <c r="J167" s="64">
        <f t="shared" si="41"/>
        <v>97.50168000000001</v>
      </c>
      <c r="K167" s="64">
        <f t="shared" si="41"/>
        <v>97.50168000000001</v>
      </c>
      <c r="L167" s="64">
        <f t="shared" si="41"/>
        <v>97.50168000000001</v>
      </c>
      <c r="M167" s="67"/>
      <c r="N167" s="67"/>
    </row>
    <row r="168" spans="2:14" s="48" customFormat="1" ht="18.75" customHeight="1">
      <c r="B168" s="48" t="str">
        <f>"FAC billings ("&amp;TEXT(LEFT(Input!$G$34,9),"mmm yy")&amp;" factor - $"&amp;Input!I38&amp;"/kWh)"</f>
        <v>FAC billings (Nov 15 factor - $-0.00586/kWh)</v>
      </c>
      <c r="C168" s="64">
        <f>$A$167*Input!I38</f>
        <v>-6.71556</v>
      </c>
      <c r="D168" s="64">
        <f>C168</f>
        <v>-6.71556</v>
      </c>
      <c r="E168" s="64">
        <f t="shared" si="40"/>
        <v>-6.71556</v>
      </c>
      <c r="F168" s="64">
        <f t="shared" si="40"/>
        <v>-6.71556</v>
      </c>
      <c r="G168" s="64">
        <f t="shared" si="40"/>
        <v>-6.71556</v>
      </c>
      <c r="H168" s="64">
        <f t="shared" si="40"/>
        <v>-6.71556</v>
      </c>
      <c r="I168" s="64">
        <f t="shared" si="40"/>
        <v>-6.71556</v>
      </c>
      <c r="J168" s="64">
        <f t="shared" si="41"/>
        <v>-6.71556</v>
      </c>
      <c r="K168" s="64">
        <f t="shared" si="41"/>
        <v>-6.71556</v>
      </c>
      <c r="L168" s="64">
        <f t="shared" si="41"/>
        <v>-6.71556</v>
      </c>
      <c r="M168" s="67"/>
      <c r="N168" s="67"/>
    </row>
    <row r="169" spans="2:14" s="48" customFormat="1" ht="18.75" customHeight="1">
      <c r="B169" s="48" t="str">
        <f>"DSM billings ("&amp;TEXT(LEFT(Input!$G$34,9),"mmm yy")&amp;" factor - $"&amp;Input!I39&amp;"/kWh)"</f>
        <v>DSM billings (Nov 15 factor - $0.00298/kWh)</v>
      </c>
      <c r="C169" s="64">
        <f>$A$167*Input!I39</f>
        <v>3.41508</v>
      </c>
      <c r="D169" s="64">
        <f>C169</f>
        <v>3.41508</v>
      </c>
      <c r="E169" s="64">
        <f t="shared" si="40"/>
        <v>3.41508</v>
      </c>
      <c r="F169" s="64">
        <f t="shared" si="40"/>
        <v>3.41508</v>
      </c>
      <c r="G169" s="64">
        <f t="shared" si="40"/>
        <v>3.41508</v>
      </c>
      <c r="H169" s="64">
        <f t="shared" si="40"/>
        <v>3.41508</v>
      </c>
      <c r="I169" s="64">
        <f t="shared" si="40"/>
        <v>3.41508</v>
      </c>
      <c r="J169" s="64">
        <f t="shared" si="41"/>
        <v>3.41508</v>
      </c>
      <c r="K169" s="64">
        <f t="shared" si="41"/>
        <v>3.41508</v>
      </c>
      <c r="L169" s="64">
        <f t="shared" si="41"/>
        <v>3.41508</v>
      </c>
      <c r="M169" s="67"/>
      <c r="N169" s="67"/>
    </row>
    <row r="170" spans="2:14" s="48" customFormat="1" ht="18.75" customHeight="1">
      <c r="B170" s="48" t="str">
        <f>"ECR billings ("&amp;TEXT(LEFT(Input!$G$34,9),"mmm yy")&amp;" factor:  "&amp;Input!I40*100&amp;"%)"</f>
        <v>ECR billings (Nov 15 factor:  6.09%)</v>
      </c>
      <c r="C170" s="64">
        <f>SUM(C166:C169)*Input!I40</f>
        <v>6.391528080000001</v>
      </c>
      <c r="D170" s="64">
        <f>C170</f>
        <v>6.391528080000001</v>
      </c>
      <c r="E170" s="64">
        <f t="shared" si="40"/>
        <v>6.391528080000001</v>
      </c>
      <c r="F170" s="64">
        <f t="shared" si="40"/>
        <v>6.391528080000001</v>
      </c>
      <c r="G170" s="64">
        <f t="shared" si="40"/>
        <v>6.391528080000001</v>
      </c>
      <c r="H170" s="64">
        <f t="shared" si="40"/>
        <v>6.391528080000001</v>
      </c>
      <c r="I170" s="64">
        <f t="shared" si="40"/>
        <v>6.391528080000001</v>
      </c>
      <c r="J170" s="64">
        <f t="shared" si="41"/>
        <v>6.391528080000001</v>
      </c>
      <c r="K170" s="64">
        <f t="shared" si="41"/>
        <v>6.391528080000001</v>
      </c>
      <c r="L170" s="64">
        <f t="shared" si="41"/>
        <v>6.391528080000001</v>
      </c>
      <c r="M170" s="67"/>
      <c r="N170" s="67"/>
    </row>
    <row r="171" spans="2:12" s="48" customFormat="1" ht="18.75" customHeight="1">
      <c r="B171" s="65" t="s">
        <v>104</v>
      </c>
      <c r="C171" s="64">
        <f>SUM(C166:C169)*C163</f>
        <v>2.1635758174355155</v>
      </c>
      <c r="D171" s="64">
        <f aca="true" t="shared" si="42" ref="D171:I171">SUM(D166:D169)*D163</f>
        <v>2.829632454049497</v>
      </c>
      <c r="E171" s="64">
        <f t="shared" si="42"/>
        <v>3.3443207027492985</v>
      </c>
      <c r="F171" s="64">
        <f t="shared" si="42"/>
        <v>3.5412342723088543</v>
      </c>
      <c r="G171" s="64">
        <f t="shared" si="42"/>
        <v>2.924608330281765</v>
      </c>
      <c r="H171" s="64">
        <f t="shared" si="42"/>
        <v>2.9055712877456266</v>
      </c>
      <c r="I171" s="64">
        <f t="shared" si="42"/>
        <v>2.8979467768687583</v>
      </c>
      <c r="J171" s="64">
        <f>SUM(J166:J169)*J163</f>
        <v>2.8101286254855142</v>
      </c>
      <c r="K171" s="64">
        <f>SUM(K166:K169)*K163</f>
        <v>2.6725662399184116</v>
      </c>
      <c r="L171" s="64">
        <f>SUM(L166:L169)*L163</f>
        <v>2.5243830180698406</v>
      </c>
    </row>
    <row r="172" spans="4:7" s="48" customFormat="1" ht="18.75" customHeight="1">
      <c r="D172" s="86"/>
      <c r="G172" s="86"/>
    </row>
    <row r="173" spans="3:12" s="48" customFormat="1" ht="18.75" customHeight="1">
      <c r="C173" s="216">
        <f>C4</f>
        <v>2016</v>
      </c>
      <c r="D173" s="48">
        <f aca="true" t="shared" si="43" ref="D173:I173">C173+1</f>
        <v>2017</v>
      </c>
      <c r="E173" s="48">
        <f t="shared" si="43"/>
        <v>2018</v>
      </c>
      <c r="F173" s="48">
        <f t="shared" si="43"/>
        <v>2019</v>
      </c>
      <c r="G173" s="48">
        <f t="shared" si="43"/>
        <v>2020</v>
      </c>
      <c r="H173" s="48">
        <f t="shared" si="43"/>
        <v>2021</v>
      </c>
      <c r="I173" s="48">
        <f t="shared" si="43"/>
        <v>2022</v>
      </c>
      <c r="J173" s="48">
        <f>I173+1</f>
        <v>2023</v>
      </c>
      <c r="K173" s="48">
        <f>J173+1</f>
        <v>2024</v>
      </c>
      <c r="L173" s="48">
        <f>K173+1</f>
        <v>2025</v>
      </c>
    </row>
    <row r="174" spans="1:12" s="48" customFormat="1" ht="18.75" customHeight="1">
      <c r="A174" s="48" t="str">
        <f>A5</f>
        <v>Project 36</v>
      </c>
      <c r="B174" s="48" t="str">
        <f>B7</f>
        <v>Eligible Plant</v>
      </c>
      <c r="C174" s="177">
        <f aca="true" t="shared" si="44" ref="C174:L174">C7</f>
        <v>0</v>
      </c>
      <c r="D174" s="177">
        <f t="shared" si="44"/>
        <v>5252625</v>
      </c>
      <c r="E174" s="177">
        <f t="shared" si="44"/>
        <v>5252625</v>
      </c>
      <c r="F174" s="177">
        <f t="shared" si="44"/>
        <v>5252625</v>
      </c>
      <c r="G174" s="177">
        <f t="shared" si="44"/>
        <v>5252625</v>
      </c>
      <c r="H174" s="177">
        <f t="shared" si="44"/>
        <v>5252625</v>
      </c>
      <c r="I174" s="177">
        <f t="shared" si="44"/>
        <v>5252625</v>
      </c>
      <c r="J174" s="177">
        <f t="shared" si="44"/>
        <v>5252625</v>
      </c>
      <c r="K174" s="177">
        <f t="shared" si="44"/>
        <v>5252625</v>
      </c>
      <c r="L174" s="177">
        <f t="shared" si="44"/>
        <v>5252625</v>
      </c>
    </row>
    <row r="175" spans="1:12" s="48" customFormat="1" ht="18.75" customHeight="1">
      <c r="A175" s="48" t="str">
        <f>A25</f>
        <v>Project 37</v>
      </c>
      <c r="B175" s="48" t="str">
        <f>B27</f>
        <v>Eligible Plant</v>
      </c>
      <c r="C175" s="177">
        <f aca="true" t="shared" si="45" ref="C175:L175">C27</f>
        <v>7000000</v>
      </c>
      <c r="D175" s="177">
        <f t="shared" si="45"/>
        <v>7000000</v>
      </c>
      <c r="E175" s="177">
        <f t="shared" si="45"/>
        <v>7000000</v>
      </c>
      <c r="F175" s="177">
        <f t="shared" si="45"/>
        <v>7000000</v>
      </c>
      <c r="G175" s="177">
        <f t="shared" si="45"/>
        <v>7000000</v>
      </c>
      <c r="H175" s="177">
        <f t="shared" si="45"/>
        <v>7000000</v>
      </c>
      <c r="I175" s="177">
        <f t="shared" si="45"/>
        <v>7000000</v>
      </c>
      <c r="J175" s="177">
        <f t="shared" si="45"/>
        <v>7000000</v>
      </c>
      <c r="K175" s="177">
        <f t="shared" si="45"/>
        <v>7000000</v>
      </c>
      <c r="L175" s="177">
        <f t="shared" si="45"/>
        <v>7000000</v>
      </c>
    </row>
    <row r="176" spans="1:12" s="48" customFormat="1" ht="18.75" customHeight="1">
      <c r="A176" s="48" t="str">
        <f>A45</f>
        <v>Project 38</v>
      </c>
      <c r="B176" s="48" t="str">
        <f>B47</f>
        <v>Eligible Plant</v>
      </c>
      <c r="C176" s="177">
        <f aca="true" t="shared" si="46" ref="C176:L176">C47</f>
        <v>10071004.700000001</v>
      </c>
      <c r="D176" s="177">
        <f t="shared" si="46"/>
        <v>10071004.700000001</v>
      </c>
      <c r="E176" s="177">
        <f t="shared" si="46"/>
        <v>10071004.700000001</v>
      </c>
      <c r="F176" s="177">
        <f t="shared" si="46"/>
        <v>10071004.700000001</v>
      </c>
      <c r="G176" s="177">
        <f t="shared" si="46"/>
        <v>10071004.700000001</v>
      </c>
      <c r="H176" s="177">
        <f t="shared" si="46"/>
        <v>10071004.700000001</v>
      </c>
      <c r="I176" s="177">
        <f t="shared" si="46"/>
        <v>10071004.700000001</v>
      </c>
      <c r="J176" s="177">
        <f t="shared" si="46"/>
        <v>10071004.700000001</v>
      </c>
      <c r="K176" s="177">
        <f t="shared" si="46"/>
        <v>10071004.700000001</v>
      </c>
      <c r="L176" s="177">
        <f t="shared" si="46"/>
        <v>10071004.700000001</v>
      </c>
    </row>
    <row r="177" spans="1:12" s="48" customFormat="1" ht="18.75" customHeight="1">
      <c r="A177" s="48" t="str">
        <f>A65</f>
        <v>Project 39</v>
      </c>
      <c r="B177" s="48" t="str">
        <f>B67</f>
        <v>Eligible Plant</v>
      </c>
      <c r="C177" s="177">
        <f aca="true" t="shared" si="47" ref="C177:L177">C67</f>
        <v>4972500</v>
      </c>
      <c r="D177" s="177">
        <f t="shared" si="47"/>
        <v>27533500</v>
      </c>
      <c r="E177" s="177">
        <f t="shared" si="47"/>
        <v>68209500</v>
      </c>
      <c r="F177" s="177">
        <f t="shared" si="47"/>
        <v>77522500</v>
      </c>
      <c r="G177" s="177">
        <f t="shared" si="47"/>
        <v>77522500</v>
      </c>
      <c r="H177" s="177">
        <f t="shared" si="47"/>
        <v>77522500</v>
      </c>
      <c r="I177" s="177">
        <f t="shared" si="47"/>
        <v>77522500</v>
      </c>
      <c r="J177" s="177">
        <f t="shared" si="47"/>
        <v>77522500</v>
      </c>
      <c r="K177" s="177">
        <f t="shared" si="47"/>
        <v>77522500</v>
      </c>
      <c r="L177" s="177">
        <f t="shared" si="47"/>
        <v>77522500</v>
      </c>
    </row>
    <row r="178" spans="1:12" s="48" customFormat="1" ht="18.75" customHeight="1">
      <c r="A178" s="48" t="str">
        <f>A85</f>
        <v>Project 40</v>
      </c>
      <c r="B178" s="48" t="str">
        <f>B87</f>
        <v>Eligible Plant</v>
      </c>
      <c r="C178" s="177">
        <f aca="true" t="shared" si="48" ref="C178:L178">C87</f>
        <v>11344470.16</v>
      </c>
      <c r="D178" s="177">
        <f t="shared" si="48"/>
        <v>95211470.16</v>
      </c>
      <c r="E178" s="177">
        <f t="shared" si="48"/>
        <v>174424470.15999997</v>
      </c>
      <c r="F178" s="177">
        <f t="shared" si="48"/>
        <v>216171470.15999997</v>
      </c>
      <c r="G178" s="177">
        <f t="shared" si="48"/>
        <v>253545470.16000003</v>
      </c>
      <c r="H178" s="177">
        <f t="shared" si="48"/>
        <v>306550470.16</v>
      </c>
      <c r="I178" s="177">
        <f t="shared" si="48"/>
        <v>339926470.16</v>
      </c>
      <c r="J178" s="177">
        <f t="shared" si="48"/>
        <v>339926470.16</v>
      </c>
      <c r="K178" s="177">
        <f t="shared" si="48"/>
        <v>339926470.16</v>
      </c>
      <c r="L178" s="177">
        <f t="shared" si="48"/>
        <v>339926470.16</v>
      </c>
    </row>
    <row r="179" spans="1:12" s="48" customFormat="1" ht="18.75" customHeight="1">
      <c r="A179" s="48" t="str">
        <f>A105</f>
        <v>Project 41</v>
      </c>
      <c r="B179" s="48" t="str">
        <f>B107</f>
        <v>Eligible Plant</v>
      </c>
      <c r="C179" s="177">
        <f aca="true" t="shared" si="49" ref="C179:L179">C107</f>
        <v>0</v>
      </c>
      <c r="D179" s="177">
        <f t="shared" si="49"/>
        <v>21073751.999999996</v>
      </c>
      <c r="E179" s="177">
        <f t="shared" si="49"/>
        <v>47355912</v>
      </c>
      <c r="F179" s="177">
        <f t="shared" si="49"/>
        <v>58919472</v>
      </c>
      <c r="G179" s="177">
        <f t="shared" si="49"/>
        <v>72055872</v>
      </c>
      <c r="H179" s="177">
        <f t="shared" si="49"/>
        <v>79421472</v>
      </c>
      <c r="I179" s="177">
        <f t="shared" si="49"/>
        <v>91328472</v>
      </c>
      <c r="J179" s="177">
        <f t="shared" si="49"/>
        <v>101940192</v>
      </c>
      <c r="K179" s="177">
        <f t="shared" si="49"/>
        <v>101940192</v>
      </c>
      <c r="L179" s="177">
        <f t="shared" si="49"/>
        <v>101940192</v>
      </c>
    </row>
    <row r="180" spans="1:12" s="48" customFormat="1" ht="18.75" customHeight="1">
      <c r="A180" s="48" t="str">
        <f>A125</f>
        <v>Project 42</v>
      </c>
      <c r="B180" s="48" t="str">
        <f>B127</f>
        <v>Eligible Plant</v>
      </c>
      <c r="C180" s="178">
        <f aca="true" t="shared" si="50" ref="C180:L180">C127</f>
        <v>0</v>
      </c>
      <c r="D180" s="178">
        <f t="shared" si="50"/>
        <v>31695300.039999995</v>
      </c>
      <c r="E180" s="178">
        <f t="shared" si="50"/>
        <v>67297300.03999999</v>
      </c>
      <c r="F180" s="178">
        <f t="shared" si="50"/>
        <v>71094300.03999999</v>
      </c>
      <c r="G180" s="178">
        <f t="shared" si="50"/>
        <v>74533300.03999999</v>
      </c>
      <c r="H180" s="178">
        <f t="shared" si="50"/>
        <v>78159300.03999999</v>
      </c>
      <c r="I180" s="178">
        <f t="shared" si="50"/>
        <v>88085300.03999999</v>
      </c>
      <c r="J180" s="178">
        <f t="shared" si="50"/>
        <v>98264300.03999999</v>
      </c>
      <c r="K180" s="178">
        <f t="shared" si="50"/>
        <v>98264300.03999999</v>
      </c>
      <c r="L180" s="178">
        <f t="shared" si="50"/>
        <v>98264300.03999999</v>
      </c>
    </row>
    <row r="181" spans="2:12" s="48" customFormat="1" ht="18.75" customHeight="1">
      <c r="B181" s="48" t="s">
        <v>74</v>
      </c>
      <c r="C181" s="177">
        <f>SUM(C174:C180)</f>
        <v>33387974.860000003</v>
      </c>
      <c r="D181" s="177">
        <f aca="true" t="shared" si="51" ref="D181:L181">SUM(D174:D180)</f>
        <v>197837651.9</v>
      </c>
      <c r="E181" s="177">
        <f t="shared" si="51"/>
        <v>379610811.9</v>
      </c>
      <c r="F181" s="177">
        <f t="shared" si="51"/>
        <v>446031371.9</v>
      </c>
      <c r="G181" s="177">
        <f t="shared" si="51"/>
        <v>499980771.9</v>
      </c>
      <c r="H181" s="177">
        <f t="shared" si="51"/>
        <v>563977371.9</v>
      </c>
      <c r="I181" s="177">
        <f t="shared" si="51"/>
        <v>619186371.9</v>
      </c>
      <c r="J181" s="177">
        <f t="shared" si="51"/>
        <v>639977091.9</v>
      </c>
      <c r="K181" s="177">
        <f t="shared" si="51"/>
        <v>639977091.9</v>
      </c>
      <c r="L181" s="177">
        <f t="shared" si="51"/>
        <v>639977091.9</v>
      </c>
    </row>
    <row r="182" spans="3:12" s="48" customFormat="1" ht="18.75" customHeight="1"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3:12" s="48" customFormat="1" ht="18.75" customHeight="1">
      <c r="C183" s="63"/>
      <c r="D183" s="63"/>
      <c r="E183" s="63"/>
      <c r="F183" s="63"/>
      <c r="G183" s="63"/>
      <c r="H183" s="63"/>
      <c r="I183" s="63"/>
      <c r="J183" s="63"/>
      <c r="K183" s="63"/>
      <c r="L183" s="63"/>
    </row>
    <row r="184" spans="3:12" s="48" customFormat="1" ht="18.75" customHeight="1">
      <c r="C184" s="64"/>
      <c r="D184" s="64"/>
      <c r="E184" s="64"/>
      <c r="F184" s="64"/>
      <c r="G184" s="64"/>
      <c r="H184" s="64"/>
      <c r="I184" s="64"/>
      <c r="J184" s="64"/>
      <c r="K184" s="64"/>
      <c r="L184" s="64"/>
    </row>
    <row r="185" spans="3:12" s="48" customFormat="1" ht="18.75" customHeight="1"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2:12" s="48" customFormat="1" ht="18.75" customHeight="1">
      <c r="B186" s="65"/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  <row r="187" s="48" customFormat="1" ht="18.75" customHeight="1"/>
    <row r="188" s="48" customFormat="1" ht="18.75" customHeight="1"/>
    <row r="189" s="48" customFormat="1" ht="18.75" customHeight="1"/>
    <row r="190" s="48" customFormat="1" ht="18.75" customHeight="1"/>
    <row r="191" s="48" customFormat="1" ht="18.75" customHeight="1"/>
    <row r="192" s="48" customFormat="1" ht="18.75" customHeight="1"/>
    <row r="193" s="48" customFormat="1" ht="18.75" customHeight="1"/>
    <row r="194" s="48" customFormat="1" ht="18.75" customHeight="1"/>
    <row r="195" s="48" customFormat="1" ht="18.75" customHeight="1"/>
    <row r="196" s="48" customFormat="1" ht="18.75" customHeight="1"/>
    <row r="197" s="48" customFormat="1" ht="18.75" customHeight="1"/>
    <row r="198" s="48" customFormat="1" ht="18.75" customHeight="1"/>
    <row r="199" s="48" customFormat="1" ht="18.75" customHeight="1"/>
    <row r="200" s="48" customFormat="1" ht="18.75" customHeight="1"/>
    <row r="201" s="48" customFormat="1" ht="18.75" customHeight="1"/>
    <row r="202" s="48" customFormat="1" ht="18.75" customHeight="1"/>
    <row r="203" s="48" customFormat="1" ht="18.75" customHeight="1"/>
    <row r="204" s="48" customFormat="1" ht="18.75" customHeight="1"/>
    <row r="205" s="48" customFormat="1" ht="18.75" customHeight="1"/>
    <row r="206" s="48" customFormat="1" ht="18.75" customHeight="1"/>
    <row r="207" s="48" customFormat="1" ht="18.75" customHeight="1"/>
    <row r="208" s="48" customFormat="1" ht="18.75" customHeight="1"/>
    <row r="209" s="48" customFormat="1" ht="18.75" customHeight="1"/>
    <row r="210" s="48" customFormat="1" ht="18.75" customHeight="1"/>
    <row r="211" s="48" customFormat="1" ht="18.75" customHeight="1"/>
    <row r="212" s="48" customFormat="1" ht="18.75" customHeight="1"/>
    <row r="213" s="48" customFormat="1" ht="18.75" customHeight="1"/>
    <row r="214" s="48" customFormat="1" ht="18.75" customHeight="1"/>
    <row r="215" s="48" customFormat="1" ht="18.75" customHeight="1"/>
    <row r="216" s="48" customFormat="1" ht="18.75" customHeight="1"/>
    <row r="217" s="48" customFormat="1" ht="18.75" customHeight="1"/>
    <row r="218" s="48" customFormat="1" ht="18.75" customHeight="1"/>
    <row r="219" s="48" customFormat="1" ht="18.75" customHeight="1"/>
    <row r="220" s="48" customFormat="1" ht="18.75" customHeight="1"/>
    <row r="221" s="48" customFormat="1" ht="18.75" customHeight="1"/>
    <row r="222" s="48" customFormat="1" ht="18.75" customHeight="1"/>
    <row r="223" s="48" customFormat="1" ht="18.75" customHeight="1"/>
    <row r="224" s="48" customFormat="1" ht="18.75" customHeight="1"/>
    <row r="225" s="48" customFormat="1" ht="18.75" customHeight="1"/>
    <row r="226" s="48" customFormat="1" ht="18.75" customHeight="1"/>
    <row r="227" s="48" customFormat="1" ht="18.75" customHeight="1"/>
    <row r="228" s="48" customFormat="1" ht="18.75" customHeight="1"/>
    <row r="229" s="48" customFormat="1" ht="18.75" customHeight="1"/>
    <row r="230" s="48" customFormat="1" ht="18.75" customHeight="1"/>
    <row r="231" s="48" customFormat="1" ht="18.75" customHeight="1"/>
    <row r="232" s="48" customFormat="1" ht="18.75" customHeight="1"/>
    <row r="233" s="48" customFormat="1" ht="18.75" customHeight="1"/>
    <row r="234" s="48" customFormat="1" ht="18.75" customHeight="1"/>
    <row r="235" s="48" customFormat="1" ht="18.75" customHeight="1"/>
    <row r="236" s="48" customFormat="1" ht="18.75" customHeight="1"/>
    <row r="237" s="48" customFormat="1" ht="18.75" customHeight="1"/>
    <row r="238" s="48" customFormat="1" ht="18.75" customHeight="1"/>
    <row r="239" s="48" customFormat="1" ht="18.75" customHeight="1"/>
    <row r="240" s="48" customFormat="1" ht="18.75" customHeight="1"/>
    <row r="241" s="48" customFormat="1" ht="18.75" customHeight="1"/>
    <row r="242" s="48" customFormat="1" ht="18.75" customHeight="1"/>
    <row r="243" s="48" customFormat="1" ht="18.75" customHeight="1"/>
    <row r="244" s="48" customFormat="1" ht="18.75" customHeight="1"/>
    <row r="245" s="48" customFormat="1" ht="18.75" customHeight="1"/>
    <row r="246" s="48" customFormat="1" ht="18.75" customHeight="1"/>
    <row r="247" s="48" customFormat="1" ht="18.75" customHeight="1"/>
    <row r="248" s="48" customFormat="1" ht="18.75" customHeight="1"/>
    <row r="249" s="48" customFormat="1" ht="18.75" customHeight="1"/>
    <row r="250" s="48" customFormat="1" ht="18.75" customHeight="1"/>
    <row r="251" s="48" customFormat="1" ht="18.75" customHeight="1"/>
    <row r="252" s="48" customFormat="1" ht="18.75" customHeight="1"/>
    <row r="253" s="48" customFormat="1" ht="18.75" customHeight="1"/>
    <row r="254" s="48" customFormat="1" ht="18.75" customHeight="1"/>
    <row r="255" s="48" customFormat="1" ht="18.75" customHeight="1"/>
    <row r="256" s="48" customFormat="1" ht="18.75" customHeight="1"/>
    <row r="257" s="48" customFormat="1" ht="18.75" customHeight="1"/>
    <row r="258" s="48" customFormat="1" ht="18.75" customHeight="1"/>
    <row r="259" s="48" customFormat="1" ht="18.75" customHeight="1"/>
    <row r="260" s="48" customFormat="1" ht="18.75" customHeight="1"/>
    <row r="261" s="48" customFormat="1" ht="18.75" customHeight="1"/>
    <row r="262" s="48" customFormat="1" ht="18.75" customHeight="1"/>
    <row r="263" s="48" customFormat="1" ht="18.75" customHeight="1"/>
    <row r="264" s="48" customFormat="1" ht="18.75" customHeight="1"/>
    <row r="265" s="48" customFormat="1" ht="18.75" customHeight="1"/>
    <row r="266" s="48" customFormat="1" ht="18.75" customHeight="1"/>
    <row r="267" s="48" customFormat="1" ht="18.75" customHeight="1"/>
    <row r="268" s="48" customFormat="1" ht="18.75" customHeight="1"/>
    <row r="269" s="48" customFormat="1" ht="18.75" customHeight="1"/>
    <row r="270" s="48" customFormat="1" ht="18.75" customHeight="1"/>
    <row r="271" s="48" customFormat="1" ht="18.75" customHeight="1"/>
    <row r="272" s="48" customFormat="1" ht="18.75" customHeight="1"/>
    <row r="273" s="48" customFormat="1" ht="18.75" customHeight="1"/>
    <row r="274" s="48" customFormat="1" ht="18.75" customHeight="1"/>
    <row r="275" s="48" customFormat="1" ht="18.75" customHeight="1"/>
    <row r="276" s="48" customFormat="1" ht="18.75" customHeight="1"/>
    <row r="277" s="48" customFormat="1" ht="18.75" customHeight="1"/>
    <row r="278" s="48" customFormat="1" ht="18.75" customHeight="1"/>
    <row r="279" s="48" customFormat="1" ht="18.75" customHeight="1"/>
    <row r="280" s="48" customFormat="1" ht="18.75" customHeight="1"/>
    <row r="281" s="48" customFormat="1" ht="18.75" customHeight="1"/>
    <row r="282" s="48" customFormat="1" ht="18.75" customHeight="1"/>
    <row r="283" s="48" customFormat="1" ht="18.75" customHeight="1"/>
    <row r="284" s="48" customFormat="1" ht="18.75" customHeight="1"/>
    <row r="285" s="48" customFormat="1" ht="18.75" customHeight="1"/>
    <row r="286" s="48" customFormat="1" ht="18.75" customHeight="1"/>
    <row r="287" s="48" customFormat="1" ht="18.75" customHeight="1"/>
    <row r="288" s="48" customFormat="1" ht="18.75" customHeight="1"/>
    <row r="289" s="48" customFormat="1" ht="18.75" customHeight="1"/>
    <row r="290" s="48" customFormat="1" ht="18.75" customHeight="1"/>
    <row r="291" s="48" customFormat="1" ht="18.75" customHeight="1"/>
    <row r="292" s="48" customFormat="1" ht="18.75" customHeight="1"/>
    <row r="293" s="48" customFormat="1" ht="18.75" customHeight="1"/>
    <row r="294" s="48" customFormat="1" ht="18.75" customHeight="1"/>
    <row r="295" s="48" customFormat="1" ht="18.75" customHeight="1"/>
    <row r="296" s="48" customFormat="1" ht="18.75" customHeight="1"/>
    <row r="297" s="48" customFormat="1" ht="18.75" customHeight="1"/>
    <row r="298" s="48" customFormat="1" ht="18.75" customHeight="1"/>
    <row r="299" s="48" customFormat="1" ht="18.75" customHeight="1"/>
    <row r="300" s="48" customFormat="1" ht="18.75" customHeight="1"/>
    <row r="301" s="48" customFormat="1" ht="18.75" customHeight="1"/>
    <row r="302" s="48" customFormat="1" ht="18.75" customHeight="1"/>
    <row r="303" s="48" customFormat="1" ht="18.75" customHeight="1"/>
    <row r="304" s="48" customFormat="1" ht="18.75" customHeight="1"/>
    <row r="305" s="48" customFormat="1" ht="18.75" customHeight="1"/>
    <row r="306" s="48" customFormat="1" ht="18.75" customHeight="1"/>
    <row r="307" s="48" customFormat="1" ht="18.75" customHeight="1"/>
    <row r="308" s="48" customFormat="1" ht="18.75" customHeight="1"/>
    <row r="309" s="48" customFormat="1" ht="18.75" customHeight="1"/>
    <row r="310" s="48" customFormat="1" ht="18.75" customHeight="1"/>
    <row r="311" s="48" customFormat="1" ht="18.75" customHeight="1"/>
    <row r="312" s="48" customFormat="1" ht="18.75" customHeight="1"/>
    <row r="313" s="48" customFormat="1" ht="18.75" customHeight="1"/>
    <row r="314" s="48" customFormat="1" ht="18.75" customHeight="1"/>
    <row r="315" s="48" customFormat="1" ht="18.75" customHeight="1"/>
    <row r="316" s="48" customFormat="1" ht="18.75" customHeight="1"/>
    <row r="317" s="48" customFormat="1" ht="18.75" customHeight="1"/>
    <row r="318" s="48" customFormat="1" ht="18.75" customHeight="1"/>
    <row r="319" s="48" customFormat="1" ht="18.75" customHeight="1"/>
    <row r="320" s="48" customFormat="1" ht="18.75" customHeight="1"/>
    <row r="321" s="48" customFormat="1" ht="18.75" customHeight="1"/>
    <row r="322" s="48" customFormat="1" ht="18.75" customHeight="1"/>
    <row r="323" s="48" customFormat="1" ht="18.75" customHeight="1"/>
    <row r="324" s="48" customFormat="1" ht="18.75" customHeight="1"/>
    <row r="325" s="48" customFormat="1" ht="18.75" customHeight="1"/>
    <row r="326" s="48" customFormat="1" ht="18.75" customHeight="1"/>
    <row r="327" s="48" customFormat="1" ht="18.75" customHeight="1"/>
    <row r="328" s="48" customFormat="1" ht="18.75" customHeight="1"/>
    <row r="329" s="48" customFormat="1" ht="18.75" customHeight="1"/>
    <row r="330" s="48" customFormat="1" ht="18.75" customHeight="1"/>
    <row r="331" s="48" customFormat="1" ht="18.75" customHeight="1"/>
    <row r="332" s="48" customFormat="1" ht="18.75" customHeight="1"/>
    <row r="333" s="48" customFormat="1" ht="18.75" customHeight="1"/>
    <row r="334" s="48" customFormat="1" ht="18.75" customHeight="1"/>
    <row r="335" s="48" customFormat="1" ht="18.75" customHeight="1"/>
    <row r="336" s="48" customFormat="1" ht="18.75" customHeight="1"/>
    <row r="337" s="48" customFormat="1" ht="18.75" customHeight="1"/>
    <row r="338" s="48" customFormat="1" ht="18.75" customHeight="1"/>
    <row r="339" s="48" customFormat="1" ht="18.75" customHeight="1"/>
    <row r="340" s="48" customFormat="1" ht="18.75" customHeight="1"/>
    <row r="341" s="48" customFormat="1" ht="18.75" customHeight="1"/>
    <row r="342" s="48" customFormat="1" ht="18.75" customHeight="1"/>
    <row r="343" s="48" customFormat="1" ht="18.75" customHeight="1"/>
    <row r="344" s="48" customFormat="1" ht="18.75" customHeight="1"/>
    <row r="345" s="48" customFormat="1" ht="18.75" customHeight="1"/>
    <row r="346" s="48" customFormat="1" ht="18.75" customHeight="1"/>
    <row r="347" s="48" customFormat="1" ht="18.75" customHeight="1"/>
    <row r="348" s="48" customFormat="1" ht="18.75" customHeight="1"/>
    <row r="349" s="48" customFormat="1" ht="18.75" customHeight="1"/>
    <row r="350" s="48" customFormat="1" ht="18.75" customHeight="1"/>
    <row r="351" s="48" customFormat="1" ht="18.75" customHeight="1"/>
    <row r="352" s="48" customFormat="1" ht="18.75" customHeight="1"/>
    <row r="353" s="48" customFormat="1" ht="18.75" customHeight="1"/>
    <row r="354" s="48" customFormat="1" ht="18.75" customHeight="1"/>
    <row r="355" s="48" customFormat="1" ht="18.75" customHeight="1"/>
    <row r="356" s="48" customFormat="1" ht="18.75" customHeight="1"/>
    <row r="357" s="48" customFormat="1" ht="18.75" customHeight="1"/>
    <row r="358" s="48" customFormat="1" ht="18.75" customHeight="1"/>
    <row r="359" s="48" customFormat="1" ht="18.75" customHeight="1"/>
    <row r="360" s="48" customFormat="1" ht="18.75" customHeight="1"/>
    <row r="361" s="48" customFormat="1" ht="18.75" customHeight="1"/>
    <row r="362" s="48" customFormat="1" ht="18.75" customHeight="1"/>
    <row r="363" s="48" customFormat="1" ht="18.75" customHeight="1"/>
    <row r="364" s="48" customFormat="1" ht="18.75" customHeight="1"/>
    <row r="365" s="48" customFormat="1" ht="18.75" customHeight="1"/>
    <row r="366" s="48" customFormat="1" ht="18.75" customHeight="1"/>
    <row r="367" s="48" customFormat="1" ht="18.75" customHeight="1"/>
    <row r="368" s="48" customFormat="1" ht="18.75" customHeight="1"/>
    <row r="369" s="48" customFormat="1" ht="18.75" customHeight="1"/>
    <row r="370" s="48" customFormat="1" ht="18.75" customHeight="1"/>
    <row r="371" s="48" customFormat="1" ht="18.75" customHeight="1"/>
    <row r="372" s="48" customFormat="1" ht="18.75" customHeight="1"/>
    <row r="373" s="48" customFormat="1" ht="18.75" customHeight="1"/>
    <row r="374" s="48" customFormat="1" ht="18.75" customHeight="1"/>
    <row r="375" s="48" customFormat="1" ht="18.75" customHeight="1"/>
    <row r="376" s="48" customFormat="1" ht="18.75" customHeight="1"/>
    <row r="377" s="48" customFormat="1" ht="18.75" customHeight="1"/>
    <row r="378" s="48" customFormat="1" ht="18.75" customHeight="1"/>
    <row r="379" s="48" customFormat="1" ht="18.75" customHeight="1"/>
    <row r="380" s="48" customFormat="1" ht="18.75" customHeight="1"/>
    <row r="381" s="48" customFormat="1" ht="18.75" customHeight="1"/>
    <row r="382" s="48" customFormat="1" ht="18.75" customHeight="1"/>
    <row r="383" s="48" customFormat="1" ht="18.75" customHeight="1"/>
    <row r="384" s="48" customFormat="1" ht="18.75" customHeight="1"/>
    <row r="385" s="48" customFormat="1" ht="18.75" customHeight="1"/>
    <row r="386" s="48" customFormat="1" ht="18.75" customHeight="1"/>
    <row r="387" s="48" customFormat="1" ht="18.75" customHeight="1"/>
    <row r="388" s="48" customFormat="1" ht="18.75" customHeight="1"/>
    <row r="389" s="48" customFormat="1" ht="18.75" customHeight="1"/>
    <row r="390" s="48" customFormat="1" ht="18.75" customHeight="1"/>
    <row r="391" s="48" customFormat="1" ht="18.75" customHeight="1"/>
    <row r="392" s="48" customFormat="1" ht="18.75" customHeight="1"/>
    <row r="393" s="48" customFormat="1" ht="18.75" customHeight="1"/>
    <row r="394" s="48" customFormat="1" ht="18.75" customHeight="1"/>
    <row r="395" s="48" customFormat="1" ht="18.75" customHeight="1"/>
    <row r="396" s="48" customFormat="1" ht="18.75" customHeight="1"/>
    <row r="397" s="48" customFormat="1" ht="18.75" customHeight="1"/>
    <row r="398" s="48" customFormat="1" ht="18.75" customHeight="1"/>
    <row r="399" s="48" customFormat="1" ht="18.75" customHeight="1"/>
    <row r="400" s="48" customFormat="1" ht="18.75" customHeight="1"/>
    <row r="401" s="48" customFormat="1" ht="18.75" customHeight="1"/>
    <row r="402" s="48" customFormat="1" ht="18.75" customHeight="1"/>
    <row r="403" s="48" customFormat="1" ht="18.75" customHeight="1"/>
    <row r="404" s="48" customFormat="1" ht="18.75" customHeight="1"/>
    <row r="405" s="48" customFormat="1" ht="18.75" customHeight="1"/>
    <row r="406" s="48" customFormat="1" ht="18.75" customHeight="1"/>
    <row r="407" s="48" customFormat="1" ht="18.75" customHeight="1"/>
    <row r="408" s="48" customFormat="1" ht="18.75" customHeight="1"/>
    <row r="409" s="48" customFormat="1" ht="18.75" customHeight="1"/>
    <row r="410" s="48" customFormat="1" ht="18.75" customHeight="1"/>
    <row r="411" s="48" customFormat="1" ht="18.75" customHeight="1"/>
    <row r="412" s="48" customFormat="1" ht="18.75" customHeight="1"/>
    <row r="413" s="48" customFormat="1" ht="18.75" customHeight="1"/>
    <row r="414" s="48" customFormat="1" ht="18.75" customHeight="1"/>
    <row r="415" s="48" customFormat="1" ht="18.75" customHeight="1"/>
    <row r="416" s="48" customFormat="1" ht="18.75" customHeight="1"/>
    <row r="417" s="48" customFormat="1" ht="18.75" customHeight="1"/>
    <row r="418" s="48" customFormat="1" ht="18.75" customHeight="1"/>
    <row r="419" s="48" customFormat="1" ht="18.75" customHeight="1"/>
    <row r="420" s="48" customFormat="1" ht="18.75" customHeight="1"/>
    <row r="421" s="48" customFormat="1" ht="18.75" customHeight="1"/>
    <row r="422" s="48" customFormat="1" ht="18.75" customHeight="1"/>
    <row r="423" s="48" customFormat="1" ht="18.75" customHeight="1"/>
    <row r="424" s="48" customFormat="1" ht="18.75" customHeight="1"/>
    <row r="425" s="48" customFormat="1" ht="18.75" customHeight="1"/>
    <row r="426" s="48" customFormat="1" ht="18.75" customHeight="1"/>
    <row r="427" s="48" customFormat="1" ht="18.75" customHeight="1"/>
    <row r="428" s="48" customFormat="1" ht="18.75" customHeight="1"/>
    <row r="429" s="48" customFormat="1" ht="18.75" customHeight="1"/>
    <row r="430" s="48" customFormat="1" ht="18.75" customHeight="1"/>
    <row r="431" s="48" customFormat="1" ht="18.75" customHeight="1"/>
    <row r="432" s="48" customFormat="1" ht="18.75" customHeight="1"/>
    <row r="433" s="48" customFormat="1" ht="18.75" customHeight="1"/>
    <row r="434" s="48" customFormat="1" ht="18.75" customHeight="1"/>
    <row r="435" s="48" customFormat="1" ht="18.75" customHeight="1"/>
    <row r="436" s="48" customFormat="1" ht="18.75" customHeight="1"/>
    <row r="437" s="48" customFormat="1" ht="18.75" customHeight="1"/>
    <row r="438" s="48" customFormat="1" ht="18.75" customHeight="1"/>
    <row r="439" s="48" customFormat="1" ht="18.75" customHeight="1"/>
    <row r="440" s="48" customFormat="1" ht="18.75" customHeight="1"/>
    <row r="441" s="48" customFormat="1" ht="18.75" customHeight="1"/>
    <row r="442" s="48" customFormat="1" ht="18.75" customHeight="1"/>
    <row r="443" s="48" customFormat="1" ht="18.75" customHeight="1"/>
    <row r="444" s="48" customFormat="1" ht="18.75" customHeight="1"/>
    <row r="445" s="48" customFormat="1" ht="18.75" customHeight="1"/>
    <row r="446" s="48" customFormat="1" ht="18.75" customHeight="1"/>
    <row r="447" s="48" customFormat="1" ht="18.75" customHeight="1"/>
    <row r="448" s="48" customFormat="1" ht="18.75" customHeight="1"/>
    <row r="449" s="48" customFormat="1" ht="18.75" customHeight="1"/>
    <row r="450" s="48" customFormat="1" ht="18.75" customHeight="1"/>
    <row r="451" s="48" customFormat="1" ht="18.75" customHeight="1"/>
    <row r="452" s="48" customFormat="1" ht="18.75" customHeight="1"/>
    <row r="453" s="48" customFormat="1" ht="18.75" customHeight="1"/>
    <row r="454" s="48" customFormat="1" ht="18.75" customHeight="1"/>
    <row r="455" s="48" customFormat="1" ht="18.75" customHeight="1"/>
    <row r="456" s="48" customFormat="1" ht="18.75" customHeight="1"/>
    <row r="457" s="48" customFormat="1" ht="18.75" customHeight="1"/>
    <row r="458" s="48" customFormat="1" ht="18.75" customHeight="1"/>
    <row r="459" s="48" customFormat="1" ht="18.75" customHeight="1"/>
    <row r="460" s="48" customFormat="1" ht="18.75" customHeight="1"/>
    <row r="461" s="48" customFormat="1" ht="18.75" customHeight="1"/>
    <row r="462" s="48" customFormat="1" ht="18.75" customHeight="1"/>
    <row r="463" s="48" customFormat="1" ht="18.75" customHeight="1"/>
    <row r="464" s="48" customFormat="1" ht="18.75" customHeight="1"/>
    <row r="465" s="48" customFormat="1" ht="18.75" customHeight="1"/>
    <row r="466" s="48" customFormat="1" ht="18.75" customHeight="1"/>
    <row r="467" s="48" customFormat="1" ht="18.75" customHeight="1"/>
    <row r="468" s="48" customFormat="1" ht="18.75" customHeight="1"/>
    <row r="469" s="48" customFormat="1" ht="18.75" customHeight="1"/>
    <row r="470" s="48" customFormat="1" ht="18.75" customHeight="1"/>
    <row r="471" s="48" customFormat="1" ht="18.75" customHeight="1"/>
    <row r="472" s="48" customFormat="1" ht="18.75" customHeight="1"/>
    <row r="473" s="48" customFormat="1" ht="18.75" customHeight="1"/>
    <row r="474" s="48" customFormat="1" ht="18.75" customHeight="1"/>
    <row r="475" s="48" customFormat="1" ht="18.75" customHeight="1"/>
    <row r="476" s="48" customFormat="1" ht="18.75" customHeight="1"/>
    <row r="477" s="48" customFormat="1" ht="18.75" customHeight="1"/>
    <row r="478" s="48" customFormat="1" ht="18.75" customHeight="1"/>
    <row r="479" s="48" customFormat="1" ht="18.75" customHeight="1"/>
    <row r="480" s="48" customFormat="1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</sheetData>
  <sheetProtection/>
  <printOptions horizontalCentered="1"/>
  <pageMargins left="0.75" right="0.75" top="1" bottom="0.5" header="0.5" footer="0.5"/>
  <pageSetup fitToHeight="0" fitToWidth="1" horizontalDpi="600" verticalDpi="600" orientation="landscape" scale="72" r:id="rId1"/>
  <rowBreaks count="7" manualBreakCount="7">
    <brk id="24" min="2" max="11" man="1"/>
    <brk id="44" min="2" max="11" man="1"/>
    <brk id="64" min="2" max="11" man="1"/>
    <brk id="84" min="2" max="11" man="1"/>
    <brk id="104" min="2" max="11" man="1"/>
    <brk id="124" min="2" max="11" man="1"/>
    <brk id="144" min="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5" zoomScaleNormal="75" zoomScalePageLayoutView="0" workbookViewId="0" topLeftCell="A1">
      <selection activeCell="A1" sqref="A1"/>
    </sheetView>
  </sheetViews>
  <sheetFormatPr defaultColWidth="9.33203125" defaultRowHeight="11.25"/>
  <cols>
    <col min="1" max="1" width="12.66015625" style="2" bestFit="1" customWidth="1"/>
    <col min="2" max="2" width="66" style="2" customWidth="1"/>
    <col min="3" max="12" width="14.83203125" style="2" customWidth="1"/>
    <col min="13" max="13" width="9.33203125" style="2" customWidth="1"/>
    <col min="14" max="16384" width="9.33203125" style="2" customWidth="1"/>
  </cols>
  <sheetData>
    <row r="1" spans="2:12" ht="18.75" customHeight="1"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ht="18.75" customHeight="1">
      <c r="B2" s="110" t="s">
        <v>311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8.75" customHeight="1">
      <c r="B3" s="11"/>
      <c r="C3" s="13"/>
      <c r="D3" s="212" t="s">
        <v>257</v>
      </c>
      <c r="E3" s="13"/>
      <c r="F3" s="13"/>
      <c r="G3" s="13"/>
      <c r="H3" s="13"/>
      <c r="I3" s="13"/>
      <c r="J3" s="13"/>
      <c r="K3" s="13"/>
      <c r="L3" s="13"/>
    </row>
    <row r="4" spans="3:12" s="28" customFormat="1" ht="18.75" customHeight="1">
      <c r="C4" s="29">
        <f>Input!B2</f>
        <v>2016</v>
      </c>
      <c r="D4" s="52">
        <f aca="true" t="shared" si="0" ref="D4:I5">C4+1</f>
        <v>2017</v>
      </c>
      <c r="E4" s="29">
        <f t="shared" si="0"/>
        <v>2018</v>
      </c>
      <c r="F4" s="29">
        <f t="shared" si="0"/>
        <v>2019</v>
      </c>
      <c r="G4" s="29">
        <f t="shared" si="0"/>
        <v>2020</v>
      </c>
      <c r="H4" s="29">
        <f t="shared" si="0"/>
        <v>2021</v>
      </c>
      <c r="I4" s="29">
        <f t="shared" si="0"/>
        <v>2022</v>
      </c>
      <c r="J4" s="29">
        <f aca="true" t="shared" si="1" ref="J4:L5">I4+1</f>
        <v>2023</v>
      </c>
      <c r="K4" s="29">
        <f t="shared" si="1"/>
        <v>2024</v>
      </c>
      <c r="L4" s="29">
        <f t="shared" si="1"/>
        <v>2025</v>
      </c>
    </row>
    <row r="5" spans="1:18" s="28" customFormat="1" ht="18.75" customHeight="1">
      <c r="A5" s="258">
        <v>2017</v>
      </c>
      <c r="B5" s="28" t="s">
        <v>43</v>
      </c>
      <c r="C5" s="29"/>
      <c r="D5" s="209">
        <v>1</v>
      </c>
      <c r="E5" s="209">
        <f t="shared" si="0"/>
        <v>2</v>
      </c>
      <c r="F5" s="209">
        <f t="shared" si="0"/>
        <v>3</v>
      </c>
      <c r="G5" s="209">
        <f t="shared" si="0"/>
        <v>4</v>
      </c>
      <c r="H5" s="209">
        <f>G5+1</f>
        <v>5</v>
      </c>
      <c r="I5" s="209">
        <f>H5+1</f>
        <v>6</v>
      </c>
      <c r="J5" s="209">
        <f t="shared" si="1"/>
        <v>7</v>
      </c>
      <c r="K5" s="209">
        <f t="shared" si="1"/>
        <v>8</v>
      </c>
      <c r="L5" s="209">
        <f t="shared" si="1"/>
        <v>9</v>
      </c>
      <c r="M5" s="28" t="s">
        <v>21</v>
      </c>
      <c r="Q5" s="28" t="s">
        <v>257</v>
      </c>
      <c r="R5" s="28">
        <v>1</v>
      </c>
    </row>
    <row r="6" spans="1:18" ht="18.75" customHeight="1">
      <c r="A6" s="3"/>
      <c r="B6" s="211" t="s">
        <v>31</v>
      </c>
      <c r="C6" s="12"/>
      <c r="D6" s="12"/>
      <c r="E6" s="12"/>
      <c r="F6" s="12"/>
      <c r="G6" s="12"/>
      <c r="H6" s="12"/>
      <c r="I6" s="12"/>
      <c r="J6" s="12"/>
      <c r="K6" s="12"/>
      <c r="L6" s="12"/>
      <c r="Q6" s="28" t="s">
        <v>258</v>
      </c>
      <c r="R6" s="2">
        <v>2</v>
      </c>
    </row>
    <row r="7" spans="1:18" ht="18.75" customHeight="1">
      <c r="A7" s="60" t="s">
        <v>306</v>
      </c>
      <c r="B7" s="10" t="s">
        <v>388</v>
      </c>
      <c r="C7" s="172">
        <f>VLOOKUP(C$4,'Cash Flows-KU'!$B$8:$J$17,$A8)</f>
        <v>0</v>
      </c>
      <c r="D7" s="172">
        <f>VLOOKUP(D$4,'Cash Flows-KU'!$B$8:$J$17,$A8)</f>
        <v>5252625</v>
      </c>
      <c r="E7" s="172">
        <f>VLOOKUP(E$4,'Cash Flows-KU'!$B$8:$J$17,$A8)</f>
        <v>0</v>
      </c>
      <c r="F7" s="172">
        <f>VLOOKUP(F$4,'Cash Flows-KU'!$B$8:$J$17,$A8)</f>
        <v>0</v>
      </c>
      <c r="G7" s="172">
        <f>VLOOKUP(G$4,'Cash Flows-KU'!$B$8:$J$17,$A8)</f>
        <v>0</v>
      </c>
      <c r="H7" s="172">
        <f>VLOOKUP(H$4,'Cash Flows-KU'!$B$8:$J$17,$A8)</f>
        <v>0</v>
      </c>
      <c r="I7" s="172">
        <f>VLOOKUP(I$4,'Cash Flows-KU'!$B$8:$J$17,$A8)</f>
        <v>0</v>
      </c>
      <c r="J7" s="172">
        <f>VLOOKUP(J$4,'Cash Flows-KU'!$B$8:$J$17,$A8)</f>
        <v>0</v>
      </c>
      <c r="K7" s="172">
        <f>VLOOKUP(K$4,'Cash Flows-KU'!$B$8:$J$17,$A8)</f>
        <v>0</v>
      </c>
      <c r="L7" s="172">
        <f>VLOOKUP(L$4,'Cash Flows-KU'!$B$8:$J$17,$A8)</f>
        <v>0</v>
      </c>
      <c r="M7" s="173"/>
      <c r="Q7" s="28" t="s">
        <v>259</v>
      </c>
      <c r="R7" s="2">
        <v>3</v>
      </c>
    </row>
    <row r="8" spans="1:18" ht="18.75" customHeight="1">
      <c r="A8" s="3">
        <v>2</v>
      </c>
      <c r="B8" s="40" t="s">
        <v>57</v>
      </c>
      <c r="C8" s="172">
        <f>SUM($C7:C7)</f>
        <v>0</v>
      </c>
      <c r="D8" s="172">
        <f>SUM($C7:D7)</f>
        <v>5252625</v>
      </c>
      <c r="E8" s="172">
        <f>SUM($C7:E7)</f>
        <v>5252625</v>
      </c>
      <c r="F8" s="172">
        <f>SUM($C7:F7)</f>
        <v>5252625</v>
      </c>
      <c r="G8" s="172">
        <f>SUM($C7:G7)</f>
        <v>5252625</v>
      </c>
      <c r="H8" s="172">
        <f>SUM($C7:H7)</f>
        <v>5252625</v>
      </c>
      <c r="I8" s="172">
        <f>SUM($C7:I7)</f>
        <v>5252625</v>
      </c>
      <c r="J8" s="172">
        <f>SUM($C7:J7)</f>
        <v>5252625</v>
      </c>
      <c r="K8" s="172">
        <f>SUM($C7:K7)</f>
        <v>5252625</v>
      </c>
      <c r="L8" s="172">
        <f>SUM($C7:L7)</f>
        <v>5252625</v>
      </c>
      <c r="M8" s="18"/>
      <c r="Q8" s="28" t="s">
        <v>260</v>
      </c>
      <c r="R8" s="2">
        <v>4</v>
      </c>
    </row>
    <row r="9" spans="1:18" ht="18.75" customHeight="1">
      <c r="A9" s="3">
        <v>2</v>
      </c>
      <c r="B9" s="5" t="s">
        <v>0</v>
      </c>
      <c r="C9" s="6">
        <f>IF(C5="",0,VLOOKUP($B6,Depreciation!$D$2:$E$31,$A9,FALSE))</f>
        <v>0</v>
      </c>
      <c r="D9" s="6">
        <f>IF(D5="",0,VLOOKUP($B6,Depreciation!$D$2:$E$31,$A9,FALSE))</f>
        <v>0.0235</v>
      </c>
      <c r="E9" s="6">
        <f>IF(E5="",0,VLOOKUP($B6,Depreciation!$D$2:$E$31,$A9,FALSE))</f>
        <v>0.0235</v>
      </c>
      <c r="F9" s="6">
        <f>IF(F5="",0,VLOOKUP($B6,Depreciation!$D$2:$E$31,$A9,FALSE))</f>
        <v>0.0235</v>
      </c>
      <c r="G9" s="6">
        <f>IF(G5="",0,VLOOKUP($B6,Depreciation!$D$2:$E$31,$A9,FALSE))</f>
        <v>0.0235</v>
      </c>
      <c r="H9" s="6">
        <f>IF(H5="",0,VLOOKUP($B6,Depreciation!$D$2:$E$31,$A9,FALSE))</f>
        <v>0.0235</v>
      </c>
      <c r="I9" s="6">
        <f>IF(I5="",0,VLOOKUP($B6,Depreciation!$D$2:$E$31,$A9,FALSE))</f>
        <v>0.0235</v>
      </c>
      <c r="J9" s="6">
        <f>IF(J5="",0,VLOOKUP($B6,Depreciation!$D$2:$E$31,$A9,FALSE))</f>
        <v>0.0235</v>
      </c>
      <c r="K9" s="6">
        <f>IF(K5="",0,VLOOKUP($B6,Depreciation!$D$2:$E$31,$A9,FALSE))</f>
        <v>0.0235</v>
      </c>
      <c r="L9" s="6">
        <f>IF(L5="",0,VLOOKUP($B6,Depreciation!$D$2:$E$31,$A9,FALSE))</f>
        <v>0.0235</v>
      </c>
      <c r="Q9" s="28" t="s">
        <v>261</v>
      </c>
      <c r="R9" s="2">
        <v>5</v>
      </c>
    </row>
    <row r="10" spans="1:18" ht="18.75" customHeight="1">
      <c r="A10" s="3">
        <v>2</v>
      </c>
      <c r="B10" s="5" t="s">
        <v>1</v>
      </c>
      <c r="C10" s="6">
        <f>IF(C5="",0,VLOOKUP(C5,Depreciation!$A$2:$C$58,$A10,FALSE))</f>
        <v>0</v>
      </c>
      <c r="D10" s="6">
        <f>IF(D5="",0,VLOOKUP(D5,Depreciation!$A$2:$C$58,$A10,FALSE))</f>
        <v>0.0375</v>
      </c>
      <c r="E10" s="6">
        <f>IF(E5="",0,VLOOKUP(E5,Depreciation!$A$2:$C$58,$A10,FALSE))</f>
        <v>0.07219</v>
      </c>
      <c r="F10" s="6">
        <f>IF(F5="",0,VLOOKUP(F5,Depreciation!$A$2:$C$58,$A10,FALSE))</f>
        <v>0.06677</v>
      </c>
      <c r="G10" s="6">
        <f>IF(G5="",0,VLOOKUP(G5,Depreciation!$A$2:$C$58,$A10,FALSE))</f>
        <v>0.06177</v>
      </c>
      <c r="H10" s="6">
        <f>IF(H5="",0,VLOOKUP(H5,Depreciation!$A$2:$C$58,$A10,FALSE))</f>
        <v>0.05713</v>
      </c>
      <c r="I10" s="6">
        <f>IF(I5="",0,VLOOKUP(I5,Depreciation!$A$2:$C$58,$A10,FALSE))</f>
        <v>0.05285</v>
      </c>
      <c r="J10" s="6">
        <f>IF(J5="",0,VLOOKUP(J5,Depreciation!$A$2:$C$58,$A10,FALSE))</f>
        <v>0.04888</v>
      </c>
      <c r="K10" s="6">
        <f>IF(K5="",0,VLOOKUP(K5,Depreciation!$A$2:$C$58,$A10,FALSE))</f>
        <v>0.04522</v>
      </c>
      <c r="L10" s="6">
        <f>IF(L5="",0,VLOOKUP(L5,Depreciation!$A$2:$C$58,$A10,FALSE))</f>
        <v>0.04462</v>
      </c>
      <c r="Q10" s="28" t="s">
        <v>262</v>
      </c>
      <c r="R10" s="2">
        <v>6</v>
      </c>
    </row>
    <row r="11" spans="1:18" s="30" customFormat="1" ht="18.75" customHeight="1">
      <c r="A11" s="71"/>
      <c r="B11" s="31" t="s">
        <v>2</v>
      </c>
      <c r="C11" s="7">
        <f>Input!B$3</f>
        <v>0.38665999999999995</v>
      </c>
      <c r="D11" s="7">
        <f>Input!C$3</f>
        <v>0.38665999999999995</v>
      </c>
      <c r="E11" s="7">
        <f>Input!D$3</f>
        <v>0.38665999999999995</v>
      </c>
      <c r="F11" s="7">
        <f>Input!E$3</f>
        <v>0.38665999999999995</v>
      </c>
      <c r="G11" s="7">
        <f>Input!F$3</f>
        <v>0.38665999999999995</v>
      </c>
      <c r="H11" s="7">
        <f>Input!G$3</f>
        <v>0.38665999999999995</v>
      </c>
      <c r="I11" s="7">
        <f>Input!H$3</f>
        <v>0.38665999999999995</v>
      </c>
      <c r="J11" s="7">
        <f>Input!I$3</f>
        <v>0.38665999999999995</v>
      </c>
      <c r="K11" s="7">
        <f>Input!J$3</f>
        <v>0.38665999999999995</v>
      </c>
      <c r="L11" s="7">
        <f>Input!K$3</f>
        <v>0.38665999999999995</v>
      </c>
      <c r="Q11" s="28" t="s">
        <v>263</v>
      </c>
      <c r="R11" s="2">
        <v>7</v>
      </c>
    </row>
    <row r="12" spans="1:18" ht="18.75" customHeight="1">
      <c r="A12" s="3"/>
      <c r="B12" s="2" t="s">
        <v>3</v>
      </c>
      <c r="C12" s="170">
        <f>SUM($C23:C23)</f>
        <v>0</v>
      </c>
      <c r="D12" s="170">
        <f>SUM($C23:D23)</f>
        <v>1007831.5042326561</v>
      </c>
      <c r="E12" s="170">
        <f>SUM($C23:E23)</f>
        <v>1033411.6971122436</v>
      </c>
      <c r="F12" s="170">
        <f>SUM($C23:F23)</f>
        <v>1053487.9342392562</v>
      </c>
      <c r="G12" s="170">
        <f>SUM($C23:G23)</f>
        <v>1068486.7214100186</v>
      </c>
      <c r="H12" s="170">
        <f>SUM($C23:H23)</f>
        <v>1078773.635021381</v>
      </c>
      <c r="I12" s="170">
        <f>SUM($C23:I23)</f>
        <v>1084714.2514701935</v>
      </c>
      <c r="J12" s="170">
        <f>SUM($C23:J23)</f>
        <v>1086623.3726537435</v>
      </c>
      <c r="K12" s="170">
        <f>SUM($C23:K23)</f>
        <v>1084815.8004693184</v>
      </c>
      <c r="L12" s="170">
        <f>SUM($C23:L23)</f>
        <v>1082398.9342901434</v>
      </c>
      <c r="Q12" s="28" t="s">
        <v>264</v>
      </c>
      <c r="R12" s="2">
        <v>8</v>
      </c>
    </row>
    <row r="13" spans="2:18" ht="18.75" customHeight="1">
      <c r="B13" s="2" t="s">
        <v>4</v>
      </c>
      <c r="C13" s="170">
        <f>SUM($C15:C15)</f>
        <v>0</v>
      </c>
      <c r="D13" s="170">
        <f>SUM($C15:D15)</f>
        <v>118293.4921875</v>
      </c>
      <c r="E13" s="170">
        <f>SUM($C15:E15)</f>
        <v>241730.1796875</v>
      </c>
      <c r="F13" s="170">
        <f>SUM($C15:F15)</f>
        <v>365166.8671875</v>
      </c>
      <c r="G13" s="170">
        <f>SUM($C15:G15)</f>
        <v>488603.5546875</v>
      </c>
      <c r="H13" s="170">
        <f>SUM($C15:H15)</f>
        <v>612040.2421875</v>
      </c>
      <c r="I13" s="170">
        <f>SUM($C15:I15)</f>
        <v>735476.9296875</v>
      </c>
      <c r="J13" s="170">
        <f>SUM($C15:J15)</f>
        <v>858913.6171875</v>
      </c>
      <c r="K13" s="170">
        <f>SUM($C15:K15)</f>
        <v>982350.3046875</v>
      </c>
      <c r="L13" s="170">
        <f>SUM($C15:L15)</f>
        <v>1105786.9921875</v>
      </c>
      <c r="Q13" s="28" t="s">
        <v>265</v>
      </c>
      <c r="R13" s="2">
        <v>9</v>
      </c>
    </row>
    <row r="14" spans="2:18" ht="18.75" customHeight="1">
      <c r="B14" s="11" t="s">
        <v>5</v>
      </c>
      <c r="C14" s="170">
        <f>C7</f>
        <v>0</v>
      </c>
      <c r="D14" s="170">
        <f>C14+D7</f>
        <v>5252625</v>
      </c>
      <c r="E14" s="170">
        <f aca="true" t="shared" si="2" ref="E14:L14">D14+E7</f>
        <v>5252625</v>
      </c>
      <c r="F14" s="170">
        <f t="shared" si="2"/>
        <v>5252625</v>
      </c>
      <c r="G14" s="170">
        <f t="shared" si="2"/>
        <v>5252625</v>
      </c>
      <c r="H14" s="170">
        <f t="shared" si="2"/>
        <v>5252625</v>
      </c>
      <c r="I14" s="170">
        <f t="shared" si="2"/>
        <v>5252625</v>
      </c>
      <c r="J14" s="170">
        <f t="shared" si="2"/>
        <v>5252625</v>
      </c>
      <c r="K14" s="170">
        <f t="shared" si="2"/>
        <v>5252625</v>
      </c>
      <c r="L14" s="170">
        <f t="shared" si="2"/>
        <v>5252625</v>
      </c>
      <c r="Q14" s="28" t="s">
        <v>266</v>
      </c>
      <c r="R14" s="2">
        <v>10</v>
      </c>
    </row>
    <row r="15" spans="1:18" ht="18.75" customHeight="1">
      <c r="A15" s="214" t="s">
        <v>359</v>
      </c>
      <c r="B15" s="11" t="s">
        <v>6</v>
      </c>
      <c r="C15" s="170">
        <f aca="true" t="shared" si="3" ref="C15:L15">IF(C5=1,(12.5-VLOOKUP(C3,$Q$5:$R$16,2,))*C9/12*C14,C14*C9)</f>
        <v>0</v>
      </c>
      <c r="D15" s="170">
        <f t="shared" si="3"/>
        <v>118293.4921875</v>
      </c>
      <c r="E15" s="170">
        <f t="shared" si="3"/>
        <v>123436.6875</v>
      </c>
      <c r="F15" s="170">
        <f t="shared" si="3"/>
        <v>123436.6875</v>
      </c>
      <c r="G15" s="170">
        <f t="shared" si="3"/>
        <v>123436.6875</v>
      </c>
      <c r="H15" s="170">
        <f t="shared" si="3"/>
        <v>123436.6875</v>
      </c>
      <c r="I15" s="170">
        <f t="shared" si="3"/>
        <v>123436.6875</v>
      </c>
      <c r="J15" s="170">
        <f t="shared" si="3"/>
        <v>123436.6875</v>
      </c>
      <c r="K15" s="170">
        <f t="shared" si="3"/>
        <v>123436.6875</v>
      </c>
      <c r="L15" s="170">
        <f t="shared" si="3"/>
        <v>123436.6875</v>
      </c>
      <c r="Q15" s="28" t="s">
        <v>267</v>
      </c>
      <c r="R15" s="2">
        <v>11</v>
      </c>
    </row>
    <row r="16" spans="2:18" ht="18.75" customHeight="1">
      <c r="B16" s="5" t="s">
        <v>7</v>
      </c>
      <c r="C16" s="170">
        <f>C7</f>
        <v>0</v>
      </c>
      <c r="D16" s="170">
        <f aca="true" t="shared" si="4" ref="D16:L16">C16+D7</f>
        <v>5252625</v>
      </c>
      <c r="E16" s="170">
        <f t="shared" si="4"/>
        <v>5252625</v>
      </c>
      <c r="F16" s="170">
        <f t="shared" si="4"/>
        <v>5252625</v>
      </c>
      <c r="G16" s="170">
        <f t="shared" si="4"/>
        <v>5252625</v>
      </c>
      <c r="H16" s="170">
        <f t="shared" si="4"/>
        <v>5252625</v>
      </c>
      <c r="I16" s="170">
        <f t="shared" si="4"/>
        <v>5252625</v>
      </c>
      <c r="J16" s="170">
        <f t="shared" si="4"/>
        <v>5252625</v>
      </c>
      <c r="K16" s="170">
        <f t="shared" si="4"/>
        <v>5252625</v>
      </c>
      <c r="L16" s="170">
        <f t="shared" si="4"/>
        <v>5252625</v>
      </c>
      <c r="Q16" s="28" t="s">
        <v>268</v>
      </c>
      <c r="R16" s="2">
        <v>12</v>
      </c>
    </row>
    <row r="17" spans="2:17" ht="18.75" customHeight="1">
      <c r="B17" s="213" t="s">
        <v>361</v>
      </c>
      <c r="C17" s="170">
        <f>IF(C5=1,IF($A15="Bonus",SUM($C7:C7)*VLOOKUP(C4,Depreciation!$D$41:$E$50,2),0),0)</f>
        <v>0</v>
      </c>
      <c r="D17" s="170">
        <f>IF(D5=1,IF($A15="Bonus",SUM($C7:D7)*VLOOKUP(D4,Depreciation!$D$41:$E$50,2),0),0)</f>
        <v>2626312.5</v>
      </c>
      <c r="E17" s="170">
        <f>IF(E5=1,IF($A15="Bonus",SUM($C7:E7)*VLOOKUP(E4,Depreciation!$D$41:$E$50,2),0),0)</f>
        <v>0</v>
      </c>
      <c r="F17" s="170">
        <f>IF(F5=1,IF($A15="Bonus",SUM($C7:F7)*VLOOKUP(F4,Depreciation!$D$41:$E$50,2),0),0)</f>
        <v>0</v>
      </c>
      <c r="G17" s="170">
        <f>IF(G5=1,IF($A15="Bonus",SUM($C7:G7)*VLOOKUP(G4,Depreciation!$D$41:$E$50,2),0),0)</f>
        <v>0</v>
      </c>
      <c r="H17" s="170">
        <f>IF(H5=1,IF($A15="Bonus",SUM($C7:H7)*VLOOKUP(H4,Depreciation!$D$41:$E$50,2),0),0)</f>
        <v>0</v>
      </c>
      <c r="I17" s="170">
        <f>IF(I5=1,IF($A15="Bonus",SUM($C7:I7)*VLOOKUP(I4,Depreciation!$D$41:$E$50,2),0),0)</f>
        <v>0</v>
      </c>
      <c r="J17" s="170">
        <f>IF(J5=1,IF($A15="Bonus",SUM($C7:J7)*VLOOKUP(J4,Depreciation!$D$41:$E$50,2),0),0)</f>
        <v>0</v>
      </c>
      <c r="K17" s="170">
        <f>IF(K5=1,IF($A15="Bonus",SUM($C7:K7)*VLOOKUP(K4,Depreciation!$D$41:$E$50,2),0),0)</f>
        <v>0</v>
      </c>
      <c r="L17" s="170">
        <f>IF(L5=1,IF($A15="Bonus",SUM($C7:L7)*VLOOKUP(L4,Depreciation!$D$41:$E$50,2),0),0)</f>
        <v>0</v>
      </c>
      <c r="Q17" s="28"/>
    </row>
    <row r="18" spans="2:12" ht="18.75" customHeight="1">
      <c r="B18" s="5" t="s">
        <v>362</v>
      </c>
      <c r="C18" s="170">
        <f>IF(C5&gt;=1,IF($A15="Bonus",C8*(1-VLOOKUP($A5,Depreciation!$D$41:$N$50,C4-2014))*C10,C8*C10),C8*C10)</f>
        <v>0</v>
      </c>
      <c r="D18" s="170">
        <f>IF(D5&gt;=1,IF($A15="Bonus",D8*(1-VLOOKUP($A5,Depreciation!$D$41:$N$50,D4-2014))*D10,D8*D10),D8*D10)</f>
        <v>98486.71875</v>
      </c>
      <c r="E18" s="170">
        <f>IF(E5&gt;=1,IF($A15="Bonus",E8*(1-VLOOKUP($A5,Depreciation!$D$41:$N$50,E4-2014))*E10,E8*E10),E8*E10)</f>
        <v>189593.499375</v>
      </c>
      <c r="F18" s="170">
        <f>IF(F5&gt;=1,IF($A15="Bonus",F8*(1-VLOOKUP($A5,Depreciation!$D$41:$N$50,F4-2014))*F10,F8*F10),F8*F10)</f>
        <v>175358.885625</v>
      </c>
      <c r="G18" s="170">
        <f>IF(G5&gt;=1,IF($A15="Bonus",G8*(1-VLOOKUP($A5,Depreciation!$D$41:$N$50,G4-2014))*G10,G8*G10),G8*G10)</f>
        <v>162227.323125</v>
      </c>
      <c r="H18" s="170">
        <f>IF(H5&gt;=1,IF($A15="Bonus",H8*(1-VLOOKUP($A5,Depreciation!$D$41:$N$50,H4-2014))*H10,H8*H10),H8*H10)</f>
        <v>150041.233125</v>
      </c>
      <c r="I18" s="170">
        <f>IF(I5&gt;=1,IF($A15="Bonus",I8*(1-VLOOKUP($A5,Depreciation!$D$41:$N$50,I4-2014))*I10,I8*I10),I8*I10)</f>
        <v>138800.615625</v>
      </c>
      <c r="J18" s="170">
        <f>IF(J5&gt;=1,IF($A15="Bonus",J8*(1-VLOOKUP($A5,Depreciation!$D$41:$N$50,J4-2014))*J10,J8*J10),J8*J10)</f>
        <v>128374.155</v>
      </c>
      <c r="K18" s="170">
        <f>IF(K5&gt;=1,IF($A15="Bonus",K8*(1-VLOOKUP($A5,Depreciation!$D$41:$N$50,K4-2014))*K10,K8*K10),K8*K10)</f>
        <v>118761.85125</v>
      </c>
      <c r="L18" s="170">
        <f>IF(L5&gt;=1,IF($A15="Bonus",L8*(1-VLOOKUP($A5,Depreciation!$D$41:$N$50,L4-2014))*L10,L8*L10),L8*L10)</f>
        <v>117186.06375</v>
      </c>
    </row>
    <row r="19" spans="2:12" ht="18.75" customHeight="1">
      <c r="B19" s="5" t="s">
        <v>17</v>
      </c>
      <c r="C19" s="7">
        <f>Input!J$31</f>
        <v>0.10152297909805327</v>
      </c>
      <c r="D19" s="7">
        <f>Input!K$31</f>
        <v>0.10152297909805327</v>
      </c>
      <c r="E19" s="7">
        <f>Input!L$31</f>
        <v>0.10152297909805327</v>
      </c>
      <c r="F19" s="7">
        <f>Input!M$31</f>
        <v>0.10152297909805327</v>
      </c>
      <c r="G19" s="7">
        <f>Input!N$31</f>
        <v>0.10152297909805327</v>
      </c>
      <c r="H19" s="7">
        <f>Input!O$31</f>
        <v>0.10152297909805327</v>
      </c>
      <c r="I19" s="7">
        <f>Input!P$31</f>
        <v>0.10152297909805327</v>
      </c>
      <c r="J19" s="7">
        <f>Input!Q$31</f>
        <v>0.10152297909805327</v>
      </c>
      <c r="K19" s="7">
        <f>Input!R$31</f>
        <v>0.10152297909805327</v>
      </c>
      <c r="L19" s="7">
        <f>Input!S$31</f>
        <v>0.10152297909805327</v>
      </c>
    </row>
    <row r="20" spans="2:12" ht="18.75" customHeight="1">
      <c r="B20" s="5" t="s">
        <v>8</v>
      </c>
      <c r="C20" s="171">
        <f>C15</f>
        <v>0</v>
      </c>
      <c r="D20" s="171">
        <f aca="true" t="shared" si="5" ref="D20:L20">D15</f>
        <v>118293.4921875</v>
      </c>
      <c r="E20" s="171">
        <f t="shared" si="5"/>
        <v>123436.6875</v>
      </c>
      <c r="F20" s="171">
        <f t="shared" si="5"/>
        <v>123436.6875</v>
      </c>
      <c r="G20" s="171">
        <f t="shared" si="5"/>
        <v>123436.6875</v>
      </c>
      <c r="H20" s="171">
        <f t="shared" si="5"/>
        <v>123436.6875</v>
      </c>
      <c r="I20" s="171">
        <f t="shared" si="5"/>
        <v>123436.6875</v>
      </c>
      <c r="J20" s="171">
        <f t="shared" si="5"/>
        <v>123436.6875</v>
      </c>
      <c r="K20" s="171">
        <f t="shared" si="5"/>
        <v>123436.6875</v>
      </c>
      <c r="L20" s="171">
        <f t="shared" si="5"/>
        <v>123436.6875</v>
      </c>
    </row>
    <row r="21" spans="2:12" ht="18.75" customHeight="1">
      <c r="B21" s="11" t="s">
        <v>364</v>
      </c>
      <c r="C21" s="171">
        <f aca="true" t="shared" si="6" ref="C21:L21">SUM(C17,C18)</f>
        <v>0</v>
      </c>
      <c r="D21" s="171">
        <f t="shared" si="6"/>
        <v>2724799.21875</v>
      </c>
      <c r="E21" s="171">
        <f t="shared" si="6"/>
        <v>189593.499375</v>
      </c>
      <c r="F21" s="171">
        <f t="shared" si="6"/>
        <v>175358.885625</v>
      </c>
      <c r="G21" s="171">
        <f t="shared" si="6"/>
        <v>162227.323125</v>
      </c>
      <c r="H21" s="171">
        <f t="shared" si="6"/>
        <v>150041.233125</v>
      </c>
      <c r="I21" s="171">
        <f t="shared" si="6"/>
        <v>138800.615625</v>
      </c>
      <c r="J21" s="171">
        <f t="shared" si="6"/>
        <v>128374.155</v>
      </c>
      <c r="K21" s="171">
        <f t="shared" si="6"/>
        <v>118761.85125</v>
      </c>
      <c r="L21" s="171">
        <f t="shared" si="6"/>
        <v>117186.06375</v>
      </c>
    </row>
    <row r="22" spans="2:12" ht="18.75" customHeight="1">
      <c r="B22" s="2" t="s">
        <v>9</v>
      </c>
      <c r="C22" s="8">
        <f>Input!$B$6</f>
        <v>0.0015</v>
      </c>
      <c r="D22" s="8">
        <f aca="true" t="shared" si="7" ref="D22:I22">C22</f>
        <v>0.0015</v>
      </c>
      <c r="E22" s="8">
        <f t="shared" si="7"/>
        <v>0.0015</v>
      </c>
      <c r="F22" s="8">
        <f t="shared" si="7"/>
        <v>0.0015</v>
      </c>
      <c r="G22" s="8">
        <f t="shared" si="7"/>
        <v>0.0015</v>
      </c>
      <c r="H22" s="8">
        <f t="shared" si="7"/>
        <v>0.0015</v>
      </c>
      <c r="I22" s="8">
        <f t="shared" si="7"/>
        <v>0.0015</v>
      </c>
      <c r="J22" s="8">
        <f>I22</f>
        <v>0.0015</v>
      </c>
      <c r="K22" s="8">
        <f>J22</f>
        <v>0.0015</v>
      </c>
      <c r="L22" s="8">
        <f>K22</f>
        <v>0.0015</v>
      </c>
    </row>
    <row r="23" spans="2:12" ht="18.75" customHeight="1">
      <c r="B23" s="4" t="s">
        <v>363</v>
      </c>
      <c r="C23" s="171">
        <f aca="true" t="shared" si="8" ref="C23:L23">(C21-C20)*C11</f>
        <v>0</v>
      </c>
      <c r="D23" s="171">
        <f t="shared" si="8"/>
        <v>1007831.5042326561</v>
      </c>
      <c r="E23" s="171">
        <f t="shared" si="8"/>
        <v>25580.192879587503</v>
      </c>
      <c r="F23" s="171">
        <f t="shared" si="8"/>
        <v>20076.237127012497</v>
      </c>
      <c r="G23" s="171">
        <f t="shared" si="8"/>
        <v>14998.787170762496</v>
      </c>
      <c r="H23" s="171">
        <f t="shared" si="8"/>
        <v>10286.913611362499</v>
      </c>
      <c r="I23" s="171">
        <f t="shared" si="8"/>
        <v>5940.616448812501</v>
      </c>
      <c r="J23" s="171">
        <f t="shared" si="8"/>
        <v>1909.1211835499994</v>
      </c>
      <c r="K23" s="171">
        <f t="shared" si="8"/>
        <v>-1807.572184424997</v>
      </c>
      <c r="L23" s="171">
        <f t="shared" si="8"/>
        <v>-2416.866179174999</v>
      </c>
    </row>
    <row r="24" spans="2:12" ht="18.75" customHeight="1"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8.75" customHeight="1">
      <c r="B25" s="10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8.75" customHeight="1">
      <c r="B26" s="5" t="s">
        <v>16</v>
      </c>
      <c r="C26" s="169">
        <f aca="true" t="shared" si="9" ref="C26:L26">C8</f>
        <v>0</v>
      </c>
      <c r="D26" s="169">
        <f t="shared" si="9"/>
        <v>5252625</v>
      </c>
      <c r="E26" s="169">
        <f t="shared" si="9"/>
        <v>5252625</v>
      </c>
      <c r="F26" s="169">
        <f t="shared" si="9"/>
        <v>5252625</v>
      </c>
      <c r="G26" s="169">
        <f t="shared" si="9"/>
        <v>5252625</v>
      </c>
      <c r="H26" s="169">
        <f t="shared" si="9"/>
        <v>5252625</v>
      </c>
      <c r="I26" s="169">
        <f t="shared" si="9"/>
        <v>5252625</v>
      </c>
      <c r="J26" s="169">
        <f t="shared" si="9"/>
        <v>5252625</v>
      </c>
      <c r="K26" s="169">
        <f t="shared" si="9"/>
        <v>5252625</v>
      </c>
      <c r="L26" s="169">
        <f t="shared" si="9"/>
        <v>5252625</v>
      </c>
    </row>
    <row r="27" spans="1:12" ht="18.75" customHeight="1">
      <c r="A27" s="3"/>
      <c r="B27" s="4" t="s">
        <v>44</v>
      </c>
      <c r="C27" s="170">
        <v>0</v>
      </c>
      <c r="D27" s="170">
        <f aca="true" t="shared" si="10" ref="D27:I27">C27</f>
        <v>0</v>
      </c>
      <c r="E27" s="170">
        <f t="shared" si="10"/>
        <v>0</v>
      </c>
      <c r="F27" s="170">
        <f t="shared" si="10"/>
        <v>0</v>
      </c>
      <c r="G27" s="170">
        <f t="shared" si="10"/>
        <v>0</v>
      </c>
      <c r="H27" s="170">
        <f t="shared" si="10"/>
        <v>0</v>
      </c>
      <c r="I27" s="170">
        <f t="shared" si="10"/>
        <v>0</v>
      </c>
      <c r="J27" s="170">
        <f>I27</f>
        <v>0</v>
      </c>
      <c r="K27" s="170">
        <f>J27</f>
        <v>0</v>
      </c>
      <c r="L27" s="170">
        <f>K27</f>
        <v>0</v>
      </c>
    </row>
    <row r="28" spans="2:12" ht="18.75" customHeight="1">
      <c r="B28" s="2" t="s">
        <v>10</v>
      </c>
      <c r="C28" s="170">
        <f aca="true" t="shared" si="11" ref="C28:L28">-C13</f>
        <v>0</v>
      </c>
      <c r="D28" s="170">
        <f t="shared" si="11"/>
        <v>-118293.4921875</v>
      </c>
      <c r="E28" s="170">
        <f t="shared" si="11"/>
        <v>-241730.1796875</v>
      </c>
      <c r="F28" s="170">
        <f t="shared" si="11"/>
        <v>-365166.8671875</v>
      </c>
      <c r="G28" s="170">
        <f t="shared" si="11"/>
        <v>-488603.5546875</v>
      </c>
      <c r="H28" s="170">
        <f t="shared" si="11"/>
        <v>-612040.2421875</v>
      </c>
      <c r="I28" s="170">
        <f t="shared" si="11"/>
        <v>-735476.9296875</v>
      </c>
      <c r="J28" s="170">
        <f t="shared" si="11"/>
        <v>-858913.6171875</v>
      </c>
      <c r="K28" s="170">
        <f t="shared" si="11"/>
        <v>-982350.3046875</v>
      </c>
      <c r="L28" s="170">
        <f t="shared" si="11"/>
        <v>-1105786.9921875</v>
      </c>
    </row>
    <row r="29" spans="2:12" ht="18.75" customHeight="1">
      <c r="B29" s="2" t="s">
        <v>45</v>
      </c>
      <c r="C29" s="170">
        <v>0</v>
      </c>
      <c r="D29" s="170">
        <f aca="true" t="shared" si="12" ref="D29:I29">C29</f>
        <v>0</v>
      </c>
      <c r="E29" s="170">
        <f t="shared" si="12"/>
        <v>0</v>
      </c>
      <c r="F29" s="170">
        <f t="shared" si="12"/>
        <v>0</v>
      </c>
      <c r="G29" s="170">
        <f t="shared" si="12"/>
        <v>0</v>
      </c>
      <c r="H29" s="170">
        <f t="shared" si="12"/>
        <v>0</v>
      </c>
      <c r="I29" s="170">
        <f t="shared" si="12"/>
        <v>0</v>
      </c>
      <c r="J29" s="170">
        <f>I29</f>
        <v>0</v>
      </c>
      <c r="K29" s="170">
        <f>J29</f>
        <v>0</v>
      </c>
      <c r="L29" s="170">
        <f>K29</f>
        <v>0</v>
      </c>
    </row>
    <row r="30" spans="2:12" ht="18.75" customHeight="1">
      <c r="B30" s="2" t="s">
        <v>46</v>
      </c>
      <c r="C30" s="170">
        <f aca="true" t="shared" si="13" ref="C30:L30">-C12</f>
        <v>0</v>
      </c>
      <c r="D30" s="170">
        <f t="shared" si="13"/>
        <v>-1007831.5042326561</v>
      </c>
      <c r="E30" s="170">
        <f t="shared" si="13"/>
        <v>-1033411.6971122436</v>
      </c>
      <c r="F30" s="170">
        <f t="shared" si="13"/>
        <v>-1053487.9342392562</v>
      </c>
      <c r="G30" s="170">
        <f t="shared" si="13"/>
        <v>-1068486.7214100186</v>
      </c>
      <c r="H30" s="170">
        <f t="shared" si="13"/>
        <v>-1078773.635021381</v>
      </c>
      <c r="I30" s="170">
        <f t="shared" si="13"/>
        <v>-1084714.2514701935</v>
      </c>
      <c r="J30" s="170">
        <f t="shared" si="13"/>
        <v>-1086623.3726537435</v>
      </c>
      <c r="K30" s="170">
        <f t="shared" si="13"/>
        <v>-1084815.8004693184</v>
      </c>
      <c r="L30" s="170">
        <f t="shared" si="13"/>
        <v>-1082398.9342901434</v>
      </c>
    </row>
    <row r="31" spans="2:12" ht="18.75" customHeight="1">
      <c r="B31" s="2" t="s">
        <v>47</v>
      </c>
      <c r="C31" s="170">
        <v>0</v>
      </c>
      <c r="D31" s="170">
        <f aca="true" t="shared" si="14" ref="D31:I31">C31</f>
        <v>0</v>
      </c>
      <c r="E31" s="170">
        <f t="shared" si="14"/>
        <v>0</v>
      </c>
      <c r="F31" s="170">
        <f t="shared" si="14"/>
        <v>0</v>
      </c>
      <c r="G31" s="170">
        <f t="shared" si="14"/>
        <v>0</v>
      </c>
      <c r="H31" s="170">
        <f t="shared" si="14"/>
        <v>0</v>
      </c>
      <c r="I31" s="170">
        <f t="shared" si="14"/>
        <v>0</v>
      </c>
      <c r="J31" s="170">
        <f>I31</f>
        <v>0</v>
      </c>
      <c r="K31" s="170">
        <f>J31</f>
        <v>0</v>
      </c>
      <c r="L31" s="170">
        <f>K31</f>
        <v>0</v>
      </c>
    </row>
    <row r="32" spans="2:12" ht="18.75" customHeight="1">
      <c r="B32" s="2" t="s">
        <v>11</v>
      </c>
      <c r="C32" s="170">
        <f aca="true" t="shared" si="15" ref="C32:I32">SUM(C26:C31)</f>
        <v>0</v>
      </c>
      <c r="D32" s="170">
        <f t="shared" si="15"/>
        <v>4126500.003579844</v>
      </c>
      <c r="E32" s="170">
        <f t="shared" si="15"/>
        <v>3977483.1232002564</v>
      </c>
      <c r="F32" s="170">
        <f t="shared" si="15"/>
        <v>3833970.198573244</v>
      </c>
      <c r="G32" s="170">
        <f t="shared" si="15"/>
        <v>3695534.7239024816</v>
      </c>
      <c r="H32" s="170">
        <f t="shared" si="15"/>
        <v>3561811.122791119</v>
      </c>
      <c r="I32" s="170">
        <f t="shared" si="15"/>
        <v>3432433.8188423067</v>
      </c>
      <c r="J32" s="170">
        <f>SUM(J26:J31)</f>
        <v>3307088.0101587567</v>
      </c>
      <c r="K32" s="170">
        <f>SUM(K26:K31)</f>
        <v>3185458.8948431816</v>
      </c>
      <c r="L32" s="170">
        <f>SUM(L26:L31)</f>
        <v>3064439.0735223563</v>
      </c>
    </row>
    <row r="33" spans="2:12" ht="18.75" customHeight="1">
      <c r="B33" s="2" t="s">
        <v>12</v>
      </c>
      <c r="C33" s="7">
        <f aca="true" t="shared" si="16" ref="C33:I33">C19</f>
        <v>0.10152297909805327</v>
      </c>
      <c r="D33" s="7">
        <f t="shared" si="16"/>
        <v>0.10152297909805327</v>
      </c>
      <c r="E33" s="7">
        <f t="shared" si="16"/>
        <v>0.10152297909805327</v>
      </c>
      <c r="F33" s="7">
        <f t="shared" si="16"/>
        <v>0.10152297909805327</v>
      </c>
      <c r="G33" s="7">
        <f t="shared" si="16"/>
        <v>0.10152297909805327</v>
      </c>
      <c r="H33" s="7">
        <f t="shared" si="16"/>
        <v>0.10152297909805327</v>
      </c>
      <c r="I33" s="7">
        <f t="shared" si="16"/>
        <v>0.10152297909805327</v>
      </c>
      <c r="J33" s="7">
        <f>J19</f>
        <v>0.10152297909805327</v>
      </c>
      <c r="K33" s="7">
        <f>K19</f>
        <v>0.10152297909805327</v>
      </c>
      <c r="L33" s="7">
        <f>L19</f>
        <v>0.10152297909805327</v>
      </c>
    </row>
    <row r="34" spans="2:12" ht="18.75" customHeight="1">
      <c r="B34" s="34" t="s">
        <v>58</v>
      </c>
      <c r="C34" s="174">
        <f aca="true" t="shared" si="17" ref="C34:I34">C32*C33</f>
        <v>0</v>
      </c>
      <c r="D34" s="174">
        <f t="shared" si="17"/>
        <v>418934.57361155323</v>
      </c>
      <c r="E34" s="174">
        <f t="shared" si="17"/>
        <v>403805.9359795193</v>
      </c>
      <c r="F34" s="174">
        <f t="shared" si="17"/>
        <v>389236.07633231056</v>
      </c>
      <c r="G34" s="174">
        <f t="shared" si="17"/>
        <v>375181.6945308817</v>
      </c>
      <c r="H34" s="174">
        <f t="shared" si="17"/>
        <v>361605.67617033643</v>
      </c>
      <c r="I34" s="174">
        <f t="shared" si="17"/>
        <v>348470.9068457787</v>
      </c>
      <c r="J34" s="174">
        <f>J32*J33</f>
        <v>335745.42693077005</v>
      </c>
      <c r="K34" s="174">
        <f>K32*K33</f>
        <v>323397.2767988722</v>
      </c>
      <c r="L34" s="174">
        <f>L32*L33</f>
        <v>311110.98400846793</v>
      </c>
    </row>
    <row r="35" spans="2:12" s="3" customFormat="1" ht="18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2:12" ht="18.75" customHeight="1">
      <c r="B36" s="1" t="s">
        <v>52</v>
      </c>
      <c r="C36" s="170">
        <v>0</v>
      </c>
      <c r="D36" s="168">
        <f>C36</f>
        <v>0</v>
      </c>
      <c r="E36" s="168">
        <f aca="true" t="shared" si="18" ref="E36:L36">D36</f>
        <v>0</v>
      </c>
      <c r="F36" s="168">
        <f t="shared" si="18"/>
        <v>0</v>
      </c>
      <c r="G36" s="168">
        <f t="shared" si="18"/>
        <v>0</v>
      </c>
      <c r="H36" s="168">
        <f t="shared" si="18"/>
        <v>0</v>
      </c>
      <c r="I36" s="168">
        <f t="shared" si="18"/>
        <v>0</v>
      </c>
      <c r="J36" s="168">
        <f t="shared" si="18"/>
        <v>0</v>
      </c>
      <c r="K36" s="168">
        <f t="shared" si="18"/>
        <v>0</v>
      </c>
      <c r="L36" s="168">
        <f t="shared" si="18"/>
        <v>0</v>
      </c>
    </row>
    <row r="37" spans="2:12" ht="18.75" customHeight="1">
      <c r="B37" t="s">
        <v>48</v>
      </c>
      <c r="C37" s="168">
        <f aca="true" t="shared" si="19" ref="C37:I37">C20</f>
        <v>0</v>
      </c>
      <c r="D37" s="168">
        <f t="shared" si="19"/>
        <v>118293.4921875</v>
      </c>
      <c r="E37" s="168">
        <f t="shared" si="19"/>
        <v>123436.6875</v>
      </c>
      <c r="F37" s="168">
        <f t="shared" si="19"/>
        <v>123436.6875</v>
      </c>
      <c r="G37" s="168">
        <f t="shared" si="19"/>
        <v>123436.6875</v>
      </c>
      <c r="H37" s="168">
        <f t="shared" si="19"/>
        <v>123436.6875</v>
      </c>
      <c r="I37" s="168">
        <f t="shared" si="19"/>
        <v>123436.6875</v>
      </c>
      <c r="J37" s="168">
        <f>J20</f>
        <v>123436.6875</v>
      </c>
      <c r="K37" s="168">
        <f>K20</f>
        <v>123436.6875</v>
      </c>
      <c r="L37" s="168">
        <f>L20</f>
        <v>123436.6875</v>
      </c>
    </row>
    <row r="38" spans="2:12" s="35" customFormat="1" ht="18.75" customHeight="1">
      <c r="B38" s="2" t="s">
        <v>49</v>
      </c>
      <c r="C38" s="170">
        <v>0</v>
      </c>
      <c r="D38" s="170">
        <f aca="true" t="shared" si="20" ref="D38:I38">C38</f>
        <v>0</v>
      </c>
      <c r="E38" s="170">
        <f t="shared" si="20"/>
        <v>0</v>
      </c>
      <c r="F38" s="170">
        <f t="shared" si="20"/>
        <v>0</v>
      </c>
      <c r="G38" s="170">
        <f t="shared" si="20"/>
        <v>0</v>
      </c>
      <c r="H38" s="170">
        <f t="shared" si="20"/>
        <v>0</v>
      </c>
      <c r="I38" s="170">
        <f t="shared" si="20"/>
        <v>0</v>
      </c>
      <c r="J38" s="170">
        <f>I38</f>
        <v>0</v>
      </c>
      <c r="K38" s="170">
        <f>J38</f>
        <v>0</v>
      </c>
      <c r="L38" s="170">
        <f>K38</f>
        <v>0</v>
      </c>
    </row>
    <row r="39" spans="2:12" ht="18.75" customHeight="1">
      <c r="B39" t="s">
        <v>50</v>
      </c>
      <c r="C39" s="168">
        <v>0</v>
      </c>
      <c r="D39" s="168">
        <f aca="true" t="shared" si="21" ref="D39:I39">D22*(C26+C28)</f>
        <v>0</v>
      </c>
      <c r="E39" s="168">
        <f t="shared" si="21"/>
        <v>7701.49726171875</v>
      </c>
      <c r="F39" s="168">
        <f t="shared" si="21"/>
        <v>7516.34223046875</v>
      </c>
      <c r="G39" s="168">
        <f t="shared" si="21"/>
        <v>7331.18719921875</v>
      </c>
      <c r="H39" s="168">
        <f t="shared" si="21"/>
        <v>7146.03216796875</v>
      </c>
      <c r="I39" s="168">
        <f t="shared" si="21"/>
        <v>6960.87713671875</v>
      </c>
      <c r="J39" s="168">
        <f>J22*(I26+I28)</f>
        <v>6775.72210546875</v>
      </c>
      <c r="K39" s="168">
        <f>K22*(J26+J28)</f>
        <v>6590.56707421875</v>
      </c>
      <c r="L39" s="168">
        <f>L22*(K26+K28)</f>
        <v>6405.41204296875</v>
      </c>
    </row>
    <row r="40" spans="2:12" ht="18.75" customHeight="1">
      <c r="B40" s="21" t="s">
        <v>51</v>
      </c>
      <c r="C40" s="175">
        <f aca="true" t="shared" si="22" ref="C40:I40">SUM(C36:C39)</f>
        <v>0</v>
      </c>
      <c r="D40" s="175">
        <f t="shared" si="22"/>
        <v>118293.4921875</v>
      </c>
      <c r="E40" s="175">
        <f t="shared" si="22"/>
        <v>131138.18476171876</v>
      </c>
      <c r="F40" s="175">
        <f t="shared" si="22"/>
        <v>130953.02973046876</v>
      </c>
      <c r="G40" s="175">
        <f t="shared" si="22"/>
        <v>130767.87469921875</v>
      </c>
      <c r="H40" s="175">
        <f t="shared" si="22"/>
        <v>130582.71966796875</v>
      </c>
      <c r="I40" s="175">
        <f t="shared" si="22"/>
        <v>130397.56463671874</v>
      </c>
      <c r="J40" s="175">
        <f>SUM(J36:J39)</f>
        <v>130212.40960546875</v>
      </c>
      <c r="K40" s="175">
        <f>SUM(K36:K39)</f>
        <v>130027.25457421875</v>
      </c>
      <c r="L40" s="175">
        <f>SUM(L36:L39)</f>
        <v>129842.09954296875</v>
      </c>
    </row>
    <row r="41" spans="3:12" ht="18.75" customHeight="1">
      <c r="C41" s="36"/>
      <c r="D41" s="37"/>
      <c r="E41" s="37"/>
      <c r="F41" s="37"/>
      <c r="G41" s="37"/>
      <c r="H41" s="37"/>
      <c r="I41" s="37"/>
      <c r="J41" s="37"/>
      <c r="K41" s="37"/>
      <c r="L41" s="37"/>
    </row>
    <row r="42" spans="2:12" ht="18.75" customHeight="1">
      <c r="B42" s="1" t="s">
        <v>59</v>
      </c>
      <c r="C42" s="168">
        <f aca="true" t="shared" si="23" ref="C42:I42">C34+C40</f>
        <v>0</v>
      </c>
      <c r="D42" s="168">
        <f t="shared" si="23"/>
        <v>537228.0657990533</v>
      </c>
      <c r="E42" s="168">
        <f t="shared" si="23"/>
        <v>534944.120741238</v>
      </c>
      <c r="F42" s="168">
        <f t="shared" si="23"/>
        <v>520189.1060627793</v>
      </c>
      <c r="G42" s="168">
        <f t="shared" si="23"/>
        <v>505949.5692301005</v>
      </c>
      <c r="H42" s="168">
        <f t="shared" si="23"/>
        <v>492188.3958383052</v>
      </c>
      <c r="I42" s="168">
        <f t="shared" si="23"/>
        <v>478868.4714824974</v>
      </c>
      <c r="J42" s="168">
        <f>J34+J40</f>
        <v>465957.8365362388</v>
      </c>
      <c r="K42" s="168">
        <f>K34+K40</f>
        <v>453424.531373091</v>
      </c>
      <c r="L42" s="168">
        <f>L34+L40</f>
        <v>440953.08355143666</v>
      </c>
    </row>
    <row r="43" spans="2:12" s="3" customFormat="1" ht="18.7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2" ht="18.75" customHeight="1"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</sheetData>
  <sheetProtection/>
  <dataValidations count="1">
    <dataValidation type="list" allowBlank="1" showInputMessage="1" showErrorMessage="1" sqref="A15">
      <formula1>"Bonus, No Bonus"</formula1>
    </dataValidation>
  </dataValidations>
  <printOptions horizontalCentered="1"/>
  <pageMargins left="0.75" right="0.75" top="1" bottom="0.5" header="0.5" footer="0.5"/>
  <pageSetup fitToHeight="1" fitToWidth="1" horizontalDpi="600" verticalDpi="600" orientation="landscape" scale="69" r:id="rId1"/>
  <rowBreaks count="1" manualBreakCount="1">
    <brk id="43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2016-01-15T18:48:15Z</dcterms:created>
  <dcterms:modified xsi:type="dcterms:W3CDTF">2016-03-18T20:04:16Z</dcterms:modified>
  <cp:category/>
  <cp:version/>
  <cp:contentType/>
  <cp:contentStatus/>
</cp:coreProperties>
</file>